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Dictionary" sheetId="1" r:id="rId4"/>
    <sheet state="visible" name="Mens Lineup" sheetId="2" r:id="rId5"/>
    <sheet state="visible" name="Womens Lineup" sheetId="3" r:id="rId6"/>
    <sheet state="visible" name="Mens Eventset" sheetId="4" r:id="rId7"/>
    <sheet state="visible" name="Womens Eventset" sheetId="5" r:id="rId8"/>
    <sheet state="visible" name="Mens Events" sheetId="6" r:id="rId9"/>
    <sheet state="visible" name="Womens Events" sheetId="7" r:id="rId10"/>
    <sheet state="visible" name="Every EZ Senior Champs 2019" sheetId="8" r:id="rId11"/>
    <sheet state="visible" name="Mens NCAAs 2009-2019" sheetId="9" r:id="rId12"/>
  </sheets>
  <definedNames/>
  <calcPr/>
</workbook>
</file>

<file path=xl/sharedStrings.xml><?xml version="1.0" encoding="utf-8"?>
<sst xmlns="http://schemas.openxmlformats.org/spreadsheetml/2006/main" count="25239" uniqueCount="610">
  <si>
    <t>Meet URL</t>
  </si>
  <si>
    <t>https://www.swimcloud.com/results/128987/</t>
  </si>
  <si>
    <t>Event Listing</t>
  </si>
  <si>
    <t>Dictionary</t>
  </si>
  <si>
    <t>Women</t>
  </si>
  <si>
    <t>Men</t>
  </si>
  <si>
    <t>50 Free</t>
  </si>
  <si>
    <t>100 Free</t>
  </si>
  <si>
    <t>200 Free</t>
  </si>
  <si>
    <t>500 Free</t>
  </si>
  <si>
    <t>1650 Free</t>
  </si>
  <si>
    <t>100 Back</t>
  </si>
  <si>
    <t>200 Back</t>
  </si>
  <si>
    <t>100 Breast</t>
  </si>
  <si>
    <t>200 Breast</t>
  </si>
  <si>
    <t>100 Fly</t>
  </si>
  <si>
    <t>200 Fly</t>
  </si>
  <si>
    <t>200 IM</t>
  </si>
  <si>
    <t>400 IM</t>
  </si>
  <si>
    <t>200 Free Relay</t>
  </si>
  <si>
    <t>400 Free Relay</t>
  </si>
  <si>
    <t>800 Free Relay</t>
  </si>
  <si>
    <t>200 Medley Relay</t>
  </si>
  <si>
    <t>400 Medley Relay</t>
  </si>
  <si>
    <t>1000 Free</t>
  </si>
  <si>
    <t>50 Back</t>
  </si>
  <si>
    <t>50 Breast</t>
  </si>
  <si>
    <t>50 Fly</t>
  </si>
  <si>
    <t>100 IM</t>
  </si>
  <si>
    <t>Event</t>
  </si>
  <si>
    <t>Names</t>
  </si>
  <si>
    <t>Aggrigate</t>
  </si>
  <si>
    <t>Allen Zachary</t>
  </si>
  <si>
    <t>Garrett McGovern</t>
  </si>
  <si>
    <t>Flynn Crisci</t>
  </si>
  <si>
    <t>David McCranie</t>
  </si>
  <si>
    <t>Nikolas Lee-Bishop</t>
  </si>
  <si>
    <t>Austin Smith</t>
  </si>
  <si>
    <t>Matthew Davidson</t>
  </si>
  <si>
    <t>Tyler Hill</t>
  </si>
  <si>
    <t>Walker Davis</t>
  </si>
  <si>
    <t>Dain Ripol</t>
  </si>
  <si>
    <t>Stephen Laming</t>
  </si>
  <si>
    <t>Colin Whiting</t>
  </si>
  <si>
    <t>Henry Paulson</t>
  </si>
  <si>
    <t>Noah Hargrove</t>
  </si>
  <si>
    <t>Spencer Miles</t>
  </si>
  <si>
    <t>Sam McKey</t>
  </si>
  <si>
    <t>Leo Yang</t>
  </si>
  <si>
    <t>Alex Neff</t>
  </si>
  <si>
    <t>Miles West</t>
  </si>
  <si>
    <t>Sam Sterling</t>
  </si>
  <si>
    <t>Christian Mayr</t>
  </si>
  <si>
    <t>Connor Gleim</t>
  </si>
  <si>
    <t>Sean Rocca</t>
  </si>
  <si>
    <t>Will Ross</t>
  </si>
  <si>
    <t>Sam Parsons</t>
  </si>
  <si>
    <t>Alexi Gentz</t>
  </si>
  <si>
    <t>Paul Southern</t>
  </si>
  <si>
    <t>Erik Cumpston</t>
  </si>
  <si>
    <t>Victor Valovalo</t>
  </si>
  <si>
    <t>Hunter Sundlun</t>
  </si>
  <si>
    <t>Jacob Oberle</t>
  </si>
  <si>
    <t>Colin Clements</t>
  </si>
  <si>
    <t>Russell Smith</t>
  </si>
  <si>
    <t>Blake Johnson</t>
  </si>
  <si>
    <t>Collin Marks</t>
  </si>
  <si>
    <t>Erik Kratzer</t>
  </si>
  <si>
    <t>Christopher Johnson</t>
  </si>
  <si>
    <t>Luke Osleger</t>
  </si>
  <si>
    <t>Ben Eichberg</t>
  </si>
  <si>
    <t>Kendall Ewing</t>
  </si>
  <si>
    <t>John O'Hara</t>
  </si>
  <si>
    <t>Ethan Roehrle</t>
  </si>
  <si>
    <t>Alexander Franklin</t>
  </si>
  <si>
    <t>Xavier Raymondson</t>
  </si>
  <si>
    <t>Vijay Chhabra</t>
  </si>
  <si>
    <t>Corey Rogness</t>
  </si>
  <si>
    <t>Preston Hutter</t>
  </si>
  <si>
    <t>Johnathan Walden</t>
  </si>
  <si>
    <t>cooper gavin</t>
  </si>
  <si>
    <t>Samuel Johnson</t>
  </si>
  <si>
    <t>Ben James</t>
  </si>
  <si>
    <t>Trevor Andrewski</t>
  </si>
  <si>
    <t>Jack Spinnanger</t>
  </si>
  <si>
    <t>Dalton Cosner</t>
  </si>
  <si>
    <t>Quin Elder</t>
  </si>
  <si>
    <t>Jack Stelter</t>
  </si>
  <si>
    <t>Logan DeWalt</t>
  </si>
  <si>
    <t>Chris Farrell</t>
  </si>
  <si>
    <t>Austin Orange</t>
  </si>
  <si>
    <t>Heath Lewis</t>
  </si>
  <si>
    <t>Matthew Sweat</t>
  </si>
  <si>
    <t>Mason Van Tassell</t>
  </si>
  <si>
    <t>Ben Young</t>
  </si>
  <si>
    <t>Gabriel Ruby</t>
  </si>
  <si>
    <t>Massimo Serafini</t>
  </si>
  <si>
    <t>Ethan Jones</t>
  </si>
  <si>
    <t>Matt Duren</t>
  </si>
  <si>
    <t>Perry Ingraham</t>
  </si>
  <si>
    <t>Aidan Moudry</t>
  </si>
  <si>
    <t>AJ Schwabe</t>
  </si>
  <si>
    <t>Zach Ashby</t>
  </si>
  <si>
    <t>Connor Brooks</t>
  </si>
  <si>
    <t>Jake Blackburn</t>
  </si>
  <si>
    <t>Michael Davis</t>
  </si>
  <si>
    <t>Derek Lang</t>
  </si>
  <si>
    <t>Tim Higgins</t>
  </si>
  <si>
    <t>Conrad Tan</t>
  </si>
  <si>
    <t>Jonathan Bettis</t>
  </si>
  <si>
    <t>Thomas McGowan</t>
  </si>
  <si>
    <t>Teddy Cross</t>
  </si>
  <si>
    <t>Nicolas Noto</t>
  </si>
  <si>
    <t>Fletcher Marshall</t>
  </si>
  <si>
    <t>Garrett Pendleton</t>
  </si>
  <si>
    <t>Patrick Crowder</t>
  </si>
  <si>
    <t>Charlie Cross</t>
  </si>
  <si>
    <t>Shayom Debopadhaya</t>
  </si>
  <si>
    <t>Caleb Smietana</t>
  </si>
  <si>
    <t>Derek Estep</t>
  </si>
  <si>
    <t>Jackson Sitton</t>
  </si>
  <si>
    <t>Oz Potter</t>
  </si>
  <si>
    <t>Brandt Gillette</t>
  </si>
  <si>
    <t>Micah Hunt</t>
  </si>
  <si>
    <t>Houston Crowder</t>
  </si>
  <si>
    <t>Preston Hudak</t>
  </si>
  <si>
    <t>Kyle Floyd</t>
  </si>
  <si>
    <t>Preston Trevey</t>
  </si>
  <si>
    <t>Matthew Marquis</t>
  </si>
  <si>
    <t>Grayson Daughtry</t>
  </si>
  <si>
    <t>Andrew Creelman</t>
  </si>
  <si>
    <t>Nick Talati</t>
  </si>
  <si>
    <t>Lucas Johnson</t>
  </si>
  <si>
    <t>Noah Nichols</t>
  </si>
  <si>
    <t>Forest Webb</t>
  </si>
  <si>
    <t>Gavin Lamoureux</t>
  </si>
  <si>
    <t>Cole Younger</t>
  </si>
  <si>
    <t>Atesh Camurdan</t>
  </si>
  <si>
    <t>Connor Doyle</t>
  </si>
  <si>
    <t>Noah Ratliff</t>
  </si>
  <si>
    <t>Reed Sells</t>
  </si>
  <si>
    <t>Nicholas Viers</t>
  </si>
  <si>
    <t>Parker Hayungs</t>
  </si>
  <si>
    <t>Jack Sheehan</t>
  </si>
  <si>
    <t>Austin Clark</t>
  </si>
  <si>
    <t>Andrew Betts</t>
  </si>
  <si>
    <t>Collin Feliciano</t>
  </si>
  <si>
    <t>Brandon Brewer</t>
  </si>
  <si>
    <t>Edward Finman</t>
  </si>
  <si>
    <t>Kevin Bennett</t>
  </si>
  <si>
    <t>Logan Deal</t>
  </si>
  <si>
    <t>Kobe Nguyen</t>
  </si>
  <si>
    <t>Maxwell Trias</t>
  </si>
  <si>
    <t>Tate Snyder</t>
  </si>
  <si>
    <t>Carter Bunting</t>
  </si>
  <si>
    <t>Noah Spain</t>
  </si>
  <si>
    <t>Alex Scott</t>
  </si>
  <si>
    <t>Zach Brinson</t>
  </si>
  <si>
    <t>Colin Schmidt</t>
  </si>
  <si>
    <t>Joe Combs</t>
  </si>
  <si>
    <t>Jason Menninger</t>
  </si>
  <si>
    <t>Andrew Chaikin</t>
  </si>
  <si>
    <t>J. P. Brunetti</t>
  </si>
  <si>
    <t>Joe Manley</t>
  </si>
  <si>
    <t>Brady Lang</t>
  </si>
  <si>
    <t>Noah Frerichs</t>
  </si>
  <si>
    <t>Andrew Burrows</t>
  </si>
  <si>
    <t>Will Burkey</t>
  </si>
  <si>
    <t>Chris Dalla Valle</t>
  </si>
  <si>
    <t>Zachary Cram</t>
  </si>
  <si>
    <t>Chris Kostelni</t>
  </si>
  <si>
    <t>Daniel Chance</t>
  </si>
  <si>
    <t>Eli Tarabocchia</t>
  </si>
  <si>
    <t>Reid Hutcherson</t>
  </si>
  <si>
    <t>Sean Hogan</t>
  </si>
  <si>
    <t>Jacob Sprigg</t>
  </si>
  <si>
    <t>Patrick Madden</t>
  </si>
  <si>
    <t>Nathan Wakefield</t>
  </si>
  <si>
    <t>James Creelman</t>
  </si>
  <si>
    <t>Connor Smith</t>
  </si>
  <si>
    <t>Isaac Sudweeks</t>
  </si>
  <si>
    <t>Jackson Nester</t>
  </si>
  <si>
    <t>Clayton Whetstine</t>
  </si>
  <si>
    <t>Graham Boyle</t>
  </si>
  <si>
    <t>Caleb Thomas</t>
  </si>
  <si>
    <t>Aidan Crisci</t>
  </si>
  <si>
    <t>Alex Kidd</t>
  </si>
  <si>
    <t>Ethan Stoltz</t>
  </si>
  <si>
    <t>Logan Amatruda</t>
  </si>
  <si>
    <t>Andrew Farney</t>
  </si>
  <si>
    <t>Peyton Wray</t>
  </si>
  <si>
    <t>Reid Schattgen</t>
  </si>
  <si>
    <t>Ashton Temme</t>
  </si>
  <si>
    <t>Jacob Teer</t>
  </si>
  <si>
    <t>Landon Ellis</t>
  </si>
  <si>
    <t>Aubrey Bowles</t>
  </si>
  <si>
    <t>Nick Zolovick</t>
  </si>
  <si>
    <t>Chase Hensen</t>
  </si>
  <si>
    <t>Kyle Demers</t>
  </si>
  <si>
    <t>Jacob Miller</t>
  </si>
  <si>
    <t>Julian Montes</t>
  </si>
  <si>
    <t>Joey Sims</t>
  </si>
  <si>
    <t>Joshua Dicken</t>
  </si>
  <si>
    <t>Logan Euker</t>
  </si>
  <si>
    <t>John Reed</t>
  </si>
  <si>
    <t>Sam Sweetser</t>
  </si>
  <si>
    <t>Hunter Strickland</t>
  </si>
  <si>
    <t>Brendan Farrar</t>
  </si>
  <si>
    <t>DC Hellams</t>
  </si>
  <si>
    <t>Hunter Locher</t>
  </si>
  <si>
    <t>Zach Wassmer</t>
  </si>
  <si>
    <t>Ryan Hillery</t>
  </si>
  <si>
    <t>Luke Daley</t>
  </si>
  <si>
    <t>Charlie Boykin</t>
  </si>
  <si>
    <t>Aidan Duffy</t>
  </si>
  <si>
    <t>Conner Jorgensen</t>
  </si>
  <si>
    <t>Justin Geiszler</t>
  </si>
  <si>
    <t>Cameron Adams</t>
  </si>
  <si>
    <t>Andrew Turbyfill</t>
  </si>
  <si>
    <t>Abel Buell</t>
  </si>
  <si>
    <t>Hunter Muench</t>
  </si>
  <si>
    <t>Blake Rouzie</t>
  </si>
  <si>
    <t>Davis Jobe</t>
  </si>
  <si>
    <t>Nate Pfeffer</t>
  </si>
  <si>
    <t>Paul Warnagiris</t>
  </si>
  <si>
    <t>Will Stevens</t>
  </si>
  <si>
    <t>Kennon Downes</t>
  </si>
  <si>
    <t>Blakely Dean</t>
  </si>
  <si>
    <t>Conor Sokolowsky</t>
  </si>
  <si>
    <t>Alex Stanley</t>
  </si>
  <si>
    <t>Austin Booth</t>
  </si>
  <si>
    <t>Jimmy Granger</t>
  </si>
  <si>
    <t>Matt Murray</t>
  </si>
  <si>
    <t>Jackson Hunter</t>
  </si>
  <si>
    <t>JT Lotz</t>
  </si>
  <si>
    <t>Russell Nystrom</t>
  </si>
  <si>
    <t>Ahmad Woodson</t>
  </si>
  <si>
    <t>Joel Giraudeau</t>
  </si>
  <si>
    <t>Noah Fields</t>
  </si>
  <si>
    <t>Adam Kerr</t>
  </si>
  <si>
    <t>Liam Ryan</t>
  </si>
  <si>
    <t>Sam Long</t>
  </si>
  <si>
    <t>Lewis Rockwell</t>
  </si>
  <si>
    <t>Colby Mills</t>
  </si>
  <si>
    <t>Anderson Broughton</t>
  </si>
  <si>
    <t>Jacob Rice</t>
  </si>
  <si>
    <t>Declan Young</t>
  </si>
  <si>
    <t>Paul Datovech</t>
  </si>
  <si>
    <t>Jerry Jones</t>
  </si>
  <si>
    <t>Kaelig Michel</t>
  </si>
  <si>
    <t>Noah Johnson</t>
  </si>
  <si>
    <t>Brian Kwon</t>
  </si>
  <si>
    <t>Davis Wheeler</t>
  </si>
  <si>
    <t>Will Fletcher</t>
  </si>
  <si>
    <t>Robert Hodge</t>
  </si>
  <si>
    <t>Nathan Smith</t>
  </si>
  <si>
    <t>David Gepitulan</t>
  </si>
  <si>
    <t>Nathan Pechacek</t>
  </si>
  <si>
    <t>Patrick Reilly</t>
  </si>
  <si>
    <t>Ian Hart</t>
  </si>
  <si>
    <t>Ethan Comeyne</t>
  </si>
  <si>
    <t>Aidan Campbell</t>
  </si>
  <si>
    <t>Alexander Wright</t>
  </si>
  <si>
    <t>Jack Hufner</t>
  </si>
  <si>
    <t>Jacob Winn</t>
  </si>
  <si>
    <t>Jason Seitz</t>
  </si>
  <si>
    <t>Kostas Mateer</t>
  </si>
  <si>
    <t>Jamie Edwards</t>
  </si>
  <si>
    <t>Davis Kubovcik</t>
  </si>
  <si>
    <t>Blake Young</t>
  </si>
  <si>
    <t>August Lamb</t>
  </si>
  <si>
    <t>Cooper Muench</t>
  </si>
  <si>
    <t>Jack McCann</t>
  </si>
  <si>
    <t>Will Timme</t>
  </si>
  <si>
    <t>Alex Kaplan</t>
  </si>
  <si>
    <t>Dominic Mistretta</t>
  </si>
  <si>
    <t>Ryan Taylor</t>
  </si>
  <si>
    <t>Nick Barrows</t>
  </si>
  <si>
    <t>Andy Lee</t>
  </si>
  <si>
    <t>Brock Rempe</t>
  </si>
  <si>
    <t>Nicholas Fillo</t>
  </si>
  <si>
    <t>Ethan Spencer</t>
  </si>
  <si>
    <t>Chris Homer</t>
  </si>
  <si>
    <t>Ryan Deavers</t>
  </si>
  <si>
    <t>Ari Semper</t>
  </si>
  <si>
    <t>Stephen Wallach</t>
  </si>
  <si>
    <t>Daniel Murray</t>
  </si>
  <si>
    <t>Howard Zhu</t>
  </si>
  <si>
    <t>Michael Senter</t>
  </si>
  <si>
    <t>Ezekiel Brubaker</t>
  </si>
  <si>
    <t>Michael Pilar</t>
  </si>
  <si>
    <t>Jack Dragone</t>
  </si>
  <si>
    <t>Gus Jones</t>
  </si>
  <si>
    <t>Erik Payne</t>
  </si>
  <si>
    <t>Smith Martin</t>
  </si>
  <si>
    <t>Lorenzo Galang</t>
  </si>
  <si>
    <t>Tee Bowles</t>
  </si>
  <si>
    <t>Benjamin Beaudoin</t>
  </si>
  <si>
    <t>Hunter Howery</t>
  </si>
  <si>
    <t>Kolby Hoge</t>
  </si>
  <si>
    <t>Mark Southern</t>
  </si>
  <si>
    <t>Connor Sauls</t>
  </si>
  <si>
    <t>Jonny Kerr</t>
  </si>
  <si>
    <t>Jaz Paraham</t>
  </si>
  <si>
    <t>Stephen Durham</t>
  </si>
  <si>
    <t>Victor Kontopanos</t>
  </si>
  <si>
    <t>Michael Wood</t>
  </si>
  <si>
    <t>Sam Rivas</t>
  </si>
  <si>
    <t>Eric Watson</t>
  </si>
  <si>
    <t>Will Baxley</t>
  </si>
  <si>
    <t>Preston Hunter</t>
  </si>
  <si>
    <t>Cole Hudak</t>
  </si>
  <si>
    <t>Sam Sokalzuk</t>
  </si>
  <si>
    <t>Brian Hua</t>
  </si>
  <si>
    <t>Cullen Beach</t>
  </si>
  <si>
    <t>Connor Weston</t>
  </si>
  <si>
    <t>Owen Wassmer</t>
  </si>
  <si>
    <t>David Johnson</t>
  </si>
  <si>
    <t>Tyce Winter</t>
  </si>
  <si>
    <t>Nikki Venema</t>
  </si>
  <si>
    <t>Samantha Tadder</t>
  </si>
  <si>
    <t>Asia Minnes</t>
  </si>
  <si>
    <t>Sydney Whiting</t>
  </si>
  <si>
    <t>Megan Pulley</t>
  </si>
  <si>
    <t>Elle Caldow</t>
  </si>
  <si>
    <t>Abby Fuller</t>
  </si>
  <si>
    <t>Kayla Wilson</t>
  </si>
  <si>
    <t>Josephine Fuller</t>
  </si>
  <si>
    <t>Kierstin Godfrey</t>
  </si>
  <si>
    <t>Madison Cottrell</t>
  </si>
  <si>
    <t>Kimberly Large</t>
  </si>
  <si>
    <t>Cooper Ackerly</t>
  </si>
  <si>
    <t>Tristan Harrison</t>
  </si>
  <si>
    <t>Julia Smith</t>
  </si>
  <si>
    <t>Jenna Thompson</t>
  </si>
  <si>
    <t>Tara Enneking</t>
  </si>
  <si>
    <t>Tamara Wheater</t>
  </si>
  <si>
    <t>Kaitlyn Sullivan</t>
  </si>
  <si>
    <t>Katie Nunez</t>
  </si>
  <si>
    <t>Courtney Isley</t>
  </si>
  <si>
    <t>Maddie Pierce</t>
  </si>
  <si>
    <t>Mary Heffron</t>
  </si>
  <si>
    <t>Brooke Lamoureux</t>
  </si>
  <si>
    <t>Sara Gaston</t>
  </si>
  <si>
    <t>Kelsey Peel</t>
  </si>
  <si>
    <t>Alexandra Browne</t>
  </si>
  <si>
    <t>Casey Fusco</t>
  </si>
  <si>
    <t>Kat Burr</t>
  </si>
  <si>
    <t>Aleena De Sir</t>
  </si>
  <si>
    <t>Sofia Long</t>
  </si>
  <si>
    <t>Sarah Bender</t>
  </si>
  <si>
    <t>Mary Cornett</t>
  </si>
  <si>
    <t>Anna Clare Fleenor</t>
  </si>
  <si>
    <t>Jean Graham</t>
  </si>
  <si>
    <t>Colby Hurt</t>
  </si>
  <si>
    <t>Shelby Raber</t>
  </si>
  <si>
    <t>Corinne Whisenant</t>
  </si>
  <si>
    <t>Ellie Webb</t>
  </si>
  <si>
    <t>Ellie Ahmed</t>
  </si>
  <si>
    <t>Maura Graff</t>
  </si>
  <si>
    <t>Marissa Ross</t>
  </si>
  <si>
    <t>Kinsey Brooks</t>
  </si>
  <si>
    <t>Allie Pickels</t>
  </si>
  <si>
    <t>Kristen Wagner</t>
  </si>
  <si>
    <t>Blythe Brenner</t>
  </si>
  <si>
    <t>Andrea Leng</t>
  </si>
  <si>
    <t>Molly Blanchard</t>
  </si>
  <si>
    <t>Kat Vanbourgondien</t>
  </si>
  <si>
    <t>Raea Farquharson</t>
  </si>
  <si>
    <t>Maggie Ivie</t>
  </si>
  <si>
    <t>Hallie Wilson</t>
  </si>
  <si>
    <t>Tess Deyerle</t>
  </si>
  <si>
    <t>Anna Slominski</t>
  </si>
  <si>
    <t>Kylie Thompson</t>
  </si>
  <si>
    <t>Leah Riley</t>
  </si>
  <si>
    <t>Christa Jones</t>
  </si>
  <si>
    <t>Sophia Yu</t>
  </si>
  <si>
    <t>Natalie Hidrobo</t>
  </si>
  <si>
    <t>Grace Clemens</t>
  </si>
  <si>
    <t>Isabelle Bauer</t>
  </si>
  <si>
    <t>Hannah Jirsa</t>
  </si>
  <si>
    <t>Anka Whelan</t>
  </si>
  <si>
    <t>Elizabette Macias</t>
  </si>
  <si>
    <t>Lindsey Hair</t>
  </si>
  <si>
    <t>Lauren Masters</t>
  </si>
  <si>
    <t>Olivia Tillett</t>
  </si>
  <si>
    <t>Paige Simko</t>
  </si>
  <si>
    <t>Maya Chatterson</t>
  </si>
  <si>
    <t>Kimberly Warnagiris</t>
  </si>
  <si>
    <t>Selby Heyman</t>
  </si>
  <si>
    <t>Chloe Schmitz</t>
  </si>
  <si>
    <t>Sydney Hall</t>
  </si>
  <si>
    <t>Jane Lawing</t>
  </si>
  <si>
    <t>Maggie McClintock</t>
  </si>
  <si>
    <t>Sally Ennis</t>
  </si>
  <si>
    <t>Lainey Flanagan</t>
  </si>
  <si>
    <t>Kim Schooneman</t>
  </si>
  <si>
    <t>Anna Sheng</t>
  </si>
  <si>
    <t>Emmaline Woodworth</t>
  </si>
  <si>
    <t>Cecilia Cortez</t>
  </si>
  <si>
    <t>Jenni Ryniewicz</t>
  </si>
  <si>
    <t>Taylor Branch</t>
  </si>
  <si>
    <t>Sarah Arnold</t>
  </si>
  <si>
    <t>Anna Watson</t>
  </si>
  <si>
    <t>Macy Wilcox</t>
  </si>
  <si>
    <t>Abby Frey</t>
  </si>
  <si>
    <t>Kaila Hewitt</t>
  </si>
  <si>
    <t>Delaney Younger</t>
  </si>
  <si>
    <t>Korina Davis</t>
  </si>
  <si>
    <t>Gina Lynch</t>
  </si>
  <si>
    <t>Carson Yoder</t>
  </si>
  <si>
    <t>Sydney Branch</t>
  </si>
  <si>
    <t>Hannah Rossin</t>
  </si>
  <si>
    <t>Jordan MacIsaac</t>
  </si>
  <si>
    <t>Clara Rodriguez</t>
  </si>
  <si>
    <t>Sophie Haise</t>
  </si>
  <si>
    <t>Moira Euker</t>
  </si>
  <si>
    <t>Abby Cook</t>
  </si>
  <si>
    <t>Allison Masterson</t>
  </si>
  <si>
    <t>Varin Schefte</t>
  </si>
  <si>
    <t>Bridgette Pearson</t>
  </si>
  <si>
    <t>Annika Luce</t>
  </si>
  <si>
    <t>Claire Henniker</t>
  </si>
  <si>
    <t>Virginia Smith</t>
  </si>
  <si>
    <t>Faith Sconing</t>
  </si>
  <si>
    <t>Luci Hanstedt</t>
  </si>
  <si>
    <t>Paige Strycker</t>
  </si>
  <si>
    <t>Alexis Roberts</t>
  </si>
  <si>
    <t>Arianna Perez</t>
  </si>
  <si>
    <t>Lexi Plogger</t>
  </si>
  <si>
    <t>Alli Lovell</t>
  </si>
  <si>
    <t>Jacquelyn Maly</t>
  </si>
  <si>
    <t>Haley Butcher</t>
  </si>
  <si>
    <t>Maggie Baham</t>
  </si>
  <si>
    <t>Paige Chenoweth</t>
  </si>
  <si>
    <t>Lauren Barakey</t>
  </si>
  <si>
    <t>Abbey Murtaugh</t>
  </si>
  <si>
    <t>Kaitlyn Niesent</t>
  </si>
  <si>
    <t>Meredith Flattum</t>
  </si>
  <si>
    <t>Lena Steckler</t>
  </si>
  <si>
    <t>Anna Keniston</t>
  </si>
  <si>
    <t>Sarah Vencil</t>
  </si>
  <si>
    <t>Adah MacDonald</t>
  </si>
  <si>
    <t>Jackie Scheneman</t>
  </si>
  <si>
    <t>Erin Wojtkowski</t>
  </si>
  <si>
    <t>Chloe Jepson</t>
  </si>
  <si>
    <t>Corrinn Ford</t>
  </si>
  <si>
    <t>Ainsley Juhlin</t>
  </si>
  <si>
    <t>Caitlyn Verastek</t>
  </si>
  <si>
    <t>Elizabeth Showers</t>
  </si>
  <si>
    <t>Bella Triolet</t>
  </si>
  <si>
    <t>Savanneh Salmon</t>
  </si>
  <si>
    <t>Ava Settle</t>
  </si>
  <si>
    <t>Paige Rooks</t>
  </si>
  <si>
    <t>Grace Morgan</t>
  </si>
  <si>
    <t>Cara McDuffie</t>
  </si>
  <si>
    <t>Emily Joseph</t>
  </si>
  <si>
    <t>Caroline Inskeep</t>
  </si>
  <si>
    <t>Leah Ashby</t>
  </si>
  <si>
    <t>Katelyn Vieni</t>
  </si>
  <si>
    <t>Caroline Shockley</t>
  </si>
  <si>
    <t>Julianna Jackson</t>
  </si>
  <si>
    <t>Madelyn Foreman</t>
  </si>
  <si>
    <t>Taylor Walker</t>
  </si>
  <si>
    <t>Charlotte Denecke</t>
  </si>
  <si>
    <t>Morgan Burton</t>
  </si>
  <si>
    <t>Ally Kopal</t>
  </si>
  <si>
    <t>Avery Rogers</t>
  </si>
  <si>
    <t>Claire Moody</t>
  </si>
  <si>
    <t>Maggie Shepard</t>
  </si>
  <si>
    <t>Izzy Bradley</t>
  </si>
  <si>
    <t>Caroline Storen</t>
  </si>
  <si>
    <t>Lauren Shoemaker</t>
  </si>
  <si>
    <t>Sophie Knepper</t>
  </si>
  <si>
    <t>Athena Vanyo</t>
  </si>
  <si>
    <t>Sophie O'Donnell</t>
  </si>
  <si>
    <t>Emma De Jong</t>
  </si>
  <si>
    <t>Kylie Johnson</t>
  </si>
  <si>
    <t>Alison Harvey</t>
  </si>
  <si>
    <t>angela ritchie</t>
  </si>
  <si>
    <t>Grey Davis</t>
  </si>
  <si>
    <t>Zorey Sargent</t>
  </si>
  <si>
    <t>Livvie Cohn</t>
  </si>
  <si>
    <t>Jillian Haig</t>
  </si>
  <si>
    <t>Rylee Woelk</t>
  </si>
  <si>
    <t>Julia May</t>
  </si>
  <si>
    <t>Lauren Meyer</t>
  </si>
  <si>
    <t>Ashley Dyer</t>
  </si>
  <si>
    <t>Shannah Dillman</t>
  </si>
  <si>
    <t>Shea Buirski</t>
  </si>
  <si>
    <t>Chelie Plaster</t>
  </si>
  <si>
    <t>Skylar Dacey</t>
  </si>
  <si>
    <t>Julia Oliver</t>
  </si>
  <si>
    <t>Elyse Cram</t>
  </si>
  <si>
    <t>Jenna Lancey</t>
  </si>
  <si>
    <t>Alexa Heiry</t>
  </si>
  <si>
    <t>Cristal Perdomo</t>
  </si>
  <si>
    <t>Niamh Kastner</t>
  </si>
  <si>
    <t>Ginnie Hester</t>
  </si>
  <si>
    <t>Molly Rouzie</t>
  </si>
  <si>
    <t>Maddie Bowles</t>
  </si>
  <si>
    <t>Caroline Gray</t>
  </si>
  <si>
    <t>Morgan Miller</t>
  </si>
  <si>
    <t>Abby Reardon</t>
  </si>
  <si>
    <t>Laura Gaffney</t>
  </si>
  <si>
    <t>Charlie Burt</t>
  </si>
  <si>
    <t>Hannah Garner</t>
  </si>
  <si>
    <t>Erin Langenburg</t>
  </si>
  <si>
    <t>Ellie Eckert</t>
  </si>
  <si>
    <t>Alexa Owen</t>
  </si>
  <si>
    <t>Allison Langenburg</t>
  </si>
  <si>
    <t>Maddie Wallin</t>
  </si>
  <si>
    <t>Brieanna Romney</t>
  </si>
  <si>
    <t>Abby Russell</t>
  </si>
  <si>
    <t>Megan Gaffney</t>
  </si>
  <si>
    <t>Sanna Peterson</t>
  </si>
  <si>
    <t>Maggie Dominick</t>
  </si>
  <si>
    <t>Melina Christou</t>
  </si>
  <si>
    <t>Meagan Baxley</t>
  </si>
  <si>
    <t>Bella Kimbel</t>
  </si>
  <si>
    <t>Gracie Mueller</t>
  </si>
  <si>
    <t>Anne-Elaine Tiller</t>
  </si>
  <si>
    <t>Tillie Lewis</t>
  </si>
  <si>
    <t>Pearl Kluger</t>
  </si>
  <si>
    <t>Rose McMullen</t>
  </si>
  <si>
    <t>Kate Steenkamer</t>
  </si>
  <si>
    <t>Kennedy Darensbourg</t>
  </si>
  <si>
    <t>Harper Sensiba</t>
  </si>
  <si>
    <t>Maddie Spangler</t>
  </si>
  <si>
    <t>Maddie McCay</t>
  </si>
  <si>
    <t>Grace Sheble</t>
  </si>
  <si>
    <t>Caroline Sheble</t>
  </si>
  <si>
    <t>Annabelle Young</t>
  </si>
  <si>
    <t>Lizzie Danforth</t>
  </si>
  <si>
    <t>Peyton Proffitt</t>
  </si>
  <si>
    <t>Kathryn Burrows</t>
  </si>
  <si>
    <t>Michaela Sizemore</t>
  </si>
  <si>
    <t>Julie Anderson</t>
  </si>
  <si>
    <t>Kayla Sprincis</t>
  </si>
  <si>
    <t>Sydney McCallie</t>
  </si>
  <si>
    <t>Summer Sampson</t>
  </si>
  <si>
    <t>Molly Shand</t>
  </si>
  <si>
    <t>Maialen Sudupe</t>
  </si>
  <si>
    <t>Britney Denny</t>
  </si>
  <si>
    <t>Kassy McCoy</t>
  </si>
  <si>
    <t>Peyton Geiszler</t>
  </si>
  <si>
    <t>Trinity Luxeder</t>
  </si>
  <si>
    <t>Beth Ann Cortright</t>
  </si>
  <si>
    <t>Carrington Bowles</t>
  </si>
  <si>
    <t>Alyssa Reilly</t>
  </si>
  <si>
    <t>Kayleigh Jumper</t>
  </si>
  <si>
    <t>Maddie Andrews</t>
  </si>
  <si>
    <t>Laney VanLenten</t>
  </si>
  <si>
    <t>Calli McEvoy</t>
  </si>
  <si>
    <t>Olivia Hutton</t>
  </si>
  <si>
    <t>Jenna Kapp</t>
  </si>
  <si>
    <t>Lauren Prescott</t>
  </si>
  <si>
    <t>Carter Wasser</t>
  </si>
  <si>
    <t>Cassidy Doyle</t>
  </si>
  <si>
    <t>Ella Tarabocchia</t>
  </si>
  <si>
    <t>Amelia Macholz</t>
  </si>
  <si>
    <t>Becca Wigboldy</t>
  </si>
  <si>
    <t>Isabella Caballero</t>
  </si>
  <si>
    <t>Abby Reilly</t>
  </si>
  <si>
    <t>Claire Rude</t>
  </si>
  <si>
    <t>Dagny Hudgins</t>
  </si>
  <si>
    <t>Tessa Campbell</t>
  </si>
  <si>
    <t>Julia Springer</t>
  </si>
  <si>
    <t>Mia Tan</t>
  </si>
  <si>
    <t>Lauren Underwood</t>
  </si>
  <si>
    <t>Brooke-Lynn Clark</t>
  </si>
  <si>
    <t>Gabby Thompson</t>
  </si>
  <si>
    <t>Cate Gleim</t>
  </si>
  <si>
    <t>Elizabeth LaPrade</t>
  </si>
  <si>
    <t>Caroline Turner</t>
  </si>
  <si>
    <t>Charlotte Wishnack</t>
  </si>
  <si>
    <t>Kristina Zachary</t>
  </si>
  <si>
    <t>Anne Bowles</t>
  </si>
  <si>
    <t>Brooke Simila</t>
  </si>
  <si>
    <t>Tatum Robinson</t>
  </si>
  <si>
    <t>Emma Fuhs</t>
  </si>
  <si>
    <t>Lexi Osleger</t>
  </si>
  <si>
    <t>Caroline Marotta</t>
  </si>
  <si>
    <t>Isabel Born</t>
  </si>
  <si>
    <t>Lexi Nussbaum</t>
  </si>
  <si>
    <t>Mia Constantin</t>
  </si>
  <si>
    <t>Sara Lindsay</t>
  </si>
  <si>
    <t>Claire Hebertson</t>
  </si>
  <si>
    <t>Katelyn Lough</t>
  </si>
  <si>
    <t>Sarah Born</t>
  </si>
  <si>
    <t>Alyssa Teller</t>
  </si>
  <si>
    <t>Claire Evko</t>
  </si>
  <si>
    <t>Ally Kiger</t>
  </si>
  <si>
    <t>Sophie Gere</t>
  </si>
  <si>
    <t>Andi Fox</t>
  </si>
  <si>
    <t>Jane Fomuso</t>
  </si>
  <si>
    <t>Juliana Bleecker</t>
  </si>
  <si>
    <t>Quinn Keatley</t>
  </si>
  <si>
    <t>Casey Phillips</t>
  </si>
  <si>
    <t>Bridget Wilson</t>
  </si>
  <si>
    <t>Riley Johnson</t>
  </si>
  <si>
    <t>Stephanie Miller</t>
  </si>
  <si>
    <t>Morgan Bowman</t>
  </si>
  <si>
    <t>Jordan Mumford</t>
  </si>
  <si>
    <t>Natalia Perdomo</t>
  </si>
  <si>
    <t>Sydnee Blackburn</t>
  </si>
  <si>
    <t>Analiese Hargreaves</t>
  </si>
  <si>
    <t>Morgan Graves</t>
  </si>
  <si>
    <t>Events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</si>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</sst>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wimcloud.com/results/128987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4">
      <c r="B4" s="1" t="s">
        <v>2</v>
      </c>
    </row>
    <row r="5">
      <c r="B5" s="3">
        <f>IFERROR(__xludf.DUMMYFUNCTION("IMPORTXML(A2,""//div[@class='o-media o-media--flush']"")"),1.0)</f>
        <v>1</v>
      </c>
      <c r="C5" s="3" t="str">
        <f>IFERROR(__xludf.DUMMYFUNCTION("""COMPUTED_VALUE"""),"1650 Free Women")</f>
        <v>1650 Free Women</v>
      </c>
      <c r="E5" s="4" t="s">
        <v>3</v>
      </c>
      <c r="F5" s="4"/>
      <c r="G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B6" s="3">
        <f>IFERROR(__xludf.DUMMYFUNCTION("""COMPUTED_VALUE"""),2.0)</f>
        <v>2</v>
      </c>
      <c r="C6" s="3" t="str">
        <f>IFERROR(__xludf.DUMMYFUNCTION("""COMPUTED_VALUE"""),"1650 Free Men")</f>
        <v>1650 Free Men</v>
      </c>
      <c r="E6" s="4"/>
      <c r="F6" s="5" t="s">
        <v>4</v>
      </c>
      <c r="G6" s="5" t="s">
        <v>5</v>
      </c>
    </row>
    <row r="7">
      <c r="B7" s="3">
        <f>IFERROR(__xludf.DUMMYFUNCTION("""COMPUTED_VALUE"""),3.0)</f>
        <v>3</v>
      </c>
      <c r="C7" s="3" t="str">
        <f>IFERROR(__xludf.DUMMYFUNCTION("""COMPUTED_VALUE"""),"200 Free Women")</f>
        <v>200 Free Women</v>
      </c>
      <c r="E7" s="4" t="s">
        <v>6</v>
      </c>
      <c r="F7" s="6">
        <f t="shared" ref="F7:G7" si="1">INDEX($B$5:$B1000,MATCH(CONCATENATE($E7, " ", F$6), $C$5:$C1000, 0))</f>
        <v>17</v>
      </c>
      <c r="G7" s="6">
        <f t="shared" si="1"/>
        <v>18</v>
      </c>
    </row>
    <row r="8">
      <c r="B8" s="3">
        <f>IFERROR(__xludf.DUMMYFUNCTION("""COMPUTED_VALUE"""),4.0)</f>
        <v>4</v>
      </c>
      <c r="C8" s="3" t="str">
        <f>IFERROR(__xludf.DUMMYFUNCTION("""COMPUTED_VALUE"""),"200 Free Men")</f>
        <v>200 Free Men</v>
      </c>
      <c r="E8" s="4" t="s">
        <v>7</v>
      </c>
      <c r="F8" s="6">
        <f t="shared" ref="F8:G8" si="2">INDEX($B$5:$B1000,MATCH(CONCATENATE($E8, " ", F$6), $C$5:$C1000, 0))</f>
        <v>31</v>
      </c>
      <c r="G8" s="6">
        <f t="shared" si="2"/>
        <v>32</v>
      </c>
    </row>
    <row r="9">
      <c r="B9" s="3">
        <f>IFERROR(__xludf.DUMMYFUNCTION("""COMPUTED_VALUE"""),5.0)</f>
        <v>5</v>
      </c>
      <c r="C9" s="3" t="str">
        <f>IFERROR(__xludf.DUMMYFUNCTION("""COMPUTED_VALUE"""),"100 Breast Women")</f>
        <v>100 Breast Women</v>
      </c>
      <c r="E9" s="4" t="s">
        <v>8</v>
      </c>
      <c r="F9" s="6">
        <f t="shared" ref="F9:G9" si="3">INDEX($B$5:$B1000,MATCH(CONCATENATE($E9, " ", F$6), $C$5:$C1000, 0))</f>
        <v>3</v>
      </c>
      <c r="G9" s="6">
        <f t="shared" si="3"/>
        <v>4</v>
      </c>
    </row>
    <row r="10">
      <c r="B10" s="3">
        <f>IFERROR(__xludf.DUMMYFUNCTION("""COMPUTED_VALUE"""),6.0)</f>
        <v>6</v>
      </c>
      <c r="C10" s="3" t="str">
        <f>IFERROR(__xludf.DUMMYFUNCTION("""COMPUTED_VALUE"""),"100 Breast Men")</f>
        <v>100 Breast Men</v>
      </c>
      <c r="E10" s="4" t="s">
        <v>9</v>
      </c>
      <c r="F10" s="6">
        <f t="shared" ref="F10:G10" si="4">INDEX($B$5:$B1000,MATCH(CONCATENATE($E10, " ", F$6), $C$5:$C1000, 0))</f>
        <v>23</v>
      </c>
      <c r="G10" s="6">
        <f t="shared" si="4"/>
        <v>24</v>
      </c>
    </row>
    <row r="11">
      <c r="B11" s="3">
        <f>IFERROR(__xludf.DUMMYFUNCTION("""COMPUTED_VALUE"""),7.0)</f>
        <v>7</v>
      </c>
      <c r="C11" s="3" t="str">
        <f>IFERROR(__xludf.DUMMYFUNCTION("""COMPUTED_VALUE"""),"100 Fly Women")</f>
        <v>100 Fly Women</v>
      </c>
      <c r="E11" s="4" t="s">
        <v>10</v>
      </c>
      <c r="F11" s="6">
        <f t="shared" ref="F11:G11" si="5">INDEX($B$5:$B1000,MATCH(CONCATENATE($E11, " ", F$6), $C$5:$C1000, 0))</f>
        <v>1</v>
      </c>
      <c r="G11" s="6">
        <f t="shared" si="5"/>
        <v>2</v>
      </c>
    </row>
    <row r="12">
      <c r="B12" s="3">
        <f>IFERROR(__xludf.DUMMYFUNCTION("""COMPUTED_VALUE"""),8.0)</f>
        <v>8</v>
      </c>
      <c r="C12" s="3" t="str">
        <f>IFERROR(__xludf.DUMMYFUNCTION("""COMPUTED_VALUE"""),"100 Fly Men")</f>
        <v>100 Fly Men</v>
      </c>
      <c r="E12" s="4" t="s">
        <v>11</v>
      </c>
      <c r="F12" s="6">
        <f t="shared" ref="F12:G12" si="6">INDEX($B$5:$B1000,MATCH(CONCATENATE($E12, " ", F$6), $C$5:$C1000, 0))</f>
        <v>21</v>
      </c>
      <c r="G12" s="6">
        <f t="shared" si="6"/>
        <v>22</v>
      </c>
    </row>
    <row r="13">
      <c r="B13" s="3">
        <f>IFERROR(__xludf.DUMMYFUNCTION("""COMPUTED_VALUE"""),9.0)</f>
        <v>9</v>
      </c>
      <c r="C13" s="3" t="str">
        <f>IFERROR(__xludf.DUMMYFUNCTION("""COMPUTED_VALUE"""),"400 IM Women")</f>
        <v>400 IM Women</v>
      </c>
      <c r="E13" s="4" t="s">
        <v>12</v>
      </c>
      <c r="F13" s="6">
        <f t="shared" ref="F13:G13" si="7">INDEX($B$5:$B1000,MATCH(CONCATENATE($E13, " ", F$6), $C$5:$C1000, 0))</f>
        <v>29</v>
      </c>
      <c r="G13" s="6">
        <f t="shared" si="7"/>
        <v>30</v>
      </c>
    </row>
    <row r="14">
      <c r="B14" s="3">
        <f>IFERROR(__xludf.DUMMYFUNCTION("""COMPUTED_VALUE"""),10.0)</f>
        <v>10</v>
      </c>
      <c r="C14" s="3" t="str">
        <f>IFERROR(__xludf.DUMMYFUNCTION("""COMPUTED_VALUE"""),"400 IM Men")</f>
        <v>400 IM Men</v>
      </c>
      <c r="E14" s="4" t="s">
        <v>13</v>
      </c>
      <c r="F14" s="6">
        <f t="shared" ref="F14:G14" si="8">INDEX($B$5:$B1000,MATCH(CONCATENATE($E14, " ", F$6), $C$5:$C1000, 0))</f>
        <v>5</v>
      </c>
      <c r="G14" s="6">
        <f t="shared" si="8"/>
        <v>6</v>
      </c>
    </row>
    <row r="15">
      <c r="B15" s="3">
        <f>IFERROR(__xludf.DUMMYFUNCTION("""COMPUTED_VALUE"""),11.0)</f>
        <v>11</v>
      </c>
      <c r="C15" s="3" t="str">
        <f>IFERROR(__xludf.DUMMYFUNCTION("""COMPUTED_VALUE"""),"800 Free Relay Women")</f>
        <v>800 Free Relay Women</v>
      </c>
      <c r="E15" s="4" t="s">
        <v>14</v>
      </c>
      <c r="F15" s="6">
        <f t="shared" ref="F15:G15" si="9">INDEX($B$5:$B1000,MATCH(CONCATENATE($E15, " ", F$6), $C$5:$C1000, 0))</f>
        <v>19</v>
      </c>
      <c r="G15" s="6">
        <f t="shared" si="9"/>
        <v>20</v>
      </c>
    </row>
    <row r="16">
      <c r="B16" s="3">
        <f>IFERROR(__xludf.DUMMYFUNCTION("""COMPUTED_VALUE"""),12.0)</f>
        <v>12</v>
      </c>
      <c r="C16" s="3" t="str">
        <f>IFERROR(__xludf.DUMMYFUNCTION("""COMPUTED_VALUE"""),"800 Free Relay Men")</f>
        <v>800 Free Relay Men</v>
      </c>
      <c r="E16" s="4" t="s">
        <v>15</v>
      </c>
      <c r="F16" s="6">
        <f t="shared" ref="F16:G16" si="10">INDEX($B$5:$B1000,MATCH(CONCATENATE($E16, " ", F$6), $C$5:$C1000, 0))</f>
        <v>7</v>
      </c>
      <c r="G16" s="6">
        <f t="shared" si="10"/>
        <v>8</v>
      </c>
    </row>
    <row r="17">
      <c r="B17" s="3">
        <f>IFERROR(__xludf.DUMMYFUNCTION("""COMPUTED_VALUE"""),13.0)</f>
        <v>13</v>
      </c>
      <c r="C17" s="3" t="str">
        <f>IFERROR(__xludf.DUMMYFUNCTION("""COMPUTED_VALUE"""),"200 Free Relay Women")</f>
        <v>200 Free Relay Women</v>
      </c>
      <c r="E17" s="4" t="s">
        <v>16</v>
      </c>
      <c r="F17" s="6">
        <f t="shared" ref="F17:G17" si="11">INDEX($B$5:$B1000,MATCH(CONCATENATE($E17, " ", F$6), $C$5:$C1000, 0))</f>
        <v>15</v>
      </c>
      <c r="G17" s="6">
        <f t="shared" si="11"/>
        <v>16</v>
      </c>
    </row>
    <row r="18">
      <c r="B18" s="3">
        <f>IFERROR(__xludf.DUMMYFUNCTION("""COMPUTED_VALUE"""),14.0)</f>
        <v>14</v>
      </c>
      <c r="C18" s="3" t="str">
        <f>IFERROR(__xludf.DUMMYFUNCTION("""COMPUTED_VALUE"""),"200 Free Relay Men")</f>
        <v>200 Free Relay Men</v>
      </c>
      <c r="E18" s="4" t="s">
        <v>17</v>
      </c>
      <c r="F18" s="6">
        <f t="shared" ref="F18:G18" si="12">INDEX($B$5:$B1000,MATCH(CONCATENATE($E18, " ", F$6), $C$5:$C1000, 0))</f>
        <v>33</v>
      </c>
      <c r="G18" s="6">
        <f t="shared" si="12"/>
        <v>34</v>
      </c>
    </row>
    <row r="19">
      <c r="B19" s="3">
        <f>IFERROR(__xludf.DUMMYFUNCTION("""COMPUTED_VALUE"""),15.0)</f>
        <v>15</v>
      </c>
      <c r="C19" s="3" t="str">
        <f>IFERROR(__xludf.DUMMYFUNCTION("""COMPUTED_VALUE"""),"200 Fly Women")</f>
        <v>200 Fly Women</v>
      </c>
      <c r="E19" s="4" t="s">
        <v>18</v>
      </c>
      <c r="F19" s="6">
        <f t="shared" ref="F19:G19" si="13">INDEX($B$5:$B1000,MATCH(CONCATENATE($E19, " ", F$6), $C$5:$C1000, 0))</f>
        <v>9</v>
      </c>
      <c r="G19" s="6">
        <f t="shared" si="13"/>
        <v>10</v>
      </c>
    </row>
    <row r="20">
      <c r="B20" s="3">
        <f>IFERROR(__xludf.DUMMYFUNCTION("""COMPUTED_VALUE"""),16.0)</f>
        <v>16</v>
      </c>
      <c r="C20" s="3" t="str">
        <f>IFERROR(__xludf.DUMMYFUNCTION("""COMPUTED_VALUE"""),"200 Fly Men")</f>
        <v>200 Fly Men</v>
      </c>
      <c r="E20" s="4" t="s">
        <v>19</v>
      </c>
      <c r="F20" s="6">
        <f t="shared" ref="F20:G20" si="14">INDEX($B$5:$B1000,MATCH(CONCATENATE($E20, " ", F$6), $C$5:$C1000, 0))</f>
        <v>13</v>
      </c>
      <c r="G20" s="6">
        <f t="shared" si="14"/>
        <v>14</v>
      </c>
    </row>
    <row r="21">
      <c r="B21" s="3">
        <f>IFERROR(__xludf.DUMMYFUNCTION("""COMPUTED_VALUE"""),17.0)</f>
        <v>17</v>
      </c>
      <c r="C21" s="3" t="str">
        <f>IFERROR(__xludf.DUMMYFUNCTION("""COMPUTED_VALUE"""),"50 Free Women")</f>
        <v>50 Free Women</v>
      </c>
      <c r="E21" s="4" t="s">
        <v>20</v>
      </c>
      <c r="F21" s="6">
        <f t="shared" ref="F21:G21" si="15">INDEX($B$5:$B1000,MATCH(CONCATENATE($E21, " ", F$6), $C$5:$C1000, 0))</f>
        <v>35</v>
      </c>
      <c r="G21" s="6">
        <f t="shared" si="15"/>
        <v>36</v>
      </c>
    </row>
    <row r="22">
      <c r="B22" s="3">
        <f>IFERROR(__xludf.DUMMYFUNCTION("""COMPUTED_VALUE"""),18.0)</f>
        <v>18</v>
      </c>
      <c r="C22" s="3" t="str">
        <f>IFERROR(__xludf.DUMMYFUNCTION("""COMPUTED_VALUE"""),"50 Free Men")</f>
        <v>50 Free Men</v>
      </c>
      <c r="E22" s="4" t="s">
        <v>21</v>
      </c>
      <c r="F22" s="6">
        <f t="shared" ref="F22:G22" si="16">INDEX($B$5:$B1000,MATCH(CONCATENATE($E22, " ", F$6), $C$5:$C1000, 0))</f>
        <v>11</v>
      </c>
      <c r="G22" s="6">
        <f t="shared" si="16"/>
        <v>12</v>
      </c>
    </row>
    <row r="23">
      <c r="B23" s="3">
        <f>IFERROR(__xludf.DUMMYFUNCTION("""COMPUTED_VALUE"""),19.0)</f>
        <v>19</v>
      </c>
      <c r="C23" s="3" t="str">
        <f>IFERROR(__xludf.DUMMYFUNCTION("""COMPUTED_VALUE"""),"200 Breast Women")</f>
        <v>200 Breast Women</v>
      </c>
      <c r="E23" s="4" t="s">
        <v>22</v>
      </c>
      <c r="F23" s="6">
        <f t="shared" ref="F23:G23" si="17">INDEX($B$5:$B1000,MATCH(CONCATENATE($E23, " ", F$6), $C$5:$C1000, 0))</f>
        <v>27</v>
      </c>
      <c r="G23" s="6">
        <f t="shared" si="17"/>
        <v>28</v>
      </c>
    </row>
    <row r="24">
      <c r="B24" s="3">
        <f>IFERROR(__xludf.DUMMYFUNCTION("""COMPUTED_VALUE"""),20.0)</f>
        <v>20</v>
      </c>
      <c r="C24" s="3" t="str">
        <f>IFERROR(__xludf.DUMMYFUNCTION("""COMPUTED_VALUE"""),"200 Breast Men")</f>
        <v>200 Breast Men</v>
      </c>
      <c r="E24" s="4" t="s">
        <v>23</v>
      </c>
      <c r="F24" s="6">
        <f t="shared" ref="F24:G24" si="18">INDEX($B$5:$B1000,MATCH(CONCATENATE($E24, " ", F$6), $C$5:$C1000, 0))</f>
        <v>25</v>
      </c>
      <c r="G24" s="6">
        <f t="shared" si="18"/>
        <v>26</v>
      </c>
    </row>
    <row r="25">
      <c r="B25" s="3">
        <f>IFERROR(__xludf.DUMMYFUNCTION("""COMPUTED_VALUE"""),21.0)</f>
        <v>21</v>
      </c>
      <c r="C25" s="3" t="str">
        <f>IFERROR(__xludf.DUMMYFUNCTION("""COMPUTED_VALUE"""),"100 Back Women")</f>
        <v>100 Back Women</v>
      </c>
      <c r="E25" s="1" t="s">
        <v>24</v>
      </c>
      <c r="F25" s="6">
        <f t="shared" ref="F25:G25" si="19">INDEX($B$5:$B1000,MATCH(CONCATENATE($E25, " ", F$6), $C$5:$C1000, 0))</f>
        <v>37</v>
      </c>
      <c r="G25" s="6">
        <f t="shared" si="19"/>
        <v>38</v>
      </c>
    </row>
    <row r="26">
      <c r="B26" s="3">
        <f>IFERROR(__xludf.DUMMYFUNCTION("""COMPUTED_VALUE"""),22.0)</f>
        <v>22</v>
      </c>
      <c r="C26" s="3" t="str">
        <f>IFERROR(__xludf.DUMMYFUNCTION("""COMPUTED_VALUE"""),"100 Back Men")</f>
        <v>100 Back Men</v>
      </c>
      <c r="E26" s="1" t="s">
        <v>25</v>
      </c>
      <c r="F26" s="6" t="str">
        <f t="shared" ref="F26:G26" si="20">INDEX($B$5:$B1000,MATCH(CONCATENATE($E26, " ", F$6), $C$5:$C1000, 0))</f>
        <v>#N/A</v>
      </c>
      <c r="G26" s="6" t="str">
        <f t="shared" si="20"/>
        <v>#N/A</v>
      </c>
    </row>
    <row r="27">
      <c r="B27" s="3">
        <f>IFERROR(__xludf.DUMMYFUNCTION("""COMPUTED_VALUE"""),23.0)</f>
        <v>23</v>
      </c>
      <c r="C27" s="3" t="str">
        <f>IFERROR(__xludf.DUMMYFUNCTION("""COMPUTED_VALUE"""),"500 Free Women")</f>
        <v>500 Free Women</v>
      </c>
      <c r="E27" s="1" t="s">
        <v>26</v>
      </c>
      <c r="F27" s="6" t="str">
        <f t="shared" ref="F27:G27" si="21">INDEX($B$5:$B1000,MATCH(CONCATENATE($E27, " ", F$6), $C$5:$C1000, 0))</f>
        <v>#N/A</v>
      </c>
      <c r="G27" s="6" t="str">
        <f t="shared" si="21"/>
        <v>#N/A</v>
      </c>
    </row>
    <row r="28">
      <c r="B28" s="3">
        <f>IFERROR(__xludf.DUMMYFUNCTION("""COMPUTED_VALUE"""),24.0)</f>
        <v>24</v>
      </c>
      <c r="C28" s="3" t="str">
        <f>IFERROR(__xludf.DUMMYFUNCTION("""COMPUTED_VALUE"""),"500 Free Men")</f>
        <v>500 Free Men</v>
      </c>
      <c r="E28" s="1" t="s">
        <v>27</v>
      </c>
      <c r="F28" s="6" t="str">
        <f t="shared" ref="F28:G28" si="22">INDEX($B$5:$B1000,MATCH(CONCATENATE($E28, " ", F$6), $C$5:$C1000, 0))</f>
        <v>#N/A</v>
      </c>
      <c r="G28" s="6" t="str">
        <f t="shared" si="22"/>
        <v>#N/A</v>
      </c>
    </row>
    <row r="29">
      <c r="B29" s="3">
        <f>IFERROR(__xludf.DUMMYFUNCTION("""COMPUTED_VALUE"""),25.0)</f>
        <v>25</v>
      </c>
      <c r="C29" s="3" t="str">
        <f>IFERROR(__xludf.DUMMYFUNCTION("""COMPUTED_VALUE"""),"400 Medley Relay Women")</f>
        <v>400 Medley Relay Women</v>
      </c>
      <c r="E29" s="1" t="s">
        <v>28</v>
      </c>
      <c r="F29" s="6" t="str">
        <f t="shared" ref="F29:G29" si="23">INDEX($B$5:$B1000,MATCH(CONCATENATE($E29, " ", F$6), $C$5:$C1000, 0))</f>
        <v>#N/A</v>
      </c>
      <c r="G29" s="6" t="str">
        <f t="shared" si="23"/>
        <v>#N/A</v>
      </c>
    </row>
    <row r="30">
      <c r="B30" s="3">
        <f>IFERROR(__xludf.DUMMYFUNCTION("""COMPUTED_VALUE"""),26.0)</f>
        <v>26</v>
      </c>
      <c r="C30" s="3" t="str">
        <f>IFERROR(__xludf.DUMMYFUNCTION("""COMPUTED_VALUE"""),"400 Medley Relay Men")</f>
        <v>400 Medley Relay Men</v>
      </c>
    </row>
    <row r="31">
      <c r="B31" s="3">
        <f>IFERROR(__xludf.DUMMYFUNCTION("""COMPUTED_VALUE"""),27.0)</f>
        <v>27</v>
      </c>
      <c r="C31" s="3" t="str">
        <f>IFERROR(__xludf.DUMMYFUNCTION("""COMPUTED_VALUE"""),"200 Medley Relay Women")</f>
        <v>200 Medley Relay Women</v>
      </c>
    </row>
    <row r="32">
      <c r="B32" s="3">
        <f>IFERROR(__xludf.DUMMYFUNCTION("""COMPUTED_VALUE"""),28.0)</f>
        <v>28</v>
      </c>
      <c r="C32" s="3" t="str">
        <f>IFERROR(__xludf.DUMMYFUNCTION("""COMPUTED_VALUE"""),"200 Medley Relay Men")</f>
        <v>200 Medley Relay Men</v>
      </c>
    </row>
    <row r="33">
      <c r="B33" s="3">
        <f>IFERROR(__xludf.DUMMYFUNCTION("""COMPUTED_VALUE"""),29.0)</f>
        <v>29</v>
      </c>
      <c r="C33" s="3" t="str">
        <f>IFERROR(__xludf.DUMMYFUNCTION("""COMPUTED_VALUE"""),"200 Back Women")</f>
        <v>200 Back Women</v>
      </c>
    </row>
    <row r="34">
      <c r="B34" s="3">
        <f>IFERROR(__xludf.DUMMYFUNCTION("""COMPUTED_VALUE"""),30.0)</f>
        <v>30</v>
      </c>
      <c r="C34" s="3" t="str">
        <f>IFERROR(__xludf.DUMMYFUNCTION("""COMPUTED_VALUE"""),"200 Back Men")</f>
        <v>200 Back Men</v>
      </c>
    </row>
    <row r="35">
      <c r="B35" s="3">
        <f>IFERROR(__xludf.DUMMYFUNCTION("""COMPUTED_VALUE"""),31.0)</f>
        <v>31</v>
      </c>
      <c r="C35" s="3" t="str">
        <f>IFERROR(__xludf.DUMMYFUNCTION("""COMPUTED_VALUE"""),"100 Free Women")</f>
        <v>100 Free Women</v>
      </c>
    </row>
    <row r="36">
      <c r="B36" s="3">
        <f>IFERROR(__xludf.DUMMYFUNCTION("""COMPUTED_VALUE"""),32.0)</f>
        <v>32</v>
      </c>
      <c r="C36" s="3" t="str">
        <f>IFERROR(__xludf.DUMMYFUNCTION("""COMPUTED_VALUE"""),"100 Free Men")</f>
        <v>100 Free Men</v>
      </c>
    </row>
    <row r="37">
      <c r="B37" s="3">
        <f>IFERROR(__xludf.DUMMYFUNCTION("""COMPUTED_VALUE"""),33.0)</f>
        <v>33</v>
      </c>
      <c r="C37" s="3" t="str">
        <f>IFERROR(__xludf.DUMMYFUNCTION("""COMPUTED_VALUE"""),"200 IM Women")</f>
        <v>200 IM Women</v>
      </c>
    </row>
    <row r="38">
      <c r="B38" s="3">
        <f>IFERROR(__xludf.DUMMYFUNCTION("""COMPUTED_VALUE"""),34.0)</f>
        <v>34</v>
      </c>
      <c r="C38" s="3" t="str">
        <f>IFERROR(__xludf.DUMMYFUNCTION("""COMPUTED_VALUE"""),"200 IM Men")</f>
        <v>200 IM Men</v>
      </c>
    </row>
    <row r="39">
      <c r="B39" s="3">
        <f>IFERROR(__xludf.DUMMYFUNCTION("""COMPUTED_VALUE"""),35.0)</f>
        <v>35</v>
      </c>
      <c r="C39" s="3" t="str">
        <f>IFERROR(__xludf.DUMMYFUNCTION("""COMPUTED_VALUE"""),"400 Free Relay Women")</f>
        <v>400 Free Relay Women</v>
      </c>
    </row>
    <row r="40">
      <c r="B40" s="3">
        <f>IFERROR(__xludf.DUMMYFUNCTION("""COMPUTED_VALUE"""),36.0)</f>
        <v>36</v>
      </c>
      <c r="C40" s="3" t="str">
        <f>IFERROR(__xludf.DUMMYFUNCTION("""COMPUTED_VALUE"""),"400 Free Relay Men")</f>
        <v>400 Free Relay Men</v>
      </c>
    </row>
    <row r="41">
      <c r="B41" s="3">
        <f>IFERROR(__xludf.DUMMYFUNCTION("""COMPUTED_VALUE"""),37.0)</f>
        <v>37</v>
      </c>
      <c r="C41" s="3" t="str">
        <f>IFERROR(__xludf.DUMMYFUNCTION("""COMPUTED_VALUE"""),"1000 Free Women")</f>
        <v>1000 Free Women</v>
      </c>
    </row>
    <row r="42">
      <c r="B42" s="3">
        <f>IFERROR(__xludf.DUMMYFUNCTION("""COMPUTED_VALUE"""),38.0)</f>
        <v>38</v>
      </c>
      <c r="C42" s="3" t="str">
        <f>IFERROR(__xludf.DUMMYFUNCTION("""COMPUTED_VALUE"""),"1000 Free Men")</f>
        <v>1000 Free Men</v>
      </c>
    </row>
    <row r="43">
      <c r="B43" s="3">
        <f>IFERROR(__xludf.DUMMYFUNCTION("""COMPUTED_VALUE"""),118.0)</f>
        <v>118</v>
      </c>
      <c r="C43" s="3" t="str">
        <f>IFERROR(__xludf.DUMMYFUNCTION("""COMPUTED_VALUE"""),"50 Free Men Prelims Swimoff")</f>
        <v>50 Free Men Prelims Swimoff</v>
      </c>
    </row>
    <row r="44">
      <c r="B44" s="3">
        <f>IFERROR(__xludf.DUMMYFUNCTION("""COMPUTED_VALUE"""),119.0)</f>
        <v>119</v>
      </c>
      <c r="C44" s="3" t="str">
        <f>IFERROR(__xludf.DUMMYFUNCTION("""COMPUTED_VALUE"""),"100 Breast Women Prelims Swimoff")</f>
        <v>100 Breast Women Prelims Swimoff</v>
      </c>
    </row>
    <row r="45">
      <c r="B45" s="3">
        <f>IFERROR(__xludf.DUMMYFUNCTION("""COMPUTED_VALUE"""),129.0)</f>
        <v>129</v>
      </c>
      <c r="C45" s="3" t="str">
        <f>IFERROR(__xludf.DUMMYFUNCTION("""COMPUTED_VALUE"""),"200 Back Women Prelims Swimoff")</f>
        <v>200 Back Women Prelims Swimoff</v>
      </c>
    </row>
    <row r="46">
      <c r="B46" s="3">
        <f>IFERROR(__xludf.DUMMYFUNCTION("""COMPUTED_VALUE"""),131.0)</f>
        <v>131</v>
      </c>
      <c r="C46" s="3" t="str">
        <f>IFERROR(__xludf.DUMMYFUNCTION("""COMPUTED_VALUE"""),"100 Free Women Prelims Swimoff")</f>
        <v>100 Free Women Prelims Swimoff</v>
      </c>
    </row>
    <row r="47">
      <c r="B47" s="3">
        <f>IFERROR(__xludf.DUMMYFUNCTION("""COMPUTED_VALUE"""),537.0)</f>
        <v>537</v>
      </c>
      <c r="C47" s="3" t="str">
        <f>IFERROR(__xludf.DUMMYFUNCTION("""COMPUTED_VALUE"""),"1000 Free Women")</f>
        <v>1000 Free Women</v>
      </c>
    </row>
    <row r="48">
      <c r="B48" s="3">
        <f>IFERROR(__xludf.DUMMYFUNCTION("""COMPUTED_VALUE"""),538.0)</f>
        <v>538</v>
      </c>
      <c r="C48" s="3" t="str">
        <f>IFERROR(__xludf.DUMMYFUNCTION("""COMPUTED_VALUE"""),"1000 Free Men")</f>
        <v>1000 Free Men</v>
      </c>
    </row>
    <row r="49">
      <c r="B49" s="3">
        <f>IFERROR(__xludf.DUMMYFUNCTION("""COMPUTED_VALUE"""),539.0)</f>
        <v>539</v>
      </c>
      <c r="C49" s="3" t="str">
        <f>IFERROR(__xludf.DUMMYFUNCTION("""COMPUTED_VALUE"""),"100 Fly Women")</f>
        <v>100 Fly Women</v>
      </c>
    </row>
    <row r="50">
      <c r="B50" s="3">
        <f>IFERROR(__xludf.DUMMYFUNCTION("""COMPUTED_VALUE"""),541.0)</f>
        <v>541</v>
      </c>
      <c r="C50" s="3" t="str">
        <f>IFERROR(__xludf.DUMMYFUNCTION("""COMPUTED_VALUE"""),"500 Free Women")</f>
        <v>500 Free Women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W2" s="1" t="s">
        <v>30</v>
      </c>
    </row>
    <row r="3">
      <c r="A3" s="1" t="s">
        <v>30</v>
      </c>
      <c r="B3" s="4" t="str">
        <f>IFERROR(__xludf.DUMMYFUNCTION("IMPORTXML(CONCATENATE('Event Dictionary'!$A2,""event/"",'Event Dictionary'!$G7),""//td[2]"")"),"Cason Wilburn")</f>
        <v>Cason Wilburn</v>
      </c>
      <c r="C3" s="4" t="str">
        <f>IFERROR(__xludf.DUMMYFUNCTION("IMPORTXML(CONCATENATE('Event Dictionary'!$A2,""event/"",'Event Dictionary'!$G8),""//td[2]"")"),"Cason Wilburn")</f>
        <v>Cason Wilburn</v>
      </c>
      <c r="D3" s="4" t="str">
        <f>IFERROR(__xludf.DUMMYFUNCTION("IMPORTXML(CONCATENATE('Event Dictionary'!$A2,""event/"",'Event Dictionary'!$G9),""//td[2]"")"),"Cason Wilburn")</f>
        <v>Cason Wilburn</v>
      </c>
      <c r="E3" s="4" t="str">
        <f>IFERROR(__xludf.DUMMYFUNCTION("IMPORTXML(CONCATENATE('Event Dictionary'!$A2,""event/"",'Event Dictionary'!$G10),""//td[2]"")"),"Cason Wilburn")</f>
        <v>Cason Wilburn</v>
      </c>
      <c r="F3" s="4" t="str">
        <f>IFERROR(__xludf.DUMMYFUNCTION("IMPORTXML(CONCATENATE('Event Dictionary'!$A2,""event/"",'Event Dictionary'!$G11),""//td[2]"")"),"Daniel Chance")</f>
        <v>Daniel Chance</v>
      </c>
      <c r="G3" s="4" t="str">
        <f>IFERROR(__xludf.DUMMYFUNCTION("IMPORTXML(CONCATENATE('Event Dictionary'!$A2,""event/"",'Event Dictionary'!$G12),""//td[2]"")"),"Forest Webb")</f>
        <v>Forest Webb</v>
      </c>
      <c r="H3" s="4" t="str">
        <f>IFERROR(__xludf.DUMMYFUNCTION("IMPORTXML(CONCATENATE('Event Dictionary'!$A2,""event/"",'Event Dictionary'!$G13),""//td[2]"")"),"Forest Webb")</f>
        <v>Forest Webb</v>
      </c>
      <c r="I3" s="4" t="str">
        <f>IFERROR(__xludf.DUMMYFUNCTION("IMPORTXML(CONCATENATE('Event Dictionary'!$A2,""event/"",'Event Dictionary'!$G14),""//td[2]"")"),"Noah Nichols")</f>
        <v>Noah Nichols</v>
      </c>
      <c r="J3" s="4" t="str">
        <f>IFERROR(__xludf.DUMMYFUNCTION("IMPORTXML(CONCATENATE('Event Dictionary'!$A2,""event/"",'Event Dictionary'!$G15),""//td[2]"")"),"Noah Nichols")</f>
        <v>Noah Nichols</v>
      </c>
      <c r="K3" s="4" t="str">
        <f>IFERROR(__xludf.DUMMYFUNCTION("IMPORTXML(CONCATENATE('Event Dictionary'!$A2,""event/"",'Event Dictionary'!$G16),""//td[2]"")"),"Cason Wilburn")</f>
        <v>Cason Wilburn</v>
      </c>
      <c r="L3" s="4" t="str">
        <f>IFERROR(__xludf.DUMMYFUNCTION("IMPORTXML(CONCATENATE('Event Dictionary'!$A2,""event/"",'Event Dictionary'!$G17),""//td[2]"")"),"Nick Talati")</f>
        <v>Nick Talati</v>
      </c>
      <c r="M3" s="4" t="str">
        <f>IFERROR(__xludf.DUMMYFUNCTION("IMPORTXML(CONCATENATE('Event Dictionary'!$A2,""event/"",'Event Dictionary'!$G18),""//td[2]"")"),"Sam Long")</f>
        <v>Sam Long</v>
      </c>
      <c r="N3" s="4" t="str">
        <f>IFERROR(__xludf.DUMMYFUNCTION("IMPORTXML(CONCATENATE('Event Dictionary'!$A2,""event/"",'Event Dictionary'!$G19),""//td[2]"")"),"Nicholas Viers")</f>
        <v>Nicholas Viers</v>
      </c>
      <c r="O3" s="4" t="str">
        <f>IFERROR(__xludf.DUMMYFUNCTION("IMPORTXML(CONCATENATE('Event Dictionary'!$A2,""event/"",'Event Dictionary'!$G25),""//td[2]"")"),"Daniel Chance")</f>
        <v>Daniel Chance</v>
      </c>
      <c r="P3" s="4" t="str">
        <f>IFERROR(__xludf.DUMMYFUNCTION("IMPORTXML(CONCATENATE('Event Dictionary'!$A2,""event/"",'Event Dictionary'!$G26),""//td[2]"")"),"#N/A")</f>
        <v>#N/A</v>
      </c>
      <c r="Q3" s="4" t="str">
        <f>IFERROR(__xludf.DUMMYFUNCTION("IMPORTXML(CONCATENATE('Event Dictionary'!$A2,""event/"",'Event Dictionary'!$G27),""//td[2]"")"),"#N/A")</f>
        <v>#N/A</v>
      </c>
      <c r="R3" s="4" t="str">
        <f>IFERROR(__xludf.DUMMYFUNCTION("IMPORTXML(CONCATENATE('Event Dictionary'!$A2,""event/"",'Event Dictionary'!$G28),""//td[2]"")"),"#N/A")</f>
        <v>#N/A</v>
      </c>
      <c r="S3" s="4" t="str">
        <f>IFERROR(__xludf.DUMMYFUNCTION("IMPORTXML(CONCATENATE('Event Dictionary'!$A2,""event/"",'Event Dictionary'!$G29),""//td[2]"")"),"#N/A")</f>
        <v>#N/A</v>
      </c>
      <c r="W3" s="3" t="str">
        <f>IFERROR(__xludf.DUMMYFUNCTION("UNIQUE({B3:B1000;C3:C1000;D3:D1000;E3:E1000;F3:F1000;G3:G1000;H3:H1000;I3:I1000;J3:J1000;K3:K1000;L3:L1000;M3:M1000;N3:N1000})"),"Cason Wilburn")</f>
        <v>Cason Wilburn</v>
      </c>
    </row>
    <row r="4">
      <c r="B4" s="5" t="str">
        <f>IFERROR(__xludf.DUMMYFUNCTION("""COMPUTED_VALUE"""),"Allen Zachary")</f>
        <v>Allen Zachary</v>
      </c>
      <c r="C4" s="3" t="str">
        <f>IFERROR(__xludf.DUMMYFUNCTION("""COMPUTED_VALUE"""),"Allen Zachary")</f>
        <v>Allen Zachary</v>
      </c>
      <c r="D4" s="3" t="str">
        <f>IFERROR(__xludf.DUMMYFUNCTION("""COMPUTED_VALUE"""),"Nick Talati")</f>
        <v>Nick Talati</v>
      </c>
      <c r="E4" s="3" t="str">
        <f>IFERROR(__xludf.DUMMYFUNCTION("""COMPUTED_VALUE"""),"Garrett McGovern")</f>
        <v>Garrett McGovern</v>
      </c>
      <c r="F4" s="3" t="str">
        <f>IFERROR(__xludf.DUMMYFUNCTION("""COMPUTED_VALUE"""),"Chris Kostelni")</f>
        <v>Chris Kostelni</v>
      </c>
      <c r="G4" s="3" t="str">
        <f>IFERROR(__xludf.DUMMYFUNCTION("""COMPUTED_VALUE"""),"Sean Hogan")</f>
        <v>Sean Hogan</v>
      </c>
      <c r="H4" s="3" t="str">
        <f>IFERROR(__xludf.DUMMYFUNCTION("""COMPUTED_VALUE"""),"Eli Tarabocchia")</f>
        <v>Eli Tarabocchia</v>
      </c>
      <c r="I4" s="3" t="str">
        <f>IFERROR(__xludf.DUMMYFUNCTION("""COMPUTED_VALUE"""),"Kendall Ewing")</f>
        <v>Kendall Ewing</v>
      </c>
      <c r="J4" s="3" t="str">
        <f>IFERROR(__xludf.DUMMYFUNCTION("""COMPUTED_VALUE"""),"Aidan Duffy")</f>
        <v>Aidan Duffy</v>
      </c>
      <c r="K4" s="3" t="str">
        <f>IFERROR(__xludf.DUMMYFUNCTION("""COMPUTED_VALUE"""),"Sam Long")</f>
        <v>Sam Long</v>
      </c>
      <c r="L4" s="3" t="str">
        <f>IFERROR(__xludf.DUMMYFUNCTION("""COMPUTED_VALUE"""),"Zachary Cram")</f>
        <v>Zachary Cram</v>
      </c>
      <c r="M4" s="3" t="str">
        <f>IFERROR(__xludf.DUMMYFUNCTION("""COMPUTED_VALUE"""),"Dain Ripol")</f>
        <v>Dain Ripol</v>
      </c>
      <c r="N4" s="3" t="str">
        <f>IFERROR(__xludf.DUMMYFUNCTION("""COMPUTED_VALUE"""),"DC Hellams")</f>
        <v>DC Hellams</v>
      </c>
      <c r="O4" s="3" t="str">
        <f>IFERROR(__xludf.DUMMYFUNCTION("""COMPUTED_VALUE"""),"DC Hellams")</f>
        <v>DC Hellams</v>
      </c>
      <c r="W4" s="3" t="str">
        <f>IFERROR(__xludf.DUMMYFUNCTION("""COMPUTED_VALUE"""),"Allen Zachary")</f>
        <v>Allen Zachary</v>
      </c>
    </row>
    <row r="5">
      <c r="B5" s="4" t="str">
        <f>IFERROR(__xludf.DUMMYFUNCTION("""COMPUTED_VALUE"""),"Garrett McGovern")</f>
        <v>Garrett McGovern</v>
      </c>
      <c r="C5" s="3" t="str">
        <f>IFERROR(__xludf.DUMMYFUNCTION("""COMPUTED_VALUE"""),"Nikolas Lee-Bishop")</f>
        <v>Nikolas Lee-Bishop</v>
      </c>
      <c r="D5" s="3" t="str">
        <f>IFERROR(__xludf.DUMMYFUNCTION("""COMPUTED_VALUE"""),"Garrett McGovern")</f>
        <v>Garrett McGovern</v>
      </c>
      <c r="E5" s="3" t="str">
        <f>IFERROR(__xludf.DUMMYFUNCTION("""COMPUTED_VALUE"""),"Chris Kostelni")</f>
        <v>Chris Kostelni</v>
      </c>
      <c r="F5" s="3" t="str">
        <f>IFERROR(__xludf.DUMMYFUNCTION("""COMPUTED_VALUE"""),"DC Hellams")</f>
        <v>DC Hellams</v>
      </c>
      <c r="G5" s="3" t="str">
        <f>IFERROR(__xludf.DUMMYFUNCTION("""COMPUTED_VALUE"""),"Eli Tarabocchia")</f>
        <v>Eli Tarabocchia</v>
      </c>
      <c r="H5" s="3" t="str">
        <f>IFERROR(__xludf.DUMMYFUNCTION("""COMPUTED_VALUE"""),"Nick Talati")</f>
        <v>Nick Talati</v>
      </c>
      <c r="I5" s="3" t="str">
        <f>IFERROR(__xludf.DUMMYFUNCTION("""COMPUTED_VALUE"""),"Flynn Crisci")</f>
        <v>Flynn Crisci</v>
      </c>
      <c r="J5" s="3" t="str">
        <f>IFERROR(__xludf.DUMMYFUNCTION("""COMPUTED_VALUE"""),"Nicholas Viers")</f>
        <v>Nicholas Viers</v>
      </c>
      <c r="K5" s="3" t="str">
        <f>IFERROR(__xludf.DUMMYFUNCTION("""COMPUTED_VALUE"""),"Nick Talati")</f>
        <v>Nick Talati</v>
      </c>
      <c r="L5" s="3" t="str">
        <f>IFERROR(__xludf.DUMMYFUNCTION("""COMPUTED_VALUE"""),"Joel Giraudeau")</f>
        <v>Joel Giraudeau</v>
      </c>
      <c r="M5" s="3" t="str">
        <f>IFERROR(__xludf.DUMMYFUNCTION("""COMPUTED_VALUE"""),"Cason Wilburn")</f>
        <v>Cason Wilburn</v>
      </c>
      <c r="N5" s="3" t="str">
        <f>IFERROR(__xludf.DUMMYFUNCTION("""COMPUTED_VALUE"""),"Dain Ripol")</f>
        <v>Dain Ripol</v>
      </c>
      <c r="O5" s="3" t="str">
        <f>IFERROR(__xludf.DUMMYFUNCTION("""COMPUTED_VALUE"""),"Chris Dalla Valle")</f>
        <v>Chris Dalla Valle</v>
      </c>
      <c r="W5" s="3" t="str">
        <f>IFERROR(__xludf.DUMMYFUNCTION("""COMPUTED_VALUE"""),"Garrett McGovern")</f>
        <v>Garrett McGovern</v>
      </c>
    </row>
    <row r="6">
      <c r="B6" s="4" t="str">
        <f>IFERROR(__xludf.DUMMYFUNCTION("""COMPUTED_VALUE"""),"Flynn Crisci")</f>
        <v>Flynn Crisci</v>
      </c>
      <c r="C6" s="3" t="str">
        <f>IFERROR(__xludf.DUMMYFUNCTION("""COMPUTED_VALUE"""),"Austin Smith")</f>
        <v>Austin Smith</v>
      </c>
      <c r="D6" s="3" t="str">
        <f>IFERROR(__xludf.DUMMYFUNCTION("""COMPUTED_VALUE"""),"Nikolas Lee-Bishop")</f>
        <v>Nikolas Lee-Bishop</v>
      </c>
      <c r="E6" s="3" t="str">
        <f>IFERROR(__xludf.DUMMYFUNCTION("""COMPUTED_VALUE"""),"Chris Dalla Valle")</f>
        <v>Chris Dalla Valle</v>
      </c>
      <c r="F6" s="3" t="str">
        <f>IFERROR(__xludf.DUMMYFUNCTION("""COMPUTED_VALUE"""),"Chris Dalla Valle")</f>
        <v>Chris Dalla Valle</v>
      </c>
      <c r="G6" s="3" t="str">
        <f>IFERROR(__xludf.DUMMYFUNCTION("""COMPUTED_VALUE"""),"Zachary Cram")</f>
        <v>Zachary Cram</v>
      </c>
      <c r="H6" s="3" t="str">
        <f>IFERROR(__xludf.DUMMYFUNCTION("""COMPUTED_VALUE"""),"Joel Giraudeau")</f>
        <v>Joel Giraudeau</v>
      </c>
      <c r="I6" s="3" t="str">
        <f>IFERROR(__xludf.DUMMYFUNCTION("""COMPUTED_VALUE"""),"Adam Kerr")</f>
        <v>Adam Kerr</v>
      </c>
      <c r="J6" s="3" t="str">
        <f>IFERROR(__xludf.DUMMYFUNCTION("""COMPUTED_VALUE"""),"Flynn Crisci")</f>
        <v>Flynn Crisci</v>
      </c>
      <c r="K6" s="3" t="str">
        <f>IFERROR(__xludf.DUMMYFUNCTION("""COMPUTED_VALUE"""),"Joel Giraudeau")</f>
        <v>Joel Giraudeau</v>
      </c>
      <c r="L6" s="3" t="str">
        <f>IFERROR(__xludf.DUMMYFUNCTION("""COMPUTED_VALUE"""),"Sam Long")</f>
        <v>Sam Long</v>
      </c>
      <c r="M6" s="3" t="str">
        <f>IFERROR(__xludf.DUMMYFUNCTION("""COMPUTED_VALUE"""),"Nicholas Viers")</f>
        <v>Nicholas Viers</v>
      </c>
      <c r="N6" s="3" t="str">
        <f>IFERROR(__xludf.DUMMYFUNCTION("""COMPUTED_VALUE"""),"Adam Kerr")</f>
        <v>Adam Kerr</v>
      </c>
      <c r="O6" s="3" t="str">
        <f>IFERROR(__xludf.DUMMYFUNCTION("""COMPUTED_VALUE"""),"Hunter Locher")</f>
        <v>Hunter Locher</v>
      </c>
      <c r="W6" s="3" t="str">
        <f>IFERROR(__xludf.DUMMYFUNCTION("""COMPUTED_VALUE"""),"Flynn Crisci")</f>
        <v>Flynn Crisci</v>
      </c>
    </row>
    <row r="7">
      <c r="B7" s="4" t="str">
        <f>IFERROR(__xludf.DUMMYFUNCTION("""COMPUTED_VALUE"""),"David McCranie")</f>
        <v>David McCranie</v>
      </c>
      <c r="C7" s="3" t="str">
        <f>IFERROR(__xludf.DUMMYFUNCTION("""COMPUTED_VALUE"""),"Nick Talati")</f>
        <v>Nick Talati</v>
      </c>
      <c r="D7" s="3" t="str">
        <f>IFERROR(__xludf.DUMMYFUNCTION("""COMPUTED_VALUE"""),"Dain Ripol")</f>
        <v>Dain Ripol</v>
      </c>
      <c r="E7" s="3" t="str">
        <f>IFERROR(__xludf.DUMMYFUNCTION("""COMPUTED_VALUE"""),"Reid Hutcherson")</f>
        <v>Reid Hutcherson</v>
      </c>
      <c r="F7" s="3" t="str">
        <f>IFERROR(__xludf.DUMMYFUNCTION("""COMPUTED_VALUE"""),"Zach Wassmer")</f>
        <v>Zach Wassmer</v>
      </c>
      <c r="G7" s="3" t="str">
        <f>IFERROR(__xludf.DUMMYFUNCTION("""COMPUTED_VALUE"""),"Nathan Wakefield")</f>
        <v>Nathan Wakefield</v>
      </c>
      <c r="H7" s="3" t="str">
        <f>IFERROR(__xludf.DUMMYFUNCTION("""COMPUTED_VALUE"""),"Reed Sells")</f>
        <v>Reed Sells</v>
      </c>
      <c r="I7" s="3" t="str">
        <f>IFERROR(__xludf.DUMMYFUNCTION("""COMPUTED_VALUE"""),"August Lamb")</f>
        <v>August Lamb</v>
      </c>
      <c r="J7" s="3" t="str">
        <f>IFERROR(__xludf.DUMMYFUNCTION("""COMPUTED_VALUE"""),"Kyle Demers")</f>
        <v>Kyle Demers</v>
      </c>
      <c r="K7" s="3" t="str">
        <f>IFERROR(__xludf.DUMMYFUNCTION("""COMPUTED_VALUE"""),"Nicholas Viers")</f>
        <v>Nicholas Viers</v>
      </c>
      <c r="L7" s="3" t="str">
        <f>IFERROR(__xludf.DUMMYFUNCTION("""COMPUTED_VALUE"""),"Sean Hogan")</f>
        <v>Sean Hogan</v>
      </c>
      <c r="M7" s="3" t="str">
        <f>IFERROR(__xludf.DUMMYFUNCTION("""COMPUTED_VALUE"""),"Jack Sheehan")</f>
        <v>Jack Sheehan</v>
      </c>
      <c r="N7" s="3" t="str">
        <f>IFERROR(__xludf.DUMMYFUNCTION("""COMPUTED_VALUE"""),"Sean Hogan")</f>
        <v>Sean Hogan</v>
      </c>
      <c r="O7" s="3" t="str">
        <f>IFERROR(__xludf.DUMMYFUNCTION("""COMPUTED_VALUE"""),"Reid Hutcherson")</f>
        <v>Reid Hutcherson</v>
      </c>
      <c r="W7" s="3" t="str">
        <f>IFERROR(__xludf.DUMMYFUNCTION("""COMPUTED_VALUE"""),"David McCranie")</f>
        <v>David McCranie</v>
      </c>
    </row>
    <row r="8">
      <c r="B8" s="4" t="str">
        <f>IFERROR(__xludf.DUMMYFUNCTION("""COMPUTED_VALUE"""),"Nikolas Lee-Bishop")</f>
        <v>Nikolas Lee-Bishop</v>
      </c>
      <c r="C8" s="3" t="str">
        <f>IFERROR(__xludf.DUMMYFUNCTION("""COMPUTED_VALUE"""),"Lucas Johnson")</f>
        <v>Lucas Johnson</v>
      </c>
      <c r="D8" s="3" t="str">
        <f>IFERROR(__xludf.DUMMYFUNCTION("""COMPUTED_VALUE"""),"Forest Webb")</f>
        <v>Forest Webb</v>
      </c>
      <c r="E8" s="3" t="str">
        <f>IFERROR(__xludf.DUMMYFUNCTION("""COMPUTED_VALUE"""),"DC Hellams")</f>
        <v>DC Hellams</v>
      </c>
      <c r="F8" s="3" t="str">
        <f>IFERROR(__xludf.DUMMYFUNCTION("""COMPUTED_VALUE"""),"Reid Hutcherson")</f>
        <v>Reid Hutcherson</v>
      </c>
      <c r="G8" s="3" t="str">
        <f>IFERROR(__xludf.DUMMYFUNCTION("""COMPUTED_VALUE"""),"Jacob Oberle")</f>
        <v>Jacob Oberle</v>
      </c>
      <c r="H8" s="3" t="str">
        <f>IFERROR(__xludf.DUMMYFUNCTION("""COMPUTED_VALUE"""),"Zachary Cram")</f>
        <v>Zachary Cram</v>
      </c>
      <c r="I8" s="3" t="str">
        <f>IFERROR(__xludf.DUMMYFUNCTION("""COMPUTED_VALUE"""),"Kyle Demers")</f>
        <v>Kyle Demers</v>
      </c>
      <c r="J8" s="3" t="str">
        <f>IFERROR(__xludf.DUMMYFUNCTION("""COMPUTED_VALUE"""),"Conor Sokolowsky")</f>
        <v>Conor Sokolowsky</v>
      </c>
      <c r="K8" s="3" t="str">
        <f>IFERROR(__xludf.DUMMYFUNCTION("""COMPUTED_VALUE"""),"Kyle Floyd")</f>
        <v>Kyle Floyd</v>
      </c>
      <c r="L8" s="3" t="str">
        <f>IFERROR(__xludf.DUMMYFUNCTION("""COMPUTED_VALUE"""),"Austin Clark")</f>
        <v>Austin Clark</v>
      </c>
      <c r="M8" s="3" t="str">
        <f>IFERROR(__xludf.DUMMYFUNCTION("""COMPUTED_VALUE"""),"Sean Hogan")</f>
        <v>Sean Hogan</v>
      </c>
      <c r="N8" s="3" t="str">
        <f>IFERROR(__xludf.DUMMYFUNCTION("""COMPUTED_VALUE"""),"Zachary Cram")</f>
        <v>Zachary Cram</v>
      </c>
      <c r="O8" s="3" t="str">
        <f>IFERROR(__xludf.DUMMYFUNCTION("""COMPUTED_VALUE"""),"Zach Wassmer")</f>
        <v>Zach Wassmer</v>
      </c>
      <c r="W8" s="3" t="str">
        <f>IFERROR(__xludf.DUMMYFUNCTION("""COMPUTED_VALUE"""),"Nikolas Lee-Bishop")</f>
        <v>Nikolas Lee-Bishop</v>
      </c>
    </row>
    <row r="9">
      <c r="B9" s="4" t="str">
        <f>IFERROR(__xludf.DUMMYFUNCTION("""COMPUTED_VALUE"""),"Austin Smith")</f>
        <v>Austin Smith</v>
      </c>
      <c r="C9" s="3" t="str">
        <f>IFERROR(__xludf.DUMMYFUNCTION("""COMPUTED_VALUE"""),"Garrett McGovern")</f>
        <v>Garrett McGovern</v>
      </c>
      <c r="D9" s="3" t="str">
        <f>IFERROR(__xludf.DUMMYFUNCTION("""COMPUTED_VALUE"""),"Chris Dalla Valle")</f>
        <v>Chris Dalla Valle</v>
      </c>
      <c r="E9" s="3" t="str">
        <f>IFERROR(__xludf.DUMMYFUNCTION("""COMPUTED_VALUE"""),"Daniel Chance")</f>
        <v>Daniel Chance</v>
      </c>
      <c r="F9" s="3" t="str">
        <f>IFERROR(__xludf.DUMMYFUNCTION("""COMPUTED_VALUE"""),"Logan Amatruda")</f>
        <v>Logan Amatruda</v>
      </c>
      <c r="G9" s="3" t="str">
        <f>IFERROR(__xludf.DUMMYFUNCTION("""COMPUTED_VALUE"""),"Walker Davis")</f>
        <v>Walker Davis</v>
      </c>
      <c r="H9" s="3" t="str">
        <f>IFERROR(__xludf.DUMMYFUNCTION("""COMPUTED_VALUE"""),"Noah Fields")</f>
        <v>Noah Fields</v>
      </c>
      <c r="I9" s="3" t="str">
        <f>IFERROR(__xludf.DUMMYFUNCTION("""COMPUTED_VALUE"""),"Aidan Duffy")</f>
        <v>Aidan Duffy</v>
      </c>
      <c r="J9" s="3" t="str">
        <f>IFERROR(__xludf.DUMMYFUNCTION("""COMPUTED_VALUE"""),"Jack McCann")</f>
        <v>Jack McCann</v>
      </c>
      <c r="K9" s="3" t="str">
        <f>IFERROR(__xludf.DUMMYFUNCTION("""COMPUTED_VALUE"""),"August Lamb")</f>
        <v>August Lamb</v>
      </c>
      <c r="L9" s="3" t="str">
        <f>IFERROR(__xludf.DUMMYFUNCTION("""COMPUTED_VALUE"""),"DC Hellams")</f>
        <v>DC Hellams</v>
      </c>
      <c r="M9" s="3" t="str">
        <f>IFERROR(__xludf.DUMMYFUNCTION("""COMPUTED_VALUE"""),"Zachary Cram")</f>
        <v>Zachary Cram</v>
      </c>
      <c r="N9" s="3" t="str">
        <f>IFERROR(__xludf.DUMMYFUNCTION("""COMPUTED_VALUE"""),"Eli Tarabocchia")</f>
        <v>Eli Tarabocchia</v>
      </c>
      <c r="O9" s="3" t="str">
        <f>IFERROR(__xludf.DUMMYFUNCTION("""COMPUTED_VALUE"""),"Patrick Madden")</f>
        <v>Patrick Madden</v>
      </c>
      <c r="W9" s="3" t="str">
        <f>IFERROR(__xludf.DUMMYFUNCTION("""COMPUTED_VALUE"""),"Austin Smith")</f>
        <v>Austin Smith</v>
      </c>
    </row>
    <row r="10">
      <c r="B10" s="4" t="str">
        <f>IFERROR(__xludf.DUMMYFUNCTION("""COMPUTED_VALUE"""),"Matthew Davidson")</f>
        <v>Matthew Davidson</v>
      </c>
      <c r="C10" s="3" t="str">
        <f>IFERROR(__xludf.DUMMYFUNCTION("""COMPUTED_VALUE"""),"Matthew Davidson")</f>
        <v>Matthew Davidson</v>
      </c>
      <c r="D10" s="3" t="str">
        <f>IFERROR(__xludf.DUMMYFUNCTION("""COMPUTED_VALUE"""),"Zachary Cram")</f>
        <v>Zachary Cram</v>
      </c>
      <c r="E10" s="3" t="str">
        <f>IFERROR(__xludf.DUMMYFUNCTION("""COMPUTED_VALUE"""),"Dain Ripol")</f>
        <v>Dain Ripol</v>
      </c>
      <c r="F10" s="3" t="str">
        <f>IFERROR(__xludf.DUMMYFUNCTION("""COMPUTED_VALUE"""),"Brendan Farrar")</f>
        <v>Brendan Farrar</v>
      </c>
      <c r="G10" s="3" t="str">
        <f>IFERROR(__xludf.DUMMYFUNCTION("""COMPUTED_VALUE"""),"Colin Clements")</f>
        <v>Colin Clements</v>
      </c>
      <c r="H10" s="3" t="str">
        <f>IFERROR(__xludf.DUMMYFUNCTION("""COMPUTED_VALUE"""),"Patrick Madden")</f>
        <v>Patrick Madden</v>
      </c>
      <c r="I10" s="3" t="str">
        <f>IFERROR(__xludf.DUMMYFUNCTION("""COMPUTED_VALUE"""),"Cooper Muench")</f>
        <v>Cooper Muench</v>
      </c>
      <c r="J10" s="3" t="str">
        <f>IFERROR(__xludf.DUMMYFUNCTION("""COMPUTED_VALUE"""),"Cooper Muench")</f>
        <v>Cooper Muench</v>
      </c>
      <c r="K10" s="3" t="str">
        <f>IFERROR(__xludf.DUMMYFUNCTION("""COMPUTED_VALUE"""),"Austin Smith")</f>
        <v>Austin Smith</v>
      </c>
      <c r="L10" s="3" t="str">
        <f>IFERROR(__xludf.DUMMYFUNCTION("""COMPUTED_VALUE"""),"Chris Dalla Valle")</f>
        <v>Chris Dalla Valle</v>
      </c>
      <c r="M10" s="3" t="str">
        <f>IFERROR(__xludf.DUMMYFUNCTION("""COMPUTED_VALUE"""),"Noah Nichols")</f>
        <v>Noah Nichols</v>
      </c>
      <c r="N10" s="3" t="str">
        <f>IFERROR(__xludf.DUMMYFUNCTION("""COMPUTED_VALUE"""),"Zach Wassmer")</f>
        <v>Zach Wassmer</v>
      </c>
      <c r="O10" s="3" t="str">
        <f>IFERROR(__xludf.DUMMYFUNCTION("""COMPUTED_VALUE"""),"Ethan Stoltz")</f>
        <v>Ethan Stoltz</v>
      </c>
      <c r="W10" s="3" t="str">
        <f>IFERROR(__xludf.DUMMYFUNCTION("""COMPUTED_VALUE"""),"Matthew Davidson")</f>
        <v>Matthew Davidson</v>
      </c>
    </row>
    <row r="11">
      <c r="B11" s="4" t="str">
        <f>IFERROR(__xludf.DUMMYFUNCTION("""COMPUTED_VALUE"""),"Tyler Hill")</f>
        <v>Tyler Hill</v>
      </c>
      <c r="C11" s="3" t="str">
        <f>IFERROR(__xludf.DUMMYFUNCTION("""COMPUTED_VALUE"""),"Flynn Crisci")</f>
        <v>Flynn Crisci</v>
      </c>
      <c r="D11" s="3" t="str">
        <f>IFERROR(__xludf.DUMMYFUNCTION("""COMPUTED_VALUE"""),"Chris Kostelni")</f>
        <v>Chris Kostelni</v>
      </c>
      <c r="E11" s="3" t="str">
        <f>IFERROR(__xludf.DUMMYFUNCTION("""COMPUTED_VALUE"""),"Hunter Locher")</f>
        <v>Hunter Locher</v>
      </c>
      <c r="F11" s="3" t="str">
        <f>IFERROR(__xludf.DUMMYFUNCTION("""COMPUTED_VALUE"""),"Conor Sokolowsky")</f>
        <v>Conor Sokolowsky</v>
      </c>
      <c r="G11" s="3" t="str">
        <f>IFERROR(__xludf.DUMMYFUNCTION("""COMPUTED_VALUE"""),"Reed Sells")</f>
        <v>Reed Sells</v>
      </c>
      <c r="H11" s="3" t="str">
        <f>IFERROR(__xludf.DUMMYFUNCTION("""COMPUTED_VALUE"""),"Sean Hogan")</f>
        <v>Sean Hogan</v>
      </c>
      <c r="I11" s="3" t="str">
        <f>IFERROR(__xludf.DUMMYFUNCTION("""COMPUTED_VALUE"""),"Jack McCann")</f>
        <v>Jack McCann</v>
      </c>
      <c r="J11" s="3" t="str">
        <f>IFERROR(__xludf.DUMMYFUNCTION("""COMPUTED_VALUE"""),"Adam Kerr")</f>
        <v>Adam Kerr</v>
      </c>
      <c r="K11" s="3" t="str">
        <f>IFERROR(__xludf.DUMMYFUNCTION("""COMPUTED_VALUE"""),"Gavin Lamoureux")</f>
        <v>Gavin Lamoureux</v>
      </c>
      <c r="L11" s="3" t="str">
        <f>IFERROR(__xludf.DUMMYFUNCTION("""COMPUTED_VALUE"""),"Noah Fields")</f>
        <v>Noah Fields</v>
      </c>
      <c r="M11" s="3" t="str">
        <f>IFERROR(__xludf.DUMMYFUNCTION("""COMPUTED_VALUE"""),"Adam Kerr")</f>
        <v>Adam Kerr</v>
      </c>
      <c r="N11" s="3" t="str">
        <f>IFERROR(__xludf.DUMMYFUNCTION("""COMPUTED_VALUE"""),"Chris Kostelni")</f>
        <v>Chris Kostelni</v>
      </c>
      <c r="O11" s="3" t="str">
        <f>IFERROR(__xludf.DUMMYFUNCTION("""COMPUTED_VALUE"""),"Logan Amatruda")</f>
        <v>Logan Amatruda</v>
      </c>
      <c r="W11" s="3" t="str">
        <f>IFERROR(__xludf.DUMMYFUNCTION("""COMPUTED_VALUE"""),"Tyler Hill")</f>
        <v>Tyler Hill</v>
      </c>
    </row>
    <row r="12">
      <c r="B12" s="4" t="str">
        <f>IFERROR(__xludf.DUMMYFUNCTION("""COMPUTED_VALUE"""),"Walker Davis")</f>
        <v>Walker Davis</v>
      </c>
      <c r="C12" s="3" t="str">
        <f>IFERROR(__xludf.DUMMYFUNCTION("""COMPUTED_VALUE"""),"Noah Nichols")</f>
        <v>Noah Nichols</v>
      </c>
      <c r="D12" s="3" t="str">
        <f>IFERROR(__xludf.DUMMYFUNCTION("""COMPUTED_VALUE"""),"Leo Yang")</f>
        <v>Leo Yang</v>
      </c>
      <c r="E12" s="3" t="str">
        <f>IFERROR(__xludf.DUMMYFUNCTION("""COMPUTED_VALUE"""),"Eli Tarabocchia")</f>
        <v>Eli Tarabocchia</v>
      </c>
      <c r="F12" s="3" t="str">
        <f>IFERROR(__xludf.DUMMYFUNCTION("""COMPUTED_VALUE"""),"Aidan Crisci")</f>
        <v>Aidan Crisci</v>
      </c>
      <c r="G12" s="3" t="str">
        <f>IFERROR(__xludf.DUMMYFUNCTION("""COMPUTED_VALUE"""),"Matthew Davidson")</f>
        <v>Matthew Davidson</v>
      </c>
      <c r="H12" s="3" t="str">
        <f>IFERROR(__xludf.DUMMYFUNCTION("""COMPUTED_VALUE"""),"Clayton Whetstine")</f>
        <v>Clayton Whetstine</v>
      </c>
      <c r="I12" s="3" t="str">
        <f>IFERROR(__xludf.DUMMYFUNCTION("""COMPUTED_VALUE"""),"John O'Hara")</f>
        <v>John O'Hara</v>
      </c>
      <c r="J12" s="3" t="str">
        <f>IFERROR(__xludf.DUMMYFUNCTION("""COMPUTED_VALUE"""),"Kendall Ewing")</f>
        <v>Kendall Ewing</v>
      </c>
      <c r="K12" s="3" t="str">
        <f>IFERROR(__xludf.DUMMYFUNCTION("""COMPUTED_VALUE"""),"Nathan Wakefield")</f>
        <v>Nathan Wakefield</v>
      </c>
      <c r="L12" s="3" t="str">
        <f>IFERROR(__xludf.DUMMYFUNCTION("""COMPUTED_VALUE"""),"Nicholas Viers")</f>
        <v>Nicholas Viers</v>
      </c>
      <c r="M12" s="3" t="str">
        <f>IFERROR(__xludf.DUMMYFUNCTION("""COMPUTED_VALUE"""),"Hunter Locher")</f>
        <v>Hunter Locher</v>
      </c>
      <c r="N12" s="3" t="str">
        <f>IFERROR(__xludf.DUMMYFUNCTION("""COMPUTED_VALUE"""),"Aidan Duffy")</f>
        <v>Aidan Duffy</v>
      </c>
      <c r="O12" s="3" t="str">
        <f>IFERROR(__xludf.DUMMYFUNCTION("""COMPUTED_VALUE"""),"Jacob Sprigg")</f>
        <v>Jacob Sprigg</v>
      </c>
      <c r="W12" s="3" t="str">
        <f>IFERROR(__xludf.DUMMYFUNCTION("""COMPUTED_VALUE"""),"Walker Davis")</f>
        <v>Walker Davis</v>
      </c>
    </row>
    <row r="13">
      <c r="B13" s="4" t="str">
        <f>IFERROR(__xludf.DUMMYFUNCTION("""COMPUTED_VALUE"""),"Dain Ripol")</f>
        <v>Dain Ripol</v>
      </c>
      <c r="C13" s="3" t="str">
        <f>IFERROR(__xludf.DUMMYFUNCTION("""COMPUTED_VALUE"""),"David McCranie")</f>
        <v>David McCranie</v>
      </c>
      <c r="D13" s="3" t="str">
        <f>IFERROR(__xludf.DUMMYFUNCTION("""COMPUTED_VALUE"""),"Allen Zachary")</f>
        <v>Allen Zachary</v>
      </c>
      <c r="E13" s="3" t="str">
        <f>IFERROR(__xludf.DUMMYFUNCTION("""COMPUTED_VALUE"""),"Blake Johnson")</f>
        <v>Blake Johnson</v>
      </c>
      <c r="F13" s="3" t="str">
        <f>IFERROR(__xludf.DUMMYFUNCTION("""COMPUTED_VALUE"""),"Ryan Hillery")</f>
        <v>Ryan Hillery</v>
      </c>
      <c r="G13" s="3" t="str">
        <f>IFERROR(__xludf.DUMMYFUNCTION("""COMPUTED_VALUE"""),"Patrick Madden")</f>
        <v>Patrick Madden</v>
      </c>
      <c r="H13" s="3" t="str">
        <f>IFERROR(__xludf.DUMMYFUNCTION("""COMPUTED_VALUE"""),"Matthew Davidson")</f>
        <v>Matthew Davidson</v>
      </c>
      <c r="I13" s="3" t="str">
        <f>IFERROR(__xludf.DUMMYFUNCTION("""COMPUTED_VALUE"""),"Jack Sheehan")</f>
        <v>Jack Sheehan</v>
      </c>
      <c r="J13" s="3" t="str">
        <f>IFERROR(__xludf.DUMMYFUNCTION("""COMPUTED_VALUE"""),"Jack Sheehan")</f>
        <v>Jack Sheehan</v>
      </c>
      <c r="K13" s="3" t="str">
        <f>IFERROR(__xludf.DUMMYFUNCTION("""COMPUTED_VALUE"""),"Chris Dalla Valle")</f>
        <v>Chris Dalla Valle</v>
      </c>
      <c r="L13" s="3" t="str">
        <f>IFERROR(__xludf.DUMMYFUNCTION("""COMPUTED_VALUE"""),"Gavin Lamoureux")</f>
        <v>Gavin Lamoureux</v>
      </c>
      <c r="M13" s="3" t="str">
        <f>IFERROR(__xludf.DUMMYFUNCTION("""COMPUTED_VALUE"""),"Conor Sokolowsky")</f>
        <v>Conor Sokolowsky</v>
      </c>
      <c r="N13" s="3" t="str">
        <f>IFERROR(__xludf.DUMMYFUNCTION("""COMPUTED_VALUE"""),"Noah Fields")</f>
        <v>Noah Fields</v>
      </c>
      <c r="O13" s="3" t="str">
        <f>IFERROR(__xludf.DUMMYFUNCTION("""COMPUTED_VALUE"""),"Luke Daley")</f>
        <v>Luke Daley</v>
      </c>
      <c r="W13" s="3" t="str">
        <f>IFERROR(__xludf.DUMMYFUNCTION("""COMPUTED_VALUE"""),"Dain Ripol")</f>
        <v>Dain Ripol</v>
      </c>
    </row>
    <row r="14">
      <c r="B14" s="4" t="str">
        <f>IFERROR(__xludf.DUMMYFUNCTION("""COMPUTED_VALUE"""),"Stephen Laming")</f>
        <v>Stephen Laming</v>
      </c>
      <c r="C14" s="3" t="str">
        <f>IFERROR(__xludf.DUMMYFUNCTION("""COMPUTED_VALUE"""),"Tyler Hill")</f>
        <v>Tyler Hill</v>
      </c>
      <c r="D14" s="3" t="str">
        <f>IFERROR(__xludf.DUMMYFUNCTION("""COMPUTED_VALUE"""),"Daniel Chance")</f>
        <v>Daniel Chance</v>
      </c>
      <c r="E14" s="3" t="str">
        <f>IFERROR(__xludf.DUMMYFUNCTION("""COMPUTED_VALUE"""),"Leo Yang")</f>
        <v>Leo Yang</v>
      </c>
      <c r="F14" s="3" t="str">
        <f>IFERROR(__xludf.DUMMYFUNCTION("""COMPUTED_VALUE"""),"Blakely Dean")</f>
        <v>Blakely Dean</v>
      </c>
      <c r="G14" s="3" t="str">
        <f>IFERROR(__xludf.DUMMYFUNCTION("""COMPUTED_VALUE"""),"Joel Giraudeau")</f>
        <v>Joel Giraudeau</v>
      </c>
      <c r="H14" s="3" t="str">
        <f>IFERROR(__xludf.DUMMYFUNCTION("""COMPUTED_VALUE"""),"Andrew Farney")</f>
        <v>Andrew Farney</v>
      </c>
      <c r="I14" s="3" t="str">
        <f>IFERROR(__xludf.DUMMYFUNCTION("""COMPUTED_VALUE"""),"Ben Eichberg")</f>
        <v>Ben Eichberg</v>
      </c>
      <c r="J14" s="3" t="str">
        <f>IFERROR(__xludf.DUMMYFUNCTION("""COMPUTED_VALUE"""),"Ben Eichberg")</f>
        <v>Ben Eichberg</v>
      </c>
      <c r="K14" s="3" t="str">
        <f>IFERROR(__xludf.DUMMYFUNCTION("""COMPUTED_VALUE"""),"Will Ross")</f>
        <v>Will Ross</v>
      </c>
      <c r="L14" s="3" t="str">
        <f>IFERROR(__xludf.DUMMYFUNCTION("""COMPUTED_VALUE"""),"Cole Younger")</f>
        <v>Cole Younger</v>
      </c>
      <c r="M14" s="3" t="str">
        <f>IFERROR(__xludf.DUMMYFUNCTION("""COMPUTED_VALUE"""),"Cole Younger")</f>
        <v>Cole Younger</v>
      </c>
      <c r="N14" s="3" t="str">
        <f>IFERROR(__xludf.DUMMYFUNCTION("""COMPUTED_VALUE"""),"Conor Sokolowsky")</f>
        <v>Conor Sokolowsky</v>
      </c>
      <c r="O14" s="3" t="str">
        <f>IFERROR(__xludf.DUMMYFUNCTION("""COMPUTED_VALUE"""),"Aidan Duffy")</f>
        <v>Aidan Duffy</v>
      </c>
      <c r="W14" s="3" t="str">
        <f>IFERROR(__xludf.DUMMYFUNCTION("""COMPUTED_VALUE"""),"Stephen Laming")</f>
        <v>Stephen Laming</v>
      </c>
    </row>
    <row r="15">
      <c r="B15" s="3" t="str">
        <f>IFERROR(__xludf.DUMMYFUNCTION("""COMPUTED_VALUE"""),"Colin Whiting")</f>
        <v>Colin Whiting</v>
      </c>
      <c r="C15" s="3" t="str">
        <f>IFERROR(__xludf.DUMMYFUNCTION("""COMPUTED_VALUE"""),"Forest Webb")</f>
        <v>Forest Webb</v>
      </c>
      <c r="D15" s="3" t="str">
        <f>IFERROR(__xludf.DUMMYFUNCTION("""COMPUTED_VALUE"""),"Eli Tarabocchia")</f>
        <v>Eli Tarabocchia</v>
      </c>
      <c r="E15" s="3" t="str">
        <f>IFERROR(__xludf.DUMMYFUNCTION("""COMPUTED_VALUE"""),"Zach Wassmer")</f>
        <v>Zach Wassmer</v>
      </c>
      <c r="F15" s="3" t="str">
        <f>IFERROR(__xludf.DUMMYFUNCTION("""COMPUTED_VALUE"""),"Jacob Teer")</f>
        <v>Jacob Teer</v>
      </c>
      <c r="G15" s="3" t="str">
        <f>IFERROR(__xludf.DUMMYFUNCTION("""COMPUTED_VALUE"""),"Noah Fields")</f>
        <v>Noah Fields</v>
      </c>
      <c r="H15" s="3" t="str">
        <f>IFERROR(__xludf.DUMMYFUNCTION("""COMPUTED_VALUE"""),"Connor Doyle")</f>
        <v>Connor Doyle</v>
      </c>
      <c r="I15" s="3" t="str">
        <f>IFERROR(__xludf.DUMMYFUNCTION("""COMPUTED_VALUE"""),"Maxwell Trias")</f>
        <v>Maxwell Trias</v>
      </c>
      <c r="J15" s="3" t="str">
        <f>IFERROR(__xludf.DUMMYFUNCTION("""COMPUTED_VALUE"""),"Maxwell Trias")</f>
        <v>Maxwell Trias</v>
      </c>
      <c r="K15" s="3" t="str">
        <f>IFERROR(__xludf.DUMMYFUNCTION("""COMPUTED_VALUE"""),"Cole Younger")</f>
        <v>Cole Younger</v>
      </c>
      <c r="L15" s="3" t="str">
        <f>IFERROR(__xludf.DUMMYFUNCTION("""COMPUTED_VALUE"""),"Jacob Rice")</f>
        <v>Jacob Rice</v>
      </c>
      <c r="M15" s="3" t="str">
        <f>IFERROR(__xludf.DUMMYFUNCTION("""COMPUTED_VALUE"""),"Aidan Duffy")</f>
        <v>Aidan Duffy</v>
      </c>
      <c r="N15" s="3" t="str">
        <f>IFERROR(__xludf.DUMMYFUNCTION("""COMPUTED_VALUE"""),"Patrick Madden")</f>
        <v>Patrick Madden</v>
      </c>
      <c r="O15" s="3" t="str">
        <f>IFERROR(__xludf.DUMMYFUNCTION("""COMPUTED_VALUE"""),"Lucas Johnson")</f>
        <v>Lucas Johnson</v>
      </c>
      <c r="W15" s="3" t="str">
        <f>IFERROR(__xludf.DUMMYFUNCTION("""COMPUTED_VALUE"""),"Colin Whiting")</f>
        <v>Colin Whiting</v>
      </c>
    </row>
    <row r="16">
      <c r="B16" s="3" t="str">
        <f>IFERROR(__xludf.DUMMYFUNCTION("""COMPUTED_VALUE"""),"Henry Paulson")</f>
        <v>Henry Paulson</v>
      </c>
      <c r="C16" s="3" t="str">
        <f>IFERROR(__xludf.DUMMYFUNCTION("""COMPUTED_VALUE"""),"Russell Smith")</f>
        <v>Russell Smith</v>
      </c>
      <c r="D16" s="3" t="str">
        <f>IFERROR(__xludf.DUMMYFUNCTION("""COMPUTED_VALUE"""),"Reid Hutcherson")</f>
        <v>Reid Hutcherson</v>
      </c>
      <c r="E16" s="3" t="str">
        <f>IFERROR(__xludf.DUMMYFUNCTION("""COMPUTED_VALUE"""),"Alex Neff")</f>
        <v>Alex Neff</v>
      </c>
      <c r="F16" s="3" t="str">
        <f>IFERROR(__xludf.DUMMYFUNCTION("""COMPUTED_VALUE"""),"Joshua Dicken")</f>
        <v>Joshua Dicken</v>
      </c>
      <c r="G16" s="3" t="str">
        <f>IFERROR(__xludf.DUMMYFUNCTION("""COMPUTED_VALUE"""),"Austin Smith")</f>
        <v>Austin Smith</v>
      </c>
      <c r="H16" s="3" t="str">
        <f>IFERROR(__xludf.DUMMYFUNCTION("""COMPUTED_VALUE"""),"Adam Kerr")</f>
        <v>Adam Kerr</v>
      </c>
      <c r="I16" s="3" t="str">
        <f>IFERROR(__xludf.DUMMYFUNCTION("""COMPUTED_VALUE"""),"Colby Mills")</f>
        <v>Colby Mills</v>
      </c>
      <c r="J16" s="3" t="str">
        <f>IFERROR(__xludf.DUMMYFUNCTION("""COMPUTED_VALUE"""),"Will Timme")</f>
        <v>Will Timme</v>
      </c>
      <c r="K16" s="3" t="str">
        <f>IFERROR(__xludf.DUMMYFUNCTION("""COMPUTED_VALUE"""),"Walker Davis")</f>
        <v>Walker Davis</v>
      </c>
      <c r="L16" s="3" t="str">
        <f>IFERROR(__xludf.DUMMYFUNCTION("""COMPUTED_VALUE"""),"Reed Sells")</f>
        <v>Reed Sells</v>
      </c>
      <c r="M16" s="3" t="str">
        <f>IFERROR(__xludf.DUMMYFUNCTION("""COMPUTED_VALUE"""),"Noah Fields")</f>
        <v>Noah Fields</v>
      </c>
      <c r="N16" s="3" t="str">
        <f>IFERROR(__xludf.DUMMYFUNCTION("""COMPUTED_VALUE"""),"Nick Barrows")</f>
        <v>Nick Barrows</v>
      </c>
      <c r="O16" s="3" t="str">
        <f>IFERROR(__xludf.DUMMYFUNCTION("""COMPUTED_VALUE"""),"Graham Boyle")</f>
        <v>Graham Boyle</v>
      </c>
      <c r="W16" s="3" t="str">
        <f>IFERROR(__xludf.DUMMYFUNCTION("""COMPUTED_VALUE"""),"Henry Paulson")</f>
        <v>Henry Paulson</v>
      </c>
    </row>
    <row r="17">
      <c r="B17" s="3" t="str">
        <f>IFERROR(__xludf.DUMMYFUNCTION("""COMPUTED_VALUE"""),"Noah Hargrove")</f>
        <v>Noah Hargrove</v>
      </c>
      <c r="C17" s="3" t="str">
        <f>IFERROR(__xludf.DUMMYFUNCTION("""COMPUTED_VALUE"""),"Kyle Floyd")</f>
        <v>Kyle Floyd</v>
      </c>
      <c r="D17" s="3" t="str">
        <f>IFERROR(__xludf.DUMMYFUNCTION("""COMPUTED_VALUE"""),"Sean Hogan")</f>
        <v>Sean Hogan</v>
      </c>
      <c r="E17" s="3" t="str">
        <f>IFERROR(__xludf.DUMMYFUNCTION("""COMPUTED_VALUE"""),"Ryan Hillery")</f>
        <v>Ryan Hillery</v>
      </c>
      <c r="F17" s="3" t="str">
        <f>IFERROR(__xludf.DUMMYFUNCTION("""COMPUTED_VALUE"""),"Aubrey Bowles")</f>
        <v>Aubrey Bowles</v>
      </c>
      <c r="G17" s="3" t="str">
        <f>IFERROR(__xludf.DUMMYFUNCTION("""COMPUTED_VALUE"""),"Luke Daley")</f>
        <v>Luke Daley</v>
      </c>
      <c r="H17" s="3" t="str">
        <f>IFERROR(__xludf.DUMMYFUNCTION("""COMPUTED_VALUE"""),"Kevin Bennett")</f>
        <v>Kevin Bennett</v>
      </c>
      <c r="I17" s="3" t="str">
        <f>IFERROR(__xludf.DUMMYFUNCTION("""COMPUTED_VALUE"""),"Will Timme")</f>
        <v>Will Timme</v>
      </c>
      <c r="J17" s="3" t="str">
        <f>IFERROR(__xludf.DUMMYFUNCTION("""COMPUTED_VALUE"""),"Erik Cumpston")</f>
        <v>Erik Cumpston</v>
      </c>
      <c r="K17" s="3" t="str">
        <f>IFERROR(__xludf.DUMMYFUNCTION("""COMPUTED_VALUE"""),"Atesh Camurdan")</f>
        <v>Atesh Camurdan</v>
      </c>
      <c r="L17" s="3" t="str">
        <f>IFERROR(__xludf.DUMMYFUNCTION("""COMPUTED_VALUE"""),"Nathan Wakefield")</f>
        <v>Nathan Wakefield</v>
      </c>
      <c r="M17" s="3" t="str">
        <f>IFERROR(__xludf.DUMMYFUNCTION("""COMPUTED_VALUE"""),"Eli Tarabocchia")</f>
        <v>Eli Tarabocchia</v>
      </c>
      <c r="N17" s="3" t="str">
        <f>IFERROR(__xludf.DUMMYFUNCTION("""COMPUTED_VALUE"""),"Daniel Chance")</f>
        <v>Daniel Chance</v>
      </c>
      <c r="O17" s="3" t="str">
        <f>IFERROR(__xludf.DUMMYFUNCTION("""COMPUTED_VALUE"""),"Aubrey Bowles")</f>
        <v>Aubrey Bowles</v>
      </c>
      <c r="W17" s="3" t="str">
        <f>IFERROR(__xludf.DUMMYFUNCTION("""COMPUTED_VALUE"""),"Noah Hargrove")</f>
        <v>Noah Hargrove</v>
      </c>
    </row>
    <row r="18">
      <c r="B18" s="3" t="str">
        <f>IFERROR(__xludf.DUMMYFUNCTION("""COMPUTED_VALUE"""),"Spencer Miles")</f>
        <v>Spencer Miles</v>
      </c>
      <c r="C18" s="3" t="str">
        <f>IFERROR(__xludf.DUMMYFUNCTION("""COMPUTED_VALUE"""),"Henry Paulson")</f>
        <v>Henry Paulson</v>
      </c>
      <c r="D18" s="3" t="str">
        <f>IFERROR(__xludf.DUMMYFUNCTION("""COMPUTED_VALUE"""),"Jack Stelter")</f>
        <v>Jack Stelter</v>
      </c>
      <c r="E18" s="3" t="str">
        <f>IFERROR(__xludf.DUMMYFUNCTION("""COMPUTED_VALUE"""),"Graham Boyle")</f>
        <v>Graham Boyle</v>
      </c>
      <c r="F18" s="3" t="str">
        <f>IFERROR(__xludf.DUMMYFUNCTION("""COMPUTED_VALUE"""),"Conner Jorgensen")</f>
        <v>Conner Jorgensen</v>
      </c>
      <c r="G18" s="3" t="str">
        <f>IFERROR(__xludf.DUMMYFUNCTION("""COMPUTED_VALUE"""),"Nick Talati")</f>
        <v>Nick Talati</v>
      </c>
      <c r="H18" s="3" t="str">
        <f>IFERROR(__xludf.DUMMYFUNCTION("""COMPUTED_VALUE"""),"Luke Daley")</f>
        <v>Luke Daley</v>
      </c>
      <c r="I18" s="3" t="str">
        <f>IFERROR(__xludf.DUMMYFUNCTION("""COMPUTED_VALUE"""),"Jason Menninger")</f>
        <v>Jason Menninger</v>
      </c>
      <c r="J18" s="3" t="str">
        <f>IFERROR(__xludf.DUMMYFUNCTION("""COMPUTED_VALUE"""),"Zach Wassmer")</f>
        <v>Zach Wassmer</v>
      </c>
      <c r="K18" s="3" t="str">
        <f>IFERROR(__xludf.DUMMYFUNCTION("""COMPUTED_VALUE"""),"Michael Davis")</f>
        <v>Michael Davis</v>
      </c>
      <c r="L18" s="3" t="str">
        <f>IFERROR(__xludf.DUMMYFUNCTION("""COMPUTED_VALUE"""),"Shayom Debopadhaya")</f>
        <v>Shayom Debopadhaya</v>
      </c>
      <c r="M18" s="3" t="str">
        <f>IFERROR(__xludf.DUMMYFUNCTION("""COMPUTED_VALUE"""),"DC Hellams")</f>
        <v>DC Hellams</v>
      </c>
      <c r="N18" s="3" t="str">
        <f>IFERROR(__xludf.DUMMYFUNCTION("""COMPUTED_VALUE"""),"Reid Hutcherson")</f>
        <v>Reid Hutcherson</v>
      </c>
      <c r="O18" s="3" t="str">
        <f>IFERROR(__xludf.DUMMYFUNCTION("""COMPUTED_VALUE"""),"Nick Barrows")</f>
        <v>Nick Barrows</v>
      </c>
      <c r="W18" s="3" t="str">
        <f>IFERROR(__xludf.DUMMYFUNCTION("""COMPUTED_VALUE"""),"Spencer Miles")</f>
        <v>Spencer Miles</v>
      </c>
    </row>
    <row r="19">
      <c r="B19" s="3" t="str">
        <f>IFERROR(__xludf.DUMMYFUNCTION("""COMPUTED_VALUE"""),"Sam McKey")</f>
        <v>Sam McKey</v>
      </c>
      <c r="C19" s="3" t="str">
        <f>IFERROR(__xludf.DUMMYFUNCTION("""COMPUTED_VALUE"""),"Kendall Ewing")</f>
        <v>Kendall Ewing</v>
      </c>
      <c r="D19" s="3" t="str">
        <f>IFERROR(__xludf.DUMMYFUNCTION("""COMPUTED_VALUE"""),"Matthew Davidson")</f>
        <v>Matthew Davidson</v>
      </c>
      <c r="E19" s="3" t="str">
        <f>IFERROR(__xludf.DUMMYFUNCTION("""COMPUTED_VALUE"""),"Nikolas Lee-Bishop")</f>
        <v>Nikolas Lee-Bishop</v>
      </c>
      <c r="F19" s="3" t="str">
        <f>IFERROR(__xludf.DUMMYFUNCTION("""COMPUTED_VALUE"""),"Nikolas Lee-Bishop")</f>
        <v>Nikolas Lee-Bishop</v>
      </c>
      <c r="G19" s="3" t="str">
        <f>IFERROR(__xludf.DUMMYFUNCTION("""COMPUTED_VALUE"""),"Adam Kerr")</f>
        <v>Adam Kerr</v>
      </c>
      <c r="H19" s="3" t="str">
        <f>IFERROR(__xludf.DUMMYFUNCTION("""COMPUTED_VALUE"""),"Alex Neff")</f>
        <v>Alex Neff</v>
      </c>
      <c r="I19" s="3" t="str">
        <f>IFERROR(__xludf.DUMMYFUNCTION("""COMPUTED_VALUE"""),"Hunter Locher")</f>
        <v>Hunter Locher</v>
      </c>
      <c r="J19" s="3" t="str">
        <f>IFERROR(__xludf.DUMMYFUNCTION("""COMPUTED_VALUE"""),"Jerry Jones")</f>
        <v>Jerry Jones</v>
      </c>
      <c r="K19" s="3" t="str">
        <f>IFERROR(__xludf.DUMMYFUNCTION("""COMPUTED_VALUE"""),"Connor Brooks")</f>
        <v>Connor Brooks</v>
      </c>
      <c r="L19" s="3" t="str">
        <f>IFERROR(__xludf.DUMMYFUNCTION("""COMPUTED_VALUE"""),"Kyle Floyd")</f>
        <v>Kyle Floyd</v>
      </c>
      <c r="M19" s="3" t="str">
        <f>IFERROR(__xludf.DUMMYFUNCTION("""COMPUTED_VALUE"""),"Kyle Floyd")</f>
        <v>Kyle Floyd</v>
      </c>
      <c r="N19" s="3" t="str">
        <f>IFERROR(__xludf.DUMMYFUNCTION("""COMPUTED_VALUE"""),"Clayton Whetstine")</f>
        <v>Clayton Whetstine</v>
      </c>
      <c r="O19" s="3" t="str">
        <f>IFERROR(__xludf.DUMMYFUNCTION("""COMPUTED_VALUE"""),"Patrick Crowder")</f>
        <v>Patrick Crowder</v>
      </c>
      <c r="W19" s="3" t="str">
        <f>IFERROR(__xludf.DUMMYFUNCTION("""COMPUTED_VALUE"""),"Sam McKey")</f>
        <v>Sam McKey</v>
      </c>
    </row>
    <row r="20">
      <c r="B20" s="3" t="str">
        <f>IFERROR(__xludf.DUMMYFUNCTION("""COMPUTED_VALUE"""),"Leo Yang")</f>
        <v>Leo Yang</v>
      </c>
      <c r="C20" s="3" t="str">
        <f>IFERROR(__xludf.DUMMYFUNCTION("""COMPUTED_VALUE"""),"Collin Marks")</f>
        <v>Collin Marks</v>
      </c>
      <c r="D20" s="3" t="str">
        <f>IFERROR(__xludf.DUMMYFUNCTION("""COMPUTED_VALUE"""),"Jacob Sprigg")</f>
        <v>Jacob Sprigg</v>
      </c>
      <c r="E20" s="3" t="str">
        <f>IFERROR(__xludf.DUMMYFUNCTION("""COMPUTED_VALUE"""),"Patrick Madden")</f>
        <v>Patrick Madden</v>
      </c>
      <c r="F20" s="3" t="str">
        <f>IFERROR(__xludf.DUMMYFUNCTION("""COMPUTED_VALUE"""),"Justin Geiszler")</f>
        <v>Justin Geiszler</v>
      </c>
      <c r="G20" s="3" t="str">
        <f>IFERROR(__xludf.DUMMYFUNCTION("""COMPUTED_VALUE"""),"Clayton Whetstine")</f>
        <v>Clayton Whetstine</v>
      </c>
      <c r="H20" s="3" t="str">
        <f>IFERROR(__xludf.DUMMYFUNCTION("""COMPUTED_VALUE"""),"Lewis Rockwell")</f>
        <v>Lewis Rockwell</v>
      </c>
      <c r="I20" s="3" t="str">
        <f>IFERROR(__xludf.DUMMYFUNCTION("""COMPUTED_VALUE"""),"Jerry Jones")</f>
        <v>Jerry Jones</v>
      </c>
      <c r="J20" s="3" t="str">
        <f>IFERROR(__xludf.DUMMYFUNCTION("""COMPUTED_VALUE"""),"Noah Spain")</f>
        <v>Noah Spain</v>
      </c>
      <c r="K20" s="3" t="str">
        <f>IFERROR(__xludf.DUMMYFUNCTION("""COMPUTED_VALUE"""),"Austin Clark")</f>
        <v>Austin Clark</v>
      </c>
      <c r="L20" s="3" t="str">
        <f>IFERROR(__xludf.DUMMYFUNCTION("""COMPUTED_VALUE"""),"Atesh Camurdan")</f>
        <v>Atesh Camurdan</v>
      </c>
      <c r="M20" s="3" t="str">
        <f>IFERROR(__xludf.DUMMYFUNCTION("""COMPUTED_VALUE"""),"Flynn Crisci")</f>
        <v>Flynn Crisci</v>
      </c>
      <c r="N20" s="3" t="str">
        <f>IFERROR(__xludf.DUMMYFUNCTION("""COMPUTED_VALUE"""),"Aidan Crisci")</f>
        <v>Aidan Crisci</v>
      </c>
      <c r="O20" s="3" t="str">
        <f>IFERROR(__xludf.DUMMYFUNCTION("""COMPUTED_VALUE"""),"Peyton Wray")</f>
        <v>Peyton Wray</v>
      </c>
      <c r="W20" s="3" t="str">
        <f>IFERROR(__xludf.DUMMYFUNCTION("""COMPUTED_VALUE"""),"Leo Yang")</f>
        <v>Leo Yang</v>
      </c>
    </row>
    <row r="21">
      <c r="B21" s="3" t="str">
        <f>IFERROR(__xludf.DUMMYFUNCTION("""COMPUTED_VALUE"""),"Alex Neff")</f>
        <v>Alex Neff</v>
      </c>
      <c r="C21" s="3" t="str">
        <f>IFERROR(__xludf.DUMMYFUNCTION("""COMPUTED_VALUE"""),"John O'Hara")</f>
        <v>John O'Hara</v>
      </c>
      <c r="D21" s="3" t="str">
        <f>IFERROR(__xludf.DUMMYFUNCTION("""COMPUTED_VALUE"""),"Connor Doyle")</f>
        <v>Connor Doyle</v>
      </c>
      <c r="E21" s="3" t="str">
        <f>IFERROR(__xludf.DUMMYFUNCTION("""COMPUTED_VALUE"""),"Aidan Crisci")</f>
        <v>Aidan Crisci</v>
      </c>
      <c r="F21" s="3" t="str">
        <f>IFERROR(__xludf.DUMMYFUNCTION("""COMPUTED_VALUE"""),"Collin Marks")</f>
        <v>Collin Marks</v>
      </c>
      <c r="G21" s="3" t="str">
        <f>IFERROR(__xludf.DUMMYFUNCTION("""COMPUTED_VALUE"""),"Liam Ryan")</f>
        <v>Liam Ryan</v>
      </c>
      <c r="H21" s="3" t="str">
        <f>IFERROR(__xludf.DUMMYFUNCTION("""COMPUTED_VALUE"""),"Conor Sokolowsky")</f>
        <v>Conor Sokolowsky</v>
      </c>
      <c r="I21" s="3" t="str">
        <f>IFERROR(__xludf.DUMMYFUNCTION("""COMPUTED_VALUE"""),"Sam Long")</f>
        <v>Sam Long</v>
      </c>
      <c r="J21" s="3" t="str">
        <f>IFERROR(__xludf.DUMMYFUNCTION("""COMPUTED_VALUE"""),"Blake Johnson")</f>
        <v>Blake Johnson</v>
      </c>
      <c r="K21" s="3" t="str">
        <f>IFERROR(__xludf.DUMMYFUNCTION("""COMPUTED_VALUE"""),"Allen Zachary")</f>
        <v>Allen Zachary</v>
      </c>
      <c r="L21" s="3" t="str">
        <f>IFERROR(__xludf.DUMMYFUNCTION("""COMPUTED_VALUE"""),"Victor Kontopanos")</f>
        <v>Victor Kontopanos</v>
      </c>
      <c r="M21" s="3" t="str">
        <f>IFERROR(__xludf.DUMMYFUNCTION("""COMPUTED_VALUE"""),"Clayton Whetstine")</f>
        <v>Clayton Whetstine</v>
      </c>
      <c r="N21" s="3" t="str">
        <f>IFERROR(__xludf.DUMMYFUNCTION("""COMPUTED_VALUE"""),"Garrett McGovern")</f>
        <v>Garrett McGovern</v>
      </c>
      <c r="O21" s="3" t="str">
        <f>IFERROR(__xludf.DUMMYFUNCTION("""COMPUTED_VALUE"""),"Cameron Adams")</f>
        <v>Cameron Adams</v>
      </c>
      <c r="W21" s="3" t="str">
        <f>IFERROR(__xludf.DUMMYFUNCTION("""COMPUTED_VALUE"""),"Alex Neff")</f>
        <v>Alex Neff</v>
      </c>
    </row>
    <row r="22">
      <c r="B22" s="3" t="str">
        <f>IFERROR(__xludf.DUMMYFUNCTION("""COMPUTED_VALUE"""),"Miles West")</f>
        <v>Miles West</v>
      </c>
      <c r="C22" s="3" t="str">
        <f>IFERROR(__xludf.DUMMYFUNCTION("""COMPUTED_VALUE"""),"Alexi Gentz")</f>
        <v>Alexi Gentz</v>
      </c>
      <c r="D22" s="3" t="str">
        <f>IFERROR(__xludf.DUMMYFUNCTION("""COMPUTED_VALUE"""),"Patrick Madden")</f>
        <v>Patrick Madden</v>
      </c>
      <c r="E22" s="3" t="str">
        <f>IFERROR(__xludf.DUMMYFUNCTION("""COMPUTED_VALUE"""),"Isaac Sudweeks")</f>
        <v>Isaac Sudweeks</v>
      </c>
      <c r="F22" s="3" t="str">
        <f>IFERROR(__xludf.DUMMYFUNCTION("""COMPUTED_VALUE"""),"John Reed")</f>
        <v>John Reed</v>
      </c>
      <c r="G22" s="3" t="str">
        <f>IFERROR(__xludf.DUMMYFUNCTION("""COMPUTED_VALUE"""),"Gavin Lamoureux")</f>
        <v>Gavin Lamoureux</v>
      </c>
      <c r="H22" s="3" t="str">
        <f>IFERROR(__xludf.DUMMYFUNCTION("""COMPUTED_VALUE"""),"Liam Ryan")</f>
        <v>Liam Ryan</v>
      </c>
      <c r="I22" s="3" t="str">
        <f>IFERROR(__xludf.DUMMYFUNCTION("""COMPUTED_VALUE"""),"Erik Cumpston")</f>
        <v>Erik Cumpston</v>
      </c>
      <c r="J22" s="3" t="str">
        <f>IFERROR(__xludf.DUMMYFUNCTION("""COMPUTED_VALUE"""),"Kostas Mateer")</f>
        <v>Kostas Mateer</v>
      </c>
      <c r="K22" s="3" t="str">
        <f>IFERROR(__xludf.DUMMYFUNCTION("""COMPUTED_VALUE"""),"Sam Parsons")</f>
        <v>Sam Parsons</v>
      </c>
      <c r="L22" s="3" t="str">
        <f>IFERROR(__xludf.DUMMYFUNCTION("""COMPUTED_VALUE"""),"Lucas Johnson")</f>
        <v>Lucas Johnson</v>
      </c>
      <c r="M22" s="3" t="str">
        <f>IFERROR(__xludf.DUMMYFUNCTION("""COMPUTED_VALUE"""),"Kostas Mateer")</f>
        <v>Kostas Mateer</v>
      </c>
      <c r="N22" s="3" t="str">
        <f>IFERROR(__xludf.DUMMYFUNCTION("""COMPUTED_VALUE"""),"Luke Daley")</f>
        <v>Luke Daley</v>
      </c>
      <c r="O22" s="3" t="str">
        <f>IFERROR(__xludf.DUMMYFUNCTION("""COMPUTED_VALUE"""),"Jackson Nester")</f>
        <v>Jackson Nester</v>
      </c>
      <c r="W22" s="3" t="str">
        <f>IFERROR(__xludf.DUMMYFUNCTION("""COMPUTED_VALUE"""),"Miles West")</f>
        <v>Miles West</v>
      </c>
    </row>
    <row r="23">
      <c r="B23" s="3" t="str">
        <f>IFERROR(__xludf.DUMMYFUNCTION("""COMPUTED_VALUE"""),"Sam Sterling")</f>
        <v>Sam Sterling</v>
      </c>
      <c r="C23" s="3" t="str">
        <f>IFERROR(__xludf.DUMMYFUNCTION("""COMPUTED_VALUE"""),"Sam McKey")</f>
        <v>Sam McKey</v>
      </c>
      <c r="D23" s="3" t="str">
        <f>IFERROR(__xludf.DUMMYFUNCTION("""COMPUTED_VALUE"""),"Collin Marks")</f>
        <v>Collin Marks</v>
      </c>
      <c r="E23" s="3" t="str">
        <f>IFERROR(__xludf.DUMMYFUNCTION("""COMPUTED_VALUE"""),"Ethan Stoltz")</f>
        <v>Ethan Stoltz</v>
      </c>
      <c r="F23" s="3" t="str">
        <f>IFERROR(__xludf.DUMMYFUNCTION("""COMPUTED_VALUE"""),"Luke Daley")</f>
        <v>Luke Daley</v>
      </c>
      <c r="G23" s="3" t="str">
        <f>IFERROR(__xludf.DUMMYFUNCTION("""COMPUTED_VALUE"""),"Lucas Johnson")</f>
        <v>Lucas Johnson</v>
      </c>
      <c r="H23" s="3" t="str">
        <f>IFERROR(__xludf.DUMMYFUNCTION("""COMPUTED_VALUE"""),"Sean Rocca")</f>
        <v>Sean Rocca</v>
      </c>
      <c r="I23" s="3" t="str">
        <f>IFERROR(__xludf.DUMMYFUNCTION("""COMPUTED_VALUE"""),"Lucas Johnson")</f>
        <v>Lucas Johnson</v>
      </c>
      <c r="J23" s="3" t="str">
        <f>IFERROR(__xludf.DUMMYFUNCTION("""COMPUTED_VALUE"""),"Austin Orange")</f>
        <v>Austin Orange</v>
      </c>
      <c r="K23" s="3" t="str">
        <f>IFERROR(__xludf.DUMMYFUNCTION("""COMPUTED_VALUE"""),"Shayom Debopadhaya")</f>
        <v>Shayom Debopadhaya</v>
      </c>
      <c r="L23" s="3" t="str">
        <f>IFERROR(__xludf.DUMMYFUNCTION("""COMPUTED_VALUE"""),"Parker Hayungs")</f>
        <v>Parker Hayungs</v>
      </c>
      <c r="M23" s="3" t="str">
        <f>IFERROR(__xludf.DUMMYFUNCTION("""COMPUTED_VALUE"""),"Zach Wassmer")</f>
        <v>Zach Wassmer</v>
      </c>
      <c r="N23" s="3" t="str">
        <f>IFERROR(__xludf.DUMMYFUNCTION("""COMPUTED_VALUE"""),"Conner Jorgensen")</f>
        <v>Conner Jorgensen</v>
      </c>
      <c r="O23" s="3" t="str">
        <f>IFERROR(__xludf.DUMMYFUNCTION("""COMPUTED_VALUE"""),"Abel Buell")</f>
        <v>Abel Buell</v>
      </c>
      <c r="W23" s="3" t="str">
        <f>IFERROR(__xludf.DUMMYFUNCTION("""COMPUTED_VALUE"""),"Sam Sterling")</f>
        <v>Sam Sterling</v>
      </c>
    </row>
    <row r="24">
      <c r="B24" s="3" t="str">
        <f>IFERROR(__xludf.DUMMYFUNCTION("""COMPUTED_VALUE"""),"Christian Mayr")</f>
        <v>Christian Mayr</v>
      </c>
      <c r="C24" s="3" t="str">
        <f>IFERROR(__xludf.DUMMYFUNCTION("""COMPUTED_VALUE"""),"Hunter Sundlun")</f>
        <v>Hunter Sundlun</v>
      </c>
      <c r="D24" s="3" t="str">
        <f>IFERROR(__xludf.DUMMYFUNCTION("""COMPUTED_VALUE"""),"Corey Rogness")</f>
        <v>Corey Rogness</v>
      </c>
      <c r="E24" s="3" t="str">
        <f>IFERROR(__xludf.DUMMYFUNCTION("""COMPUTED_VALUE"""),"James Creelman")</f>
        <v>James Creelman</v>
      </c>
      <c r="F24" s="3" t="str">
        <f>IFERROR(__xludf.DUMMYFUNCTION("""COMPUTED_VALUE"""),"Graham Boyle")</f>
        <v>Graham Boyle</v>
      </c>
      <c r="G24" s="3" t="str">
        <f>IFERROR(__xludf.DUMMYFUNCTION("""COMPUTED_VALUE"""),"Sean Rocca")</f>
        <v>Sean Rocca</v>
      </c>
      <c r="H24" s="3" t="str">
        <f>IFERROR(__xludf.DUMMYFUNCTION("""COMPUTED_VALUE"""),"Matt Duren")</f>
        <v>Matt Duren</v>
      </c>
      <c r="I24" s="3" t="str">
        <f>IFERROR(__xludf.DUMMYFUNCTION("""COMPUTED_VALUE"""),"Colin Whiting")</f>
        <v>Colin Whiting</v>
      </c>
      <c r="J24" s="3" t="str">
        <f>IFERROR(__xludf.DUMMYFUNCTION("""COMPUTED_VALUE"""),"Jason Menninger")</f>
        <v>Jason Menninger</v>
      </c>
      <c r="K24" s="3" t="str">
        <f>IFERROR(__xludf.DUMMYFUNCTION("""COMPUTED_VALUE"""),"Reed Sells")</f>
        <v>Reed Sells</v>
      </c>
      <c r="L24" s="3" t="str">
        <f>IFERROR(__xludf.DUMMYFUNCTION("""COMPUTED_VALUE"""),"Dominic Mistretta")</f>
        <v>Dominic Mistretta</v>
      </c>
      <c r="M24" s="3" t="str">
        <f>IFERROR(__xludf.DUMMYFUNCTION("""COMPUTED_VALUE"""),"Jacob Rice")</f>
        <v>Jacob Rice</v>
      </c>
      <c r="N24" s="3" t="str">
        <f>IFERROR(__xludf.DUMMYFUNCTION("""COMPUTED_VALUE"""),"Isaac Sudweeks")</f>
        <v>Isaac Sudweeks</v>
      </c>
      <c r="O24" s="3" t="str">
        <f>IFERROR(__xludf.DUMMYFUNCTION("""COMPUTED_VALUE"""),"Jacob Teer")</f>
        <v>Jacob Teer</v>
      </c>
      <c r="W24" s="3" t="str">
        <f>IFERROR(__xludf.DUMMYFUNCTION("""COMPUTED_VALUE"""),"Christian Mayr")</f>
        <v>Christian Mayr</v>
      </c>
    </row>
    <row r="25">
      <c r="B25" s="3" t="str">
        <f>IFERROR(__xludf.DUMMYFUNCTION("""COMPUTED_VALUE"""),"Connor Gleim")</f>
        <v>Connor Gleim</v>
      </c>
      <c r="C25" s="3" t="str">
        <f>IFERROR(__xludf.DUMMYFUNCTION("""COMPUTED_VALUE"""),"Gavin Lamoureux")</f>
        <v>Gavin Lamoureux</v>
      </c>
      <c r="D25" s="3" t="str">
        <f>IFERROR(__xludf.DUMMYFUNCTION("""COMPUTED_VALUE"""),"Jacob Oberle")</f>
        <v>Jacob Oberle</v>
      </c>
      <c r="E25" s="3" t="str">
        <f>IFERROR(__xludf.DUMMYFUNCTION("""COMPUTED_VALUE"""),"Luke Daley")</f>
        <v>Luke Daley</v>
      </c>
      <c r="F25" s="3" t="str">
        <f>IFERROR(__xludf.DUMMYFUNCTION("""COMPUTED_VALUE"""),"Abel Buell")</f>
        <v>Abel Buell</v>
      </c>
      <c r="G25" s="3" t="str">
        <f>IFERROR(__xludf.DUMMYFUNCTION("""COMPUTED_VALUE"""),"David McCranie")</f>
        <v>David McCranie</v>
      </c>
      <c r="H25" s="3" t="str">
        <f>IFERROR(__xludf.DUMMYFUNCTION("""COMPUTED_VALUE"""),"Reid Hutcherson")</f>
        <v>Reid Hutcherson</v>
      </c>
      <c r="I25" s="3" t="str">
        <f>IFERROR(__xludf.DUMMYFUNCTION("""COMPUTED_VALUE"""),"Sam Sterling")</f>
        <v>Sam Sterling</v>
      </c>
      <c r="J25" s="3" t="str">
        <f>IFERROR(__xludf.DUMMYFUNCTION("""COMPUTED_VALUE"""),"Edward Finman")</f>
        <v>Edward Finman</v>
      </c>
      <c r="K25" s="3" t="str">
        <f>IFERROR(__xludf.DUMMYFUNCTION("""COMPUTED_VALUE"""),"Grayson Daughtry")</f>
        <v>Grayson Daughtry</v>
      </c>
      <c r="L25" s="3" t="str">
        <f>IFERROR(__xludf.DUMMYFUNCTION("""COMPUTED_VALUE"""),"Ryan Hillery")</f>
        <v>Ryan Hillery</v>
      </c>
      <c r="M25" s="3" t="str">
        <f>IFERROR(__xludf.DUMMYFUNCTION("""COMPUTED_VALUE"""),"Nick Barrows")</f>
        <v>Nick Barrows</v>
      </c>
      <c r="N25" s="3" t="str">
        <f>IFERROR(__xludf.DUMMYFUNCTION("""COMPUTED_VALUE"""),"Jacob Rice")</f>
        <v>Jacob Rice</v>
      </c>
      <c r="O25" s="3" t="str">
        <f>IFERROR(__xludf.DUMMYFUNCTION("""COMPUTED_VALUE"""),"Conner Jorgensen")</f>
        <v>Conner Jorgensen</v>
      </c>
      <c r="W25" s="3" t="str">
        <f>IFERROR(__xludf.DUMMYFUNCTION("""COMPUTED_VALUE"""),"Connor Gleim")</f>
        <v>Connor Gleim</v>
      </c>
    </row>
    <row r="26">
      <c r="B26" s="3" t="str">
        <f>IFERROR(__xludf.DUMMYFUNCTION("""COMPUTED_VALUE"""),"Sean Rocca")</f>
        <v>Sean Rocca</v>
      </c>
      <c r="C26" s="3" t="str">
        <f>IFERROR(__xludf.DUMMYFUNCTION("""COMPUTED_VALUE"""),"Will Ross")</f>
        <v>Will Ross</v>
      </c>
      <c r="D26" s="3" t="str">
        <f>IFERROR(__xludf.DUMMYFUNCTION("""COMPUTED_VALUE"""),"Atesh Camurdan")</f>
        <v>Atesh Camurdan</v>
      </c>
      <c r="E26" s="3" t="str">
        <f>IFERROR(__xludf.DUMMYFUNCTION("""COMPUTED_VALUE"""),"Jacob Sprigg")</f>
        <v>Jacob Sprigg</v>
      </c>
      <c r="F26" s="3" t="str">
        <f>IFERROR(__xludf.DUMMYFUNCTION("""COMPUTED_VALUE"""),"Patrick Crowder")</f>
        <v>Patrick Crowder</v>
      </c>
      <c r="G26" s="3" t="str">
        <f>IFERROR(__xludf.DUMMYFUNCTION("""COMPUTED_VALUE"""),"Kevin Bennett")</f>
        <v>Kevin Bennett</v>
      </c>
      <c r="H26" s="3" t="str">
        <f>IFERROR(__xludf.DUMMYFUNCTION("""COMPUTED_VALUE"""),"Conner Jorgensen")</f>
        <v>Conner Jorgensen</v>
      </c>
      <c r="I26" s="3" t="str">
        <f>IFERROR(__xludf.DUMMYFUNCTION("""COMPUTED_VALUE"""),"Chase Hensen")</f>
        <v>Chase Hensen</v>
      </c>
      <c r="J26" s="3" t="str">
        <f>IFERROR(__xludf.DUMMYFUNCTION("""COMPUTED_VALUE"""),"Nicholas Fillo")</f>
        <v>Nicholas Fillo</v>
      </c>
      <c r="K26" s="3" t="str">
        <f>IFERROR(__xludf.DUMMYFUNCTION("""COMPUTED_VALUE"""),"Jacob Rice")</f>
        <v>Jacob Rice</v>
      </c>
      <c r="L26" s="3" t="str">
        <f>IFERROR(__xludf.DUMMYFUNCTION("""COMPUTED_VALUE"""),"Will Timme")</f>
        <v>Will Timme</v>
      </c>
      <c r="M26" s="3" t="str">
        <f>IFERROR(__xludf.DUMMYFUNCTION("""COMPUTED_VALUE"""),"Tyce Winter")</f>
        <v>Tyce Winter</v>
      </c>
      <c r="N26" s="3" t="str">
        <f>IFERROR(__xludf.DUMMYFUNCTION("""COMPUTED_VALUE"""),"Andrew Turbyfill")</f>
        <v>Andrew Turbyfill</v>
      </c>
      <c r="O26" s="3" t="str">
        <f>IFERROR(__xludf.DUMMYFUNCTION("""COMPUTED_VALUE"""),"Charlie Boykin")</f>
        <v>Charlie Boykin</v>
      </c>
      <c r="W26" s="3" t="str">
        <f>IFERROR(__xludf.DUMMYFUNCTION("""COMPUTED_VALUE"""),"Sean Rocca")</f>
        <v>Sean Rocca</v>
      </c>
    </row>
    <row r="27">
      <c r="B27" s="3" t="str">
        <f>IFERROR(__xludf.DUMMYFUNCTION("""COMPUTED_VALUE"""),"Will Ross")</f>
        <v>Will Ross</v>
      </c>
      <c r="C27" s="3" t="str">
        <f>IFERROR(__xludf.DUMMYFUNCTION("""COMPUTED_VALUE"""),"Alex Neff")</f>
        <v>Alex Neff</v>
      </c>
      <c r="D27" s="3" t="str">
        <f>IFERROR(__xludf.DUMMYFUNCTION("""COMPUTED_VALUE"""),"Nathan Wakefield")</f>
        <v>Nathan Wakefield</v>
      </c>
      <c r="E27" s="3" t="str">
        <f>IFERROR(__xludf.DUMMYFUNCTION("""COMPUTED_VALUE"""),"Jackson Nester")</f>
        <v>Jackson Nester</v>
      </c>
      <c r="F27" s="3" t="str">
        <f>IFERROR(__xludf.DUMMYFUNCTION("""COMPUTED_VALUE"""),"Sam Sweetser")</f>
        <v>Sam Sweetser</v>
      </c>
      <c r="G27" s="3" t="str">
        <f>IFERROR(__xludf.DUMMYFUNCTION("""COMPUTED_VALUE"""),"Sam Long")</f>
        <v>Sam Long</v>
      </c>
      <c r="H27" s="3" t="str">
        <f>IFERROR(__xludf.DUMMYFUNCTION("""COMPUTED_VALUE"""),"Sam Long")</f>
        <v>Sam Long</v>
      </c>
      <c r="I27" s="3" t="str">
        <f>IFERROR(__xludf.DUMMYFUNCTION("""COMPUTED_VALUE"""),"Lewis Rockwell")</f>
        <v>Lewis Rockwell</v>
      </c>
      <c r="J27" s="3" t="str">
        <f>IFERROR(__xludf.DUMMYFUNCTION("""COMPUTED_VALUE"""),"Dominic Mistretta")</f>
        <v>Dominic Mistretta</v>
      </c>
      <c r="K27" s="3" t="str">
        <f>IFERROR(__xludf.DUMMYFUNCTION("""COMPUTED_VALUE"""),"Hunter Locher")</f>
        <v>Hunter Locher</v>
      </c>
      <c r="L27" s="3" t="str">
        <f>IFERROR(__xludf.DUMMYFUNCTION("""COMPUTED_VALUE"""),"Landon Ellis")</f>
        <v>Landon Ellis</v>
      </c>
      <c r="M27" s="3" t="str">
        <f>IFERROR(__xludf.DUMMYFUNCTION("""COMPUTED_VALUE"""),"Liam Ryan")</f>
        <v>Liam Ryan</v>
      </c>
      <c r="N27" s="3" t="str">
        <f>IFERROR(__xludf.DUMMYFUNCTION("""COMPUTED_VALUE"""),"Cole Younger")</f>
        <v>Cole Younger</v>
      </c>
      <c r="O27" s="3" t="str">
        <f>IFERROR(__xludf.DUMMYFUNCTION("""COMPUTED_VALUE"""),"Andrew Turbyfill")</f>
        <v>Andrew Turbyfill</v>
      </c>
      <c r="W27" s="3" t="str">
        <f>IFERROR(__xludf.DUMMYFUNCTION("""COMPUTED_VALUE"""),"Will Ross")</f>
        <v>Will Ross</v>
      </c>
    </row>
    <row r="28">
      <c r="B28" s="3" t="str">
        <f>IFERROR(__xludf.DUMMYFUNCTION("""COMPUTED_VALUE"""),"Sam Parsons")</f>
        <v>Sam Parsons</v>
      </c>
      <c r="C28" s="3" t="str">
        <f>IFERROR(__xludf.DUMMYFUNCTION("""COMPUTED_VALUE"""),"Cole Younger")</f>
        <v>Cole Younger</v>
      </c>
      <c r="D28" s="3" t="str">
        <f>IFERROR(__xludf.DUMMYFUNCTION("""COMPUTED_VALUE"""),"Austin Smith")</f>
        <v>Austin Smith</v>
      </c>
      <c r="E28" s="3" t="str">
        <f>IFERROR(__xludf.DUMMYFUNCTION("""COMPUTED_VALUE"""),"Austin Clark")</f>
        <v>Austin Clark</v>
      </c>
      <c r="F28" s="3" t="str">
        <f>IFERROR(__xludf.DUMMYFUNCTION("""COMPUTED_VALUE"""),"Joey Sims")</f>
        <v>Joey Sims</v>
      </c>
      <c r="G28" s="3" t="str">
        <f>IFERROR(__xludf.DUMMYFUNCTION("""COMPUTED_VALUE"""),"Lewis Rockwell")</f>
        <v>Lewis Rockwell</v>
      </c>
      <c r="H28" s="3" t="str">
        <f>IFERROR(__xludf.DUMMYFUNCTION("""COMPUTED_VALUE"""),"Peyton Wray")</f>
        <v>Peyton Wray</v>
      </c>
      <c r="I28" s="3" t="str">
        <f>IFERROR(__xludf.DUMMYFUNCTION("""COMPUTED_VALUE"""),"Noah Spain")</f>
        <v>Noah Spain</v>
      </c>
      <c r="J28" s="3" t="str">
        <f>IFERROR(__xludf.DUMMYFUNCTION("""COMPUTED_VALUE"""),"Charlie Boykin")</f>
        <v>Charlie Boykin</v>
      </c>
      <c r="K28" s="3" t="str">
        <f>IFERROR(__xludf.DUMMYFUNCTION("""COMPUTED_VALUE"""),"Tyler Hill")</f>
        <v>Tyler Hill</v>
      </c>
      <c r="L28" s="3" t="str">
        <f>IFERROR(__xludf.DUMMYFUNCTION("""COMPUTED_VALUE"""),"Andrew Farney")</f>
        <v>Andrew Farney</v>
      </c>
      <c r="M28" s="3" t="str">
        <f>IFERROR(__xludf.DUMMYFUNCTION("""COMPUTED_VALUE"""),"Aidan Crisci")</f>
        <v>Aidan Crisci</v>
      </c>
      <c r="N28" s="3" t="str">
        <f>IFERROR(__xludf.DUMMYFUNCTION("""COMPUTED_VALUE"""),"Logan Amatruda")</f>
        <v>Logan Amatruda</v>
      </c>
      <c r="O28" s="3" t="str">
        <f>IFERROR(__xludf.DUMMYFUNCTION("""COMPUTED_VALUE"""),"Connor Smith")</f>
        <v>Connor Smith</v>
      </c>
      <c r="W28" s="3" t="str">
        <f>IFERROR(__xludf.DUMMYFUNCTION("""COMPUTED_VALUE"""),"Sam Parsons")</f>
        <v>Sam Parsons</v>
      </c>
    </row>
    <row r="29">
      <c r="B29" s="3" t="str">
        <f>IFERROR(__xludf.DUMMYFUNCTION("""COMPUTED_VALUE"""),"Alexi Gentz")</f>
        <v>Alexi Gentz</v>
      </c>
      <c r="C29" s="3" t="str">
        <f>IFERROR(__xludf.DUMMYFUNCTION("""COMPUTED_VALUE"""),"Preston Trevey")</f>
        <v>Preston Trevey</v>
      </c>
      <c r="D29" s="3" t="str">
        <f>IFERROR(__xludf.DUMMYFUNCTION("""COMPUTED_VALUE"""),"Sam Parsons")</f>
        <v>Sam Parsons</v>
      </c>
      <c r="E29" s="3" t="str">
        <f>IFERROR(__xludf.DUMMYFUNCTION("""COMPUTED_VALUE"""),"Connor Smith")</f>
        <v>Connor Smith</v>
      </c>
      <c r="F29" s="3" t="str">
        <f>IFERROR(__xludf.DUMMYFUNCTION("""COMPUTED_VALUE"""),"Paul Warnagiris")</f>
        <v>Paul Warnagiris</v>
      </c>
      <c r="G29" s="3" t="str">
        <f>IFERROR(__xludf.DUMMYFUNCTION("""COMPUTED_VALUE"""),"Connor Doyle")</f>
        <v>Connor Doyle</v>
      </c>
      <c r="H29" s="3" t="str">
        <f>IFERROR(__xludf.DUMMYFUNCTION("""COMPUTED_VALUE"""),"Ashton Temme")</f>
        <v>Ashton Temme</v>
      </c>
      <c r="I29" s="3" t="str">
        <f>IFERROR(__xludf.DUMMYFUNCTION("""COMPUTED_VALUE"""),"Alex Kaplan")</f>
        <v>Alex Kaplan</v>
      </c>
      <c r="J29" s="3" t="str">
        <f>IFERROR(__xludf.DUMMYFUNCTION("""COMPUTED_VALUE"""),"Sam Sterling")</f>
        <v>Sam Sterling</v>
      </c>
      <c r="K29" s="3" t="str">
        <f>IFERROR(__xludf.DUMMYFUNCTION("""COMPUTED_VALUE"""),"Jacob Oberle")</f>
        <v>Jacob Oberle</v>
      </c>
      <c r="L29" s="3" t="str">
        <f>IFERROR(__xludf.DUMMYFUNCTION("""COMPUTED_VALUE"""),"Kostas Mateer")</f>
        <v>Kostas Mateer</v>
      </c>
      <c r="M29" s="3" t="str">
        <f>IFERROR(__xludf.DUMMYFUNCTION("""COMPUTED_VALUE"""),"Lewis Rockwell")</f>
        <v>Lewis Rockwell</v>
      </c>
      <c r="N29" s="3" t="str">
        <f>IFERROR(__xludf.DUMMYFUNCTION("""COMPUTED_VALUE"""),"Ryan Hillery")</f>
        <v>Ryan Hillery</v>
      </c>
      <c r="O29" s="3" t="str">
        <f>IFERROR(__xludf.DUMMYFUNCTION("""COMPUTED_VALUE"""),"John Reed")</f>
        <v>John Reed</v>
      </c>
      <c r="W29" s="3" t="str">
        <f>IFERROR(__xludf.DUMMYFUNCTION("""COMPUTED_VALUE"""),"Alexi Gentz")</f>
        <v>Alexi Gentz</v>
      </c>
    </row>
    <row r="30">
      <c r="B30" s="3" t="str">
        <f>IFERROR(__xludf.DUMMYFUNCTION("""COMPUTED_VALUE"""),"Paul Southern")</f>
        <v>Paul Southern</v>
      </c>
      <c r="C30" s="3" t="str">
        <f>IFERROR(__xludf.DUMMYFUNCTION("""COMPUTED_VALUE"""),"Atesh Camurdan")</f>
        <v>Atesh Camurdan</v>
      </c>
      <c r="D30" s="3" t="str">
        <f>IFERROR(__xludf.DUMMYFUNCTION("""COMPUTED_VALUE"""),"James Creelman")</f>
        <v>James Creelman</v>
      </c>
      <c r="E30" s="3" t="str">
        <f>IFERROR(__xludf.DUMMYFUNCTION("""COMPUTED_VALUE"""),"John O'Hara")</f>
        <v>John O'Hara</v>
      </c>
      <c r="F30" s="3" t="str">
        <f>IFERROR(__xludf.DUMMYFUNCTION("""COMPUTED_VALUE"""),"Cameron Adams")</f>
        <v>Cameron Adams</v>
      </c>
      <c r="G30" s="3" t="str">
        <f>IFERROR(__xludf.DUMMYFUNCTION("""COMPUTED_VALUE"""),"Noah Hargrove")</f>
        <v>Noah Hargrove</v>
      </c>
      <c r="H30" s="3" t="str">
        <f>IFERROR(__xludf.DUMMYFUNCTION("""COMPUTED_VALUE"""),"Kaelig Michel")</f>
        <v>Kaelig Michel</v>
      </c>
      <c r="I30" s="3" t="str">
        <f>IFERROR(__xludf.DUMMYFUNCTION("""COMPUTED_VALUE"""),"Collin Feliciano")</f>
        <v>Collin Feliciano</v>
      </c>
      <c r="J30" s="3" t="str">
        <f>IFERROR(__xludf.DUMMYFUNCTION("""COMPUTED_VALUE"""),"Ryan Taylor")</f>
        <v>Ryan Taylor</v>
      </c>
      <c r="K30" s="3" t="str">
        <f>IFERROR(__xludf.DUMMYFUNCTION("""COMPUTED_VALUE"""),"David McCranie")</f>
        <v>David McCranie</v>
      </c>
      <c r="L30" s="3" t="str">
        <f>IFERROR(__xludf.DUMMYFUNCTION("""COMPUTED_VALUE"""),"Isaac Sudweeks")</f>
        <v>Isaac Sudweeks</v>
      </c>
      <c r="M30" s="3" t="str">
        <f>IFERROR(__xludf.DUMMYFUNCTION("""COMPUTED_VALUE"""),"Ryan Hillery")</f>
        <v>Ryan Hillery</v>
      </c>
      <c r="N30" s="3" t="str">
        <f>IFERROR(__xludf.DUMMYFUNCTION("""COMPUTED_VALUE"""),"Jackson Nester")</f>
        <v>Jackson Nester</v>
      </c>
      <c r="O30" s="3" t="str">
        <f>IFERROR(__xludf.DUMMYFUNCTION("""COMPUTED_VALUE"""),"Justin Geiszler")</f>
        <v>Justin Geiszler</v>
      </c>
      <c r="W30" s="3" t="str">
        <f>IFERROR(__xludf.DUMMYFUNCTION("""COMPUTED_VALUE"""),"Paul Southern")</f>
        <v>Paul Southern</v>
      </c>
    </row>
    <row r="31">
      <c r="B31" s="3" t="str">
        <f>IFERROR(__xludf.DUMMYFUNCTION("""COMPUTED_VALUE"""),"Erik Cumpston")</f>
        <v>Erik Cumpston</v>
      </c>
      <c r="C31" s="3" t="str">
        <f>IFERROR(__xludf.DUMMYFUNCTION("""COMPUTED_VALUE"""),"Connor Doyle")</f>
        <v>Connor Doyle</v>
      </c>
      <c r="D31" s="3" t="str">
        <f>IFERROR(__xludf.DUMMYFUNCTION("""COMPUTED_VALUE"""),"David McCranie")</f>
        <v>David McCranie</v>
      </c>
      <c r="E31" s="3" t="str">
        <f>IFERROR(__xludf.DUMMYFUNCTION("""COMPUTED_VALUE"""),"Corey Rogness")</f>
        <v>Corey Rogness</v>
      </c>
      <c r="F31" s="3" t="str">
        <f>IFERROR(__xludf.DUMMYFUNCTION("""COMPUTED_VALUE"""),"Caleb Thomas")</f>
        <v>Caleb Thomas</v>
      </c>
      <c r="G31" s="3" t="str">
        <f>IFERROR(__xludf.DUMMYFUNCTION("""COMPUTED_VALUE"""),"Andrew Farney")</f>
        <v>Andrew Farney</v>
      </c>
      <c r="H31" s="3" t="str">
        <f>IFERROR(__xludf.DUMMYFUNCTION("""COMPUTED_VALUE"""),"Matthew Sweat")</f>
        <v>Matthew Sweat</v>
      </c>
      <c r="I31" s="3" t="str">
        <f>IFERROR(__xludf.DUMMYFUNCTION("""COMPUTED_VALUE"""),"Dominic Mistretta")</f>
        <v>Dominic Mistretta</v>
      </c>
      <c r="J31" s="3" t="str">
        <f>IFERROR(__xludf.DUMMYFUNCTION("""COMPUTED_VALUE"""),"Jason Seitz")</f>
        <v>Jason Seitz</v>
      </c>
      <c r="K31" s="3" t="str">
        <f>IFERROR(__xludf.DUMMYFUNCTION("""COMPUTED_VALUE"""),"Jacob Sprigg")</f>
        <v>Jacob Sprigg</v>
      </c>
      <c r="L31" s="3" t="str">
        <f>IFERROR(__xludf.DUMMYFUNCTION("""COMPUTED_VALUE"""),"Jacob Sprigg")</f>
        <v>Jacob Sprigg</v>
      </c>
      <c r="M31" s="3" t="str">
        <f>IFERROR(__xludf.DUMMYFUNCTION("""COMPUTED_VALUE"""),"Collin Feliciano")</f>
        <v>Collin Feliciano</v>
      </c>
      <c r="N31" s="3" t="str">
        <f>IFERROR(__xludf.DUMMYFUNCTION("""COMPUTED_VALUE"""),"Liam Ryan")</f>
        <v>Liam Ryan</v>
      </c>
      <c r="O31" s="3" t="str">
        <f>IFERROR(__xludf.DUMMYFUNCTION("""COMPUTED_VALUE"""),"Jacob Miller")</f>
        <v>Jacob Miller</v>
      </c>
      <c r="W31" s="3" t="str">
        <f>IFERROR(__xludf.DUMMYFUNCTION("""COMPUTED_VALUE"""),"Erik Cumpston")</f>
        <v>Erik Cumpston</v>
      </c>
    </row>
    <row r="32">
      <c r="B32" s="3" t="str">
        <f>IFERROR(__xludf.DUMMYFUNCTION("""COMPUTED_VALUE"""),"Victor Valovalo")</f>
        <v>Victor Valovalo</v>
      </c>
      <c r="C32" s="3" t="str">
        <f>IFERROR(__xludf.DUMMYFUNCTION("""COMPUTED_VALUE"""),"Noah Ratliff")</f>
        <v>Noah Ratliff</v>
      </c>
      <c r="D32" s="3" t="str">
        <f>IFERROR(__xludf.DUMMYFUNCTION("""COMPUTED_VALUE"""),"Connor Smith")</f>
        <v>Connor Smith</v>
      </c>
      <c r="E32" s="3" t="str">
        <f>IFERROR(__xludf.DUMMYFUNCTION("""COMPUTED_VALUE"""),"Collin Marks")</f>
        <v>Collin Marks</v>
      </c>
      <c r="F32" s="3" t="str">
        <f>IFERROR(__xludf.DUMMYFUNCTION("""COMPUTED_VALUE"""),"Alex Stanley")</f>
        <v>Alex Stanley</v>
      </c>
      <c r="G32" s="3" t="str">
        <f>IFERROR(__xludf.DUMMYFUNCTION("""COMPUTED_VALUE"""),"Alex Kidd")</f>
        <v>Alex Kidd</v>
      </c>
      <c r="H32" s="3" t="str">
        <f>IFERROR(__xludf.DUMMYFUNCTION("""COMPUTED_VALUE"""),"Zach Ashby")</f>
        <v>Zach Ashby</v>
      </c>
      <c r="I32" s="3" t="str">
        <f>IFERROR(__xludf.DUMMYFUNCTION("""COMPUTED_VALUE"""),"Logan Deal")</f>
        <v>Logan Deal</v>
      </c>
      <c r="J32" s="3" t="str">
        <f>IFERROR(__xludf.DUMMYFUNCTION("""COMPUTED_VALUE"""),"Andrew Turbyfill")</f>
        <v>Andrew Turbyfill</v>
      </c>
      <c r="K32" s="3" t="str">
        <f>IFERROR(__xludf.DUMMYFUNCTION("""COMPUTED_VALUE"""),"Lewis Rockwell")</f>
        <v>Lewis Rockwell</v>
      </c>
      <c r="L32" s="3" t="str">
        <f>IFERROR(__xludf.DUMMYFUNCTION("""COMPUTED_VALUE"""),"Samuel Johnson")</f>
        <v>Samuel Johnson</v>
      </c>
      <c r="M32" s="3" t="str">
        <f>IFERROR(__xludf.DUMMYFUNCTION("""COMPUTED_VALUE"""),"Russell Smith")</f>
        <v>Russell Smith</v>
      </c>
      <c r="N32" s="3" t="str">
        <f>IFERROR(__xludf.DUMMYFUNCTION("""COMPUTED_VALUE"""),"Colby Mills")</f>
        <v>Colby Mills</v>
      </c>
      <c r="O32" s="3" t="str">
        <f>IFERROR(__xludf.DUMMYFUNCTION("""COMPUTED_VALUE"""),"Joshua Dicken")</f>
        <v>Joshua Dicken</v>
      </c>
      <c r="W32" s="3" t="str">
        <f>IFERROR(__xludf.DUMMYFUNCTION("""COMPUTED_VALUE"""),"Victor Valovalo")</f>
        <v>Victor Valovalo</v>
      </c>
    </row>
    <row r="33">
      <c r="B33" s="3" t="str">
        <f>IFERROR(__xludf.DUMMYFUNCTION("""COMPUTED_VALUE"""),"Hunter Sundlun")</f>
        <v>Hunter Sundlun</v>
      </c>
      <c r="C33" s="3" t="str">
        <f>IFERROR(__xludf.DUMMYFUNCTION("""COMPUTED_VALUE"""),"Reed Sells")</f>
        <v>Reed Sells</v>
      </c>
      <c r="D33" s="3" t="str">
        <f>IFERROR(__xludf.DUMMYFUNCTION("""COMPUTED_VALUE"""),"Isaac Sudweeks")</f>
        <v>Isaac Sudweeks</v>
      </c>
      <c r="E33" s="3" t="str">
        <f>IFERROR(__xludf.DUMMYFUNCTION("""COMPUTED_VALUE"""),"Charlie Boykin")</f>
        <v>Charlie Boykin</v>
      </c>
      <c r="F33" s="3" t="str">
        <f>IFERROR(__xludf.DUMMYFUNCTION("""COMPUTED_VALUE"""),"Blake Rouzie")</f>
        <v>Blake Rouzie</v>
      </c>
      <c r="G33" s="3" t="str">
        <f>IFERROR(__xludf.DUMMYFUNCTION("""COMPUTED_VALUE"""),"Cole Younger")</f>
        <v>Cole Younger</v>
      </c>
      <c r="H33" s="3" t="str">
        <f>IFERROR(__xludf.DUMMYFUNCTION("""COMPUTED_VALUE"""),"Atesh Camurdan")</f>
        <v>Atesh Camurdan</v>
      </c>
      <c r="I33" s="3" t="str">
        <f>IFERROR(__xludf.DUMMYFUNCTION("""COMPUTED_VALUE"""),"Kostas Mateer")</f>
        <v>Kostas Mateer</v>
      </c>
      <c r="J33" s="3" t="str">
        <f>IFERROR(__xludf.DUMMYFUNCTION("""COMPUTED_VALUE"""),"Chase Hensen")</f>
        <v>Chase Hensen</v>
      </c>
      <c r="K33" s="3" t="str">
        <f>IFERROR(__xludf.DUMMYFUNCTION("""COMPUTED_VALUE"""),"Noah Ratliff")</f>
        <v>Noah Ratliff</v>
      </c>
      <c r="L33" s="3" t="str">
        <f>IFERROR(__xludf.DUMMYFUNCTION("""COMPUTED_VALUE"""),"Conor Sokolowsky")</f>
        <v>Conor Sokolowsky</v>
      </c>
      <c r="M33" s="3" t="str">
        <f>IFERROR(__xludf.DUMMYFUNCTION("""COMPUTED_VALUE"""),"Jerry Jones")</f>
        <v>Jerry Jones</v>
      </c>
      <c r="N33" s="3" t="str">
        <f>IFERROR(__xludf.DUMMYFUNCTION("""COMPUTED_VALUE"""),"Kostas Mateer")</f>
        <v>Kostas Mateer</v>
      </c>
      <c r="O33" s="3" t="str">
        <f>IFERROR(__xludf.DUMMYFUNCTION("""COMPUTED_VALUE"""),"Nate Pfeffer")</f>
        <v>Nate Pfeffer</v>
      </c>
      <c r="W33" s="3" t="str">
        <f>IFERROR(__xludf.DUMMYFUNCTION("""COMPUTED_VALUE"""),"Hunter Sundlun")</f>
        <v>Hunter Sundlun</v>
      </c>
    </row>
    <row r="34">
      <c r="B34" s="3" t="str">
        <f>IFERROR(__xludf.DUMMYFUNCTION("""COMPUTED_VALUE"""),"Jacob Oberle")</f>
        <v>Jacob Oberle</v>
      </c>
      <c r="C34" s="3" t="str">
        <f>IFERROR(__xludf.DUMMYFUNCTION("""COMPUTED_VALUE"""),"Jacob Oberle")</f>
        <v>Jacob Oberle</v>
      </c>
      <c r="D34" s="3" t="str">
        <f>IFERROR(__xludf.DUMMYFUNCTION("""COMPUTED_VALUE"""),"Stephen Laming")</f>
        <v>Stephen Laming</v>
      </c>
      <c r="E34" s="3" t="str">
        <f>IFERROR(__xludf.DUMMYFUNCTION("""COMPUTED_VALUE"""),"Andrew Farney")</f>
        <v>Andrew Farney</v>
      </c>
      <c r="F34" s="3" t="str">
        <f>IFERROR(__xludf.DUMMYFUNCTION("""COMPUTED_VALUE"""),"Landon Ellis")</f>
        <v>Landon Ellis</v>
      </c>
      <c r="G34" s="3" t="str">
        <f>IFERROR(__xludf.DUMMYFUNCTION("""COMPUTED_VALUE"""),"Atesh Camurdan")</f>
        <v>Atesh Camurdan</v>
      </c>
      <c r="H34" s="3" t="str">
        <f>IFERROR(__xludf.DUMMYFUNCTION("""COMPUTED_VALUE"""),"Heath Lewis")</f>
        <v>Heath Lewis</v>
      </c>
      <c r="I34" s="3" t="str">
        <f>IFERROR(__xludf.DUMMYFUNCTION("""COMPUTED_VALUE"""),"Colin Clements")</f>
        <v>Colin Clements</v>
      </c>
      <c r="J34" s="3" t="str">
        <f>IFERROR(__xludf.DUMMYFUNCTION("""COMPUTED_VALUE"""),"Alex Kaplan")</f>
        <v>Alex Kaplan</v>
      </c>
      <c r="K34" s="3" t="str">
        <f>IFERROR(__xludf.DUMMYFUNCTION("""COMPUTED_VALUE"""),"Colin Clements")</f>
        <v>Colin Clements</v>
      </c>
      <c r="L34" s="3" t="str">
        <f>IFERROR(__xludf.DUMMYFUNCTION("""COMPUTED_VALUE"""),"Lewis Rockwell")</f>
        <v>Lewis Rockwell</v>
      </c>
      <c r="M34" s="3" t="str">
        <f>IFERROR(__xludf.DUMMYFUNCTION("""COMPUTED_VALUE"""),"Will Timme")</f>
        <v>Will Timme</v>
      </c>
      <c r="N34" s="3" t="str">
        <f>IFERROR(__xludf.DUMMYFUNCTION("""COMPUTED_VALUE"""),"Grayson Daughtry")</f>
        <v>Grayson Daughtry</v>
      </c>
      <c r="O34" s="3" t="str">
        <f>IFERROR(__xludf.DUMMYFUNCTION("""COMPUTED_VALUE"""),"Ashton Temme")</f>
        <v>Ashton Temme</v>
      </c>
      <c r="W34" s="3" t="str">
        <f>IFERROR(__xludf.DUMMYFUNCTION("""COMPUTED_VALUE"""),"Jacob Oberle")</f>
        <v>Jacob Oberle</v>
      </c>
    </row>
    <row r="35">
      <c r="B35" s="3" t="str">
        <f>IFERROR(__xludf.DUMMYFUNCTION("""COMPUTED_VALUE"""),"Cason Wilburn")</f>
        <v>Cason Wilburn</v>
      </c>
      <c r="C35" s="3" t="str">
        <f>IFERROR(__xludf.DUMMYFUNCTION("""COMPUTED_VALUE"""),"Cason Wilburn")</f>
        <v>Cason Wilburn</v>
      </c>
      <c r="D35" s="3" t="str">
        <f>IFERROR(__xludf.DUMMYFUNCTION("""COMPUTED_VALUE"""),"Cason Wilburn")</f>
        <v>Cason Wilburn</v>
      </c>
      <c r="E35" s="3" t="str">
        <f>IFERROR(__xludf.DUMMYFUNCTION("""COMPUTED_VALUE"""),"Cason Wilburn")</f>
        <v>Cason Wilburn</v>
      </c>
      <c r="F35" s="3" t="str">
        <f>IFERROR(__xludf.DUMMYFUNCTION("""COMPUTED_VALUE"""),"AJ Schwabe")</f>
        <v>AJ Schwabe</v>
      </c>
      <c r="G35" s="3" t="str">
        <f>IFERROR(__xludf.DUMMYFUNCTION("""COMPUTED_VALUE"""),"Zachary Cram")</f>
        <v>Zachary Cram</v>
      </c>
      <c r="H35" s="3" t="str">
        <f>IFERROR(__xludf.DUMMYFUNCTION("""COMPUTED_VALUE"""),"Zachary Cram")</f>
        <v>Zachary Cram</v>
      </c>
      <c r="I35" s="3" t="str">
        <f>IFERROR(__xludf.DUMMYFUNCTION("""COMPUTED_VALUE"""),"Noah Nichols")</f>
        <v>Noah Nichols</v>
      </c>
      <c r="J35" s="3" t="str">
        <f>IFERROR(__xludf.DUMMYFUNCTION("""COMPUTED_VALUE"""),"Aidan Duffy")</f>
        <v>Aidan Duffy</v>
      </c>
      <c r="K35" s="3" t="str">
        <f>IFERROR(__xludf.DUMMYFUNCTION("""COMPUTED_VALUE"""),"Cason Wilburn")</f>
        <v>Cason Wilburn</v>
      </c>
      <c r="L35" s="3" t="str">
        <f>IFERROR(__xludf.DUMMYFUNCTION("""COMPUTED_VALUE"""),"Nick Talati")</f>
        <v>Nick Talati</v>
      </c>
      <c r="M35" s="3" t="str">
        <f>IFERROR(__xludf.DUMMYFUNCTION("""COMPUTED_VALUE"""),"Zachary Cram")</f>
        <v>Zachary Cram</v>
      </c>
      <c r="N35" s="3" t="str">
        <f>IFERROR(__xludf.DUMMYFUNCTION("""COMPUTED_VALUE"""),"Zachary Cram")</f>
        <v>Zachary Cram</v>
      </c>
      <c r="O35" s="3" t="str">
        <f>IFERROR(__xludf.DUMMYFUNCTION("""COMPUTED_VALUE"""),"AJ Schwabe")</f>
        <v>AJ Schwabe</v>
      </c>
      <c r="W35" s="3" t="str">
        <f>IFERROR(__xludf.DUMMYFUNCTION("""COMPUTED_VALUE"""),"Colin Clements")</f>
        <v>Colin Clements</v>
      </c>
    </row>
    <row r="36">
      <c r="B36" s="3" t="str">
        <f>IFERROR(__xludf.DUMMYFUNCTION("""COMPUTED_VALUE"""),"Allen Zachary")</f>
        <v>Allen Zachary</v>
      </c>
      <c r="C36" s="3" t="str">
        <f>IFERROR(__xludf.DUMMYFUNCTION("""COMPUTED_VALUE"""),"Allen Zachary")</f>
        <v>Allen Zachary</v>
      </c>
      <c r="D36" s="3" t="str">
        <f>IFERROR(__xludf.DUMMYFUNCTION("""COMPUTED_VALUE"""),"Zachary Cram")</f>
        <v>Zachary Cram</v>
      </c>
      <c r="E36" s="3" t="str">
        <f>IFERROR(__xludf.DUMMYFUNCTION("""COMPUTED_VALUE"""),"Garrett McGovern")</f>
        <v>Garrett McGovern</v>
      </c>
      <c r="F36" s="3" t="str">
        <f>IFERROR(__xludf.DUMMYFUNCTION("""COMPUTED_VALUE"""),"Preston Hudak")</f>
        <v>Preston Hudak</v>
      </c>
      <c r="G36" s="3" t="str">
        <f>IFERROR(__xludf.DUMMYFUNCTION("""COMPUTED_VALUE"""),"Sean Hogan")</f>
        <v>Sean Hogan</v>
      </c>
      <c r="H36" s="3" t="str">
        <f>IFERROR(__xludf.DUMMYFUNCTION("""COMPUTED_VALUE"""),"Forest Webb")</f>
        <v>Forest Webb</v>
      </c>
      <c r="I36" s="3" t="str">
        <f>IFERROR(__xludf.DUMMYFUNCTION("""COMPUTED_VALUE"""),"Flynn Crisci")</f>
        <v>Flynn Crisci</v>
      </c>
      <c r="J36" s="3" t="str">
        <f>IFERROR(__xludf.DUMMYFUNCTION("""COMPUTED_VALUE"""),"Nicholas Viers")</f>
        <v>Nicholas Viers</v>
      </c>
      <c r="K36" s="3" t="str">
        <f>IFERROR(__xludf.DUMMYFUNCTION("""COMPUTED_VALUE"""),"Joel Giraudeau")</f>
        <v>Joel Giraudeau</v>
      </c>
      <c r="L36" s="3" t="str">
        <f>IFERROR(__xludf.DUMMYFUNCTION("""COMPUTED_VALUE"""),"Zachary Cram")</f>
        <v>Zachary Cram</v>
      </c>
      <c r="M36" s="3" t="str">
        <f>IFERROR(__xludf.DUMMYFUNCTION("""COMPUTED_VALUE"""),"Cason Wilburn")</f>
        <v>Cason Wilburn</v>
      </c>
      <c r="N36" s="3" t="str">
        <f>IFERROR(__xludf.DUMMYFUNCTION("""COMPUTED_VALUE"""),"Nicholas Viers")</f>
        <v>Nicholas Viers</v>
      </c>
      <c r="O36" s="3" t="str">
        <f>IFERROR(__xludf.DUMMYFUNCTION("""COMPUTED_VALUE"""),"Sam Sweetser")</f>
        <v>Sam Sweetser</v>
      </c>
      <c r="W36" s="3" t="str">
        <f>IFERROR(__xludf.DUMMYFUNCTION("""COMPUTED_VALUE"""),"Russell Smith")</f>
        <v>Russell Smith</v>
      </c>
    </row>
    <row r="37">
      <c r="B37" s="3" t="str">
        <f>IFERROR(__xludf.DUMMYFUNCTION("""COMPUTED_VALUE"""),"Garrett McGovern")</f>
        <v>Garrett McGovern</v>
      </c>
      <c r="C37" s="3" t="str">
        <f>IFERROR(__xludf.DUMMYFUNCTION("""COMPUTED_VALUE"""),"Nick Talati")</f>
        <v>Nick Talati</v>
      </c>
      <c r="D37" s="3" t="str">
        <f>IFERROR(__xludf.DUMMYFUNCTION("""COMPUTED_VALUE"""),"Garrett McGovern")</f>
        <v>Garrett McGovern</v>
      </c>
      <c r="E37" s="3" t="str">
        <f>IFERROR(__xludf.DUMMYFUNCTION("""COMPUTED_VALUE"""),"Chris Dalla Valle")</f>
        <v>Chris Dalla Valle</v>
      </c>
      <c r="F37" s="3" t="str">
        <f>IFERROR(__xludf.DUMMYFUNCTION("""COMPUTED_VALUE"""),"Austin Booth")</f>
        <v>Austin Booth</v>
      </c>
      <c r="G37" s="3" t="str">
        <f>IFERROR(__xludf.DUMMYFUNCTION("""COMPUTED_VALUE"""),"Forest Webb")</f>
        <v>Forest Webb</v>
      </c>
      <c r="H37" s="3" t="str">
        <f>IFERROR(__xludf.DUMMYFUNCTION("""COMPUTED_VALUE"""),"Eli Tarabocchia")</f>
        <v>Eli Tarabocchia</v>
      </c>
      <c r="I37" s="3" t="str">
        <f>IFERROR(__xludf.DUMMYFUNCTION("""COMPUTED_VALUE"""),"Adam Kerr")</f>
        <v>Adam Kerr</v>
      </c>
      <c r="J37" s="3" t="str">
        <f>IFERROR(__xludf.DUMMYFUNCTION("""COMPUTED_VALUE"""),"Noah Nichols")</f>
        <v>Noah Nichols</v>
      </c>
      <c r="K37" s="3" t="str">
        <f>IFERROR(__xludf.DUMMYFUNCTION("""COMPUTED_VALUE"""),"Nicholas Viers")</f>
        <v>Nicholas Viers</v>
      </c>
      <c r="L37" s="3" t="str">
        <f>IFERROR(__xludf.DUMMYFUNCTION("""COMPUTED_VALUE"""),"Joel Giraudeau")</f>
        <v>Joel Giraudeau</v>
      </c>
      <c r="M37" s="3" t="str">
        <f>IFERROR(__xludf.DUMMYFUNCTION("""COMPUTED_VALUE"""),"Nicholas Viers")</f>
        <v>Nicholas Viers</v>
      </c>
      <c r="N37" s="3" t="str">
        <f>IFERROR(__xludf.DUMMYFUNCTION("""COMPUTED_VALUE"""),"Dain Ripol")</f>
        <v>Dain Ripol</v>
      </c>
      <c r="O37" s="3" t="str">
        <f>IFERROR(__xludf.DUMMYFUNCTION("""COMPUTED_VALUE"""),"Preston Hudak")</f>
        <v>Preston Hudak</v>
      </c>
      <c r="W37" s="3" t="str">
        <f>IFERROR(__xludf.DUMMYFUNCTION("""COMPUTED_VALUE"""),"Blake Johnson")</f>
        <v>Blake Johnson</v>
      </c>
    </row>
    <row r="38">
      <c r="B38" s="3" t="str">
        <f>IFERROR(__xludf.DUMMYFUNCTION("""COMPUTED_VALUE"""),"Austin Smith")</f>
        <v>Austin Smith</v>
      </c>
      <c r="C38" s="3" t="str">
        <f>IFERROR(__xludf.DUMMYFUNCTION("""COMPUTED_VALUE"""),"Austin Smith")</f>
        <v>Austin Smith</v>
      </c>
      <c r="D38" s="3" t="str">
        <f>IFERROR(__xludf.DUMMYFUNCTION("""COMPUTED_VALUE"""),"Nick Talati")</f>
        <v>Nick Talati</v>
      </c>
      <c r="E38" s="3" t="str">
        <f>IFERROR(__xludf.DUMMYFUNCTION("""COMPUTED_VALUE"""),"Daniel Chance")</f>
        <v>Daniel Chance</v>
      </c>
      <c r="F38" s="3" t="str">
        <f>IFERROR(__xludf.DUMMYFUNCTION("""COMPUTED_VALUE"""),"Jimmy Granger")</f>
        <v>Jimmy Granger</v>
      </c>
      <c r="G38" s="3" t="str">
        <f>IFERROR(__xludf.DUMMYFUNCTION("""COMPUTED_VALUE"""),"Colin Clements")</f>
        <v>Colin Clements</v>
      </c>
      <c r="H38" s="3" t="str">
        <f>IFERROR(__xludf.DUMMYFUNCTION("""COMPUTED_VALUE"""),"Joel Giraudeau")</f>
        <v>Joel Giraudeau</v>
      </c>
      <c r="I38" s="3" t="str">
        <f>IFERROR(__xludf.DUMMYFUNCTION("""COMPUTED_VALUE"""),"Kyle Demers")</f>
        <v>Kyle Demers</v>
      </c>
      <c r="J38" s="3" t="str">
        <f>IFERROR(__xludf.DUMMYFUNCTION("""COMPUTED_VALUE"""),"Flynn Crisci")</f>
        <v>Flynn Crisci</v>
      </c>
      <c r="K38" s="3" t="str">
        <f>IFERROR(__xludf.DUMMYFUNCTION("""COMPUTED_VALUE"""),"Nick Talati")</f>
        <v>Nick Talati</v>
      </c>
      <c r="L38" s="3" t="str">
        <f>IFERROR(__xludf.DUMMYFUNCTION("""COMPUTED_VALUE"""),"Chris Dalla Valle")</f>
        <v>Chris Dalla Valle</v>
      </c>
      <c r="M38" s="3" t="str">
        <f>IFERROR(__xludf.DUMMYFUNCTION("""COMPUTED_VALUE"""),"Dain Ripol")</f>
        <v>Dain Ripol</v>
      </c>
      <c r="N38" s="3" t="str">
        <f>IFERROR(__xludf.DUMMYFUNCTION("""COMPUTED_VALUE"""),"DC Hellams")</f>
        <v>DC Hellams</v>
      </c>
      <c r="O38" s="3" t="str">
        <f>IFERROR(__xludf.DUMMYFUNCTION("""COMPUTED_VALUE"""),"Joey Sims")</f>
        <v>Joey Sims</v>
      </c>
      <c r="W38" s="3" t="str">
        <f>IFERROR(__xludf.DUMMYFUNCTION("""COMPUTED_VALUE"""),"Collin Marks")</f>
        <v>Collin Marks</v>
      </c>
    </row>
    <row r="39">
      <c r="B39" s="3" t="str">
        <f>IFERROR(__xludf.DUMMYFUNCTION("""COMPUTED_VALUE"""),"Flynn Crisci")</f>
        <v>Flynn Crisci</v>
      </c>
      <c r="C39" s="3" t="str">
        <f>IFERROR(__xludf.DUMMYFUNCTION("""COMPUTED_VALUE"""),"Nikolas Lee-Bishop")</f>
        <v>Nikolas Lee-Bishop</v>
      </c>
      <c r="D39" s="3" t="str">
        <f>IFERROR(__xludf.DUMMYFUNCTION("""COMPUTED_VALUE"""),"Nikolas Lee-Bishop")</f>
        <v>Nikolas Lee-Bishop</v>
      </c>
      <c r="E39" s="3" t="str">
        <f>IFERROR(__xludf.DUMMYFUNCTION("""COMPUTED_VALUE"""),"Dain Ripol")</f>
        <v>Dain Ripol</v>
      </c>
      <c r="F39" s="3" t="str">
        <f>IFERROR(__xludf.DUMMYFUNCTION("""COMPUTED_VALUE"""),"Matt Murray")</f>
        <v>Matt Murray</v>
      </c>
      <c r="G39" s="3" t="str">
        <f>IFERROR(__xludf.DUMMYFUNCTION("""COMPUTED_VALUE"""),"Nathan Wakefield")</f>
        <v>Nathan Wakefield</v>
      </c>
      <c r="H39" s="3" t="str">
        <f>IFERROR(__xludf.DUMMYFUNCTION("""COMPUTED_VALUE"""),"Nick Talati")</f>
        <v>Nick Talati</v>
      </c>
      <c r="I39" s="3" t="str">
        <f>IFERROR(__xludf.DUMMYFUNCTION("""COMPUTED_VALUE"""),"Kendall Ewing")</f>
        <v>Kendall Ewing</v>
      </c>
      <c r="J39" s="3" t="str">
        <f>IFERROR(__xludf.DUMMYFUNCTION("""COMPUTED_VALUE"""),"Kyle Demers")</f>
        <v>Kyle Demers</v>
      </c>
      <c r="K39" s="3" t="str">
        <f>IFERROR(__xludf.DUMMYFUNCTION("""COMPUTED_VALUE"""),"Sam Long")</f>
        <v>Sam Long</v>
      </c>
      <c r="L39" s="3" t="str">
        <f>IFERROR(__xludf.DUMMYFUNCTION("""COMPUTED_VALUE"""),"Austin Clark")</f>
        <v>Austin Clark</v>
      </c>
      <c r="M39" s="3" t="str">
        <f>IFERROR(__xludf.DUMMYFUNCTION("""COMPUTED_VALUE"""),"Sam Long")</f>
        <v>Sam Long</v>
      </c>
      <c r="N39" s="3" t="str">
        <f>IFERROR(__xludf.DUMMYFUNCTION("""COMPUTED_VALUE"""),"Sean Hogan")</f>
        <v>Sean Hogan</v>
      </c>
      <c r="O39" s="3" t="str">
        <f>IFERROR(__xludf.DUMMYFUNCTION("""COMPUTED_VALUE"""),"Landon Ellis")</f>
        <v>Landon Ellis</v>
      </c>
      <c r="W39" s="3" t="str">
        <f>IFERROR(__xludf.DUMMYFUNCTION("""COMPUTED_VALUE"""),"Erik Kratzer")</f>
        <v>Erik Kratzer</v>
      </c>
    </row>
    <row r="40">
      <c r="B40" s="3" t="str">
        <f>IFERROR(__xludf.DUMMYFUNCTION("""COMPUTED_VALUE"""),"Nikolas Lee-Bishop")</f>
        <v>Nikolas Lee-Bishop</v>
      </c>
      <c r="C40" s="3" t="str">
        <f>IFERROR(__xludf.DUMMYFUNCTION("""COMPUTED_VALUE"""),"Garrett McGovern")</f>
        <v>Garrett McGovern</v>
      </c>
      <c r="D40" s="3" t="str">
        <f>IFERROR(__xludf.DUMMYFUNCTION("""COMPUTED_VALUE"""),"Dain Ripol")</f>
        <v>Dain Ripol</v>
      </c>
      <c r="E40" s="3" t="str">
        <f>IFERROR(__xludf.DUMMYFUNCTION("""COMPUTED_VALUE"""),"Chris Kostelni")</f>
        <v>Chris Kostelni</v>
      </c>
      <c r="F40" s="3" t="str">
        <f>IFERROR(__xludf.DUMMYFUNCTION("""COMPUTED_VALUE"""),"Jackson Hunter")</f>
        <v>Jackson Hunter</v>
      </c>
      <c r="G40" s="3" t="str">
        <f>IFERROR(__xludf.DUMMYFUNCTION("""COMPUTED_VALUE"""),"Eli Tarabocchia")</f>
        <v>Eli Tarabocchia</v>
      </c>
      <c r="H40" s="3" t="str">
        <f>IFERROR(__xludf.DUMMYFUNCTION("""COMPUTED_VALUE"""),"Patrick Madden")</f>
        <v>Patrick Madden</v>
      </c>
      <c r="I40" s="3" t="str">
        <f>IFERROR(__xludf.DUMMYFUNCTION("""COMPUTED_VALUE"""),"August Lamb")</f>
        <v>August Lamb</v>
      </c>
      <c r="J40" s="3" t="str">
        <f>IFERROR(__xludf.DUMMYFUNCTION("""COMPUTED_VALUE"""),"Conor Sokolowsky")</f>
        <v>Conor Sokolowsky</v>
      </c>
      <c r="K40" s="3" t="str">
        <f>IFERROR(__xludf.DUMMYFUNCTION("""COMPUTED_VALUE"""),"Kyle Floyd")</f>
        <v>Kyle Floyd</v>
      </c>
      <c r="L40" s="3" t="str">
        <f>IFERROR(__xludf.DUMMYFUNCTION("""COMPUTED_VALUE"""),"Sean Hogan")</f>
        <v>Sean Hogan</v>
      </c>
      <c r="M40" s="3" t="str">
        <f>IFERROR(__xludf.DUMMYFUNCTION("""COMPUTED_VALUE"""),"Jack Sheehan")</f>
        <v>Jack Sheehan</v>
      </c>
      <c r="N40" s="3" t="str">
        <f>IFERROR(__xludf.DUMMYFUNCTION("""COMPUTED_VALUE"""),"Eli Tarabocchia")</f>
        <v>Eli Tarabocchia</v>
      </c>
      <c r="O40" s="3" t="str">
        <f>IFERROR(__xludf.DUMMYFUNCTION("""COMPUTED_VALUE"""),"Austin Booth")</f>
        <v>Austin Booth</v>
      </c>
      <c r="W40" s="3" t="str">
        <f>IFERROR(__xludf.DUMMYFUNCTION("""COMPUTED_VALUE"""),"Christopher Johnson")</f>
        <v>Christopher Johnson</v>
      </c>
    </row>
    <row r="41">
      <c r="B41" s="3" t="str">
        <f>IFERROR(__xludf.DUMMYFUNCTION("""COMPUTED_VALUE"""),"David McCranie")</f>
        <v>David McCranie</v>
      </c>
      <c r="C41" s="3" t="str">
        <f>IFERROR(__xludf.DUMMYFUNCTION("""COMPUTED_VALUE"""),"Dain Ripol")</f>
        <v>Dain Ripol</v>
      </c>
      <c r="D41" s="3" t="str">
        <f>IFERROR(__xludf.DUMMYFUNCTION("""COMPUTED_VALUE"""),"Forest Webb")</f>
        <v>Forest Webb</v>
      </c>
      <c r="E41" s="3" t="str">
        <f>IFERROR(__xludf.DUMMYFUNCTION("""COMPUTED_VALUE"""),"DC Hellams")</f>
        <v>DC Hellams</v>
      </c>
      <c r="F41" s="3" t="str">
        <f>IFERROR(__xludf.DUMMYFUNCTION("""COMPUTED_VALUE"""),"JT Lotz")</f>
        <v>JT Lotz</v>
      </c>
      <c r="G41" s="3" t="str">
        <f>IFERROR(__xludf.DUMMYFUNCTION("""COMPUTED_VALUE"""),"Jacob Oberle")</f>
        <v>Jacob Oberle</v>
      </c>
      <c r="H41" s="3" t="str">
        <f>IFERROR(__xludf.DUMMYFUNCTION("""COMPUTED_VALUE"""),"Reed Sells")</f>
        <v>Reed Sells</v>
      </c>
      <c r="I41" s="3" t="str">
        <f>IFERROR(__xludf.DUMMYFUNCTION("""COMPUTED_VALUE"""),"Aidan Duffy")</f>
        <v>Aidan Duffy</v>
      </c>
      <c r="J41" s="3" t="str">
        <f>IFERROR(__xludf.DUMMYFUNCTION("""COMPUTED_VALUE"""),"Jack McCann")</f>
        <v>Jack McCann</v>
      </c>
      <c r="K41" s="3" t="str">
        <f>IFERROR(__xludf.DUMMYFUNCTION("""COMPUTED_VALUE"""),"Austin Smith")</f>
        <v>Austin Smith</v>
      </c>
      <c r="L41" s="3" t="str">
        <f>IFERROR(__xludf.DUMMYFUNCTION("""COMPUTED_VALUE"""),"DC Hellams")</f>
        <v>DC Hellams</v>
      </c>
      <c r="M41" s="3" t="str">
        <f>IFERROR(__xludf.DUMMYFUNCTION("""COMPUTED_VALUE"""),"Noah Nichols")</f>
        <v>Noah Nichols</v>
      </c>
      <c r="N41" s="3" t="str">
        <f>IFERROR(__xludf.DUMMYFUNCTION("""COMPUTED_VALUE"""),"Adam Kerr")</f>
        <v>Adam Kerr</v>
      </c>
      <c r="O41" s="3" t="str">
        <f>IFERROR(__xludf.DUMMYFUNCTION("""COMPUTED_VALUE"""),"Andrew Chaikin")</f>
        <v>Andrew Chaikin</v>
      </c>
      <c r="W41" s="3" t="str">
        <f>IFERROR(__xludf.DUMMYFUNCTION("""COMPUTED_VALUE"""),"Luke Osleger")</f>
        <v>Luke Osleger</v>
      </c>
    </row>
    <row r="42">
      <c r="B42" s="3" t="str">
        <f>IFERROR(__xludf.DUMMYFUNCTION("""COMPUTED_VALUE"""),"Matthew Davidson")</f>
        <v>Matthew Davidson</v>
      </c>
      <c r="C42" s="3" t="str">
        <f>IFERROR(__xludf.DUMMYFUNCTION("""COMPUTED_VALUE"""),"Lucas Johnson")</f>
        <v>Lucas Johnson</v>
      </c>
      <c r="D42" s="3" t="str">
        <f>IFERROR(__xludf.DUMMYFUNCTION("""COMPUTED_VALUE"""),"Chris Dalla Valle")</f>
        <v>Chris Dalla Valle</v>
      </c>
      <c r="E42" s="3" t="str">
        <f>IFERROR(__xludf.DUMMYFUNCTION("""COMPUTED_VALUE"""),"Reid Hutcherson")</f>
        <v>Reid Hutcherson</v>
      </c>
      <c r="F42" s="3" t="str">
        <f>IFERROR(__xludf.DUMMYFUNCTION("""COMPUTED_VALUE"""),"Brady Lang")</f>
        <v>Brady Lang</v>
      </c>
      <c r="G42" s="3" t="str">
        <f>IFERROR(__xludf.DUMMYFUNCTION("""COMPUTED_VALUE"""),"Walker Davis")</f>
        <v>Walker Davis</v>
      </c>
      <c r="H42" s="3" t="str">
        <f>IFERROR(__xludf.DUMMYFUNCTION("""COMPUTED_VALUE"""),"Noah Fields")</f>
        <v>Noah Fields</v>
      </c>
      <c r="I42" s="3" t="str">
        <f>IFERROR(__xludf.DUMMYFUNCTION("""COMPUTED_VALUE"""),"Cooper Muench")</f>
        <v>Cooper Muench</v>
      </c>
      <c r="J42" s="3" t="str">
        <f>IFERROR(__xludf.DUMMYFUNCTION("""COMPUTED_VALUE"""),"Cooper Muench")</f>
        <v>Cooper Muench</v>
      </c>
      <c r="K42" s="3" t="str">
        <f>IFERROR(__xludf.DUMMYFUNCTION("""COMPUTED_VALUE"""),"August Lamb")</f>
        <v>August Lamb</v>
      </c>
      <c r="L42" s="3" t="str">
        <f>IFERROR(__xludf.DUMMYFUNCTION("""COMPUTED_VALUE"""),"Sam Long")</f>
        <v>Sam Long</v>
      </c>
      <c r="M42" s="3" t="str">
        <f>IFERROR(__xludf.DUMMYFUNCTION("""COMPUTED_VALUE"""),"Sean Hogan")</f>
        <v>Sean Hogan</v>
      </c>
      <c r="N42" s="3" t="str">
        <f>IFERROR(__xludf.DUMMYFUNCTION("""COMPUTED_VALUE"""),"Zach Wassmer")</f>
        <v>Zach Wassmer</v>
      </c>
      <c r="O42" s="3" t="str">
        <f>IFERROR(__xludf.DUMMYFUNCTION("""COMPUTED_VALUE"""),"Will Stevens")</f>
        <v>Will Stevens</v>
      </c>
      <c r="W42" s="3" t="str">
        <f>IFERROR(__xludf.DUMMYFUNCTION("""COMPUTED_VALUE"""),"Ben Eichberg")</f>
        <v>Ben Eichberg</v>
      </c>
    </row>
    <row r="43">
      <c r="B43" s="3" t="str">
        <f>IFERROR(__xludf.DUMMYFUNCTION("""COMPUTED_VALUE"""),"Walker Davis")</f>
        <v>Walker Davis</v>
      </c>
      <c r="C43" s="3" t="str">
        <f>IFERROR(__xludf.DUMMYFUNCTION("""COMPUTED_VALUE"""),"Matthew Davidson")</f>
        <v>Matthew Davidson</v>
      </c>
      <c r="D43" s="3" t="str">
        <f>IFERROR(__xludf.DUMMYFUNCTION("""COMPUTED_VALUE"""),"Allen Zachary")</f>
        <v>Allen Zachary</v>
      </c>
      <c r="E43" s="3" t="str">
        <f>IFERROR(__xludf.DUMMYFUNCTION("""COMPUTED_VALUE"""),"Zach Wassmer")</f>
        <v>Zach Wassmer</v>
      </c>
      <c r="F43" s="3" t="str">
        <f>IFERROR(__xludf.DUMMYFUNCTION("""COMPUTED_VALUE"""),"Logan Euker")</f>
        <v>Logan Euker</v>
      </c>
      <c r="G43" s="3" t="str">
        <f>IFERROR(__xludf.DUMMYFUNCTION("""COMPUTED_VALUE"""),"Reed Sells")</f>
        <v>Reed Sells</v>
      </c>
      <c r="H43" s="3" t="str">
        <f>IFERROR(__xludf.DUMMYFUNCTION("""COMPUTED_VALUE"""),"Clayton Whetstine")</f>
        <v>Clayton Whetstine</v>
      </c>
      <c r="I43" s="3" t="str">
        <f>IFERROR(__xludf.DUMMYFUNCTION("""COMPUTED_VALUE"""),"Ben Eichberg")</f>
        <v>Ben Eichberg</v>
      </c>
      <c r="J43" s="3" t="str">
        <f>IFERROR(__xludf.DUMMYFUNCTION("""COMPUTED_VALUE"""),"Adam Kerr")</f>
        <v>Adam Kerr</v>
      </c>
      <c r="K43" s="3" t="str">
        <f>IFERROR(__xludf.DUMMYFUNCTION("""COMPUTED_VALUE"""),"Chris Dalla Valle")</f>
        <v>Chris Dalla Valle</v>
      </c>
      <c r="L43" s="3" t="str">
        <f>IFERROR(__xludf.DUMMYFUNCTION("""COMPUTED_VALUE"""),"Nicholas Viers")</f>
        <v>Nicholas Viers</v>
      </c>
      <c r="M43" s="3" t="str">
        <f>IFERROR(__xludf.DUMMYFUNCTION("""COMPUTED_VALUE"""),"DC Hellams")</f>
        <v>DC Hellams</v>
      </c>
      <c r="N43" s="3" t="str">
        <f>IFERROR(__xludf.DUMMYFUNCTION("""COMPUTED_VALUE"""),"Chris Kostelni")</f>
        <v>Chris Kostelni</v>
      </c>
      <c r="O43" s="3" t="str">
        <f>IFERROR(__xludf.DUMMYFUNCTION("""COMPUTED_VALUE"""),"Alex Stanley")</f>
        <v>Alex Stanley</v>
      </c>
      <c r="W43" s="3" t="str">
        <f>IFERROR(__xludf.DUMMYFUNCTION("""COMPUTED_VALUE"""),"Kendall Ewing")</f>
        <v>Kendall Ewing</v>
      </c>
    </row>
    <row r="44">
      <c r="B44" s="3" t="str">
        <f>IFERROR(__xludf.DUMMYFUNCTION("""COMPUTED_VALUE"""),"Noah Hargrove")</f>
        <v>Noah Hargrove</v>
      </c>
      <c r="C44" s="3" t="str">
        <f>IFERROR(__xludf.DUMMYFUNCTION("""COMPUTED_VALUE"""),"Walker Davis")</f>
        <v>Walker Davis</v>
      </c>
      <c r="D44" s="3" t="str">
        <f>IFERROR(__xludf.DUMMYFUNCTION("""COMPUTED_VALUE"""),"Chris Kostelni")</f>
        <v>Chris Kostelni</v>
      </c>
      <c r="E44" s="3" t="str">
        <f>IFERROR(__xludf.DUMMYFUNCTION("""COMPUTED_VALUE"""),"Hunter Locher")</f>
        <v>Hunter Locher</v>
      </c>
      <c r="F44" s="3" t="str">
        <f>IFERROR(__xludf.DUMMYFUNCTION("""COMPUTED_VALUE"""),"Russell Nystrom")</f>
        <v>Russell Nystrom</v>
      </c>
      <c r="G44" s="3" t="str">
        <f>IFERROR(__xludf.DUMMYFUNCTION("""COMPUTED_VALUE"""),"Austin Smith")</f>
        <v>Austin Smith</v>
      </c>
      <c r="H44" s="3" t="str">
        <f>IFERROR(__xludf.DUMMYFUNCTION("""COMPUTED_VALUE"""),"Sean Hogan")</f>
        <v>Sean Hogan</v>
      </c>
      <c r="I44" s="3" t="str">
        <f>IFERROR(__xludf.DUMMYFUNCTION("""COMPUTED_VALUE"""),"Maxwell Trias")</f>
        <v>Maxwell Trias</v>
      </c>
      <c r="J44" s="3" t="str">
        <f>IFERROR(__xludf.DUMMYFUNCTION("""COMPUTED_VALUE"""),"Jack Sheehan")</f>
        <v>Jack Sheehan</v>
      </c>
      <c r="K44" s="3" t="str">
        <f>IFERROR(__xludf.DUMMYFUNCTION("""COMPUTED_VALUE"""),"Gavin Lamoureux")</f>
        <v>Gavin Lamoureux</v>
      </c>
      <c r="L44" s="3" t="str">
        <f>IFERROR(__xludf.DUMMYFUNCTION("""COMPUTED_VALUE"""),"Noah Fields")</f>
        <v>Noah Fields</v>
      </c>
      <c r="M44" s="3" t="str">
        <f>IFERROR(__xludf.DUMMYFUNCTION("""COMPUTED_VALUE"""),"Cole Younger")</f>
        <v>Cole Younger</v>
      </c>
      <c r="N44" s="3" t="str">
        <f>IFERROR(__xludf.DUMMYFUNCTION("""COMPUTED_VALUE"""),"Conor Sokolowsky")</f>
        <v>Conor Sokolowsky</v>
      </c>
      <c r="O44" s="3" t="str">
        <f>IFERROR(__xludf.DUMMYFUNCTION("""COMPUTED_VALUE"""),"Matt Murray")</f>
        <v>Matt Murray</v>
      </c>
      <c r="W44" s="3" t="str">
        <f>IFERROR(__xludf.DUMMYFUNCTION("""COMPUTED_VALUE"""),"John O'Hara")</f>
        <v>John O'Hara</v>
      </c>
    </row>
    <row r="45">
      <c r="B45" s="3" t="str">
        <f>IFERROR(__xludf.DUMMYFUNCTION("""COMPUTED_VALUE"""),"Henry Paulson")</f>
        <v>Henry Paulson</v>
      </c>
      <c r="C45" s="3" t="str">
        <f>IFERROR(__xludf.DUMMYFUNCTION("""COMPUTED_VALUE"""),"Flynn Crisci")</f>
        <v>Flynn Crisci</v>
      </c>
      <c r="D45" s="3" t="str">
        <f>IFERROR(__xludf.DUMMYFUNCTION("""COMPUTED_VALUE"""),"Leo Yang")</f>
        <v>Leo Yang</v>
      </c>
      <c r="E45" s="3" t="str">
        <f>IFERROR(__xludf.DUMMYFUNCTION("""COMPUTED_VALUE"""),"Blake Johnson")</f>
        <v>Blake Johnson</v>
      </c>
      <c r="F45" s="3" t="str">
        <f>IFERROR(__xludf.DUMMYFUNCTION("""COMPUTED_VALUE"""),"Ahmad Woodson")</f>
        <v>Ahmad Woodson</v>
      </c>
      <c r="G45" s="3" t="str">
        <f>IFERROR(__xludf.DUMMYFUNCTION("""COMPUTED_VALUE"""),"Noah Fields")</f>
        <v>Noah Fields</v>
      </c>
      <c r="H45" s="3" t="str">
        <f>IFERROR(__xludf.DUMMYFUNCTION("""COMPUTED_VALUE"""),"Matthew Davidson")</f>
        <v>Matthew Davidson</v>
      </c>
      <c r="I45" s="3" t="str">
        <f>IFERROR(__xludf.DUMMYFUNCTION("""COMPUTED_VALUE"""),"Jack McCann")</f>
        <v>Jack McCann</v>
      </c>
      <c r="J45" s="3" t="str">
        <f>IFERROR(__xludf.DUMMYFUNCTION("""COMPUTED_VALUE"""),"Ben Eichberg")</f>
        <v>Ben Eichberg</v>
      </c>
      <c r="K45" s="3" t="str">
        <f>IFERROR(__xludf.DUMMYFUNCTION("""COMPUTED_VALUE"""),"Walker Davis")</f>
        <v>Walker Davis</v>
      </c>
      <c r="L45" s="3" t="str">
        <f>IFERROR(__xludf.DUMMYFUNCTION("""COMPUTED_VALUE"""),"Jacob Rice")</f>
        <v>Jacob Rice</v>
      </c>
      <c r="M45" s="3" t="str">
        <f>IFERROR(__xludf.DUMMYFUNCTION("""COMPUTED_VALUE"""),"Aidan Duffy")</f>
        <v>Aidan Duffy</v>
      </c>
      <c r="N45" s="3" t="str">
        <f>IFERROR(__xludf.DUMMYFUNCTION("""COMPUTED_VALUE"""),"Aidan Duffy")</f>
        <v>Aidan Duffy</v>
      </c>
      <c r="O45" s="3" t="str">
        <f>IFERROR(__xludf.DUMMYFUNCTION("""COMPUTED_VALUE"""),"Sam Rivas")</f>
        <v>Sam Rivas</v>
      </c>
      <c r="W45" s="3" t="str">
        <f>IFERROR(__xludf.DUMMYFUNCTION("""COMPUTED_VALUE"""),"Ethan Roehrle")</f>
        <v>Ethan Roehrle</v>
      </c>
    </row>
    <row r="46">
      <c r="B46" s="3" t="str">
        <f>IFERROR(__xludf.DUMMYFUNCTION("""COMPUTED_VALUE"""),"Colin Clements")</f>
        <v>Colin Clements</v>
      </c>
      <c r="C46" s="3" t="str">
        <f>IFERROR(__xludf.DUMMYFUNCTION("""COMPUTED_VALUE"""),"Stephen Laming")</f>
        <v>Stephen Laming</v>
      </c>
      <c r="D46" s="3" t="str">
        <f>IFERROR(__xludf.DUMMYFUNCTION("""COMPUTED_VALUE"""),"Reid Hutcherson")</f>
        <v>Reid Hutcherson</v>
      </c>
      <c r="E46" s="3" t="str">
        <f>IFERROR(__xludf.DUMMYFUNCTION("""COMPUTED_VALUE"""),"Graham Boyle")</f>
        <v>Graham Boyle</v>
      </c>
      <c r="G46" s="3" t="str">
        <f>IFERROR(__xludf.DUMMYFUNCTION("""COMPUTED_VALUE"""),"Joel Giraudeau")</f>
        <v>Joel Giraudeau</v>
      </c>
      <c r="H46" s="3" t="str">
        <f>IFERROR(__xludf.DUMMYFUNCTION("""COMPUTED_VALUE"""),"Adam Kerr")</f>
        <v>Adam Kerr</v>
      </c>
      <c r="I46" s="3" t="str">
        <f>IFERROR(__xludf.DUMMYFUNCTION("""COMPUTED_VALUE"""),"Colby Mills")</f>
        <v>Colby Mills</v>
      </c>
      <c r="J46" s="3" t="str">
        <f>IFERROR(__xludf.DUMMYFUNCTION("""COMPUTED_VALUE"""),"Kendall Ewing")</f>
        <v>Kendall Ewing</v>
      </c>
      <c r="K46" s="3" t="str">
        <f>IFERROR(__xludf.DUMMYFUNCTION("""COMPUTED_VALUE"""),"Will Ross")</f>
        <v>Will Ross</v>
      </c>
      <c r="L46" s="3" t="str">
        <f>IFERROR(__xludf.DUMMYFUNCTION("""COMPUTED_VALUE"""),"Nathan Wakefield")</f>
        <v>Nathan Wakefield</v>
      </c>
      <c r="M46" s="3" t="str">
        <f>IFERROR(__xludf.DUMMYFUNCTION("""COMPUTED_VALUE"""),"Adam Kerr")</f>
        <v>Adam Kerr</v>
      </c>
      <c r="N46" s="3" t="str">
        <f>IFERROR(__xludf.DUMMYFUNCTION("""COMPUTED_VALUE"""),"Joel Giraudeau")</f>
        <v>Joel Giraudeau</v>
      </c>
      <c r="O46" s="3" t="str">
        <f>IFERROR(__xludf.DUMMYFUNCTION("""COMPUTED_VALUE"""),"Alex Scott")</f>
        <v>Alex Scott</v>
      </c>
      <c r="W46" s="3" t="str">
        <f>IFERROR(__xludf.DUMMYFUNCTION("""COMPUTED_VALUE"""),"Alexander Franklin")</f>
        <v>Alexander Franklin</v>
      </c>
    </row>
    <row r="47">
      <c r="B47" s="3" t="str">
        <f>IFERROR(__xludf.DUMMYFUNCTION("""COMPUTED_VALUE"""),"Dain Ripol")</f>
        <v>Dain Ripol</v>
      </c>
      <c r="C47" s="3" t="str">
        <f>IFERROR(__xludf.DUMMYFUNCTION("""COMPUTED_VALUE"""),"Nicholas Viers")</f>
        <v>Nicholas Viers</v>
      </c>
      <c r="D47" s="3" t="str">
        <f>IFERROR(__xludf.DUMMYFUNCTION("""COMPUTED_VALUE"""),"Eli Tarabocchia")</f>
        <v>Eli Tarabocchia</v>
      </c>
      <c r="E47" s="3" t="str">
        <f>IFERROR(__xludf.DUMMYFUNCTION("""COMPUTED_VALUE"""),"Leo Yang")</f>
        <v>Leo Yang</v>
      </c>
      <c r="G47" s="3" t="str">
        <f>IFERROR(__xludf.DUMMYFUNCTION("""COMPUTED_VALUE"""),"Matthew Davidson")</f>
        <v>Matthew Davidson</v>
      </c>
      <c r="H47" s="3" t="str">
        <f>IFERROR(__xludf.DUMMYFUNCTION("""COMPUTED_VALUE"""),"Nikolas Lee-Bishop")</f>
        <v>Nikolas Lee-Bishop</v>
      </c>
      <c r="I47" s="3" t="str">
        <f>IFERROR(__xludf.DUMMYFUNCTION("""COMPUTED_VALUE"""),"John O'Hara")</f>
        <v>John O'Hara</v>
      </c>
      <c r="J47" s="3" t="str">
        <f>IFERROR(__xludf.DUMMYFUNCTION("""COMPUTED_VALUE"""),"Will Timme")</f>
        <v>Will Timme</v>
      </c>
      <c r="K47" s="3" t="str">
        <f>IFERROR(__xludf.DUMMYFUNCTION("""COMPUTED_VALUE"""),"Cole Younger")</f>
        <v>Cole Younger</v>
      </c>
      <c r="L47" s="3" t="str">
        <f>IFERROR(__xludf.DUMMYFUNCTION("""COMPUTED_VALUE"""),"Shayom Debopadhaya")</f>
        <v>Shayom Debopadhaya</v>
      </c>
      <c r="M47" s="3" t="str">
        <f>IFERROR(__xludf.DUMMYFUNCTION("""COMPUTED_VALUE"""),"Joel Giraudeau")</f>
        <v>Joel Giraudeau</v>
      </c>
      <c r="N47" s="3" t="str">
        <f>IFERROR(__xludf.DUMMYFUNCTION("""COMPUTED_VALUE"""),"Forest Webb")</f>
        <v>Forest Webb</v>
      </c>
      <c r="O47" s="3" t="str">
        <f>IFERROR(__xludf.DUMMYFUNCTION("""COMPUTED_VALUE"""),"Will Baxley")</f>
        <v>Will Baxley</v>
      </c>
      <c r="W47" s="3" t="str">
        <f>IFERROR(__xludf.DUMMYFUNCTION("""COMPUTED_VALUE"""),"Xavier Raymondson")</f>
        <v>Xavier Raymondson</v>
      </c>
    </row>
    <row r="48">
      <c r="B48" s="3" t="str">
        <f>IFERROR(__xludf.DUMMYFUNCTION("""COMPUTED_VALUE"""),"Stephen Laming")</f>
        <v>Stephen Laming</v>
      </c>
      <c r="C48" s="3" t="str">
        <f>IFERROR(__xludf.DUMMYFUNCTION("""COMPUTED_VALUE"""),"Noah Nichols")</f>
        <v>Noah Nichols</v>
      </c>
      <c r="D48" s="3" t="str">
        <f>IFERROR(__xludf.DUMMYFUNCTION("""COMPUTED_VALUE"""),"Sean Hogan")</f>
        <v>Sean Hogan</v>
      </c>
      <c r="E48" s="3" t="str">
        <f>IFERROR(__xludf.DUMMYFUNCTION("""COMPUTED_VALUE"""),"Eli Tarabocchia")</f>
        <v>Eli Tarabocchia</v>
      </c>
      <c r="G48" s="3" t="str">
        <f>IFERROR(__xludf.DUMMYFUNCTION("""COMPUTED_VALUE"""),"Nick Talati")</f>
        <v>Nick Talati</v>
      </c>
      <c r="H48" s="3" t="str">
        <f>IFERROR(__xludf.DUMMYFUNCTION("""COMPUTED_VALUE"""),"Connor Doyle")</f>
        <v>Connor Doyle</v>
      </c>
      <c r="I48" s="3" t="str">
        <f>IFERROR(__xludf.DUMMYFUNCTION("""COMPUTED_VALUE"""),"Jason Menninger")</f>
        <v>Jason Menninger</v>
      </c>
      <c r="J48" s="3" t="str">
        <f>IFERROR(__xludf.DUMMYFUNCTION("""COMPUTED_VALUE"""),"Maxwell Trias")</f>
        <v>Maxwell Trias</v>
      </c>
      <c r="K48" s="3" t="str">
        <f>IFERROR(__xludf.DUMMYFUNCTION("""COMPUTED_VALUE"""),"Atesh Camurdan")</f>
        <v>Atesh Camurdan</v>
      </c>
      <c r="L48" s="3" t="str">
        <f>IFERROR(__xludf.DUMMYFUNCTION("""COMPUTED_VALUE"""),"Reed Sells")</f>
        <v>Reed Sells</v>
      </c>
      <c r="M48" s="3" t="str">
        <f>IFERROR(__xludf.DUMMYFUNCTION("""COMPUTED_VALUE"""),"Noah Fields")</f>
        <v>Noah Fields</v>
      </c>
      <c r="N48" s="3" t="str">
        <f>IFERROR(__xludf.DUMMYFUNCTION("""COMPUTED_VALUE"""),"Noah Fields")</f>
        <v>Noah Fields</v>
      </c>
      <c r="O48" s="3" t="str">
        <f>IFERROR(__xludf.DUMMYFUNCTION("""COMPUTED_VALUE"""),"Brady Lang")</f>
        <v>Brady Lang</v>
      </c>
      <c r="W48" s="3" t="str">
        <f>IFERROR(__xludf.DUMMYFUNCTION("""COMPUTED_VALUE"""),"Vijay Chhabra")</f>
        <v>Vijay Chhabra</v>
      </c>
    </row>
    <row r="49">
      <c r="B49" s="3" t="str">
        <f>IFERROR(__xludf.DUMMYFUNCTION("""COMPUTED_VALUE"""),"Tyler Hill")</f>
        <v>Tyler Hill</v>
      </c>
      <c r="C49" s="3" t="str">
        <f>IFERROR(__xludf.DUMMYFUNCTION("""COMPUTED_VALUE"""),"Tyler Hill")</f>
        <v>Tyler Hill</v>
      </c>
      <c r="D49" s="3" t="str">
        <f>IFERROR(__xludf.DUMMYFUNCTION("""COMPUTED_VALUE"""),"Daniel Chance")</f>
        <v>Daniel Chance</v>
      </c>
      <c r="E49" s="3" t="str">
        <f>IFERROR(__xludf.DUMMYFUNCTION("""COMPUTED_VALUE"""),"Alex Neff")</f>
        <v>Alex Neff</v>
      </c>
      <c r="G49" s="3" t="str">
        <f>IFERROR(__xludf.DUMMYFUNCTION("""COMPUTED_VALUE"""),"Patrick Madden")</f>
        <v>Patrick Madden</v>
      </c>
      <c r="H49" s="3" t="str">
        <f>IFERROR(__xludf.DUMMYFUNCTION("""COMPUTED_VALUE"""),"Luke Daley")</f>
        <v>Luke Daley</v>
      </c>
      <c r="I49" s="3" t="str">
        <f>IFERROR(__xludf.DUMMYFUNCTION("""COMPUTED_VALUE"""),"Jack Sheehan")</f>
        <v>Jack Sheehan</v>
      </c>
      <c r="J49" s="3" t="str">
        <f>IFERROR(__xludf.DUMMYFUNCTION("""COMPUTED_VALUE"""),"Zach Wassmer")</f>
        <v>Zach Wassmer</v>
      </c>
      <c r="K49" s="3" t="str">
        <f>IFERROR(__xludf.DUMMYFUNCTION("""COMPUTED_VALUE"""),"Nathan Wakefield")</f>
        <v>Nathan Wakefield</v>
      </c>
      <c r="L49" s="3" t="str">
        <f>IFERROR(__xludf.DUMMYFUNCTION("""COMPUTED_VALUE"""),"Cole Younger")</f>
        <v>Cole Younger</v>
      </c>
      <c r="M49" s="3" t="str">
        <f>IFERROR(__xludf.DUMMYFUNCTION("""COMPUTED_VALUE"""),"Eli Tarabocchia")</f>
        <v>Eli Tarabocchia</v>
      </c>
      <c r="N49" s="3" t="str">
        <f>IFERROR(__xludf.DUMMYFUNCTION("""COMPUTED_VALUE"""),"Patrick Madden")</f>
        <v>Patrick Madden</v>
      </c>
      <c r="O49" s="3" t="str">
        <f>IFERROR(__xludf.DUMMYFUNCTION("""COMPUTED_VALUE"""),"Jimmy Granger")</f>
        <v>Jimmy Granger</v>
      </c>
      <c r="W49" s="3" t="str">
        <f>IFERROR(__xludf.DUMMYFUNCTION("""COMPUTED_VALUE"""),"Corey Rogness")</f>
        <v>Corey Rogness</v>
      </c>
    </row>
    <row r="50">
      <c r="B50" s="3" t="str">
        <f>IFERROR(__xludf.DUMMYFUNCTION("""COMPUTED_VALUE"""),"Colin Whiting")</f>
        <v>Colin Whiting</v>
      </c>
      <c r="C50" s="3" t="str">
        <f>IFERROR(__xludf.DUMMYFUNCTION("""COMPUTED_VALUE"""),"Sam Parsons")</f>
        <v>Sam Parsons</v>
      </c>
      <c r="D50" s="3" t="str">
        <f>IFERROR(__xludf.DUMMYFUNCTION("""COMPUTED_VALUE"""),"Jack Stelter")</f>
        <v>Jack Stelter</v>
      </c>
      <c r="E50" s="3" t="str">
        <f>IFERROR(__xludf.DUMMYFUNCTION("""COMPUTED_VALUE"""),"Ryan Hillery")</f>
        <v>Ryan Hillery</v>
      </c>
      <c r="G50" s="3" t="str">
        <f>IFERROR(__xludf.DUMMYFUNCTION("""COMPUTED_VALUE"""),"Luke Daley")</f>
        <v>Luke Daley</v>
      </c>
      <c r="H50" s="3" t="str">
        <f>IFERROR(__xludf.DUMMYFUNCTION("""COMPUTED_VALUE"""),"Kevin Bennett")</f>
        <v>Kevin Bennett</v>
      </c>
      <c r="I50" s="3" t="str">
        <f>IFERROR(__xludf.DUMMYFUNCTION("""COMPUTED_VALUE"""),"Will Timme")</f>
        <v>Will Timme</v>
      </c>
      <c r="J50" s="3" t="str">
        <f>IFERROR(__xludf.DUMMYFUNCTION("""COMPUTED_VALUE"""),"Erik Cumpston")</f>
        <v>Erik Cumpston</v>
      </c>
      <c r="K50" s="3" t="str">
        <f>IFERROR(__xludf.DUMMYFUNCTION("""COMPUTED_VALUE"""),"Michael Davis")</f>
        <v>Michael Davis</v>
      </c>
      <c r="L50" s="3" t="str">
        <f>IFERROR(__xludf.DUMMYFUNCTION("""COMPUTED_VALUE"""),"Gavin Lamoureux")</f>
        <v>Gavin Lamoureux</v>
      </c>
      <c r="M50" s="3" t="str">
        <f>IFERROR(__xludf.DUMMYFUNCTION("""COMPUTED_VALUE"""),"Hunter Locher")</f>
        <v>Hunter Locher</v>
      </c>
      <c r="N50" s="3" t="str">
        <f>IFERROR(__xludf.DUMMYFUNCTION("""COMPUTED_VALUE"""),"Daniel Chance")</f>
        <v>Daniel Chance</v>
      </c>
      <c r="O50" s="3" t="str">
        <f>IFERROR(__xludf.DUMMYFUNCTION("""COMPUTED_VALUE"""),"Blake Rouzie")</f>
        <v>Blake Rouzie</v>
      </c>
      <c r="W50" s="3" t="str">
        <f>IFERROR(__xludf.DUMMYFUNCTION("""COMPUTED_VALUE"""),"Preston Hutter")</f>
        <v>Preston Hutter</v>
      </c>
    </row>
    <row r="51">
      <c r="B51" s="3" t="str">
        <f>IFERROR(__xludf.DUMMYFUNCTION("""COMPUTED_VALUE"""),"Spencer Miles")</f>
        <v>Spencer Miles</v>
      </c>
      <c r="C51" s="3" t="str">
        <f>IFERROR(__xludf.DUMMYFUNCTION("""COMPUTED_VALUE"""),"Forest Webb")</f>
        <v>Forest Webb</v>
      </c>
      <c r="D51" s="3" t="str">
        <f>IFERROR(__xludf.DUMMYFUNCTION("""COMPUTED_VALUE"""),"Jacob Sprigg")</f>
        <v>Jacob Sprigg</v>
      </c>
      <c r="E51" s="3" t="str">
        <f>IFERROR(__xludf.DUMMYFUNCTION("""COMPUTED_VALUE"""),"Aidan Duffy")</f>
        <v>Aidan Duffy</v>
      </c>
      <c r="G51" s="3" t="str">
        <f>IFERROR(__xludf.DUMMYFUNCTION("""COMPUTED_VALUE"""),"Clayton Whetstine")</f>
        <v>Clayton Whetstine</v>
      </c>
      <c r="H51" s="3" t="str">
        <f>IFERROR(__xludf.DUMMYFUNCTION("""COMPUTED_VALUE"""),"Andrew Farney")</f>
        <v>Andrew Farney</v>
      </c>
      <c r="I51" s="3" t="str">
        <f>IFERROR(__xludf.DUMMYFUNCTION("""COMPUTED_VALUE"""),"Sam Long")</f>
        <v>Sam Long</v>
      </c>
      <c r="J51" s="3" t="str">
        <f>IFERROR(__xludf.DUMMYFUNCTION("""COMPUTED_VALUE"""),"Nicholas Fillo")</f>
        <v>Nicholas Fillo</v>
      </c>
      <c r="K51" s="3" t="str">
        <f>IFERROR(__xludf.DUMMYFUNCTION("""COMPUTED_VALUE"""),"Connor Brooks")</f>
        <v>Connor Brooks</v>
      </c>
      <c r="L51" s="3" t="str">
        <f>IFERROR(__xludf.DUMMYFUNCTION("""COMPUTED_VALUE"""),"Atesh Camurdan")</f>
        <v>Atesh Camurdan</v>
      </c>
      <c r="M51" s="3" t="str">
        <f>IFERROR(__xludf.DUMMYFUNCTION("""COMPUTED_VALUE"""),"Conor Sokolowsky")</f>
        <v>Conor Sokolowsky</v>
      </c>
      <c r="N51" s="3" t="str">
        <f>IFERROR(__xludf.DUMMYFUNCTION("""COMPUTED_VALUE"""),"Reid Hutcherson")</f>
        <v>Reid Hutcherson</v>
      </c>
      <c r="O51" s="3" t="str">
        <f>IFERROR(__xludf.DUMMYFUNCTION("""COMPUTED_VALUE"""),"JT Lotz")</f>
        <v>JT Lotz</v>
      </c>
      <c r="W51" s="3" t="str">
        <f>IFERROR(__xludf.DUMMYFUNCTION("""COMPUTED_VALUE"""),"Johnathan Walden")</f>
        <v>Johnathan Walden</v>
      </c>
    </row>
    <row r="52">
      <c r="B52" s="3" t="str">
        <f>IFERROR(__xludf.DUMMYFUNCTION("""COMPUTED_VALUE"""),"Sam McKey")</f>
        <v>Sam McKey</v>
      </c>
      <c r="C52" s="3" t="str">
        <f>IFERROR(__xludf.DUMMYFUNCTION("""COMPUTED_VALUE"""),"Leo Yang")</f>
        <v>Leo Yang</v>
      </c>
      <c r="D52" s="3" t="str">
        <f>IFERROR(__xludf.DUMMYFUNCTION("""COMPUTED_VALUE"""),"Patrick Madden")</f>
        <v>Patrick Madden</v>
      </c>
      <c r="E52" s="3" t="str">
        <f>IFERROR(__xludf.DUMMYFUNCTION("""COMPUTED_VALUE"""),"Forest Webb")</f>
        <v>Forest Webb</v>
      </c>
      <c r="G52" s="3" t="str">
        <f>IFERROR(__xludf.DUMMYFUNCTION("""COMPUTED_VALUE"""),"Sean Rocca")</f>
        <v>Sean Rocca</v>
      </c>
      <c r="H52" s="3" t="str">
        <f>IFERROR(__xludf.DUMMYFUNCTION("""COMPUTED_VALUE"""),"Liam Ryan")</f>
        <v>Liam Ryan</v>
      </c>
      <c r="I52" s="3" t="str">
        <f>IFERROR(__xludf.DUMMYFUNCTION("""COMPUTED_VALUE"""),"Lucas Johnson")</f>
        <v>Lucas Johnson</v>
      </c>
      <c r="J52" s="3" t="str">
        <f>IFERROR(__xludf.DUMMYFUNCTION("""COMPUTED_VALUE"""),"Blake Johnson")</f>
        <v>Blake Johnson</v>
      </c>
      <c r="K52" s="3" t="str">
        <f>IFERROR(__xludf.DUMMYFUNCTION("""COMPUTED_VALUE"""),"Austin Clark")</f>
        <v>Austin Clark</v>
      </c>
      <c r="L52" s="3" t="str">
        <f>IFERROR(__xludf.DUMMYFUNCTION("""COMPUTED_VALUE"""),"Kyle Floyd")</f>
        <v>Kyle Floyd</v>
      </c>
      <c r="M52" s="3" t="str">
        <f>IFERROR(__xludf.DUMMYFUNCTION("""COMPUTED_VALUE"""),"Zach Wassmer")</f>
        <v>Zach Wassmer</v>
      </c>
      <c r="N52" s="3" t="str">
        <f>IFERROR(__xludf.DUMMYFUNCTION("""COMPUTED_VALUE"""),"Nick Barrows")</f>
        <v>Nick Barrows</v>
      </c>
      <c r="O52" s="3" t="str">
        <f>IFERROR(__xludf.DUMMYFUNCTION("""COMPUTED_VALUE"""),"Derek Sprincis")</f>
        <v>Derek Sprincis</v>
      </c>
      <c r="W52" s="3" t="str">
        <f>IFERROR(__xludf.DUMMYFUNCTION("""COMPUTED_VALUE"""),"cooper gavin")</f>
        <v>cooper gavin</v>
      </c>
    </row>
    <row r="53">
      <c r="B53" s="3" t="str">
        <f>IFERROR(__xludf.DUMMYFUNCTION("""COMPUTED_VALUE"""),"Miles West")</f>
        <v>Miles West</v>
      </c>
      <c r="C53" s="3" t="str">
        <f>IFERROR(__xludf.DUMMYFUNCTION("""COMPUTED_VALUE"""),"Russell Smith")</f>
        <v>Russell Smith</v>
      </c>
      <c r="D53" s="3" t="str">
        <f>IFERROR(__xludf.DUMMYFUNCTION("""COMPUTED_VALUE"""),"Collin Marks")</f>
        <v>Collin Marks</v>
      </c>
      <c r="E53" s="3" t="str">
        <f>IFERROR(__xludf.DUMMYFUNCTION("""COMPUTED_VALUE"""),"Jacob Sprigg")</f>
        <v>Jacob Sprigg</v>
      </c>
      <c r="G53" s="3" t="str">
        <f>IFERROR(__xludf.DUMMYFUNCTION("""COMPUTED_VALUE"""),"Adam Kerr")</f>
        <v>Adam Kerr</v>
      </c>
      <c r="H53" s="3" t="str">
        <f>IFERROR(__xludf.DUMMYFUNCTION("""COMPUTED_VALUE"""),"Lewis Rockwell")</f>
        <v>Lewis Rockwell</v>
      </c>
      <c r="I53" s="3" t="str">
        <f>IFERROR(__xludf.DUMMYFUNCTION("""COMPUTED_VALUE"""),"Sam Sterling")</f>
        <v>Sam Sterling</v>
      </c>
      <c r="J53" s="3" t="str">
        <f>IFERROR(__xludf.DUMMYFUNCTION("""COMPUTED_VALUE"""),"Jason Menninger")</f>
        <v>Jason Menninger</v>
      </c>
      <c r="K53" s="3" t="str">
        <f>IFERROR(__xludf.DUMMYFUNCTION("""COMPUTED_VALUE"""),"Sam Parsons")</f>
        <v>Sam Parsons</v>
      </c>
      <c r="L53" s="3" t="str">
        <f>IFERROR(__xludf.DUMMYFUNCTION("""COMPUTED_VALUE"""),"Dominic Mistretta")</f>
        <v>Dominic Mistretta</v>
      </c>
      <c r="M53" s="3" t="str">
        <f>IFERROR(__xludf.DUMMYFUNCTION("""COMPUTED_VALUE"""),"Kyle Floyd")</f>
        <v>Kyle Floyd</v>
      </c>
      <c r="N53" s="3" t="str">
        <f>IFERROR(__xludf.DUMMYFUNCTION("""COMPUTED_VALUE"""),"Clayton Whetstine")</f>
        <v>Clayton Whetstine</v>
      </c>
      <c r="O53" s="3" t="str">
        <f>IFERROR(__xludf.DUMMYFUNCTION("""COMPUTED_VALUE"""),"Cameron St. Clair")</f>
        <v>Cameron St. Clair</v>
      </c>
      <c r="W53" s="3" t="str">
        <f>IFERROR(__xludf.DUMMYFUNCTION("""COMPUTED_VALUE"""),"Samuel Johnson")</f>
        <v>Samuel Johnson</v>
      </c>
    </row>
    <row r="54">
      <c r="B54" s="3" t="str">
        <f>IFERROR(__xludf.DUMMYFUNCTION("""COMPUTED_VALUE"""),"Leo Yang")</f>
        <v>Leo Yang</v>
      </c>
      <c r="C54" s="3" t="str">
        <f>IFERROR(__xludf.DUMMYFUNCTION("""COMPUTED_VALUE"""),"Kyle Floyd")</f>
        <v>Kyle Floyd</v>
      </c>
      <c r="D54" s="3" t="str">
        <f>IFERROR(__xludf.DUMMYFUNCTION("""COMPUTED_VALUE"""),"Matthew Davidson")</f>
        <v>Matthew Davidson</v>
      </c>
      <c r="E54" s="3" t="str">
        <f>IFERROR(__xludf.DUMMYFUNCTION("""COMPUTED_VALUE"""),"Aidan Crisci")</f>
        <v>Aidan Crisci</v>
      </c>
      <c r="G54" s="3" t="str">
        <f>IFERROR(__xludf.DUMMYFUNCTION("""COMPUTED_VALUE"""),"Gavin Lamoureux")</f>
        <v>Gavin Lamoureux</v>
      </c>
      <c r="H54" s="3" t="str">
        <f>IFERROR(__xludf.DUMMYFUNCTION("""COMPUTED_VALUE"""),"Reid Hutcherson")</f>
        <v>Reid Hutcherson</v>
      </c>
      <c r="I54" s="3" t="str">
        <f>IFERROR(__xludf.DUMMYFUNCTION("""COMPUTED_VALUE"""),"Colin Whiting")</f>
        <v>Colin Whiting</v>
      </c>
      <c r="J54" s="3" t="str">
        <f>IFERROR(__xludf.DUMMYFUNCTION("""COMPUTED_VALUE"""),"Jerry Jones")</f>
        <v>Jerry Jones</v>
      </c>
      <c r="K54" s="3" t="str">
        <f>IFERROR(__xludf.DUMMYFUNCTION("""COMPUTED_VALUE"""),"Shayom Debopadhaya")</f>
        <v>Shayom Debopadhaya</v>
      </c>
      <c r="L54" s="3" t="str">
        <f>IFERROR(__xludf.DUMMYFUNCTION("""COMPUTED_VALUE"""),"Victor Kontopanos")</f>
        <v>Victor Kontopanos</v>
      </c>
      <c r="M54" s="3" t="str">
        <f>IFERROR(__xludf.DUMMYFUNCTION("""COMPUTED_VALUE"""),"Clayton Whetstine")</f>
        <v>Clayton Whetstine</v>
      </c>
      <c r="N54" s="3" t="str">
        <f>IFERROR(__xludf.DUMMYFUNCTION("""COMPUTED_VALUE"""),"Aidan Crisci")</f>
        <v>Aidan Crisci</v>
      </c>
      <c r="O54" s="3" t="str">
        <f>IFERROR(__xludf.DUMMYFUNCTION("""COMPUTED_VALUE"""),"Kennon Downes")</f>
        <v>Kennon Downes</v>
      </c>
      <c r="W54" s="3" t="str">
        <f>IFERROR(__xludf.DUMMYFUNCTION("""COMPUTED_VALUE"""),"Ben James")</f>
        <v>Ben James</v>
      </c>
    </row>
    <row r="55">
      <c r="B55" s="3" t="str">
        <f>IFERROR(__xludf.DUMMYFUNCTION("""COMPUTED_VALUE"""),"Sean Rocca")</f>
        <v>Sean Rocca</v>
      </c>
      <c r="C55" s="3" t="str">
        <f>IFERROR(__xludf.DUMMYFUNCTION("""COMPUTED_VALUE"""),"Henry Paulson")</f>
        <v>Henry Paulson</v>
      </c>
      <c r="D55" s="3" t="str">
        <f>IFERROR(__xludf.DUMMYFUNCTION("""COMPUTED_VALUE"""),"Corey Rogness")</f>
        <v>Corey Rogness</v>
      </c>
      <c r="E55" s="3" t="str">
        <f>IFERROR(__xludf.DUMMYFUNCTION("""COMPUTED_VALUE"""),"Ethan Stoltz")</f>
        <v>Ethan Stoltz</v>
      </c>
      <c r="G55" s="3" t="str">
        <f>IFERROR(__xludf.DUMMYFUNCTION("""COMPUTED_VALUE"""),"Lucas Johnson")</f>
        <v>Lucas Johnson</v>
      </c>
      <c r="H55" s="3" t="str">
        <f>IFERROR(__xludf.DUMMYFUNCTION("""COMPUTED_VALUE"""),"Matt Duren")</f>
        <v>Matt Duren</v>
      </c>
      <c r="I55" s="3" t="str">
        <f>IFERROR(__xludf.DUMMYFUNCTION("""COMPUTED_VALUE"""),"Erik Cumpston")</f>
        <v>Erik Cumpston</v>
      </c>
      <c r="J55" s="3" t="str">
        <f>IFERROR(__xludf.DUMMYFUNCTION("""COMPUTED_VALUE"""),"Kostas Mateer")</f>
        <v>Kostas Mateer</v>
      </c>
      <c r="K55" s="3" t="str">
        <f>IFERROR(__xludf.DUMMYFUNCTION("""COMPUTED_VALUE"""),"Allen Zachary")</f>
        <v>Allen Zachary</v>
      </c>
      <c r="L55" s="3" t="str">
        <f>IFERROR(__xludf.DUMMYFUNCTION("""COMPUTED_VALUE"""),"Ryan Hillery")</f>
        <v>Ryan Hillery</v>
      </c>
      <c r="M55" s="3" t="str">
        <f>IFERROR(__xludf.DUMMYFUNCTION("""COMPUTED_VALUE"""),"Leo Yang")</f>
        <v>Leo Yang</v>
      </c>
      <c r="N55" s="3" t="str">
        <f>IFERROR(__xludf.DUMMYFUNCTION("""COMPUTED_VALUE"""),"Andrew Turbyfill")</f>
        <v>Andrew Turbyfill</v>
      </c>
      <c r="O55" s="3" t="str">
        <f>IFERROR(__xludf.DUMMYFUNCTION("""COMPUTED_VALUE"""),"Conrad Tan")</f>
        <v>Conrad Tan</v>
      </c>
      <c r="W55" s="3" t="str">
        <f>IFERROR(__xludf.DUMMYFUNCTION("""COMPUTED_VALUE"""),"Trevor Andrewski")</f>
        <v>Trevor Andrewski</v>
      </c>
    </row>
    <row r="56">
      <c r="B56" s="3" t="str">
        <f>IFERROR(__xludf.DUMMYFUNCTION("""COMPUTED_VALUE"""),"Christian Mayr")</f>
        <v>Christian Mayr</v>
      </c>
      <c r="C56" s="3" t="str">
        <f>IFERROR(__xludf.DUMMYFUNCTION("""COMPUTED_VALUE"""),"David McCranie")</f>
        <v>David McCranie</v>
      </c>
      <c r="D56" s="3" t="str">
        <f>IFERROR(__xludf.DUMMYFUNCTION("""COMPUTED_VALUE"""),"Atesh Camurdan")</f>
        <v>Atesh Camurdan</v>
      </c>
      <c r="E56" s="3" t="str">
        <f>IFERROR(__xludf.DUMMYFUNCTION("""COMPUTED_VALUE"""),"Patrick Madden")</f>
        <v>Patrick Madden</v>
      </c>
      <c r="G56" s="3" t="str">
        <f>IFERROR(__xludf.DUMMYFUNCTION("""COMPUTED_VALUE"""),"David McCranie")</f>
        <v>David McCranie</v>
      </c>
      <c r="H56" s="3" t="str">
        <f>IFERROR(__xludf.DUMMYFUNCTION("""COMPUTED_VALUE"""),"Jackson Nester")</f>
        <v>Jackson Nester</v>
      </c>
      <c r="I56" s="3" t="str">
        <f>IFERROR(__xludf.DUMMYFUNCTION("""COMPUTED_VALUE"""),"Jerry Jones")</f>
        <v>Jerry Jones</v>
      </c>
      <c r="J56" s="3" t="str">
        <f>IFERROR(__xludf.DUMMYFUNCTION("""COMPUTED_VALUE"""),"Noah Spain")</f>
        <v>Noah Spain</v>
      </c>
      <c r="K56" s="3" t="str">
        <f>IFERROR(__xludf.DUMMYFUNCTION("""COMPUTED_VALUE"""),"Reed Sells")</f>
        <v>Reed Sells</v>
      </c>
      <c r="L56" s="3" t="str">
        <f>IFERROR(__xludf.DUMMYFUNCTION("""COMPUTED_VALUE"""),"Lucas Johnson")</f>
        <v>Lucas Johnson</v>
      </c>
      <c r="M56" s="3" t="str">
        <f>IFERROR(__xludf.DUMMYFUNCTION("""COMPUTED_VALUE"""),"Flynn Crisci")</f>
        <v>Flynn Crisci</v>
      </c>
      <c r="N56" s="3" t="str">
        <f>IFERROR(__xludf.DUMMYFUNCTION("""COMPUTED_VALUE"""),"Conner Jorgensen")</f>
        <v>Conner Jorgensen</v>
      </c>
      <c r="O56" s="3" t="str">
        <f>IFERROR(__xludf.DUMMYFUNCTION("""COMPUTED_VALUE"""),"Ahmad Woodson")</f>
        <v>Ahmad Woodson</v>
      </c>
      <c r="W56" s="3" t="str">
        <f>IFERROR(__xludf.DUMMYFUNCTION("""COMPUTED_VALUE"""),"Jack Spinnanger")</f>
        <v>Jack Spinnanger</v>
      </c>
    </row>
    <row r="57">
      <c r="B57" s="3" t="str">
        <f>IFERROR(__xludf.DUMMYFUNCTION("""COMPUTED_VALUE"""),"Connor Gleim")</f>
        <v>Connor Gleim</v>
      </c>
      <c r="C57" s="3" t="str">
        <f>IFERROR(__xludf.DUMMYFUNCTION("""COMPUTED_VALUE"""),"Will Ross")</f>
        <v>Will Ross</v>
      </c>
      <c r="D57" s="3" t="str">
        <f>IFERROR(__xludf.DUMMYFUNCTION("""COMPUTED_VALUE"""),"Connor Doyle")</f>
        <v>Connor Doyle</v>
      </c>
      <c r="E57" s="3" t="str">
        <f>IFERROR(__xludf.DUMMYFUNCTION("""COMPUTED_VALUE"""),"Nikolas Lee-Bishop")</f>
        <v>Nikolas Lee-Bishop</v>
      </c>
      <c r="G57" s="3" t="str">
        <f>IFERROR(__xludf.DUMMYFUNCTION("""COMPUTED_VALUE"""),"Kevin Bennett")</f>
        <v>Kevin Bennett</v>
      </c>
      <c r="H57" s="3" t="str">
        <f>IFERROR(__xludf.DUMMYFUNCTION("""COMPUTED_VALUE"""),"Conor Sokolowsky")</f>
        <v>Conor Sokolowsky</v>
      </c>
      <c r="I57" s="3" t="str">
        <f>IFERROR(__xludf.DUMMYFUNCTION("""COMPUTED_VALUE"""),"Chase Hensen")</f>
        <v>Chase Hensen</v>
      </c>
      <c r="J57" s="3" t="str">
        <f>IFERROR(__xludf.DUMMYFUNCTION("""COMPUTED_VALUE"""),"Austin Orange")</f>
        <v>Austin Orange</v>
      </c>
      <c r="K57" s="3" t="str">
        <f>IFERROR(__xludf.DUMMYFUNCTION("""COMPUTED_VALUE"""),"Grayson Daughtry")</f>
        <v>Grayson Daughtry</v>
      </c>
      <c r="L57" s="3" t="str">
        <f>IFERROR(__xludf.DUMMYFUNCTION("""COMPUTED_VALUE"""),"Will Timme")</f>
        <v>Will Timme</v>
      </c>
      <c r="M57" s="3" t="str">
        <f>IFERROR(__xludf.DUMMYFUNCTION("""COMPUTED_VALUE"""),"Tyce Winter")</f>
        <v>Tyce Winter</v>
      </c>
      <c r="N57" s="3" t="str">
        <f>IFERROR(__xludf.DUMMYFUNCTION("""COMPUTED_VALUE"""),"Jacob Rice")</f>
        <v>Jacob Rice</v>
      </c>
      <c r="O57" s="3" t="str">
        <f>IFERROR(__xludf.DUMMYFUNCTION("""COMPUTED_VALUE"""),"Carson Wachtel")</f>
        <v>Carson Wachtel</v>
      </c>
      <c r="W57" s="3" t="str">
        <f>IFERROR(__xludf.DUMMYFUNCTION("""COMPUTED_VALUE"""),"Dalton Cosner")</f>
        <v>Dalton Cosner</v>
      </c>
    </row>
    <row r="58">
      <c r="B58" s="3" t="str">
        <f>IFERROR(__xludf.DUMMYFUNCTION("""COMPUTED_VALUE"""),"Sam Sterling")</f>
        <v>Sam Sterling</v>
      </c>
      <c r="C58" s="3" t="str">
        <f>IFERROR(__xludf.DUMMYFUNCTION("""COMPUTED_VALUE"""),"John O'Hara")</f>
        <v>John O'Hara</v>
      </c>
      <c r="D58" s="3" t="str">
        <f>IFERROR(__xludf.DUMMYFUNCTION("""COMPUTED_VALUE"""),"Jacob Oberle")</f>
        <v>Jacob Oberle</v>
      </c>
      <c r="E58" s="3" t="str">
        <f>IFERROR(__xludf.DUMMYFUNCTION("""COMPUTED_VALUE"""),"Isaac Sudweeks")</f>
        <v>Isaac Sudweeks</v>
      </c>
      <c r="G58" s="3" t="str">
        <f>IFERROR(__xludf.DUMMYFUNCTION("""COMPUTED_VALUE"""),"Liam Ryan")</f>
        <v>Liam Ryan</v>
      </c>
      <c r="H58" s="3" t="str">
        <f>IFERROR(__xludf.DUMMYFUNCTION("""COMPUTED_VALUE"""),"Conner Jorgensen")</f>
        <v>Conner Jorgensen</v>
      </c>
      <c r="I58" s="3" t="str">
        <f>IFERROR(__xludf.DUMMYFUNCTION("""COMPUTED_VALUE"""),"Hunter Locher")</f>
        <v>Hunter Locher</v>
      </c>
      <c r="J58" s="3" t="str">
        <f>IFERROR(__xludf.DUMMYFUNCTION("""COMPUTED_VALUE"""),"Edward Finman")</f>
        <v>Edward Finman</v>
      </c>
      <c r="K58" s="3" t="str">
        <f>IFERROR(__xludf.DUMMYFUNCTION("""COMPUTED_VALUE"""),"Jacob Rice")</f>
        <v>Jacob Rice</v>
      </c>
      <c r="L58" s="3" t="str">
        <f>IFERROR(__xludf.DUMMYFUNCTION("""COMPUTED_VALUE"""),"Parker Hayungs")</f>
        <v>Parker Hayungs</v>
      </c>
      <c r="M58" s="3" t="str">
        <f>IFERROR(__xludf.DUMMYFUNCTION("""COMPUTED_VALUE"""),"Nick Barrows")</f>
        <v>Nick Barrows</v>
      </c>
      <c r="N58" s="3" t="str">
        <f>IFERROR(__xludf.DUMMYFUNCTION("""COMPUTED_VALUE"""),"Luke Daley")</f>
        <v>Luke Daley</v>
      </c>
      <c r="O58" s="3" t="str">
        <f>IFERROR(__xludf.DUMMYFUNCTION("""COMPUTED_VALUE"""),"Jackson Hunter")</f>
        <v>Jackson Hunter</v>
      </c>
      <c r="W58" s="3" t="str">
        <f>IFERROR(__xludf.DUMMYFUNCTION("""COMPUTED_VALUE"""),"Quin Elder")</f>
        <v>Quin Elder</v>
      </c>
    </row>
    <row r="59">
      <c r="B59" s="3" t="str">
        <f>IFERROR(__xludf.DUMMYFUNCTION("""COMPUTED_VALUE"""),"Will Ross")</f>
        <v>Will Ross</v>
      </c>
      <c r="C59" s="3" t="str">
        <f>IFERROR(__xludf.DUMMYFUNCTION("""COMPUTED_VALUE"""),"Collin Marks")</f>
        <v>Collin Marks</v>
      </c>
      <c r="D59" s="3" t="str">
        <f>IFERROR(__xludf.DUMMYFUNCTION("""COMPUTED_VALUE"""),"Connor Smith")</f>
        <v>Connor Smith</v>
      </c>
      <c r="E59" s="3" t="str">
        <f>IFERROR(__xludf.DUMMYFUNCTION("""COMPUTED_VALUE"""),"James Creelman")</f>
        <v>James Creelman</v>
      </c>
      <c r="G59" s="3" t="str">
        <f>IFERROR(__xludf.DUMMYFUNCTION("""COMPUTED_VALUE"""),"Sam Long")</f>
        <v>Sam Long</v>
      </c>
      <c r="H59" s="3" t="str">
        <f>IFERROR(__xludf.DUMMYFUNCTION("""COMPUTED_VALUE"""),"Sean Rocca")</f>
        <v>Sean Rocca</v>
      </c>
      <c r="I59" s="3" t="str">
        <f>IFERROR(__xludf.DUMMYFUNCTION("""COMPUTED_VALUE"""),"Lewis Rockwell")</f>
        <v>Lewis Rockwell</v>
      </c>
      <c r="J59" s="3" t="str">
        <f>IFERROR(__xludf.DUMMYFUNCTION("""COMPUTED_VALUE"""),"Dominic Mistretta")</f>
        <v>Dominic Mistretta</v>
      </c>
      <c r="K59" s="3" t="str">
        <f>IFERROR(__xludf.DUMMYFUNCTION("""COMPUTED_VALUE"""),"Hunter Locher")</f>
        <v>Hunter Locher</v>
      </c>
      <c r="L59" s="3" t="str">
        <f>IFERROR(__xludf.DUMMYFUNCTION("""COMPUTED_VALUE"""),"Landon Ellis")</f>
        <v>Landon Ellis</v>
      </c>
      <c r="M59" s="3" t="str">
        <f>IFERROR(__xludf.DUMMYFUNCTION("""COMPUTED_VALUE"""),"Kostas Mateer")</f>
        <v>Kostas Mateer</v>
      </c>
      <c r="N59" s="3" t="str">
        <f>IFERROR(__xludf.DUMMYFUNCTION("""COMPUTED_VALUE"""),"Noah Nichols")</f>
        <v>Noah Nichols</v>
      </c>
      <c r="O59" s="3" t="str">
        <f>IFERROR(__xludf.DUMMYFUNCTION("""COMPUTED_VALUE"""),"Russell Nystrom")</f>
        <v>Russell Nystrom</v>
      </c>
      <c r="W59" s="3" t="str">
        <f>IFERROR(__xludf.DUMMYFUNCTION("""COMPUTED_VALUE"""),"Jack Stelter")</f>
        <v>Jack Stelter</v>
      </c>
    </row>
    <row r="60">
      <c r="B60" s="3" t="str">
        <f>IFERROR(__xludf.DUMMYFUNCTION("""COMPUTED_VALUE"""),"Alex Neff")</f>
        <v>Alex Neff</v>
      </c>
      <c r="C60" s="3" t="str">
        <f>IFERROR(__xludf.DUMMYFUNCTION("""COMPUTED_VALUE"""),"Gavin Lamoureux")</f>
        <v>Gavin Lamoureux</v>
      </c>
      <c r="D60" s="3" t="str">
        <f>IFERROR(__xludf.DUMMYFUNCTION("""COMPUTED_VALUE"""),"David McCranie")</f>
        <v>David McCranie</v>
      </c>
      <c r="E60" s="3" t="str">
        <f>IFERROR(__xludf.DUMMYFUNCTION("""COMPUTED_VALUE"""),"Luke Daley")</f>
        <v>Luke Daley</v>
      </c>
      <c r="G60" s="3" t="str">
        <f>IFERROR(__xludf.DUMMYFUNCTION("""COMPUTED_VALUE"""),"Lewis Rockwell")</f>
        <v>Lewis Rockwell</v>
      </c>
      <c r="H60" s="3" t="str">
        <f>IFERROR(__xludf.DUMMYFUNCTION("""COMPUTED_VALUE"""),"Alex Neff")</f>
        <v>Alex Neff</v>
      </c>
      <c r="I60" s="3" t="str">
        <f>IFERROR(__xludf.DUMMYFUNCTION("""COMPUTED_VALUE"""),"Noah Spain")</f>
        <v>Noah Spain</v>
      </c>
      <c r="J60" s="3" t="str">
        <f>IFERROR(__xludf.DUMMYFUNCTION("""COMPUTED_VALUE"""),"Sam Sterling")</f>
        <v>Sam Sterling</v>
      </c>
      <c r="K60" s="3" t="str">
        <f>IFERROR(__xludf.DUMMYFUNCTION("""COMPUTED_VALUE"""),"David McCranie")</f>
        <v>David McCranie</v>
      </c>
      <c r="L60" s="3" t="str">
        <f>IFERROR(__xludf.DUMMYFUNCTION("""COMPUTED_VALUE"""),"Conor Sokolowsky")</f>
        <v>Conor Sokolowsky</v>
      </c>
      <c r="M60" s="3" t="str">
        <f>IFERROR(__xludf.DUMMYFUNCTION("""COMPUTED_VALUE"""),"Gavin Lamoureux")</f>
        <v>Gavin Lamoureux</v>
      </c>
      <c r="N60" s="3" t="str">
        <f>IFERROR(__xludf.DUMMYFUNCTION("""COMPUTED_VALUE"""),"Isaac Sudweeks")</f>
        <v>Isaac Sudweeks</v>
      </c>
      <c r="O60" s="3" t="str">
        <f>IFERROR(__xludf.DUMMYFUNCTION("""COMPUTED_VALUE"""),"Logan Euker")</f>
        <v>Logan Euker</v>
      </c>
      <c r="W60" s="3" t="str">
        <f>IFERROR(__xludf.DUMMYFUNCTION("""COMPUTED_VALUE"""),"Logan DeWalt")</f>
        <v>Logan DeWalt</v>
      </c>
    </row>
    <row r="61">
      <c r="B61" s="3" t="str">
        <f>IFERROR(__xludf.DUMMYFUNCTION("""COMPUTED_VALUE"""),"Victor Valovalo")</f>
        <v>Victor Valovalo</v>
      </c>
      <c r="C61" s="3" t="str">
        <f>IFERROR(__xludf.DUMMYFUNCTION("""COMPUTED_VALUE"""),"Sam McKey")</f>
        <v>Sam McKey</v>
      </c>
      <c r="D61" s="3" t="str">
        <f>IFERROR(__xludf.DUMMYFUNCTION("""COMPUTED_VALUE"""),"Kyle Floyd")</f>
        <v>Kyle Floyd</v>
      </c>
      <c r="E61" s="3" t="str">
        <f>IFERROR(__xludf.DUMMYFUNCTION("""COMPUTED_VALUE"""),"Connor Smith")</f>
        <v>Connor Smith</v>
      </c>
      <c r="G61" s="3" t="str">
        <f>IFERROR(__xludf.DUMMYFUNCTION("""COMPUTED_VALUE"""),"Alex Kidd")</f>
        <v>Alex Kidd</v>
      </c>
      <c r="H61" s="3" t="str">
        <f>IFERROR(__xludf.DUMMYFUNCTION("""COMPUTED_VALUE"""),"Ashton Temme")</f>
        <v>Ashton Temme</v>
      </c>
      <c r="I61" s="3" t="str">
        <f>IFERROR(__xludf.DUMMYFUNCTION("""COMPUTED_VALUE"""),"Kostas Mateer")</f>
        <v>Kostas Mateer</v>
      </c>
      <c r="J61" s="3" t="str">
        <f>IFERROR(__xludf.DUMMYFUNCTION("""COMPUTED_VALUE"""),"Alex Kaplan")</f>
        <v>Alex Kaplan</v>
      </c>
      <c r="K61" s="3" t="str">
        <f>IFERROR(__xludf.DUMMYFUNCTION("""COMPUTED_VALUE"""),"Colin Clements")</f>
        <v>Colin Clements</v>
      </c>
      <c r="L61" s="3" t="str">
        <f>IFERROR(__xludf.DUMMYFUNCTION("""COMPUTED_VALUE"""),"Andrew Farney")</f>
        <v>Andrew Farney</v>
      </c>
      <c r="M61" s="3" t="str">
        <f>IFERROR(__xludf.DUMMYFUNCTION("""COMPUTED_VALUE"""),"Collin Feliciano")</f>
        <v>Collin Feliciano</v>
      </c>
      <c r="N61" s="3" t="str">
        <f>IFERROR(__xludf.DUMMYFUNCTION("""COMPUTED_VALUE"""),"Garrett McGovern")</f>
        <v>Garrett McGovern</v>
      </c>
      <c r="W61" s="3" t="str">
        <f>IFERROR(__xludf.DUMMYFUNCTION("""COMPUTED_VALUE"""),"Chris Farrell")</f>
        <v>Chris Farrell</v>
      </c>
    </row>
    <row r="62">
      <c r="B62" s="3" t="str">
        <f>IFERROR(__xludf.DUMMYFUNCTION("""COMPUTED_VALUE"""),"Alexi Gentz")</f>
        <v>Alexi Gentz</v>
      </c>
      <c r="C62" s="3" t="str">
        <f>IFERROR(__xludf.DUMMYFUNCTION("""COMPUTED_VALUE"""),"Alexi Gentz")</f>
        <v>Alexi Gentz</v>
      </c>
      <c r="D62" s="3" t="str">
        <f>IFERROR(__xludf.DUMMYFUNCTION("""COMPUTED_VALUE"""),"Stephen Laming")</f>
        <v>Stephen Laming</v>
      </c>
      <c r="E62" s="3" t="str">
        <f>IFERROR(__xludf.DUMMYFUNCTION("""COMPUTED_VALUE"""),"John O'Hara")</f>
        <v>John O'Hara</v>
      </c>
      <c r="G62" s="3" t="str">
        <f>IFERROR(__xludf.DUMMYFUNCTION("""COMPUTED_VALUE"""),"Connor Doyle")</f>
        <v>Connor Doyle</v>
      </c>
      <c r="H62" s="3" t="str">
        <f>IFERROR(__xludf.DUMMYFUNCTION("""COMPUTED_VALUE"""),"Atesh Camurdan")</f>
        <v>Atesh Camurdan</v>
      </c>
      <c r="I62" s="3" t="str">
        <f>IFERROR(__xludf.DUMMYFUNCTION("""COMPUTED_VALUE"""),"Alex Kaplan")</f>
        <v>Alex Kaplan</v>
      </c>
      <c r="J62" s="3" t="str">
        <f>IFERROR(__xludf.DUMMYFUNCTION("""COMPUTED_VALUE"""),"Liam Ryan")</f>
        <v>Liam Ryan</v>
      </c>
      <c r="K62" s="3" t="str">
        <f>IFERROR(__xludf.DUMMYFUNCTION("""COMPUTED_VALUE"""),"Tyler Hill")</f>
        <v>Tyler Hill</v>
      </c>
      <c r="L62" s="3" t="str">
        <f>IFERROR(__xludf.DUMMYFUNCTION("""COMPUTED_VALUE"""),"Isaac Sudweeks")</f>
        <v>Isaac Sudweeks</v>
      </c>
      <c r="M62" s="3" t="str">
        <f>IFERROR(__xludf.DUMMYFUNCTION("""COMPUTED_VALUE"""),"Chris Kostelni")</f>
        <v>Chris Kostelni</v>
      </c>
      <c r="N62" s="3" t="str">
        <f>IFERROR(__xludf.DUMMYFUNCTION("""COMPUTED_VALUE"""),"Logan Amatruda")</f>
        <v>Logan Amatruda</v>
      </c>
      <c r="W62" s="3" t="str">
        <f>IFERROR(__xludf.DUMMYFUNCTION("""COMPUTED_VALUE"""),"Austin Orange")</f>
        <v>Austin Orange</v>
      </c>
    </row>
    <row r="63">
      <c r="B63" s="3" t="str">
        <f>IFERROR(__xludf.DUMMYFUNCTION("""COMPUTED_VALUE"""),"Sam Parsons")</f>
        <v>Sam Parsons</v>
      </c>
      <c r="C63" s="3" t="str">
        <f>IFERROR(__xludf.DUMMYFUNCTION("""COMPUTED_VALUE"""),"Colin Clements")</f>
        <v>Colin Clements</v>
      </c>
      <c r="D63" s="3" t="str">
        <f>IFERROR(__xludf.DUMMYFUNCTION("""COMPUTED_VALUE"""),"Nathan Wakefield")</f>
        <v>Nathan Wakefield</v>
      </c>
      <c r="E63" s="3" t="str">
        <f>IFERROR(__xludf.DUMMYFUNCTION("""COMPUTED_VALUE"""),"Andrew Farney")</f>
        <v>Andrew Farney</v>
      </c>
      <c r="G63" s="3" t="str">
        <f>IFERROR(__xludf.DUMMYFUNCTION("""COMPUTED_VALUE"""),"Cole Younger")</f>
        <v>Cole Younger</v>
      </c>
      <c r="H63" s="3" t="str">
        <f>IFERROR(__xludf.DUMMYFUNCTION("""COMPUTED_VALUE"""),"Sam Long")</f>
        <v>Sam Long</v>
      </c>
      <c r="I63" s="3" t="str">
        <f>IFERROR(__xludf.DUMMYFUNCTION("""COMPUTED_VALUE"""),"Collin Feliciano")</f>
        <v>Collin Feliciano</v>
      </c>
      <c r="J63" s="3" t="str">
        <f>IFERROR(__xludf.DUMMYFUNCTION("""COMPUTED_VALUE"""),"Chase Hensen")</f>
        <v>Chase Hensen</v>
      </c>
      <c r="K63" s="3" t="str">
        <f>IFERROR(__xludf.DUMMYFUNCTION("""COMPUTED_VALUE"""),"Jacob Sprigg")</f>
        <v>Jacob Sprigg</v>
      </c>
      <c r="L63" s="3" t="str">
        <f>IFERROR(__xludf.DUMMYFUNCTION("""COMPUTED_VALUE"""),"Kostas Mateer")</f>
        <v>Kostas Mateer</v>
      </c>
      <c r="M63" s="3" t="str">
        <f>IFERROR(__xludf.DUMMYFUNCTION("""COMPUTED_VALUE"""),"Conner Jorgensen")</f>
        <v>Conner Jorgensen</v>
      </c>
      <c r="N63" s="3" t="str">
        <f>IFERROR(__xludf.DUMMYFUNCTION("""COMPUTED_VALUE"""),"Kostas Mateer")</f>
        <v>Kostas Mateer</v>
      </c>
      <c r="W63" s="3" t="str">
        <f>IFERROR(__xludf.DUMMYFUNCTION("""COMPUTED_VALUE"""),"Heath Lewis")</f>
        <v>Heath Lewis</v>
      </c>
    </row>
    <row r="64">
      <c r="B64" s="3" t="str">
        <f>IFERROR(__xludf.DUMMYFUNCTION("""COMPUTED_VALUE"""),"Erik Cumpston")</f>
        <v>Erik Cumpston</v>
      </c>
      <c r="C64" s="3" t="str">
        <f>IFERROR(__xludf.DUMMYFUNCTION("""COMPUTED_VALUE"""),"Hunter Sundlun")</f>
        <v>Hunter Sundlun</v>
      </c>
      <c r="D64" s="3" t="str">
        <f>IFERROR(__xludf.DUMMYFUNCTION("""COMPUTED_VALUE"""),"Isaac Sudweeks")</f>
        <v>Isaac Sudweeks</v>
      </c>
      <c r="E64" s="3" t="str">
        <f>IFERROR(__xludf.DUMMYFUNCTION("""COMPUTED_VALUE"""),"Austin Clark")</f>
        <v>Austin Clark</v>
      </c>
      <c r="G64" s="3" t="str">
        <f>IFERROR(__xludf.DUMMYFUNCTION("""COMPUTED_VALUE"""),"Noah Hargrove")</f>
        <v>Noah Hargrove</v>
      </c>
      <c r="H64" s="3" t="str">
        <f>IFERROR(__xludf.DUMMYFUNCTION("""COMPUTED_VALUE"""),"Peyton Wray")</f>
        <v>Peyton Wray</v>
      </c>
      <c r="I64" s="3" t="str">
        <f>IFERROR(__xludf.DUMMYFUNCTION("""COMPUTED_VALUE"""),"Dominic Mistretta")</f>
        <v>Dominic Mistretta</v>
      </c>
      <c r="J64" s="3" t="str">
        <f>IFERROR(__xludf.DUMMYFUNCTION("""COMPUTED_VALUE"""),"Charlie Boykin")</f>
        <v>Charlie Boykin</v>
      </c>
      <c r="K64" s="3" t="str">
        <f>IFERROR(__xludf.DUMMYFUNCTION("""COMPUTED_VALUE"""),"Jacob Oberle")</f>
        <v>Jacob Oberle</v>
      </c>
      <c r="L64" s="3" t="str">
        <f>IFERROR(__xludf.DUMMYFUNCTION("""COMPUTED_VALUE"""),"Lewis Rockwell")</f>
        <v>Lewis Rockwell</v>
      </c>
      <c r="M64" s="3" t="str">
        <f>IFERROR(__xludf.DUMMYFUNCTION("""COMPUTED_VALUE"""),"Blake Johnson")</f>
        <v>Blake Johnson</v>
      </c>
      <c r="N64" s="3" t="str">
        <f>IFERROR(__xludf.DUMMYFUNCTION("""COMPUTED_VALUE"""),"Liam Ryan")</f>
        <v>Liam Ryan</v>
      </c>
      <c r="W64" s="3" t="str">
        <f>IFERROR(__xludf.DUMMYFUNCTION("""COMPUTED_VALUE"""),"Matthew Sweat")</f>
        <v>Matthew Sweat</v>
      </c>
    </row>
    <row r="65">
      <c r="B65" s="3" t="str">
        <f>IFERROR(__xludf.DUMMYFUNCTION("""COMPUTED_VALUE"""),"Hunter Sundlun")</f>
        <v>Hunter Sundlun</v>
      </c>
      <c r="C65" s="3" t="str">
        <f>IFERROR(__xludf.DUMMYFUNCTION("""COMPUTED_VALUE"""),"Blake Johnson")</f>
        <v>Blake Johnson</v>
      </c>
      <c r="D65" s="3" t="str">
        <f>IFERROR(__xludf.DUMMYFUNCTION("""COMPUTED_VALUE"""),"James Creelman")</f>
        <v>James Creelman</v>
      </c>
      <c r="E65" s="3" t="str">
        <f>IFERROR(__xludf.DUMMYFUNCTION("""COMPUTED_VALUE"""),"Charlie Boykin")</f>
        <v>Charlie Boykin</v>
      </c>
      <c r="G65" s="3" t="str">
        <f>IFERROR(__xludf.DUMMYFUNCTION("""COMPUTED_VALUE"""),"Atesh Camurdan")</f>
        <v>Atesh Camurdan</v>
      </c>
      <c r="H65" s="3" t="str">
        <f>IFERROR(__xludf.DUMMYFUNCTION("""COMPUTED_VALUE"""),"Walker Davis")</f>
        <v>Walker Davis</v>
      </c>
      <c r="I65" s="3" t="str">
        <f>IFERROR(__xludf.DUMMYFUNCTION("""COMPUTED_VALUE"""),"Colin Clements")</f>
        <v>Colin Clements</v>
      </c>
      <c r="J65" s="3" t="str">
        <f>IFERROR(__xludf.DUMMYFUNCTION("""COMPUTED_VALUE"""),"Andrew Turbyfill")</f>
        <v>Andrew Turbyfill</v>
      </c>
      <c r="K65" s="3" t="str">
        <f>IFERROR(__xludf.DUMMYFUNCTION("""COMPUTED_VALUE"""),"Noah Ratliff")</f>
        <v>Noah Ratliff</v>
      </c>
      <c r="L65" s="3" t="str">
        <f>IFERROR(__xludf.DUMMYFUNCTION("""COMPUTED_VALUE"""),"Samuel Johnson")</f>
        <v>Samuel Johnson</v>
      </c>
      <c r="M65" s="3" t="str">
        <f>IFERROR(__xludf.DUMMYFUNCTION("""COMPUTED_VALUE"""),"Liam Ryan")</f>
        <v>Liam Ryan</v>
      </c>
      <c r="N65" s="3" t="str">
        <f>IFERROR(__xludf.DUMMYFUNCTION("""COMPUTED_VALUE"""),"Ryan Hillery")</f>
        <v>Ryan Hillery</v>
      </c>
      <c r="W65" s="3" t="str">
        <f>IFERROR(__xludf.DUMMYFUNCTION("""COMPUTED_VALUE"""),"Mason Van Tassell")</f>
        <v>Mason Van Tassell</v>
      </c>
    </row>
    <row r="66">
      <c r="B66" s="3" t="str">
        <f>IFERROR(__xludf.DUMMYFUNCTION("""COMPUTED_VALUE"""),"Paul Southern")</f>
        <v>Paul Southern</v>
      </c>
      <c r="C66" s="3" t="str">
        <f>IFERROR(__xludf.DUMMYFUNCTION("""COMPUTED_VALUE"""),"Sam Sterling")</f>
        <v>Sam Sterling</v>
      </c>
      <c r="D66" s="3" t="str">
        <f>IFERROR(__xludf.DUMMYFUNCTION("""COMPUTED_VALUE"""),"Austin Smith")</f>
        <v>Austin Smith</v>
      </c>
      <c r="E66" s="3" t="str">
        <f>IFERROR(__xludf.DUMMYFUNCTION("""COMPUTED_VALUE"""),"Collin Marks")</f>
        <v>Collin Marks</v>
      </c>
      <c r="G66" s="3" t="str">
        <f>IFERROR(__xludf.DUMMYFUNCTION("""COMPUTED_VALUE"""),"Andrew Farney")</f>
        <v>Andrew Farney</v>
      </c>
      <c r="H66" s="3" t="str">
        <f>IFERROR(__xludf.DUMMYFUNCTION("""COMPUTED_VALUE"""),"Zach Ashby")</f>
        <v>Zach Ashby</v>
      </c>
      <c r="I66" s="3" t="str">
        <f>IFERROR(__xludf.DUMMYFUNCTION("""COMPUTED_VALUE"""),"Logan Deal")</f>
        <v>Logan Deal</v>
      </c>
      <c r="J66" s="3" t="str">
        <f>IFERROR(__xludf.DUMMYFUNCTION("""COMPUTED_VALUE"""),"Ryan Taylor")</f>
        <v>Ryan Taylor</v>
      </c>
      <c r="K66" s="3" t="str">
        <f>IFERROR(__xludf.DUMMYFUNCTION("""COMPUTED_VALUE"""),"Lewis Rockwell")</f>
        <v>Lewis Rockwell</v>
      </c>
      <c r="L66" s="3" t="str">
        <f>IFERROR(__xludf.DUMMYFUNCTION("""COMPUTED_VALUE"""),"Jacob Sprigg")</f>
        <v>Jacob Sprigg</v>
      </c>
      <c r="M66" s="3" t="str">
        <f>IFERROR(__xludf.DUMMYFUNCTION("""COMPUTED_VALUE"""),"Aidan Crisci")</f>
        <v>Aidan Crisci</v>
      </c>
      <c r="N66" s="3" t="str">
        <f>IFERROR(__xludf.DUMMYFUNCTION("""COMPUTED_VALUE"""),"Grayson Daughtry")</f>
        <v>Grayson Daughtry</v>
      </c>
      <c r="W66" s="3" t="str">
        <f>IFERROR(__xludf.DUMMYFUNCTION("""COMPUTED_VALUE"""),"Ben Young")</f>
        <v>Ben Young</v>
      </c>
    </row>
    <row r="67">
      <c r="B67" s="3" t="str">
        <f>IFERROR(__xludf.DUMMYFUNCTION("""COMPUTED_VALUE"""),"Jacob Oberle")</f>
        <v>Jacob Oberle</v>
      </c>
      <c r="C67" s="3" t="str">
        <f>IFERROR(__xludf.DUMMYFUNCTION("""COMPUTED_VALUE"""),"Kendall Ewing")</f>
        <v>Kendall Ewing</v>
      </c>
      <c r="D67" s="3" t="str">
        <f>IFERROR(__xludf.DUMMYFUNCTION("""COMPUTED_VALUE"""),"Sam Parsons")</f>
        <v>Sam Parsons</v>
      </c>
      <c r="E67" s="3" t="str">
        <f>IFERROR(__xludf.DUMMYFUNCTION("""COMPUTED_VALUE"""),"Jackson Nester")</f>
        <v>Jackson Nester</v>
      </c>
      <c r="G67" s="3" t="str">
        <f>IFERROR(__xludf.DUMMYFUNCTION("""COMPUTED_VALUE"""),"Colby Mills")</f>
        <v>Colby Mills</v>
      </c>
      <c r="H67" s="3" t="str">
        <f>IFERROR(__xludf.DUMMYFUNCTION("""COMPUTED_VALUE"""),"Heath Lewis")</f>
        <v>Heath Lewis</v>
      </c>
      <c r="I67" s="3" t="str">
        <f>IFERROR(__xludf.DUMMYFUNCTION("""COMPUTED_VALUE"""),"Edward Finman")</f>
        <v>Edward Finman</v>
      </c>
      <c r="J67" s="3" t="str">
        <f>IFERROR(__xludf.DUMMYFUNCTION("""COMPUTED_VALUE"""),"Jason Seitz")</f>
        <v>Jason Seitz</v>
      </c>
      <c r="K67" s="3" t="str">
        <f>IFERROR(__xludf.DUMMYFUNCTION("""COMPUTED_VALUE"""),"Will Timme")</f>
        <v>Will Timme</v>
      </c>
      <c r="L67" s="3" t="str">
        <f>IFERROR(__xludf.DUMMYFUNCTION("""COMPUTED_VALUE"""),"Erik Kratzer")</f>
        <v>Erik Kratzer</v>
      </c>
      <c r="M67" s="3" t="str">
        <f>IFERROR(__xludf.DUMMYFUNCTION("""COMPUTED_VALUE"""),"Will Timme")</f>
        <v>Will Timme</v>
      </c>
      <c r="N67" s="3" t="str">
        <f>IFERROR(__xludf.DUMMYFUNCTION("""COMPUTED_VALUE"""),"Jackson Nester")</f>
        <v>Jackson Nester</v>
      </c>
      <c r="W67" s="3" t="str">
        <f>IFERROR(__xludf.DUMMYFUNCTION("""COMPUTED_VALUE"""),"Gabriel Ruby")</f>
        <v>Gabriel Ruby</v>
      </c>
    </row>
    <row r="68">
      <c r="B68" s="3" t="str">
        <f>IFERROR(__xludf.DUMMYFUNCTION("""COMPUTED_VALUE"""),"Russell Smith")</f>
        <v>Russell Smith</v>
      </c>
      <c r="C68" s="3" t="str">
        <f>IFERROR(__xludf.DUMMYFUNCTION("""COMPUTED_VALUE"""),"Noah Ratliff")</f>
        <v>Noah Ratliff</v>
      </c>
      <c r="D68" s="3" t="str">
        <f>IFERROR(__xludf.DUMMYFUNCTION("""COMPUTED_VALUE"""),"Austin Clark")</f>
        <v>Austin Clark</v>
      </c>
      <c r="E68" s="3" t="str">
        <f>IFERROR(__xludf.DUMMYFUNCTION("""COMPUTED_VALUE"""),"Corey Rogness")</f>
        <v>Corey Rogness</v>
      </c>
      <c r="G68" s="3" t="str">
        <f>IFERROR(__xludf.DUMMYFUNCTION("""COMPUTED_VALUE"""),"Matt Duren")</f>
        <v>Matt Duren</v>
      </c>
      <c r="H68" s="3" t="str">
        <f>IFERROR(__xludf.DUMMYFUNCTION("""COMPUTED_VALUE"""),"Aubrey Bowles")</f>
        <v>Aubrey Bowles</v>
      </c>
      <c r="I68" s="3" t="str">
        <f>IFERROR(__xludf.DUMMYFUNCTION("""COMPUTED_VALUE"""),"Charlie Boykin")</f>
        <v>Charlie Boykin</v>
      </c>
      <c r="J68" s="3" t="str">
        <f>IFERROR(__xludf.DUMMYFUNCTION("""COMPUTED_VALUE"""),"Davis Wheeler")</f>
        <v>Davis Wheeler</v>
      </c>
      <c r="K68" s="3" t="str">
        <f>IFERROR(__xludf.DUMMYFUNCTION("""COMPUTED_VALUE"""),"Samuel Johnson")</f>
        <v>Samuel Johnson</v>
      </c>
      <c r="L68" s="3" t="str">
        <f>IFERROR(__xludf.DUMMYFUNCTION("""COMPUTED_VALUE"""),"Cooper Muench")</f>
        <v>Cooper Muench</v>
      </c>
      <c r="M68" s="3" t="str">
        <f>IFERROR(__xludf.DUMMYFUNCTION("""COMPUTED_VALUE"""),"Colby Mills")</f>
        <v>Colby Mills</v>
      </c>
      <c r="N68" s="3" t="str">
        <f>IFERROR(__xludf.DUMMYFUNCTION("""COMPUTED_VALUE"""),"Jack Sheehan")</f>
        <v>Jack Sheehan</v>
      </c>
      <c r="W68" s="3" t="str">
        <f>IFERROR(__xludf.DUMMYFUNCTION("""COMPUTED_VALUE"""),"Massimo Serafini")</f>
        <v>Massimo Serafini</v>
      </c>
    </row>
    <row r="69">
      <c r="B69" s="3" t="str">
        <f>IFERROR(__xludf.DUMMYFUNCTION("""COMPUTED_VALUE"""),"Blake Johnson")</f>
        <v>Blake Johnson</v>
      </c>
      <c r="C69" s="3" t="str">
        <f>IFERROR(__xludf.DUMMYFUNCTION("""COMPUTED_VALUE"""),"Reed Sells")</f>
        <v>Reed Sells</v>
      </c>
      <c r="D69" s="3" t="str">
        <f>IFERROR(__xludf.DUMMYFUNCTION("""COMPUTED_VALUE"""),"Hunter Sundlun")</f>
        <v>Hunter Sundlun</v>
      </c>
      <c r="E69" s="3" t="str">
        <f>IFERROR(__xludf.DUMMYFUNCTION("""COMPUTED_VALUE"""),"Joshua Dicken")</f>
        <v>Joshua Dicken</v>
      </c>
      <c r="G69" s="3" t="str">
        <f>IFERROR(__xludf.DUMMYFUNCTION("""COMPUTED_VALUE"""),"Ethan Jones")</f>
        <v>Ethan Jones</v>
      </c>
      <c r="H69" s="3" t="str">
        <f>IFERROR(__xludf.DUMMYFUNCTION("""COMPUTED_VALUE"""),"Kaelig Michel")</f>
        <v>Kaelig Michel</v>
      </c>
      <c r="I69" s="3" t="str">
        <f>IFERROR(__xludf.DUMMYFUNCTION("""COMPUTED_VALUE"""),"Ryan Taylor")</f>
        <v>Ryan Taylor</v>
      </c>
      <c r="J69" s="3" t="str">
        <f>IFERROR(__xludf.DUMMYFUNCTION("""COMPUTED_VALUE"""),"Collin Feliciano")</f>
        <v>Collin Feliciano</v>
      </c>
      <c r="K69" s="3" t="str">
        <f>IFERROR(__xludf.DUMMYFUNCTION("""COMPUTED_VALUE"""),"Preston Trevey")</f>
        <v>Preston Trevey</v>
      </c>
      <c r="L69" s="3" t="str">
        <f>IFERROR(__xludf.DUMMYFUNCTION("""COMPUTED_VALUE"""),"Ashton Temme")</f>
        <v>Ashton Temme</v>
      </c>
      <c r="M69" s="3" t="str">
        <f>IFERROR(__xludf.DUMMYFUNCTION("""COMPUTED_VALUE"""),"Lewis Rockwell")</f>
        <v>Lewis Rockwell</v>
      </c>
      <c r="N69" s="3" t="str">
        <f>IFERROR(__xludf.DUMMYFUNCTION("""COMPUTED_VALUE"""),"Colby Mills")</f>
        <v>Colby Mills</v>
      </c>
      <c r="W69" s="3" t="str">
        <f>IFERROR(__xludf.DUMMYFUNCTION("""COMPUTED_VALUE"""),"Ethan Jones")</f>
        <v>Ethan Jones</v>
      </c>
    </row>
    <row r="70">
      <c r="B70" s="3" t="str">
        <f>IFERROR(__xludf.DUMMYFUNCTION("""COMPUTED_VALUE"""),"Collin Marks")</f>
        <v>Collin Marks</v>
      </c>
      <c r="C70" s="3" t="str">
        <f>IFERROR(__xludf.DUMMYFUNCTION("""COMPUTED_VALUE"""),"Connor Gleim")</f>
        <v>Connor Gleim</v>
      </c>
      <c r="D70" s="3" t="str">
        <f>IFERROR(__xludf.DUMMYFUNCTION("""COMPUTED_VALUE"""),"Jackson Nester")</f>
        <v>Jackson Nester</v>
      </c>
      <c r="E70" s="3" t="str">
        <f>IFERROR(__xludf.DUMMYFUNCTION("""COMPUTED_VALUE"""),"Clayton Whetstine")</f>
        <v>Clayton Whetstine</v>
      </c>
      <c r="G70" s="3" t="str">
        <f>IFERROR(__xludf.DUMMYFUNCTION("""COMPUTED_VALUE"""),"Anderson Broughton")</f>
        <v>Anderson Broughton</v>
      </c>
      <c r="H70" s="3" t="str">
        <f>IFERROR(__xludf.DUMMYFUNCTION("""COMPUTED_VALUE"""),"Matthew Sweat")</f>
        <v>Matthew Sweat</v>
      </c>
      <c r="I70" s="3" t="str">
        <f>IFERROR(__xludf.DUMMYFUNCTION("""COMPUTED_VALUE"""),"Jason Seitz")</f>
        <v>Jason Seitz</v>
      </c>
      <c r="J70" s="3" t="str">
        <f>IFERROR(__xludf.DUMMYFUNCTION("""COMPUTED_VALUE"""),"Daniel Chance")</f>
        <v>Daniel Chance</v>
      </c>
      <c r="K70" s="3" t="str">
        <f>IFERROR(__xludf.DUMMYFUNCTION("""COMPUTED_VALUE"""),"Parker Hayungs")</f>
        <v>Parker Hayungs</v>
      </c>
      <c r="L70" s="3" t="str">
        <f>IFERROR(__xludf.DUMMYFUNCTION("""COMPUTED_VALUE"""),"Sam Parsons")</f>
        <v>Sam Parsons</v>
      </c>
      <c r="M70" s="3" t="str">
        <f>IFERROR(__xludf.DUMMYFUNCTION("""COMPUTED_VALUE"""),"Russell Smith")</f>
        <v>Russell Smith</v>
      </c>
      <c r="N70" s="3" t="str">
        <f>IFERROR(__xludf.DUMMYFUNCTION("""COMPUTED_VALUE"""),"Cole Younger")</f>
        <v>Cole Younger</v>
      </c>
      <c r="W70" s="3" t="str">
        <f>IFERROR(__xludf.DUMMYFUNCTION("""COMPUTED_VALUE"""),"Matt Duren")</f>
        <v>Matt Duren</v>
      </c>
    </row>
    <row r="71">
      <c r="B71" s="3" t="str">
        <f>IFERROR(__xludf.DUMMYFUNCTION("""COMPUTED_VALUE"""),"Erik Kratzer")</f>
        <v>Erik Kratzer</v>
      </c>
      <c r="C71" s="3" t="str">
        <f>IFERROR(__xludf.DUMMYFUNCTION("""COMPUTED_VALUE"""),"Preston Trevey")</f>
        <v>Preston Trevey</v>
      </c>
      <c r="D71" s="3" t="str">
        <f>IFERROR(__xludf.DUMMYFUNCTION("""COMPUTED_VALUE"""),"Noah Ratliff")</f>
        <v>Noah Ratliff</v>
      </c>
      <c r="E71" s="3" t="str">
        <f>IFERROR(__xludf.DUMMYFUNCTION("""COMPUTED_VALUE"""),"Patrick Crowder")</f>
        <v>Patrick Crowder</v>
      </c>
      <c r="G71" s="3" t="str">
        <f>IFERROR(__xludf.DUMMYFUNCTION("""COMPUTED_VALUE"""),"Peyton Wray")</f>
        <v>Peyton Wray</v>
      </c>
      <c r="H71" s="3" t="str">
        <f>IFERROR(__xludf.DUMMYFUNCTION("""COMPUTED_VALUE"""),"Garrett McGovern")</f>
        <v>Garrett McGovern</v>
      </c>
      <c r="I71" s="3" t="str">
        <f>IFERROR(__xludf.DUMMYFUNCTION("""COMPUTED_VALUE"""),"Jacob Winn")</f>
        <v>Jacob Winn</v>
      </c>
      <c r="J71" s="3" t="str">
        <f>IFERROR(__xludf.DUMMYFUNCTION("""COMPUTED_VALUE"""),"Nick Barrows")</f>
        <v>Nick Barrows</v>
      </c>
      <c r="K71" s="3" t="str">
        <f>IFERROR(__xludf.DUMMYFUNCTION("""COMPUTED_VALUE"""),"Brandon Brewer")</f>
        <v>Brandon Brewer</v>
      </c>
      <c r="L71" s="3" t="str">
        <f>IFERROR(__xludf.DUMMYFUNCTION("""COMPUTED_VALUE"""),"Julian Montes")</f>
        <v>Julian Montes</v>
      </c>
      <c r="M71" s="3" t="str">
        <f>IFERROR(__xludf.DUMMYFUNCTION("""COMPUTED_VALUE"""),"Charlie Boykin")</f>
        <v>Charlie Boykin</v>
      </c>
      <c r="N71" s="3" t="str">
        <f>IFERROR(__xludf.DUMMYFUNCTION("""COMPUTED_VALUE"""),"Connor Doyle")</f>
        <v>Connor Doyle</v>
      </c>
      <c r="W71" s="3" t="str">
        <f>IFERROR(__xludf.DUMMYFUNCTION("""COMPUTED_VALUE"""),"Perry Ingraham")</f>
        <v>Perry Ingraham</v>
      </c>
    </row>
    <row r="72">
      <c r="B72" s="3" t="str">
        <f>IFERROR(__xludf.DUMMYFUNCTION("""COMPUTED_VALUE"""),"Christopher Johnson")</f>
        <v>Christopher Johnson</v>
      </c>
      <c r="C72" s="3" t="str">
        <f>IFERROR(__xludf.DUMMYFUNCTION("""COMPUTED_VALUE"""),"Connor Doyle")</f>
        <v>Connor Doyle</v>
      </c>
      <c r="D72" s="3" t="str">
        <f>IFERROR(__xludf.DUMMYFUNCTION("""COMPUTED_VALUE"""),"Ben Eichberg")</f>
        <v>Ben Eichberg</v>
      </c>
      <c r="E72" s="3" t="str">
        <f>IFERROR(__xludf.DUMMYFUNCTION("""COMPUTED_VALUE"""),"Conner Jorgensen")</f>
        <v>Conner Jorgensen</v>
      </c>
      <c r="G72" s="3" t="str">
        <f>IFERROR(__xludf.DUMMYFUNCTION("""COMPUTED_VALUE"""),"Miles West")</f>
        <v>Miles West</v>
      </c>
      <c r="H72" s="3" t="str">
        <f>IFERROR(__xludf.DUMMYFUNCTION("""COMPUTED_VALUE"""),"Alex Kidd")</f>
        <v>Alex Kidd</v>
      </c>
      <c r="I72" s="3" t="str">
        <f>IFERROR(__xludf.DUMMYFUNCTION("""COMPUTED_VALUE"""),"Blake Rouzie")</f>
        <v>Blake Rouzie</v>
      </c>
      <c r="J72" s="3" t="str">
        <f>IFERROR(__xludf.DUMMYFUNCTION("""COMPUTED_VALUE"""),"Ethan Spencer")</f>
        <v>Ethan Spencer</v>
      </c>
      <c r="K72" s="3" t="str">
        <f>IFERROR(__xludf.DUMMYFUNCTION("""COMPUTED_VALUE"""),"Cooper Muench")</f>
        <v>Cooper Muench</v>
      </c>
      <c r="L72" s="3" t="str">
        <f>IFERROR(__xludf.DUMMYFUNCTION("""COMPUTED_VALUE"""),"Anderson Broughton")</f>
        <v>Anderson Broughton</v>
      </c>
      <c r="M72" s="3" t="str">
        <f>IFERROR(__xludf.DUMMYFUNCTION("""COMPUTED_VALUE"""),"Ryan Hillery")</f>
        <v>Ryan Hillery</v>
      </c>
      <c r="N72" s="3" t="str">
        <f>IFERROR(__xludf.DUMMYFUNCTION("""COMPUTED_VALUE"""),"Anderson Broughton")</f>
        <v>Anderson Broughton</v>
      </c>
      <c r="W72" s="3" t="str">
        <f>IFERROR(__xludf.DUMMYFUNCTION("""COMPUTED_VALUE"""),"Aidan Moudry")</f>
        <v>Aidan Moudry</v>
      </c>
    </row>
    <row r="73">
      <c r="B73" s="3" t="str">
        <f>IFERROR(__xludf.DUMMYFUNCTION("""COMPUTED_VALUE"""),"Luke Osleger")</f>
        <v>Luke Osleger</v>
      </c>
      <c r="C73" s="3" t="str">
        <f>IFERROR(__xludf.DUMMYFUNCTION("""COMPUTED_VALUE"""),"Cole Younger")</f>
        <v>Cole Younger</v>
      </c>
      <c r="D73" s="3" t="str">
        <f>IFERROR(__xludf.DUMMYFUNCTION("""COMPUTED_VALUE"""),"Kendall Ewing")</f>
        <v>Kendall Ewing</v>
      </c>
      <c r="E73" s="3" t="str">
        <f>IFERROR(__xludf.DUMMYFUNCTION("""COMPUTED_VALUE"""),"Connor Doyle")</f>
        <v>Connor Doyle</v>
      </c>
      <c r="G73" s="3" t="str">
        <f>IFERROR(__xludf.DUMMYFUNCTION("""COMPUTED_VALUE"""),"Jacob Rice")</f>
        <v>Jacob Rice</v>
      </c>
      <c r="H73" s="3" t="str">
        <f>IFERROR(__xludf.DUMMYFUNCTION("""COMPUTED_VALUE"""),"David McCranie")</f>
        <v>David McCranie</v>
      </c>
      <c r="I73" s="3" t="str">
        <f>IFERROR(__xludf.DUMMYFUNCTION("""COMPUTED_VALUE"""),"Austin Orange")</f>
        <v>Austin Orange</v>
      </c>
      <c r="J73" s="3" t="str">
        <f>IFERROR(__xludf.DUMMYFUNCTION("""COMPUTED_VALUE"""),"Victor Kontopanos")</f>
        <v>Victor Kontopanos</v>
      </c>
      <c r="K73" s="3" t="str">
        <f>IFERROR(__xludf.DUMMYFUNCTION("""COMPUTED_VALUE"""),"Ryan Hillery")</f>
        <v>Ryan Hillery</v>
      </c>
      <c r="L73" s="3" t="str">
        <f>IFERROR(__xludf.DUMMYFUNCTION("""COMPUTED_VALUE"""),"Reid Schattgen")</f>
        <v>Reid Schattgen</v>
      </c>
      <c r="M73" s="3" t="str">
        <f>IFERROR(__xludf.DUMMYFUNCTION("""COMPUTED_VALUE"""),"Sam Parsons")</f>
        <v>Sam Parsons</v>
      </c>
      <c r="N73" s="3" t="str">
        <f>IFERROR(__xludf.DUMMYFUNCTION("""COMPUTED_VALUE"""),"Charlie Boykin")</f>
        <v>Charlie Boykin</v>
      </c>
      <c r="W73" s="3" t="str">
        <f>IFERROR(__xludf.DUMMYFUNCTION("""COMPUTED_VALUE"""),"AJ Schwabe")</f>
        <v>AJ Schwabe</v>
      </c>
    </row>
    <row r="74">
      <c r="B74" s="3" t="str">
        <f>IFERROR(__xludf.DUMMYFUNCTION("""COMPUTED_VALUE"""),"Ben Eichberg")</f>
        <v>Ben Eichberg</v>
      </c>
      <c r="C74" s="3" t="str">
        <f>IFERROR(__xludf.DUMMYFUNCTION("""COMPUTED_VALUE"""),"Jacob Oberle")</f>
        <v>Jacob Oberle</v>
      </c>
      <c r="D74" s="3" t="str">
        <f>IFERROR(__xludf.DUMMYFUNCTION("""COMPUTED_VALUE"""),"Clayton Whetstine")</f>
        <v>Clayton Whetstine</v>
      </c>
      <c r="E74" s="3" t="str">
        <f>IFERROR(__xludf.DUMMYFUNCTION("""COMPUTED_VALUE"""),"Logan Amatruda")</f>
        <v>Logan Amatruda</v>
      </c>
      <c r="G74" s="3" t="str">
        <f>IFERROR(__xludf.DUMMYFUNCTION("""COMPUTED_VALUE"""),"Heath Lewis")</f>
        <v>Heath Lewis</v>
      </c>
      <c r="H74" s="3" t="str">
        <f>IFERROR(__xludf.DUMMYFUNCTION("""COMPUTED_VALUE"""),"Alexander Franklin")</f>
        <v>Alexander Franklin</v>
      </c>
      <c r="I74" s="3" t="str">
        <f>IFERROR(__xludf.DUMMYFUNCTION("""COMPUTED_VALUE"""),"Russell Smith")</f>
        <v>Russell Smith</v>
      </c>
      <c r="J74" s="3" t="str">
        <f>IFERROR(__xludf.DUMMYFUNCTION("""COMPUTED_VALUE"""),"Stephen Wallach")</f>
        <v>Stephen Wallach</v>
      </c>
      <c r="K74" s="3" t="str">
        <f>IFERROR(__xludf.DUMMYFUNCTION("""COMPUTED_VALUE"""),"Tate Snyder")</f>
        <v>Tate Snyder</v>
      </c>
      <c r="L74" s="3" t="str">
        <f>IFERROR(__xludf.DUMMYFUNCTION("""COMPUTED_VALUE"""),"Michael Davis")</f>
        <v>Michael Davis</v>
      </c>
      <c r="M74" s="3" t="str">
        <f>IFERROR(__xludf.DUMMYFUNCTION("""COMPUTED_VALUE"""),"Jerry Jones")</f>
        <v>Jerry Jones</v>
      </c>
      <c r="N74" s="3" t="str">
        <f>IFERROR(__xludf.DUMMYFUNCTION("""COMPUTED_VALUE"""),"Collin Feliciano")</f>
        <v>Collin Feliciano</v>
      </c>
      <c r="W74" s="3" t="str">
        <f>IFERROR(__xludf.DUMMYFUNCTION("""COMPUTED_VALUE"""),"Zach Ashby")</f>
        <v>Zach Ashby</v>
      </c>
    </row>
    <row r="75">
      <c r="B75" s="3" t="str">
        <f>IFERROR(__xludf.DUMMYFUNCTION("""COMPUTED_VALUE"""),"Kendall Ewing")</f>
        <v>Kendall Ewing</v>
      </c>
      <c r="C75" s="3" t="str">
        <f>IFERROR(__xludf.DUMMYFUNCTION("""COMPUTED_VALUE"""),"Atesh Camurdan")</f>
        <v>Atesh Camurdan</v>
      </c>
      <c r="D75" s="3" t="str">
        <f>IFERROR(__xludf.DUMMYFUNCTION("""COMPUTED_VALUE"""),"Russell Smith")</f>
        <v>Russell Smith</v>
      </c>
      <c r="E75" s="3" t="str">
        <f>IFERROR(__xludf.DUMMYFUNCTION("""COMPUTED_VALUE"""),"Peyton Wray")</f>
        <v>Peyton Wray</v>
      </c>
      <c r="G75" s="3" t="str">
        <f>IFERROR(__xludf.DUMMYFUNCTION("""COMPUTED_VALUE"""),"Hunter Sundlun")</f>
        <v>Hunter Sundlun</v>
      </c>
      <c r="H75" s="3" t="str">
        <f>IFERROR(__xludf.DUMMYFUNCTION("""COMPUTED_VALUE"""),"Jacob Rice")</f>
        <v>Jacob Rice</v>
      </c>
      <c r="I75" s="3" t="str">
        <f>IFERROR(__xludf.DUMMYFUNCTION("""COMPUTED_VALUE"""),"Davis Wheeler")</f>
        <v>Davis Wheeler</v>
      </c>
      <c r="J75" s="3" t="str">
        <f>IFERROR(__xludf.DUMMYFUNCTION("""COMPUTED_VALUE"""),"Vijay Chhabra")</f>
        <v>Vijay Chhabra</v>
      </c>
      <c r="K75" s="3" t="str">
        <f>IFERROR(__xludf.DUMMYFUNCTION("""COMPUTED_VALUE"""),"Hunter Sundlun")</f>
        <v>Hunter Sundlun</v>
      </c>
      <c r="L75" s="3" t="str">
        <f>IFERROR(__xludf.DUMMYFUNCTION("""COMPUTED_VALUE"""),"Nick Barrows")</f>
        <v>Nick Barrows</v>
      </c>
      <c r="M75" s="3" t="str">
        <f>IFERROR(__xludf.DUMMYFUNCTION("""COMPUTED_VALUE"""),"Jacob Rice")</f>
        <v>Jacob Rice</v>
      </c>
      <c r="N75" s="3" t="str">
        <f>IFERROR(__xludf.DUMMYFUNCTION("""COMPUTED_VALUE"""),"Jason Menninger")</f>
        <v>Jason Menninger</v>
      </c>
      <c r="W75" s="3" t="str">
        <f>IFERROR(__xludf.DUMMYFUNCTION("""COMPUTED_VALUE"""),"Connor Brooks")</f>
        <v>Connor Brooks</v>
      </c>
    </row>
    <row r="76">
      <c r="B76" s="3" t="str">
        <f>IFERROR(__xludf.DUMMYFUNCTION("""COMPUTED_VALUE"""),"John O'Hara")</f>
        <v>John O'Hara</v>
      </c>
      <c r="C76" s="3" t="str">
        <f>IFERROR(__xludf.DUMMYFUNCTION("""COMPUTED_VALUE"""),"Spencer Miles")</f>
        <v>Spencer Miles</v>
      </c>
      <c r="D76" s="3" t="str">
        <f>IFERROR(__xludf.DUMMYFUNCTION("""COMPUTED_VALUE"""),"Will Ross")</f>
        <v>Will Ross</v>
      </c>
      <c r="E76" s="3" t="str">
        <f>IFERROR(__xludf.DUMMYFUNCTION("""COMPUTED_VALUE"""),"Aubrey Bowles")</f>
        <v>Aubrey Bowles</v>
      </c>
      <c r="G76" s="3" t="str">
        <f>IFERROR(__xludf.DUMMYFUNCTION("""COMPUTED_VALUE"""),"Michael Davis")</f>
        <v>Michael Davis</v>
      </c>
      <c r="H76" s="3" t="str">
        <f>IFERROR(__xludf.DUMMYFUNCTION("""COMPUTED_VALUE"""),"Anderson Broughton")</f>
        <v>Anderson Broughton</v>
      </c>
      <c r="I76" s="3" t="str">
        <f>IFERROR(__xludf.DUMMYFUNCTION("""COMPUTED_VALUE"""),"Nick Barrows")</f>
        <v>Nick Barrows</v>
      </c>
      <c r="J76" s="3" t="str">
        <f>IFERROR(__xludf.DUMMYFUNCTION("""COMPUTED_VALUE"""),"Logan Deal")</f>
        <v>Logan Deal</v>
      </c>
      <c r="K76" s="3" t="str">
        <f>IFERROR(__xludf.DUMMYFUNCTION("""COMPUTED_VALUE"""),"Dominic Mistretta")</f>
        <v>Dominic Mistretta</v>
      </c>
      <c r="L76" s="3" t="str">
        <f>IFERROR(__xludf.DUMMYFUNCTION("""COMPUTED_VALUE"""),"Ethan Stoltz")</f>
        <v>Ethan Stoltz</v>
      </c>
      <c r="M76" s="3" t="str">
        <f>IFERROR(__xludf.DUMMYFUNCTION("""COMPUTED_VALUE"""),"Jason Menninger")</f>
        <v>Jason Menninger</v>
      </c>
      <c r="N76" s="3" t="str">
        <f>IFERROR(__xludf.DUMMYFUNCTION("""COMPUTED_VALUE"""),"Hunter Locher")</f>
        <v>Hunter Locher</v>
      </c>
      <c r="W76" s="3" t="str">
        <f>IFERROR(__xludf.DUMMYFUNCTION("""COMPUTED_VALUE"""),"Jake Blackburn")</f>
        <v>Jake Blackburn</v>
      </c>
    </row>
    <row r="77">
      <c r="B77" s="3" t="str">
        <f>IFERROR(__xludf.DUMMYFUNCTION("""COMPUTED_VALUE"""),"Ethan Roehrle")</f>
        <v>Ethan Roehrle</v>
      </c>
      <c r="C77" s="3" t="str">
        <f>IFERROR(__xludf.DUMMYFUNCTION("""COMPUTED_VALUE"""),"Erik Kratzer")</f>
        <v>Erik Kratzer</v>
      </c>
      <c r="D77" s="3" t="str">
        <f>IFERROR(__xludf.DUMMYFUNCTION("""COMPUTED_VALUE"""),"Sean Rocca")</f>
        <v>Sean Rocca</v>
      </c>
      <c r="E77" s="3" t="str">
        <f>IFERROR(__xludf.DUMMYFUNCTION("""COMPUTED_VALUE"""),"Jacob Teer")</f>
        <v>Jacob Teer</v>
      </c>
      <c r="G77" s="3" t="str">
        <f>IFERROR(__xludf.DUMMYFUNCTION("""COMPUTED_VALUE"""),"John O'Hara")</f>
        <v>John O'Hara</v>
      </c>
      <c r="H77" s="3" t="str">
        <f>IFERROR(__xludf.DUMMYFUNCTION("""COMPUTED_VALUE"""),"Declan Young")</f>
        <v>Declan Young</v>
      </c>
      <c r="I77" s="3" t="str">
        <f>IFERROR(__xludf.DUMMYFUNCTION("""COMPUTED_VALUE"""),"Andrew Turbyfill")</f>
        <v>Andrew Turbyfill</v>
      </c>
      <c r="J77" s="3" t="str">
        <f>IFERROR(__xludf.DUMMYFUNCTION("""COMPUTED_VALUE"""),"Michael Wood")</f>
        <v>Michael Wood</v>
      </c>
      <c r="K77" s="3" t="str">
        <f>IFERROR(__xludf.DUMMYFUNCTION("""COMPUTED_VALUE"""),"Ashton Temme")</f>
        <v>Ashton Temme</v>
      </c>
      <c r="L77" s="3" t="str">
        <f>IFERROR(__xludf.DUMMYFUNCTION("""COMPUTED_VALUE"""),"Justin Geiszler")</f>
        <v>Justin Geiszler</v>
      </c>
      <c r="M77" s="3" t="str">
        <f>IFERROR(__xludf.DUMMYFUNCTION("""COMPUTED_VALUE"""),"Hunter Sundlun")</f>
        <v>Hunter Sundlun</v>
      </c>
      <c r="N77" s="3" t="str">
        <f>IFERROR(__xludf.DUMMYFUNCTION("""COMPUTED_VALUE"""),"Will Timme")</f>
        <v>Will Timme</v>
      </c>
      <c r="W77" s="3" t="str">
        <f>IFERROR(__xludf.DUMMYFUNCTION("""COMPUTED_VALUE"""),"Michael Davis")</f>
        <v>Michael Davis</v>
      </c>
    </row>
    <row r="78">
      <c r="B78" s="3" t="str">
        <f>IFERROR(__xludf.DUMMYFUNCTION("""COMPUTED_VALUE"""),"Alexander Franklin")</f>
        <v>Alexander Franklin</v>
      </c>
      <c r="C78" s="3" t="str">
        <f>IFERROR(__xludf.DUMMYFUNCTION("""COMPUTED_VALUE"""),"Miles West")</f>
        <v>Miles West</v>
      </c>
      <c r="D78" s="3" t="str">
        <f>IFERROR(__xludf.DUMMYFUNCTION("""COMPUTED_VALUE"""),"Graham Boyle")</f>
        <v>Graham Boyle</v>
      </c>
      <c r="E78" s="3" t="str">
        <f>IFERROR(__xludf.DUMMYFUNCTION("""COMPUTED_VALUE"""),"AJ Schwabe")</f>
        <v>AJ Schwabe</v>
      </c>
      <c r="G78" s="3" t="str">
        <f>IFERROR(__xludf.DUMMYFUNCTION("""COMPUTED_VALUE"""),"Russell Smith")</f>
        <v>Russell Smith</v>
      </c>
      <c r="H78" s="3" t="str">
        <f>IFERROR(__xludf.DUMMYFUNCTION("""COMPUTED_VALUE"""),"Austin Orange")</f>
        <v>Austin Orange</v>
      </c>
      <c r="I78" s="3" t="str">
        <f>IFERROR(__xludf.DUMMYFUNCTION("""COMPUTED_VALUE"""),"Andy Lee")</f>
        <v>Andy Lee</v>
      </c>
      <c r="J78" s="3" t="str">
        <f>IFERROR(__xludf.DUMMYFUNCTION("""COMPUTED_VALUE"""),"cooper gavin")</f>
        <v>cooper gavin</v>
      </c>
      <c r="K78" s="3" t="str">
        <f>IFERROR(__xludf.DUMMYFUNCTION("""COMPUTED_VALUE"""),"Ethan Stoltz")</f>
        <v>Ethan Stoltz</v>
      </c>
      <c r="L78" s="3" t="str">
        <f>IFERROR(__xludf.DUMMYFUNCTION("""COMPUTED_VALUE"""),"Logan Amatruda")</f>
        <v>Logan Amatruda</v>
      </c>
      <c r="M78" s="3" t="str">
        <f>IFERROR(__xludf.DUMMYFUNCTION("""COMPUTED_VALUE"""),"Colin Whiting")</f>
        <v>Colin Whiting</v>
      </c>
      <c r="N78" s="3" t="str">
        <f>IFERROR(__xludf.DUMMYFUNCTION("""COMPUTED_VALUE"""),"Nicholas Fillo")</f>
        <v>Nicholas Fillo</v>
      </c>
      <c r="W78" s="3" t="str">
        <f>IFERROR(__xludf.DUMMYFUNCTION("""COMPUTED_VALUE"""),"Derek Lang")</f>
        <v>Derek Lang</v>
      </c>
    </row>
    <row r="79">
      <c r="B79" s="3" t="str">
        <f>IFERROR(__xludf.DUMMYFUNCTION("""COMPUTED_VALUE"""),"Xavier Raymondson")</f>
        <v>Xavier Raymondson</v>
      </c>
      <c r="C79" s="3" t="str">
        <f>IFERROR(__xludf.DUMMYFUNCTION("""COMPUTED_VALUE"""),"Alex Neff")</f>
        <v>Alex Neff</v>
      </c>
      <c r="D79" s="3" t="str">
        <f>IFERROR(__xludf.DUMMYFUNCTION("""COMPUTED_VALUE"""),"AJ Schwabe")</f>
        <v>AJ Schwabe</v>
      </c>
      <c r="E79" s="3" t="str">
        <f>IFERROR(__xludf.DUMMYFUNCTION("""COMPUTED_VALUE"""),"Jacob Miller")</f>
        <v>Jacob Miller</v>
      </c>
      <c r="G79" s="3" t="str">
        <f>IFERROR(__xludf.DUMMYFUNCTION("""COMPUTED_VALUE"""),"Zach Ashby")</f>
        <v>Zach Ashby</v>
      </c>
      <c r="H79" s="3" t="str">
        <f>IFERROR(__xludf.DUMMYFUNCTION("""COMPUTED_VALUE"""),"Ethan Jones")</f>
        <v>Ethan Jones</v>
      </c>
      <c r="I79" s="3" t="str">
        <f>IFERROR(__xludf.DUMMYFUNCTION("""COMPUTED_VALUE"""),"Tyler Hill")</f>
        <v>Tyler Hill</v>
      </c>
      <c r="J79" s="3" t="str">
        <f>IFERROR(__xludf.DUMMYFUNCTION("""COMPUTED_VALUE"""),"Charlie Cross")</f>
        <v>Charlie Cross</v>
      </c>
      <c r="K79" s="3" t="str">
        <f>IFERROR(__xludf.DUMMYFUNCTION("""COMPUTED_VALUE"""),"Erik Kratzer")</f>
        <v>Erik Kratzer</v>
      </c>
      <c r="L79" s="3" t="str">
        <f>IFERROR(__xludf.DUMMYFUNCTION("""COMPUTED_VALUE"""),"Will Baxley")</f>
        <v>Will Baxley</v>
      </c>
      <c r="M79" s="3" t="str">
        <f>IFERROR(__xludf.DUMMYFUNCTION("""COMPUTED_VALUE"""),"Austin Clark")</f>
        <v>Austin Clark</v>
      </c>
      <c r="N79" s="3" t="str">
        <f>IFERROR(__xludf.DUMMYFUNCTION("""COMPUTED_VALUE"""),"Noah Spain")</f>
        <v>Noah Spain</v>
      </c>
      <c r="W79" s="3" t="str">
        <f>IFERROR(__xludf.DUMMYFUNCTION("""COMPUTED_VALUE"""),"Tim Higgins")</f>
        <v>Tim Higgins</v>
      </c>
    </row>
    <row r="80">
      <c r="B80" s="3" t="str">
        <f>IFERROR(__xludf.DUMMYFUNCTION("""COMPUTED_VALUE"""),"Vijay Chhabra")</f>
        <v>Vijay Chhabra</v>
      </c>
      <c r="C80" s="3" t="str">
        <f>IFERROR(__xludf.DUMMYFUNCTION("""COMPUTED_VALUE"""),"Ethan Roehrle")</f>
        <v>Ethan Roehrle</v>
      </c>
      <c r="D80" s="3" t="str">
        <f>IFERROR(__xludf.DUMMYFUNCTION("""COMPUTED_VALUE"""),"Sam Sterling")</f>
        <v>Sam Sterling</v>
      </c>
      <c r="E80" s="3" t="str">
        <f>IFERROR(__xludf.DUMMYFUNCTION("""COMPUTED_VALUE"""),"Nick Zolovick")</f>
        <v>Nick Zolovick</v>
      </c>
      <c r="G80" s="3" t="str">
        <f>IFERROR(__xludf.DUMMYFUNCTION("""COMPUTED_VALUE"""),"Henry Paulson")</f>
        <v>Henry Paulson</v>
      </c>
      <c r="H80" s="3" t="str">
        <f>IFERROR(__xludf.DUMMYFUNCTION("""COMPUTED_VALUE"""),"Colin Schmidt")</f>
        <v>Colin Schmidt</v>
      </c>
      <c r="I80" s="3" t="str">
        <f>IFERROR(__xludf.DUMMYFUNCTION("""COMPUTED_VALUE"""),"Brock Rempe")</f>
        <v>Brock Rempe</v>
      </c>
      <c r="J80" s="3" t="str">
        <f>IFERROR(__xludf.DUMMYFUNCTION("""COMPUTED_VALUE"""),"Colby Mills")</f>
        <v>Colby Mills</v>
      </c>
      <c r="K80" s="3" t="str">
        <f>IFERROR(__xludf.DUMMYFUNCTION("""COMPUTED_VALUE"""),"Leo Yang")</f>
        <v>Leo Yang</v>
      </c>
      <c r="L80" s="3" t="str">
        <f>IFERROR(__xludf.DUMMYFUNCTION("""COMPUTED_VALUE"""),"Brandon Brewer")</f>
        <v>Brandon Brewer</v>
      </c>
      <c r="M80" s="3" t="str">
        <f>IFERROR(__xludf.DUMMYFUNCTION("""COMPUTED_VALUE"""),"Andrew Turbyfill")</f>
        <v>Andrew Turbyfill</v>
      </c>
      <c r="N80" s="3" t="str">
        <f>IFERROR(__xludf.DUMMYFUNCTION("""COMPUTED_VALUE"""),"Jacob Teer")</f>
        <v>Jacob Teer</v>
      </c>
      <c r="W80" s="3" t="str">
        <f>IFERROR(__xludf.DUMMYFUNCTION("""COMPUTED_VALUE"""),"Conrad Tan")</f>
        <v>Conrad Tan</v>
      </c>
    </row>
    <row r="81">
      <c r="B81" s="3" t="str">
        <f>IFERROR(__xludf.DUMMYFUNCTION("""COMPUTED_VALUE"""),"Corey Rogness")</f>
        <v>Corey Rogness</v>
      </c>
      <c r="C81" s="3" t="str">
        <f>IFERROR(__xludf.DUMMYFUNCTION("""COMPUTED_VALUE"""),"Preston Hutter")</f>
        <v>Preston Hutter</v>
      </c>
      <c r="D81" s="3" t="str">
        <f>IFERROR(__xludf.DUMMYFUNCTION("""COMPUTED_VALUE"""),"Erik Kratzer")</f>
        <v>Erik Kratzer</v>
      </c>
      <c r="E81" s="3" t="str">
        <f>IFERROR(__xludf.DUMMYFUNCTION("""COMPUTED_VALUE"""),"Logan Deal")</f>
        <v>Logan Deal</v>
      </c>
      <c r="G81" s="3" t="str">
        <f>IFERROR(__xludf.DUMMYFUNCTION("""COMPUTED_VALUE"""),"Shayom Debopadhaya")</f>
        <v>Shayom Debopadhaya</v>
      </c>
      <c r="H81" s="3" t="str">
        <f>IFERROR(__xludf.DUMMYFUNCTION("""COMPUTED_VALUE"""),"Michael Davis")</f>
        <v>Michael Davis</v>
      </c>
      <c r="I81" s="3" t="str">
        <f>IFERROR(__xludf.DUMMYFUNCTION("""COMPUTED_VALUE"""),"Nicholas Fillo")</f>
        <v>Nicholas Fillo</v>
      </c>
      <c r="J81" s="3" t="str">
        <f>IFERROR(__xludf.DUMMYFUNCTION("""COMPUTED_VALUE"""),"Blake Rouzie")</f>
        <v>Blake Rouzie</v>
      </c>
      <c r="K81" s="3" t="str">
        <f>IFERROR(__xludf.DUMMYFUNCTION("""COMPUTED_VALUE"""),"Alex Kidd")</f>
        <v>Alex Kidd</v>
      </c>
      <c r="L81" s="3" t="str">
        <f>IFERROR(__xludf.DUMMYFUNCTION("""COMPUTED_VALUE"""),"Alex Scott")</f>
        <v>Alex Scott</v>
      </c>
      <c r="M81" s="3" t="str">
        <f>IFERROR(__xludf.DUMMYFUNCTION("""COMPUTED_VALUE"""),"Declan Young")</f>
        <v>Declan Young</v>
      </c>
      <c r="N81" s="3" t="str">
        <f>IFERROR(__xludf.DUMMYFUNCTION("""COMPUTED_VALUE"""),"Ethan Spencer")</f>
        <v>Ethan Spencer</v>
      </c>
      <c r="W81" s="3" t="str">
        <f>IFERROR(__xludf.DUMMYFUNCTION("""COMPUTED_VALUE"""),"Jonathan Bettis")</f>
        <v>Jonathan Bettis</v>
      </c>
    </row>
    <row r="82">
      <c r="B82" s="3" t="str">
        <f>IFERROR(__xludf.DUMMYFUNCTION("""COMPUTED_VALUE"""),"Preston Hutter")</f>
        <v>Preston Hutter</v>
      </c>
      <c r="C82" s="3" t="str">
        <f>IFERROR(__xludf.DUMMYFUNCTION("""COMPUTED_VALUE"""),"Samuel Johnson")</f>
        <v>Samuel Johnson</v>
      </c>
      <c r="D82" s="3" t="str">
        <f>IFERROR(__xludf.DUMMYFUNCTION("""COMPUTED_VALUE"""),"Caleb Thomas")</f>
        <v>Caleb Thomas</v>
      </c>
      <c r="E82" s="3" t="str">
        <f>IFERROR(__xludf.DUMMYFUNCTION("""COMPUTED_VALUE"""),"Reid Schattgen")</f>
        <v>Reid Schattgen</v>
      </c>
      <c r="G82" s="3" t="str">
        <f>IFERROR(__xludf.DUMMYFUNCTION("""COMPUTED_VALUE"""),"Xavier Raymondson")</f>
        <v>Xavier Raymondson</v>
      </c>
      <c r="H82" s="3" t="str">
        <f>IFERROR(__xludf.DUMMYFUNCTION("""COMPUTED_VALUE"""),"Joe Manley")</f>
        <v>Joe Manley</v>
      </c>
      <c r="I82" s="3" t="str">
        <f>IFERROR(__xludf.DUMMYFUNCTION("""COMPUTED_VALUE"""),"Alexander Franklin")</f>
        <v>Alexander Franklin</v>
      </c>
      <c r="J82" s="3" t="str">
        <f>IFERROR(__xludf.DUMMYFUNCTION("""COMPUTED_VALUE"""),"Carter Bunting")</f>
        <v>Carter Bunting</v>
      </c>
      <c r="K82" s="3" t="str">
        <f>IFERROR(__xludf.DUMMYFUNCTION("""COMPUTED_VALUE"""),"Edward Finman")</f>
        <v>Edward Finman</v>
      </c>
      <c r="L82" s="3" t="str">
        <f>IFERROR(__xludf.DUMMYFUNCTION("""COMPUTED_VALUE"""),"Alex Stanley")</f>
        <v>Alex Stanley</v>
      </c>
      <c r="M82" s="3" t="str">
        <f>IFERROR(__xludf.DUMMYFUNCTION("""COMPUTED_VALUE"""),"Alexander Franklin")</f>
        <v>Alexander Franklin</v>
      </c>
      <c r="N82" s="3" t="str">
        <f>IFERROR(__xludf.DUMMYFUNCTION("""COMPUTED_VALUE"""),"Cameron Adams")</f>
        <v>Cameron Adams</v>
      </c>
      <c r="W82" s="3" t="str">
        <f>IFERROR(__xludf.DUMMYFUNCTION("""COMPUTED_VALUE"""),"Thomas McGowan")</f>
        <v>Thomas McGowan</v>
      </c>
    </row>
    <row r="83">
      <c r="B83" s="3" t="str">
        <f>IFERROR(__xludf.DUMMYFUNCTION("""COMPUTED_VALUE"""),"Johnathan Walden")</f>
        <v>Johnathan Walden</v>
      </c>
      <c r="C83" s="3" t="str">
        <f>IFERROR(__xludf.DUMMYFUNCTION("""COMPUTED_VALUE"""),"Ben Eichberg")</f>
        <v>Ben Eichberg</v>
      </c>
      <c r="D83" s="3" t="str">
        <f>IFERROR(__xludf.DUMMYFUNCTION("""COMPUTED_VALUE"""),"Aidan Crisci")</f>
        <v>Aidan Crisci</v>
      </c>
      <c r="E83" s="3" t="str">
        <f>IFERROR(__xludf.DUMMYFUNCTION("""COMPUTED_VALUE"""),"Justin Geiszler")</f>
        <v>Justin Geiszler</v>
      </c>
      <c r="G83" s="3" t="str">
        <f>IFERROR(__xludf.DUMMYFUNCTION("""COMPUTED_VALUE"""),"Stephen Laming")</f>
        <v>Stephen Laming</v>
      </c>
      <c r="H83" s="3" t="str">
        <f>IFERROR(__xludf.DUMMYFUNCTION("""COMPUTED_VALUE"""),"Lucas Johnson")</f>
        <v>Lucas Johnson</v>
      </c>
      <c r="I83" s="3" t="str">
        <f>IFERROR(__xludf.DUMMYFUNCTION("""COMPUTED_VALUE"""),"Charlie Cross")</f>
        <v>Charlie Cross</v>
      </c>
      <c r="J83" s="3" t="str">
        <f>IFERROR(__xludf.DUMMYFUNCTION("""COMPUTED_VALUE"""),"Preston Hudak")</f>
        <v>Preston Hudak</v>
      </c>
      <c r="K83" s="3" t="str">
        <f>IFERROR(__xludf.DUMMYFUNCTION("""COMPUTED_VALUE"""),"Ethan Roehrle")</f>
        <v>Ethan Roehrle</v>
      </c>
      <c r="L83" s="3" t="str">
        <f>IFERROR(__xludf.DUMMYFUNCTION("""COMPUTED_VALUE"""),"Ethan Roehrle")</f>
        <v>Ethan Roehrle</v>
      </c>
      <c r="M83" s="3" t="str">
        <f>IFERROR(__xludf.DUMMYFUNCTION("""COMPUTED_VALUE"""),"Maxwell Trias")</f>
        <v>Maxwell Trias</v>
      </c>
      <c r="N83" s="3" t="str">
        <f>IFERROR(__xludf.DUMMYFUNCTION("""COMPUTED_VALUE"""),"Davis Wheeler")</f>
        <v>Davis Wheeler</v>
      </c>
      <c r="W83" s="3" t="str">
        <f>IFERROR(__xludf.DUMMYFUNCTION("""COMPUTED_VALUE"""),"Teddy Cross")</f>
        <v>Teddy Cross</v>
      </c>
    </row>
    <row r="84">
      <c r="B84" s="3" t="str">
        <f>IFERROR(__xludf.DUMMYFUNCTION("""COMPUTED_VALUE"""),"cooper gavin")</f>
        <v>cooper gavin</v>
      </c>
      <c r="C84" s="3" t="str">
        <f>IFERROR(__xludf.DUMMYFUNCTION("""COMPUTED_VALUE"""),"Sean Rocca")</f>
        <v>Sean Rocca</v>
      </c>
      <c r="D84" s="3" t="str">
        <f>IFERROR(__xludf.DUMMYFUNCTION("""COMPUTED_VALUE"""),"Alex Kidd")</f>
        <v>Alex Kidd</v>
      </c>
      <c r="E84" s="3" t="str">
        <f>IFERROR(__xludf.DUMMYFUNCTION("""COMPUTED_VALUE"""),"Landon Ellis")</f>
        <v>Landon Ellis</v>
      </c>
      <c r="G84" s="3" t="str">
        <f>IFERROR(__xludf.DUMMYFUNCTION("""COMPUTED_VALUE"""),"Christopher Johnson")</f>
        <v>Christopher Johnson</v>
      </c>
      <c r="H84" s="3" t="str">
        <f>IFERROR(__xludf.DUMMYFUNCTION("""COMPUTED_VALUE"""),"Christopher Johnson")</f>
        <v>Christopher Johnson</v>
      </c>
      <c r="I84" s="3" t="str">
        <f>IFERROR(__xludf.DUMMYFUNCTION("""COMPUTED_VALUE"""),"Trevor Andrewski")</f>
        <v>Trevor Andrewski</v>
      </c>
      <c r="J84" s="3" t="str">
        <f>IFERROR(__xludf.DUMMYFUNCTION("""COMPUTED_VALUE"""),"Tim Higgins")</f>
        <v>Tim Higgins</v>
      </c>
      <c r="K84" s="3" t="str">
        <f>IFERROR(__xludf.DUMMYFUNCTION("""COMPUTED_VALUE"""),"Blakely Dean")</f>
        <v>Blakely Dean</v>
      </c>
      <c r="L84" s="3" t="str">
        <f>IFERROR(__xludf.DUMMYFUNCTION("""COMPUTED_VALUE"""),"Will Ross")</f>
        <v>Will Ross</v>
      </c>
      <c r="M84" s="3" t="str">
        <f>IFERROR(__xludf.DUMMYFUNCTION("""COMPUTED_VALUE"""),"Shayom Debopadhaya")</f>
        <v>Shayom Debopadhaya</v>
      </c>
      <c r="N84" s="3" t="str">
        <f>IFERROR(__xludf.DUMMYFUNCTION("""COMPUTED_VALUE"""),"Matthew Sweat")</f>
        <v>Matthew Sweat</v>
      </c>
      <c r="W84" s="3" t="str">
        <f>IFERROR(__xludf.DUMMYFUNCTION("""COMPUTED_VALUE"""),"Nicolas Noto")</f>
        <v>Nicolas Noto</v>
      </c>
    </row>
    <row r="85">
      <c r="B85" s="3" t="str">
        <f>IFERROR(__xludf.DUMMYFUNCTION("""COMPUTED_VALUE"""),"Samuel Johnson")</f>
        <v>Samuel Johnson</v>
      </c>
      <c r="C85" s="3" t="str">
        <f>IFERROR(__xludf.DUMMYFUNCTION("""COMPUTED_VALUE"""),"Corey Rogness")</f>
        <v>Corey Rogness</v>
      </c>
      <c r="D85" s="3" t="str">
        <f>IFERROR(__xludf.DUMMYFUNCTION("""COMPUTED_VALUE"""),"Parker Hayungs")</f>
        <v>Parker Hayungs</v>
      </c>
      <c r="E85" s="3" t="str">
        <f>IFERROR(__xludf.DUMMYFUNCTION("""COMPUTED_VALUE"""),"John Reed")</f>
        <v>John Reed</v>
      </c>
      <c r="G85" s="3" t="str">
        <f>IFERROR(__xludf.DUMMYFUNCTION("""COMPUTED_VALUE"""),"Matthew Sweat")</f>
        <v>Matthew Sweat</v>
      </c>
      <c r="H85" s="3" t="str">
        <f>IFERROR(__xludf.DUMMYFUNCTION("""COMPUTED_VALUE"""),"James Creelman")</f>
        <v>James Creelman</v>
      </c>
      <c r="I85" s="3" t="str">
        <f>IFERROR(__xludf.DUMMYFUNCTION("""COMPUTED_VALUE"""),"Ethan Spencer")</f>
        <v>Ethan Spencer</v>
      </c>
      <c r="J85" s="3" t="str">
        <f>IFERROR(__xludf.DUMMYFUNCTION("""COMPUTED_VALUE"""),"Andy Lee")</f>
        <v>Andy Lee</v>
      </c>
      <c r="K85" s="3" t="str">
        <f>IFERROR(__xludf.DUMMYFUNCTION("""COMPUTED_VALUE"""),"Johnathan Walden")</f>
        <v>Johnathan Walden</v>
      </c>
      <c r="L85" s="3" t="str">
        <f>IFERROR(__xludf.DUMMYFUNCTION("""COMPUTED_VALUE"""),"Connor Brooks")</f>
        <v>Connor Brooks</v>
      </c>
      <c r="M85" s="3" t="str">
        <f>IFERROR(__xludf.DUMMYFUNCTION("""COMPUTED_VALUE"""),"Davis Wheeler")</f>
        <v>Davis Wheeler</v>
      </c>
      <c r="N85" s="3" t="str">
        <f>IFERROR(__xludf.DUMMYFUNCTION("""COMPUTED_VALUE"""),"Nick Zolovick")</f>
        <v>Nick Zolovick</v>
      </c>
      <c r="W85" s="3" t="str">
        <f>IFERROR(__xludf.DUMMYFUNCTION("""COMPUTED_VALUE"""),"Fletcher Marshall")</f>
        <v>Fletcher Marshall</v>
      </c>
    </row>
    <row r="86">
      <c r="B86" s="3" t="str">
        <f>IFERROR(__xludf.DUMMYFUNCTION("""COMPUTED_VALUE"""),"Ben James")</f>
        <v>Ben James</v>
      </c>
      <c r="C86" s="3" t="str">
        <f>IFERROR(__xludf.DUMMYFUNCTION("""COMPUTED_VALUE"""),"Christian Mayr")</f>
        <v>Christian Mayr</v>
      </c>
      <c r="D86" s="3" t="str">
        <f>IFERROR(__xludf.DUMMYFUNCTION("""COMPUTED_VALUE"""),"Derek Lang")</f>
        <v>Derek Lang</v>
      </c>
      <c r="E86" s="3" t="str">
        <f>IFERROR(__xludf.DUMMYFUNCTION("""COMPUTED_VALUE"""),"Erik Kratzer")</f>
        <v>Erik Kratzer</v>
      </c>
      <c r="G86" s="3" t="str">
        <f>IFERROR(__xludf.DUMMYFUNCTION("""COMPUTED_VALUE"""),"Declan Young")</f>
        <v>Declan Young</v>
      </c>
      <c r="H86" s="3" t="str">
        <f>IFERROR(__xludf.DUMMYFUNCTION("""COMPUTED_VALUE"""),"Colby Mills")</f>
        <v>Colby Mills</v>
      </c>
      <c r="I86" s="3" t="str">
        <f>IFERROR(__xludf.DUMMYFUNCTION("""COMPUTED_VALUE"""),"Victor Valovalo")</f>
        <v>Victor Valovalo</v>
      </c>
      <c r="J86" s="3" t="str">
        <f>IFERROR(__xludf.DUMMYFUNCTION("""COMPUTED_VALUE"""),"Conrad Tan")</f>
        <v>Conrad Tan</v>
      </c>
      <c r="K86" s="3" t="str">
        <f>IFERROR(__xludf.DUMMYFUNCTION("""COMPUTED_VALUE"""),"Declan Young")</f>
        <v>Declan Young</v>
      </c>
      <c r="L86" s="3" t="str">
        <f>IFERROR(__xludf.DUMMYFUNCTION("""COMPUTED_VALUE"""),"Jackson Nester")</f>
        <v>Jackson Nester</v>
      </c>
      <c r="M86" s="3" t="str">
        <f>IFERROR(__xludf.DUMMYFUNCTION("""COMPUTED_VALUE"""),"Jason Seitz")</f>
        <v>Jason Seitz</v>
      </c>
      <c r="N86" s="3" t="str">
        <f>IFERROR(__xludf.DUMMYFUNCTION("""COMPUTED_VALUE"""),"Alex Stanley")</f>
        <v>Alex Stanley</v>
      </c>
      <c r="W86" s="3" t="str">
        <f>IFERROR(__xludf.DUMMYFUNCTION("""COMPUTED_VALUE"""),"Garrett Pendleton")</f>
        <v>Garrett Pendleton</v>
      </c>
    </row>
    <row r="87">
      <c r="B87" s="3" t="str">
        <f>IFERROR(__xludf.DUMMYFUNCTION("""COMPUTED_VALUE"""),"Trevor Andrewski")</f>
        <v>Trevor Andrewski</v>
      </c>
      <c r="C87" s="3" t="str">
        <f>IFERROR(__xludf.DUMMYFUNCTION("""COMPUTED_VALUE"""),"Ben Young")</f>
        <v>Ben Young</v>
      </c>
      <c r="D87" s="3" t="str">
        <f>IFERROR(__xludf.DUMMYFUNCTION("""COMPUTED_VALUE"""),"Ethan Stoltz")</f>
        <v>Ethan Stoltz</v>
      </c>
      <c r="E87" s="3" t="str">
        <f>IFERROR(__xludf.DUMMYFUNCTION("""COMPUTED_VALUE"""),"Cameron Adams")</f>
        <v>Cameron Adams</v>
      </c>
      <c r="G87" s="3" t="str">
        <f>IFERROR(__xludf.DUMMYFUNCTION("""COMPUTED_VALUE"""),"Paul Datovech")</f>
        <v>Paul Datovech</v>
      </c>
      <c r="H87" s="3" t="str">
        <f>IFERROR(__xludf.DUMMYFUNCTION("""COMPUTED_VALUE"""),"Jacob Oberle")</f>
        <v>Jacob Oberle</v>
      </c>
      <c r="I87" s="3" t="str">
        <f>IFERROR(__xludf.DUMMYFUNCTION("""COMPUTED_VALUE"""),"Jake Blackburn")</f>
        <v>Jake Blackburn</v>
      </c>
      <c r="J87" s="3" t="str">
        <f>IFERROR(__xludf.DUMMYFUNCTION("""COMPUTED_VALUE"""),"Declan Young")</f>
        <v>Declan Young</v>
      </c>
      <c r="K87" s="3" t="str">
        <f>IFERROR(__xludf.DUMMYFUNCTION("""COMPUTED_VALUE"""),"Stephen Laming")</f>
        <v>Stephen Laming</v>
      </c>
      <c r="L87" s="3" t="str">
        <f>IFERROR(__xludf.DUMMYFUNCTION("""COMPUTED_VALUE"""),"Kobe Nguyen")</f>
        <v>Kobe Nguyen</v>
      </c>
      <c r="M87" s="3" t="str">
        <f>IFERROR(__xludf.DUMMYFUNCTION("""COMPUTED_VALUE"""),"Walker Davis")</f>
        <v>Walker Davis</v>
      </c>
      <c r="N87" s="3" t="str">
        <f>IFERROR(__xludf.DUMMYFUNCTION("""COMPUTED_VALUE"""),"James Creelman")</f>
        <v>James Creelman</v>
      </c>
      <c r="W87" s="3" t="str">
        <f>IFERROR(__xludf.DUMMYFUNCTION("""COMPUTED_VALUE"""),"Patrick Crowder")</f>
        <v>Patrick Crowder</v>
      </c>
    </row>
    <row r="88">
      <c r="B88" s="3" t="str">
        <f>IFERROR(__xludf.DUMMYFUNCTION("""COMPUTED_VALUE"""),"Jack Spinnanger")</f>
        <v>Jack Spinnanger</v>
      </c>
      <c r="C88" s="3" t="str">
        <f>IFERROR(__xludf.DUMMYFUNCTION("""COMPUTED_VALUE"""),"Parker Hayungs")</f>
        <v>Parker Hayungs</v>
      </c>
      <c r="D88" s="3" t="str">
        <f>IFERROR(__xludf.DUMMYFUNCTION("""COMPUTED_VALUE"""),"Ethan Roehrle")</f>
        <v>Ethan Roehrle</v>
      </c>
      <c r="E88" s="3" t="str">
        <f>IFERROR(__xludf.DUMMYFUNCTION("""COMPUTED_VALUE"""),"Andrew Turbyfill")</f>
        <v>Andrew Turbyfill</v>
      </c>
      <c r="G88" s="3" t="str">
        <f>IFERROR(__xludf.DUMMYFUNCTION("""COMPUTED_VALUE"""),"Aubrey Bowles")</f>
        <v>Aubrey Bowles</v>
      </c>
      <c r="H88" s="3" t="str">
        <f>IFERROR(__xludf.DUMMYFUNCTION("""COMPUTED_VALUE"""),"Andrew Chaikin")</f>
        <v>Andrew Chaikin</v>
      </c>
      <c r="I88" s="3" t="str">
        <f>IFERROR(__xludf.DUMMYFUNCTION("""COMPUTED_VALUE"""),"Preston Hudak")</f>
        <v>Preston Hudak</v>
      </c>
      <c r="J88" s="3" t="str">
        <f>IFERROR(__xludf.DUMMYFUNCTION("""COMPUTED_VALUE"""),"Michael Senter")</f>
        <v>Michael Senter</v>
      </c>
      <c r="K88" s="3" t="str">
        <f>IFERROR(__xludf.DUMMYFUNCTION("""COMPUTED_VALUE"""),"Jackson Sitton")</f>
        <v>Jackson Sitton</v>
      </c>
      <c r="L88" s="3" t="str">
        <f>IFERROR(__xludf.DUMMYFUNCTION("""COMPUTED_VALUE"""),"Sam Rivas")</f>
        <v>Sam Rivas</v>
      </c>
      <c r="M88" s="3" t="str">
        <f>IFERROR(__xludf.DUMMYFUNCTION("""COMPUTED_VALUE"""),"Henry Paulson")</f>
        <v>Henry Paulson</v>
      </c>
      <c r="N88" s="3" t="str">
        <f>IFERROR(__xludf.DUMMYFUNCTION("""COMPUTED_VALUE"""),"Peyton Wray")</f>
        <v>Peyton Wray</v>
      </c>
      <c r="W88" s="3" t="str">
        <f>IFERROR(__xludf.DUMMYFUNCTION("""COMPUTED_VALUE"""),"Charlie Cross")</f>
        <v>Charlie Cross</v>
      </c>
    </row>
    <row r="89">
      <c r="B89" s="3" t="str">
        <f>IFERROR(__xludf.DUMMYFUNCTION("""COMPUTED_VALUE"""),"Dalton Cosner")</f>
        <v>Dalton Cosner</v>
      </c>
      <c r="C89" s="3" t="str">
        <f>IFERROR(__xludf.DUMMYFUNCTION("""COMPUTED_VALUE"""),"Jack Sheehan")</f>
        <v>Jack Sheehan</v>
      </c>
      <c r="D89" s="3" t="str">
        <f>IFERROR(__xludf.DUMMYFUNCTION("""COMPUTED_VALUE"""),"Jackson Sitton")</f>
        <v>Jackson Sitton</v>
      </c>
      <c r="E89" s="3" t="str">
        <f>IFERROR(__xludf.DUMMYFUNCTION("""COMPUTED_VALUE"""),"Alex Kidd")</f>
        <v>Alex Kidd</v>
      </c>
      <c r="G89" s="3" t="str">
        <f>IFERROR(__xludf.DUMMYFUNCTION("""COMPUTED_VALUE"""),"Colin Schmidt")</f>
        <v>Colin Schmidt</v>
      </c>
      <c r="H89" s="3" t="str">
        <f>IFERROR(__xludf.DUMMYFUNCTION("""COMPUTED_VALUE"""),"Davis Jobe")</f>
        <v>Davis Jobe</v>
      </c>
      <c r="I89" s="3" t="str">
        <f>IFERROR(__xludf.DUMMYFUNCTION("""COMPUTED_VALUE"""),"Carter Bunting")</f>
        <v>Carter Bunting</v>
      </c>
      <c r="J89" s="3" t="str">
        <f>IFERROR(__xludf.DUMMYFUNCTION("""COMPUTED_VALUE"""),"Ryan Deavers")</f>
        <v>Ryan Deavers</v>
      </c>
      <c r="K89" s="3" t="str">
        <f>IFERROR(__xludf.DUMMYFUNCTION("""COMPUTED_VALUE"""),"Justin Geiszler")</f>
        <v>Justin Geiszler</v>
      </c>
      <c r="L89" s="3" t="str">
        <f>IFERROR(__xludf.DUMMYFUNCTION("""COMPUTED_VALUE"""),"cooper gavin")</f>
        <v>cooper gavin</v>
      </c>
      <c r="M89" s="3" t="str">
        <f>IFERROR(__xludf.DUMMYFUNCTION("""COMPUTED_VALUE"""),"Sean Rocca")</f>
        <v>Sean Rocca</v>
      </c>
      <c r="N89" s="3" t="str">
        <f>IFERROR(__xludf.DUMMYFUNCTION("""COMPUTED_VALUE"""),"Abel Buell")</f>
        <v>Abel Buell</v>
      </c>
      <c r="W89" s="3" t="str">
        <f>IFERROR(__xludf.DUMMYFUNCTION("""COMPUTED_VALUE"""),"Shayom Debopadhaya")</f>
        <v>Shayom Debopadhaya</v>
      </c>
    </row>
    <row r="90">
      <c r="B90" s="3" t="str">
        <f>IFERROR(__xludf.DUMMYFUNCTION("""COMPUTED_VALUE"""),"Quin Elder")</f>
        <v>Quin Elder</v>
      </c>
      <c r="C90" s="3" t="str">
        <f>IFERROR(__xludf.DUMMYFUNCTION("""COMPUTED_VALUE"""),"Trevor Andrewski")</f>
        <v>Trevor Andrewski</v>
      </c>
      <c r="D90" s="3" t="str">
        <f>IFERROR(__xludf.DUMMYFUNCTION("""COMPUTED_VALUE"""),"Kevin Bennett")</f>
        <v>Kevin Bennett</v>
      </c>
      <c r="E90" s="3" t="str">
        <f>IFERROR(__xludf.DUMMYFUNCTION("""COMPUTED_VALUE"""),"Jackson Sitton")</f>
        <v>Jackson Sitton</v>
      </c>
      <c r="G90" s="3" t="str">
        <f>IFERROR(__xludf.DUMMYFUNCTION("""COMPUTED_VALUE"""),"Jack Spinnanger")</f>
        <v>Jack Spinnanger</v>
      </c>
      <c r="H90" s="3" t="str">
        <f>IFERROR(__xludf.DUMMYFUNCTION("""COMPUTED_VALUE"""),"Jack Spinnanger")</f>
        <v>Jack Spinnanger</v>
      </c>
      <c r="I90" s="3" t="str">
        <f>IFERROR(__xludf.DUMMYFUNCTION("""COMPUTED_VALUE"""),"Sam McKey")</f>
        <v>Sam McKey</v>
      </c>
      <c r="J90" s="3" t="str">
        <f>IFERROR(__xludf.DUMMYFUNCTION("""COMPUTED_VALUE"""),"Jake Blackburn")</f>
        <v>Jake Blackburn</v>
      </c>
      <c r="K90" s="3" t="str">
        <f>IFERROR(__xludf.DUMMYFUNCTION("""COMPUTED_VALUE"""),"Ben Young")</f>
        <v>Ben Young</v>
      </c>
      <c r="L90" s="3" t="str">
        <f>IFERROR(__xludf.DUMMYFUNCTION("""COMPUTED_VALUE"""),"Jackson Sitton")</f>
        <v>Jackson Sitton</v>
      </c>
      <c r="M90" s="3" t="str">
        <f>IFERROR(__xludf.DUMMYFUNCTION("""COMPUTED_VALUE"""),"Austin Orange")</f>
        <v>Austin Orange</v>
      </c>
      <c r="N90" s="3" t="str">
        <f>IFERROR(__xludf.DUMMYFUNCTION("""COMPUTED_VALUE"""),"Paul Warnagiris")</f>
        <v>Paul Warnagiris</v>
      </c>
      <c r="W90" s="3" t="str">
        <f>IFERROR(__xludf.DUMMYFUNCTION("""COMPUTED_VALUE"""),"Caleb Smietana")</f>
        <v>Caleb Smietana</v>
      </c>
    </row>
    <row r="91">
      <c r="B91" s="3" t="str">
        <f>IFERROR(__xludf.DUMMYFUNCTION("""COMPUTED_VALUE"""),"Jack Stelter")</f>
        <v>Jack Stelter</v>
      </c>
      <c r="C91" s="3" t="str">
        <f>IFERROR(__xludf.DUMMYFUNCTION("""COMPUTED_VALUE"""),"Victor Valovalo")</f>
        <v>Victor Valovalo</v>
      </c>
      <c r="D91" s="3" t="str">
        <f>IFERROR(__xludf.DUMMYFUNCTION("""COMPUTED_VALUE"""),"Logan Amatruda")</f>
        <v>Logan Amatruda</v>
      </c>
      <c r="E91" s="3" t="str">
        <f>IFERROR(__xludf.DUMMYFUNCTION("""COMPUTED_VALUE"""),"Joe Combs")</f>
        <v>Joe Combs</v>
      </c>
      <c r="G91" s="3" t="str">
        <f>IFERROR(__xludf.DUMMYFUNCTION("""COMPUTED_VALUE"""),"Davis Jobe")</f>
        <v>Davis Jobe</v>
      </c>
      <c r="H91" s="3" t="str">
        <f>IFERROR(__xludf.DUMMYFUNCTION("""COMPUTED_VALUE"""),"Nick Zolovick")</f>
        <v>Nick Zolovick</v>
      </c>
      <c r="I91" s="3" t="str">
        <f>IFERROR(__xludf.DUMMYFUNCTION("""COMPUTED_VALUE"""),"Paul Southern")</f>
        <v>Paul Southern</v>
      </c>
      <c r="J91" s="3" t="str">
        <f>IFERROR(__xludf.DUMMYFUNCTION("""COMPUTED_VALUE"""),"Henry Paulson")</f>
        <v>Henry Paulson</v>
      </c>
      <c r="K91" s="3" t="str">
        <f>IFERROR(__xludf.DUMMYFUNCTION("""COMPUTED_VALUE"""),"Sam Rivas")</f>
        <v>Sam Rivas</v>
      </c>
      <c r="L91" s="3" t="str">
        <f>IFERROR(__xludf.DUMMYFUNCTION("""COMPUTED_VALUE"""),"Jacob Teer")</f>
        <v>Jacob Teer</v>
      </c>
      <c r="M91" s="3" t="str">
        <f>IFERROR(__xludf.DUMMYFUNCTION("""COMPUTED_VALUE"""),"Anderson Broughton")</f>
        <v>Anderson Broughton</v>
      </c>
      <c r="N91" s="3" t="str">
        <f>IFERROR(__xludf.DUMMYFUNCTION("""COMPUTED_VALUE"""),"Sam Rivas")</f>
        <v>Sam Rivas</v>
      </c>
      <c r="W91" s="3" t="str">
        <f>IFERROR(__xludf.DUMMYFUNCTION("""COMPUTED_VALUE"""),"Derek Estep")</f>
        <v>Derek Estep</v>
      </c>
    </row>
    <row r="92">
      <c r="B92" s="3" t="str">
        <f>IFERROR(__xludf.DUMMYFUNCTION("""COMPUTED_VALUE"""),"Logan DeWalt")</f>
        <v>Logan DeWalt</v>
      </c>
      <c r="C92" s="3" t="str">
        <f>IFERROR(__xludf.DUMMYFUNCTION("""COMPUTED_VALUE"""),"Austin Clark")</f>
        <v>Austin Clark</v>
      </c>
      <c r="D92" s="3" t="str">
        <f>IFERROR(__xludf.DUMMYFUNCTION("""COMPUTED_VALUE"""),"Andrew Farney")</f>
        <v>Andrew Farney</v>
      </c>
      <c r="E92" s="3" t="str">
        <f>IFERROR(__xludf.DUMMYFUNCTION("""COMPUTED_VALUE"""),"Tate Snyder")</f>
        <v>Tate Snyder</v>
      </c>
      <c r="G92" s="3" t="str">
        <f>IFERROR(__xludf.DUMMYFUNCTION("""COMPUTED_VALUE"""),"Kyle Floyd")</f>
        <v>Kyle Floyd</v>
      </c>
      <c r="H92" s="3" t="str">
        <f>IFERROR(__xludf.DUMMYFUNCTION("""COMPUTED_VALUE"""),"Xavier Raymondson")</f>
        <v>Xavier Raymondson</v>
      </c>
      <c r="I92" s="3" t="str">
        <f>IFERROR(__xludf.DUMMYFUNCTION("""COMPUTED_VALUE"""),"Brian Kwon")</f>
        <v>Brian Kwon</v>
      </c>
      <c r="J92" s="3" t="str">
        <f>IFERROR(__xludf.DUMMYFUNCTION("""COMPUTED_VALUE"""),"Zach Brinson")</f>
        <v>Zach Brinson</v>
      </c>
      <c r="K92" s="3" t="str">
        <f>IFERROR(__xludf.DUMMYFUNCTION("""COMPUTED_VALUE"""),"Chris Homer")</f>
        <v>Chris Homer</v>
      </c>
      <c r="L92" s="3" t="str">
        <f>IFERROR(__xludf.DUMMYFUNCTION("""COMPUTED_VALUE"""),"Tate Snyder")</f>
        <v>Tate Snyder</v>
      </c>
      <c r="M92" s="3" t="str">
        <f>IFERROR(__xludf.DUMMYFUNCTION("""COMPUTED_VALUE"""),"James Creelman")</f>
        <v>James Creelman</v>
      </c>
      <c r="N92" s="3" t="str">
        <f>IFERROR(__xludf.DUMMYFUNCTION("""COMPUTED_VALUE"""),"Kobe Nguyen")</f>
        <v>Kobe Nguyen</v>
      </c>
      <c r="W92" s="3" t="str">
        <f>IFERROR(__xludf.DUMMYFUNCTION("""COMPUTED_VALUE"""),"Jackson Sitton")</f>
        <v>Jackson Sitton</v>
      </c>
    </row>
    <row r="93">
      <c r="B93" s="3" t="str">
        <f>IFERROR(__xludf.DUMMYFUNCTION("""COMPUTED_VALUE"""),"Chris Farrell")</f>
        <v>Chris Farrell</v>
      </c>
      <c r="C93" s="3" t="str">
        <f>IFERROR(__xludf.DUMMYFUNCTION("""COMPUTED_VALUE"""),"Andrew Betts")</f>
        <v>Andrew Betts</v>
      </c>
      <c r="D93" s="3" t="str">
        <f>IFERROR(__xludf.DUMMYFUNCTION("""COMPUTED_VALUE"""),"Preston Trevey")</f>
        <v>Preston Trevey</v>
      </c>
      <c r="E93" s="3" t="str">
        <f>IFERROR(__xludf.DUMMYFUNCTION("""COMPUTED_VALUE"""),"Fletcher Marshall")</f>
        <v>Fletcher Marshall</v>
      </c>
      <c r="G93" s="3" t="str">
        <f>IFERROR(__xludf.DUMMYFUNCTION("""COMPUTED_VALUE"""),"Jerry Jones")</f>
        <v>Jerry Jones</v>
      </c>
      <c r="H93" s="3" t="str">
        <f>IFERROR(__xludf.DUMMYFUNCTION("""COMPUTED_VALUE"""),"Noah Johnson")</f>
        <v>Noah Johnson</v>
      </c>
      <c r="I93" s="3" t="str">
        <f>IFERROR(__xludf.DUMMYFUNCTION("""COMPUTED_VALUE"""),"Chris Homer")</f>
        <v>Chris Homer</v>
      </c>
      <c r="J93" s="3" t="str">
        <f>IFERROR(__xludf.DUMMYFUNCTION("""COMPUTED_VALUE"""),"Will Stevens")</f>
        <v>Will Stevens</v>
      </c>
      <c r="K93" s="3" t="str">
        <f>IFERROR(__xludf.DUMMYFUNCTION("""COMPUTED_VALUE"""),"Reid Schattgen")</f>
        <v>Reid Schattgen</v>
      </c>
      <c r="L93" s="3" t="str">
        <f>IFERROR(__xludf.DUMMYFUNCTION("""COMPUTED_VALUE"""),"Jason Seitz")</f>
        <v>Jason Seitz</v>
      </c>
      <c r="M93" s="3" t="str">
        <f>IFERROR(__xludf.DUMMYFUNCTION("""COMPUTED_VALUE"""),"Ryan Taylor")</f>
        <v>Ryan Taylor</v>
      </c>
      <c r="N93" s="3" t="str">
        <f>IFERROR(__xludf.DUMMYFUNCTION("""COMPUTED_VALUE"""),"Dominic Mistretta")</f>
        <v>Dominic Mistretta</v>
      </c>
      <c r="W93" s="3" t="str">
        <f>IFERROR(__xludf.DUMMYFUNCTION("""COMPUTED_VALUE"""),"Oz Potter")</f>
        <v>Oz Potter</v>
      </c>
    </row>
    <row r="94">
      <c r="B94" s="3" t="str">
        <f>IFERROR(__xludf.DUMMYFUNCTION("""COMPUTED_VALUE"""),"Austin Orange")</f>
        <v>Austin Orange</v>
      </c>
      <c r="C94" s="3" t="str">
        <f>IFERROR(__xludf.DUMMYFUNCTION("""COMPUTED_VALUE"""),"Collin Feliciano")</f>
        <v>Collin Feliciano</v>
      </c>
      <c r="D94" s="3" t="str">
        <f>IFERROR(__xludf.DUMMYFUNCTION("""COMPUTED_VALUE"""),"Peyton Wray")</f>
        <v>Peyton Wray</v>
      </c>
      <c r="E94" s="3" t="str">
        <f>IFERROR(__xludf.DUMMYFUNCTION("""COMPUTED_VALUE"""),"Abel Buell")</f>
        <v>Abel Buell</v>
      </c>
      <c r="G94" s="3" t="str">
        <f>IFERROR(__xludf.DUMMYFUNCTION("""COMPUTED_VALUE"""),"Joe Manley")</f>
        <v>Joe Manley</v>
      </c>
      <c r="H94" s="3" t="str">
        <f>IFERROR(__xludf.DUMMYFUNCTION("""COMPUTED_VALUE"""),"Jacob Miller")</f>
        <v>Jacob Miller</v>
      </c>
      <c r="I94" s="3" t="str">
        <f>IFERROR(__xludf.DUMMYFUNCTION("""COMPUTED_VALUE"""),"Conrad Tan")</f>
        <v>Conrad Tan</v>
      </c>
      <c r="J94" s="3" t="str">
        <f>IFERROR(__xludf.DUMMYFUNCTION("""COMPUTED_VALUE"""),"Paul Warnagiris")</f>
        <v>Paul Warnagiris</v>
      </c>
      <c r="K94" s="3" t="str">
        <f>IFERROR(__xludf.DUMMYFUNCTION("""COMPUTED_VALUE"""),"Kobe Nguyen")</f>
        <v>Kobe Nguyen</v>
      </c>
      <c r="L94" s="3" t="str">
        <f>IFERROR(__xludf.DUMMYFUNCTION("""COMPUTED_VALUE"""),"Hunter Muench")</f>
        <v>Hunter Muench</v>
      </c>
      <c r="M94" s="3" t="str">
        <f>IFERROR(__xludf.DUMMYFUNCTION("""COMPUTED_VALUE"""),"John O'Hara")</f>
        <v>John O'Hara</v>
      </c>
      <c r="N94" s="3" t="str">
        <f>IFERROR(__xludf.DUMMYFUNCTION("""COMPUTED_VALUE"""),"John Reed")</f>
        <v>John Reed</v>
      </c>
      <c r="W94" s="3" t="str">
        <f>IFERROR(__xludf.DUMMYFUNCTION("""COMPUTED_VALUE"""),"Brandt Gillette")</f>
        <v>Brandt Gillette</v>
      </c>
    </row>
    <row r="95">
      <c r="B95" s="3" t="str">
        <f>IFERROR(__xludf.DUMMYFUNCTION("""COMPUTED_VALUE"""),"Heath Lewis")</f>
        <v>Heath Lewis</v>
      </c>
      <c r="C95" s="3" t="str">
        <f>IFERROR(__xludf.DUMMYFUNCTION("""COMPUTED_VALUE"""),"Brandon Brewer")</f>
        <v>Brandon Brewer</v>
      </c>
      <c r="D95" s="3" t="str">
        <f>IFERROR(__xludf.DUMMYFUNCTION("""COMPUTED_VALUE"""),"Reid Schattgen")</f>
        <v>Reid Schattgen</v>
      </c>
      <c r="E95" s="3" t="str">
        <f>IFERROR(__xludf.DUMMYFUNCTION("""COMPUTED_VALUE"""),"Hunter Muench")</f>
        <v>Hunter Muench</v>
      </c>
      <c r="G95" s="3" t="str">
        <f>IFERROR(__xludf.DUMMYFUNCTION("""COMPUTED_VALUE"""),"Luke Osleger")</f>
        <v>Luke Osleger</v>
      </c>
      <c r="H95" s="3" t="str">
        <f>IFERROR(__xludf.DUMMYFUNCTION("""COMPUTED_VALUE"""),"Oz Potter")</f>
        <v>Oz Potter</v>
      </c>
      <c r="I95" s="3" t="str">
        <f>IFERROR(__xludf.DUMMYFUNCTION("""COMPUTED_VALUE"""),"Brandon Brewer")</f>
        <v>Brandon Brewer</v>
      </c>
      <c r="J95" s="3" t="str">
        <f>IFERROR(__xludf.DUMMYFUNCTION("""COMPUTED_VALUE"""),"Sam Rivas")</f>
        <v>Sam Rivas</v>
      </c>
      <c r="K95" s="3" t="str">
        <f>IFERROR(__xludf.DUMMYFUNCTION("""COMPUTED_VALUE"""),"Quin Elder")</f>
        <v>Quin Elder</v>
      </c>
      <c r="L95" s="3" t="str">
        <f>IFERROR(__xludf.DUMMYFUNCTION("""COMPUTED_VALUE"""),"Graham Boyle")</f>
        <v>Graham Boyle</v>
      </c>
      <c r="M95" s="3" t="str">
        <f>IFERROR(__xludf.DUMMYFUNCTION("""COMPUTED_VALUE"""),"Jamie Edwards")</f>
        <v>Jamie Edwards</v>
      </c>
      <c r="N95" s="3" t="str">
        <f>IFERROR(__xludf.DUMMYFUNCTION("""COMPUTED_VALUE"""),"Alexander Franklin")</f>
        <v>Alexander Franklin</v>
      </c>
      <c r="W95" s="3" t="str">
        <f>IFERROR(__xludf.DUMMYFUNCTION("""COMPUTED_VALUE"""),"Micah Hunt")</f>
        <v>Micah Hunt</v>
      </c>
    </row>
    <row r="96">
      <c r="B96" s="3" t="str">
        <f>IFERROR(__xludf.DUMMYFUNCTION("""COMPUTED_VALUE"""),"Matthew Sweat")</f>
        <v>Matthew Sweat</v>
      </c>
      <c r="C96" s="3" t="str">
        <f>IFERROR(__xludf.DUMMYFUNCTION("""COMPUTED_VALUE"""),"Paul Southern")</f>
        <v>Paul Southern</v>
      </c>
      <c r="D96" s="3" t="str">
        <f>IFERROR(__xludf.DUMMYFUNCTION("""COMPUTED_VALUE"""),"Ashton Temme")</f>
        <v>Ashton Temme</v>
      </c>
      <c r="E96" s="3" t="str">
        <f>IFERROR(__xludf.DUMMYFUNCTION("""COMPUTED_VALUE"""),"Blake Rouzie")</f>
        <v>Blake Rouzie</v>
      </c>
      <c r="G96" s="3" t="str">
        <f>IFERROR(__xludf.DUMMYFUNCTION("""COMPUTED_VALUE"""),"Kaelig Michel")</f>
        <v>Kaelig Michel</v>
      </c>
      <c r="H96" s="3" t="str">
        <f>IFERROR(__xludf.DUMMYFUNCTION("""COMPUTED_VALUE"""),"Alex Stanley")</f>
        <v>Alex Stanley</v>
      </c>
      <c r="I96" s="3" t="str">
        <f>IFERROR(__xludf.DUMMYFUNCTION("""COMPUTED_VALUE"""),"Justin Geiszler")</f>
        <v>Justin Geiszler</v>
      </c>
      <c r="J96" s="3" t="str">
        <f>IFERROR(__xludf.DUMMYFUNCTION("""COMPUTED_VALUE"""),"Jimmy Granger")</f>
        <v>Jimmy Granger</v>
      </c>
      <c r="K96" s="3" t="str">
        <f>IFERROR(__xludf.DUMMYFUNCTION("""COMPUTED_VALUE"""),"Eric Watson")</f>
        <v>Eric Watson</v>
      </c>
      <c r="L96" s="3" t="str">
        <f>IFERROR(__xludf.DUMMYFUNCTION("""COMPUTED_VALUE"""),"Robert Hodge")</f>
        <v>Robert Hodge</v>
      </c>
      <c r="M96" s="3" t="str">
        <f>IFERROR(__xludf.DUMMYFUNCTION("""COMPUTED_VALUE"""),"Brandon Brewer")</f>
        <v>Brandon Brewer</v>
      </c>
      <c r="N96" s="3" t="str">
        <f>IFERROR(__xludf.DUMMYFUNCTION("""COMPUTED_VALUE"""),"Carter Bunting")</f>
        <v>Carter Bunting</v>
      </c>
      <c r="W96" s="3" t="str">
        <f>IFERROR(__xludf.DUMMYFUNCTION("""COMPUTED_VALUE"""),"Houston Crowder")</f>
        <v>Houston Crowder</v>
      </c>
    </row>
    <row r="97">
      <c r="B97" s="3" t="str">
        <f>IFERROR(__xludf.DUMMYFUNCTION("""COMPUTED_VALUE"""),"Mason Van Tassell")</f>
        <v>Mason Van Tassell</v>
      </c>
      <c r="C97" s="3" t="str">
        <f>IFERROR(__xludf.DUMMYFUNCTION("""COMPUTED_VALUE"""),"Edward Finman")</f>
        <v>Edward Finman</v>
      </c>
      <c r="D97" s="3" t="str">
        <f>IFERROR(__xludf.DUMMYFUNCTION("""COMPUTED_VALUE"""),"Jacob Teer")</f>
        <v>Jacob Teer</v>
      </c>
      <c r="E97" s="3" t="str">
        <f>IFERROR(__xludf.DUMMYFUNCTION("""COMPUTED_VALUE"""),"Davis Jobe")</f>
        <v>Davis Jobe</v>
      </c>
      <c r="G97" s="3" t="str">
        <f>IFERROR(__xludf.DUMMYFUNCTION("""COMPUTED_VALUE"""),"Teddy Cross")</f>
        <v>Teddy Cross</v>
      </c>
      <c r="H97" s="3" t="str">
        <f>IFERROR(__xludf.DUMMYFUNCTION("""COMPUTED_VALUE"""),"Jerry Jones")</f>
        <v>Jerry Jones</v>
      </c>
      <c r="I97" s="3" t="str">
        <f>IFERROR(__xludf.DUMMYFUNCTION("""COMPUTED_VALUE"""),"Tim Higgins")</f>
        <v>Tim Higgins</v>
      </c>
      <c r="J97" s="3" t="str">
        <f>IFERROR(__xludf.DUMMYFUNCTION("""COMPUTED_VALUE"""),"Hunter Muench")</f>
        <v>Hunter Muench</v>
      </c>
      <c r="K97" s="3" t="str">
        <f>IFERROR(__xludf.DUMMYFUNCTION("""COMPUTED_VALUE"""),"Robert Hodge")</f>
        <v>Robert Hodge</v>
      </c>
      <c r="L97" s="3" t="str">
        <f>IFERROR(__xludf.DUMMYFUNCTION("""COMPUTED_VALUE"""),"Chris Homer")</f>
        <v>Chris Homer</v>
      </c>
      <c r="M97" s="3" t="str">
        <f>IFERROR(__xludf.DUMMYFUNCTION("""COMPUTED_VALUE"""),"Ben Eichberg")</f>
        <v>Ben Eichberg</v>
      </c>
      <c r="N97" s="3" t="str">
        <f>IFERROR(__xludf.DUMMYFUNCTION("""COMPUTED_VALUE"""),"Jamie Edwards")</f>
        <v>Jamie Edwards</v>
      </c>
      <c r="W97" s="3" t="str">
        <f>IFERROR(__xludf.DUMMYFUNCTION("""COMPUTED_VALUE"""),"Preston Hudak")</f>
        <v>Preston Hudak</v>
      </c>
    </row>
    <row r="98">
      <c r="B98" s="3" t="str">
        <f>IFERROR(__xludf.DUMMYFUNCTION("""COMPUTED_VALUE"""),"Ben Young")</f>
        <v>Ben Young</v>
      </c>
      <c r="C98" s="3" t="str">
        <f>IFERROR(__xludf.DUMMYFUNCTION("""COMPUTED_VALUE"""),"Chris Farrell")</f>
        <v>Chris Farrell</v>
      </c>
      <c r="D98" s="3" t="str">
        <f>IFERROR(__xludf.DUMMYFUNCTION("""COMPUTED_VALUE"""),"Alexi Gentz")</f>
        <v>Alexi Gentz</v>
      </c>
      <c r="E98" s="3" t="str">
        <f>IFERROR(__xludf.DUMMYFUNCTION("""COMPUTED_VALUE"""),"Nate Pfeffer")</f>
        <v>Nate Pfeffer</v>
      </c>
      <c r="G98" s="3" t="str">
        <f>IFERROR(__xludf.DUMMYFUNCTION("""COMPUTED_VALUE"""),"Andrew Chaikin")</f>
        <v>Andrew Chaikin</v>
      </c>
      <c r="H98" s="3" t="str">
        <f>IFERROR(__xludf.DUMMYFUNCTION("""COMPUTED_VALUE"""),"Jason Seitz")</f>
        <v>Jason Seitz</v>
      </c>
      <c r="I98" s="3" t="str">
        <f>IFERROR(__xludf.DUMMYFUNCTION("""COMPUTED_VALUE"""),"Caleb Smietana")</f>
        <v>Caleb Smietana</v>
      </c>
      <c r="J98" s="3" t="str">
        <f>IFERROR(__xludf.DUMMYFUNCTION("""COMPUTED_VALUE"""),"Kaelig Michel")</f>
        <v>Kaelig Michel</v>
      </c>
      <c r="K98" s="3" t="str">
        <f>IFERROR(__xludf.DUMMYFUNCTION("""COMPUTED_VALUE"""),"Matthew Davidson")</f>
        <v>Matthew Davidson</v>
      </c>
      <c r="L98" s="3" t="str">
        <f>IFERROR(__xludf.DUMMYFUNCTION("""COMPUTED_VALUE"""),"Jamie Edwards")</f>
        <v>Jamie Edwards</v>
      </c>
      <c r="M98" s="3" t="str">
        <f>IFERROR(__xludf.DUMMYFUNCTION("""COMPUTED_VALUE"""),"Edward Finman")</f>
        <v>Edward Finman</v>
      </c>
      <c r="N98" s="3" t="str">
        <f>IFERROR(__xludf.DUMMYFUNCTION("""COMPUTED_VALUE"""),"Kaelig Michel")</f>
        <v>Kaelig Michel</v>
      </c>
      <c r="W98" s="3" t="str">
        <f>IFERROR(__xludf.DUMMYFUNCTION("""COMPUTED_VALUE"""),"Kyle Floyd")</f>
        <v>Kyle Floyd</v>
      </c>
    </row>
    <row r="99">
      <c r="B99" s="3" t="str">
        <f>IFERROR(__xludf.DUMMYFUNCTION("""COMPUTED_VALUE"""),"Gabriel Ruby")</f>
        <v>Gabriel Ruby</v>
      </c>
      <c r="C99" s="3" t="str">
        <f>IFERROR(__xludf.DUMMYFUNCTION("""COMPUTED_VALUE"""),"Xavier Raymondson")</f>
        <v>Xavier Raymondson</v>
      </c>
      <c r="D99" s="3" t="str">
        <f>IFERROR(__xludf.DUMMYFUNCTION("""COMPUTED_VALUE"""),"Joe Combs")</f>
        <v>Joe Combs</v>
      </c>
      <c r="E99" s="3" t="str">
        <f>IFERROR(__xludf.DUMMYFUNCTION("""COMPUTED_VALUE"""),"Andrew Chaikin")</f>
        <v>Andrew Chaikin</v>
      </c>
      <c r="G99" s="3" t="str">
        <f>IFERROR(__xludf.DUMMYFUNCTION("""COMPUTED_VALUE"""),"James Creelman")</f>
        <v>James Creelman</v>
      </c>
      <c r="H99" s="3" t="str">
        <f>IFERROR(__xludf.DUMMYFUNCTION("""COMPUTED_VALUE"""),"Davis Wheeler")</f>
        <v>Davis Wheeler</v>
      </c>
      <c r="I99" s="3" t="str">
        <f>IFERROR(__xludf.DUMMYFUNCTION("""COMPUTED_VALUE"""),"Paul Warnagiris")</f>
        <v>Paul Warnagiris</v>
      </c>
      <c r="J99" s="3" t="str">
        <f>IFERROR(__xludf.DUMMYFUNCTION("""COMPUTED_VALUE"""),"Ari Semper")</f>
        <v>Ari Semper</v>
      </c>
      <c r="K99" s="3" t="str">
        <f>IFERROR(__xludf.DUMMYFUNCTION("""COMPUTED_VALUE"""),"Derek Lang")</f>
        <v>Derek Lang</v>
      </c>
      <c r="L99" s="3" t="str">
        <f>IFERROR(__xludf.DUMMYFUNCTION("""COMPUTED_VALUE"""),"Austin Booth")</f>
        <v>Austin Booth</v>
      </c>
      <c r="M99" s="3" t="str">
        <f>IFERROR(__xludf.DUMMYFUNCTION("""COMPUTED_VALUE"""),"Conrad Tan")</f>
        <v>Conrad Tan</v>
      </c>
      <c r="N99" s="3" t="str">
        <f>IFERROR(__xludf.DUMMYFUNCTION("""COMPUTED_VALUE"""),"Sam Sweetser")</f>
        <v>Sam Sweetser</v>
      </c>
      <c r="W99" s="3" t="str">
        <f>IFERROR(__xludf.DUMMYFUNCTION("""COMPUTED_VALUE"""),"Preston Trevey")</f>
        <v>Preston Trevey</v>
      </c>
    </row>
    <row r="100">
      <c r="B100" s="3" t="str">
        <f>IFERROR(__xludf.DUMMYFUNCTION("""COMPUTED_VALUE"""),"Massimo Serafini")</f>
        <v>Massimo Serafini</v>
      </c>
      <c r="C100" s="3" t="str">
        <f>IFERROR(__xludf.DUMMYFUNCTION("""COMPUTED_VALUE"""),"Gabriel Ruby")</f>
        <v>Gabriel Ruby</v>
      </c>
      <c r="D100" s="3" t="str">
        <f>IFERROR(__xludf.DUMMYFUNCTION("""COMPUTED_VALUE"""),"Gavin Lamoureux")</f>
        <v>Gavin Lamoureux</v>
      </c>
      <c r="E100" s="3" t="str">
        <f>IFERROR(__xludf.DUMMYFUNCTION("""COMPUTED_VALUE"""),"Will Ross")</f>
        <v>Will Ross</v>
      </c>
      <c r="G100" s="3" t="str">
        <f>IFERROR(__xludf.DUMMYFUNCTION("""COMPUTED_VALUE"""),"Johnathan Walden")</f>
        <v>Johnathan Walden</v>
      </c>
      <c r="H100" s="3" t="str">
        <f>IFERROR(__xludf.DUMMYFUNCTION("""COMPUTED_VALUE"""),"Graham Boyle")</f>
        <v>Graham Boyle</v>
      </c>
      <c r="I100" s="3" t="str">
        <f>IFERROR(__xludf.DUMMYFUNCTION("""COMPUTED_VALUE"""),"Ryan Deavers")</f>
        <v>Ryan Deavers</v>
      </c>
      <c r="J100" s="3" t="str">
        <f>IFERROR(__xludf.DUMMYFUNCTION("""COMPUTED_VALUE"""),"Trevor Andrewski")</f>
        <v>Trevor Andrewski</v>
      </c>
      <c r="K100" s="3" t="str">
        <f>IFERROR(__xludf.DUMMYFUNCTION("""COMPUTED_VALUE"""),"Noah Frerichs")</f>
        <v>Noah Frerichs</v>
      </c>
      <c r="L100" s="3" t="str">
        <f>IFERROR(__xludf.DUMMYFUNCTION("""COMPUTED_VALUE"""),"Cullen Beach")</f>
        <v>Cullen Beach</v>
      </c>
      <c r="M100" s="3" t="str">
        <f>IFERROR(__xludf.DUMMYFUNCTION("""COMPUTED_VALUE"""),"Kobe Nguyen")</f>
        <v>Kobe Nguyen</v>
      </c>
      <c r="N100" s="3" t="str">
        <f>IFERROR(__xludf.DUMMYFUNCTION("""COMPUTED_VALUE"""),"Logan Deal")</f>
        <v>Logan Deal</v>
      </c>
      <c r="W100" s="3" t="str">
        <f>IFERROR(__xludf.DUMMYFUNCTION("""COMPUTED_VALUE"""),"Matthew Marquis")</f>
        <v>Matthew Marquis</v>
      </c>
    </row>
    <row r="101">
      <c r="B101" s="3" t="str">
        <f>IFERROR(__xludf.DUMMYFUNCTION("""COMPUTED_VALUE"""),"Ethan Jones")</f>
        <v>Ethan Jones</v>
      </c>
      <c r="C101" s="3" t="str">
        <f>IFERROR(__xludf.DUMMYFUNCTION("""COMPUTED_VALUE"""),"Kevin Bennett")</f>
        <v>Kevin Bennett</v>
      </c>
      <c r="D101" s="3" t="str">
        <f>IFERROR(__xludf.DUMMYFUNCTION("""COMPUTED_VALUE"""),"Landon Ellis")</f>
        <v>Landon Ellis</v>
      </c>
      <c r="E101" s="3" t="str">
        <f>IFERROR(__xludf.DUMMYFUNCTION("""COMPUTED_VALUE"""),"Caleb Thomas")</f>
        <v>Caleb Thomas</v>
      </c>
      <c r="G101" s="3" t="str">
        <f>IFERROR(__xludf.DUMMYFUNCTION("""COMPUTED_VALUE"""),"Noah Johnson")</f>
        <v>Noah Johnson</v>
      </c>
      <c r="H101" s="3" t="str">
        <f>IFERROR(__xludf.DUMMYFUNCTION("""COMPUTED_VALUE"""),"Brian Kwon")</f>
        <v>Brian Kwon</v>
      </c>
      <c r="I101" s="3" t="str">
        <f>IFERROR(__xludf.DUMMYFUNCTION("""COMPUTED_VALUE"""),"Shayom Debopadhaya")</f>
        <v>Shayom Debopadhaya</v>
      </c>
      <c r="J101" s="3" t="str">
        <f>IFERROR(__xludf.DUMMYFUNCTION("""COMPUTED_VALUE"""),"Jack Dragone")</f>
        <v>Jack Dragone</v>
      </c>
      <c r="K101" s="3" t="str">
        <f>IFERROR(__xludf.DUMMYFUNCTION("""COMPUTED_VALUE"""),"Connor Smith")</f>
        <v>Connor Smith</v>
      </c>
      <c r="L101" s="3" t="str">
        <f>IFERROR(__xludf.DUMMYFUNCTION("""COMPUTED_VALUE"""),"Abel Buell")</f>
        <v>Abel Buell</v>
      </c>
      <c r="M101" s="3" t="str">
        <f>IFERROR(__xludf.DUMMYFUNCTION("""COMPUTED_VALUE"""),"Jack McCann")</f>
        <v>Jack McCann</v>
      </c>
      <c r="N101" s="3" t="str">
        <f>IFERROR(__xludf.DUMMYFUNCTION("""COMPUTED_VALUE"""),"Nate Pfeffer")</f>
        <v>Nate Pfeffer</v>
      </c>
      <c r="W101" s="3" t="str">
        <f>IFERROR(__xludf.DUMMYFUNCTION("""COMPUTED_VALUE"""),"Grayson Daughtry")</f>
        <v>Grayson Daughtry</v>
      </c>
    </row>
    <row r="102">
      <c r="B102" s="3" t="str">
        <f>IFERROR(__xludf.DUMMYFUNCTION("""COMPUTED_VALUE"""),"Matt Duren")</f>
        <v>Matt Duren</v>
      </c>
      <c r="C102" s="3" t="str">
        <f>IFERROR(__xludf.DUMMYFUNCTION("""COMPUTED_VALUE"""),"Luke Osleger")</f>
        <v>Luke Osleger</v>
      </c>
      <c r="D102" s="3" t="str">
        <f>IFERROR(__xludf.DUMMYFUNCTION("""COMPUTED_VALUE"""),"Christopher Johnson")</f>
        <v>Christopher Johnson</v>
      </c>
      <c r="E102" s="3" t="str">
        <f>IFERROR(__xludf.DUMMYFUNCTION("""COMPUTED_VALUE"""),"Paul Warnagiris")</f>
        <v>Paul Warnagiris</v>
      </c>
      <c r="G102" s="3" t="str">
        <f>IFERROR(__xludf.DUMMYFUNCTION("""COMPUTED_VALUE"""),"Caleb Thomas")</f>
        <v>Caleb Thomas</v>
      </c>
      <c r="H102" s="3" t="str">
        <f>IFERROR(__xludf.DUMMYFUNCTION("""COMPUTED_VALUE"""),"Houston Crowder")</f>
        <v>Houston Crowder</v>
      </c>
      <c r="I102" s="3" t="str">
        <f>IFERROR(__xludf.DUMMYFUNCTION("""COMPUTED_VALUE"""),"Ari Semper")</f>
        <v>Ari Semper</v>
      </c>
      <c r="J102" s="3" t="str">
        <f>IFERROR(__xludf.DUMMYFUNCTION("""COMPUTED_VALUE"""),"Joey Sims")</f>
        <v>Joey Sims</v>
      </c>
      <c r="K102" s="3" t="str">
        <f>IFERROR(__xludf.DUMMYFUNCTION("""COMPUTED_VALUE"""),"Alex Scott")</f>
        <v>Alex Scott</v>
      </c>
      <c r="L102" s="3" t="str">
        <f>IFERROR(__xludf.DUMMYFUNCTION("""COMPUTED_VALUE"""),"Eric Watson")</f>
        <v>Eric Watson</v>
      </c>
      <c r="M102" s="3" t="str">
        <f>IFERROR(__xludf.DUMMYFUNCTION("""COMPUTED_VALUE"""),"Cooper Muench")</f>
        <v>Cooper Muench</v>
      </c>
      <c r="N102" s="3" t="str">
        <f>IFERROR(__xludf.DUMMYFUNCTION("""COMPUTED_VALUE"""),"Jacob Winn")</f>
        <v>Jacob Winn</v>
      </c>
      <c r="W102" s="3" t="str">
        <f>IFERROR(__xludf.DUMMYFUNCTION("""COMPUTED_VALUE"""),"Andrew Creelman")</f>
        <v>Andrew Creelman</v>
      </c>
    </row>
    <row r="103">
      <c r="B103" s="3" t="str">
        <f>IFERROR(__xludf.DUMMYFUNCTION("""COMPUTED_VALUE"""),"Perry Ingraham")</f>
        <v>Perry Ingraham</v>
      </c>
      <c r="C103" s="3" t="str">
        <f>IFERROR(__xludf.DUMMYFUNCTION("""COMPUTED_VALUE"""),"Aidan Moudry")</f>
        <v>Aidan Moudry</v>
      </c>
      <c r="D103" s="3" t="str">
        <f>IFERROR(__xludf.DUMMYFUNCTION("""COMPUTED_VALUE"""),"Aubrey Bowles")</f>
        <v>Aubrey Bowles</v>
      </c>
      <c r="E103" s="3" t="str">
        <f>IFERROR(__xludf.DUMMYFUNCTION("""COMPUTED_VALUE"""),"Will Stevens")</f>
        <v>Will Stevens</v>
      </c>
      <c r="G103" s="3" t="str">
        <f>IFERROR(__xludf.DUMMYFUNCTION("""COMPUTED_VALUE"""),"Erik Cumpston")</f>
        <v>Erik Cumpston</v>
      </c>
      <c r="H103" s="3" t="str">
        <f>IFERROR(__xludf.DUMMYFUNCTION("""COMPUTED_VALUE"""),"Ethan Stoltz")</f>
        <v>Ethan Stoltz</v>
      </c>
      <c r="I103" s="3" t="str">
        <f>IFERROR(__xludf.DUMMYFUNCTION("""COMPUTED_VALUE"""),"Kaelig Michel")</f>
        <v>Kaelig Michel</v>
      </c>
      <c r="J103" s="3" t="str">
        <f>IFERROR(__xludf.DUMMYFUNCTION("""COMPUTED_VALUE"""),"Erik Payne")</f>
        <v>Erik Payne</v>
      </c>
      <c r="K103" s="3" t="str">
        <f>IFERROR(__xludf.DUMMYFUNCTION("""COMPUTED_VALUE"""),"Hunter Muench")</f>
        <v>Hunter Muench</v>
      </c>
      <c r="L103" s="3" t="str">
        <f>IFERROR(__xludf.DUMMYFUNCTION("""COMPUTED_VALUE"""),"Lorenzo Galang")</f>
        <v>Lorenzo Galang</v>
      </c>
      <c r="M103" s="3" t="str">
        <f>IFERROR(__xludf.DUMMYFUNCTION("""COMPUTED_VALUE"""),"Noah Ratliff")</f>
        <v>Noah Ratliff</v>
      </c>
      <c r="N103" s="3" t="str">
        <f>IFERROR(__xludf.DUMMYFUNCTION("""COMPUTED_VALUE"""),"Fletcher Marshall")</f>
        <v>Fletcher Marshall</v>
      </c>
      <c r="W103" s="3"/>
    </row>
    <row r="104">
      <c r="B104" s="3" t="str">
        <f>IFERROR(__xludf.DUMMYFUNCTION("""COMPUTED_VALUE"""),"Aidan Moudry")</f>
        <v>Aidan Moudry</v>
      </c>
      <c r="C104" s="3" t="str">
        <f>IFERROR(__xludf.DUMMYFUNCTION("""COMPUTED_VALUE"""),"Christopher Johnson")</f>
        <v>Christopher Johnson</v>
      </c>
      <c r="D104" s="3" t="str">
        <f>IFERROR(__xludf.DUMMYFUNCTION("""COMPUTED_VALUE"""),"Matthew Sweat")</f>
        <v>Matthew Sweat</v>
      </c>
      <c r="E104" s="3" t="str">
        <f>IFERROR(__xludf.DUMMYFUNCTION("""COMPUTED_VALUE"""),"Kennon Downes")</f>
        <v>Kennon Downes</v>
      </c>
      <c r="G104" s="3" t="str">
        <f>IFERROR(__xludf.DUMMYFUNCTION("""COMPUTED_VALUE"""),"Austin Orange")</f>
        <v>Austin Orange</v>
      </c>
      <c r="H104" s="3" t="str">
        <f>IFERROR(__xludf.DUMMYFUNCTION("""COMPUTED_VALUE"""),"Aidan Crisci")</f>
        <v>Aidan Crisci</v>
      </c>
      <c r="I104" s="3" t="str">
        <f>IFERROR(__xludf.DUMMYFUNCTION("""COMPUTED_VALUE"""),"Stephen Wallach")</f>
        <v>Stephen Wallach</v>
      </c>
      <c r="J104" s="3" t="str">
        <f>IFERROR(__xludf.DUMMYFUNCTION("""COMPUTED_VALUE"""),"Michael Pilar")</f>
        <v>Michael Pilar</v>
      </c>
      <c r="K104" s="3" t="str">
        <f>IFERROR(__xludf.DUMMYFUNCTION("""COMPUTED_VALUE"""),"Will Baxley")</f>
        <v>Will Baxley</v>
      </c>
      <c r="L104" s="3" t="str">
        <f>IFERROR(__xludf.DUMMYFUNCTION("""COMPUTED_VALUE"""),"Nate Pfeffer")</f>
        <v>Nate Pfeffer</v>
      </c>
      <c r="M104" s="3" t="str">
        <f>IFERROR(__xludf.DUMMYFUNCTION("""COMPUTED_VALUE"""),"cooper gavin")</f>
        <v>cooper gavin</v>
      </c>
      <c r="N104" s="3" t="str">
        <f>IFERROR(__xludf.DUMMYFUNCTION("""COMPUTED_VALUE"""),"Aidan Campbell")</f>
        <v>Aidan Campbell</v>
      </c>
      <c r="W104" s="3" t="str">
        <f>IFERROR(__xludf.DUMMYFUNCTION("""COMPUTED_VALUE"""),"Nick Talati")</f>
        <v>Nick Talati</v>
      </c>
    </row>
    <row r="105">
      <c r="B105" s="3" t="str">
        <f>IFERROR(__xludf.DUMMYFUNCTION("""COMPUTED_VALUE"""),"AJ Schwabe")</f>
        <v>AJ Schwabe</v>
      </c>
      <c r="C105" s="3" t="str">
        <f>IFERROR(__xludf.DUMMYFUNCTION("""COMPUTED_VALUE"""),"Derek Lang")</f>
        <v>Derek Lang</v>
      </c>
      <c r="D105" s="3" t="str">
        <f>IFERROR(__xludf.DUMMYFUNCTION("""COMPUTED_VALUE"""),"Nick Zolovick")</f>
        <v>Nick Zolovick</v>
      </c>
      <c r="E105" s="3" t="str">
        <f>IFERROR(__xludf.DUMMYFUNCTION("""COMPUTED_VALUE"""),"Joey Sims")</f>
        <v>Joey Sims</v>
      </c>
      <c r="G105" s="3" t="str">
        <f>IFERROR(__xludf.DUMMYFUNCTION("""COMPUTED_VALUE"""),"Brian Kwon")</f>
        <v>Brian Kwon</v>
      </c>
      <c r="H105" s="3" t="str">
        <f>IFERROR(__xludf.DUMMYFUNCTION("""COMPUTED_VALUE"""),"Julian Montes")</f>
        <v>Julian Montes</v>
      </c>
      <c r="I105" s="3" t="str">
        <f>IFERROR(__xludf.DUMMYFUNCTION("""COMPUTED_VALUE"""),"Daniel Murray")</f>
        <v>Daniel Murray</v>
      </c>
      <c r="J105" s="3" t="str">
        <f>IFERROR(__xludf.DUMMYFUNCTION("""COMPUTED_VALUE"""),"Kobe Nguyen")</f>
        <v>Kobe Nguyen</v>
      </c>
      <c r="K105" s="3" t="str">
        <f>IFERROR(__xludf.DUMMYFUNCTION("""COMPUTED_VALUE"""),"Alexander Wright")</f>
        <v>Alexander Wright</v>
      </c>
      <c r="L105" s="3" t="str">
        <f>IFERROR(__xludf.DUMMYFUNCTION("""COMPUTED_VALUE"""),"Perry Ingraham")</f>
        <v>Perry Ingraham</v>
      </c>
      <c r="M105" s="3" t="str">
        <f>IFERROR(__xludf.DUMMYFUNCTION("""COMPUTED_VALUE"""),"Paul Warnagiris")</f>
        <v>Paul Warnagiris</v>
      </c>
      <c r="N105" s="3" t="str">
        <f>IFERROR(__xludf.DUMMYFUNCTION("""COMPUTED_VALUE"""),"Kolby Hoge")</f>
        <v>Kolby Hoge</v>
      </c>
      <c r="W105" s="3" t="str">
        <f>IFERROR(__xludf.DUMMYFUNCTION("""COMPUTED_VALUE"""),"Lucas Johnson")</f>
        <v>Lucas Johnson</v>
      </c>
    </row>
    <row r="106">
      <c r="B106" s="3" t="str">
        <f>IFERROR(__xludf.DUMMYFUNCTION("""COMPUTED_VALUE"""),"Zach Ashby")</f>
        <v>Zach Ashby</v>
      </c>
      <c r="C106" s="3" t="str">
        <f>IFERROR(__xludf.DUMMYFUNCTION("""COMPUTED_VALUE"""),"Logan Deal")</f>
        <v>Logan Deal</v>
      </c>
      <c r="D106" s="3" t="str">
        <f>IFERROR(__xludf.DUMMYFUNCTION("""COMPUTED_VALUE"""),"Chase Hensen")</f>
        <v>Chase Hensen</v>
      </c>
      <c r="E106" s="3" t="str">
        <f>IFERROR(__xludf.DUMMYFUNCTION("""COMPUTED_VALUE"""),"Blakely Dean")</f>
        <v>Blakely Dean</v>
      </c>
      <c r="G106" s="3" t="str">
        <f>IFERROR(__xludf.DUMMYFUNCTION("""COMPUTED_VALUE"""),"Samuel Johnson")</f>
        <v>Samuel Johnson</v>
      </c>
      <c r="H106" s="3" t="str">
        <f>IFERROR(__xludf.DUMMYFUNCTION("""COMPUTED_VALUE"""),"Samuel Johnson")</f>
        <v>Samuel Johnson</v>
      </c>
      <c r="I106" s="3" t="str">
        <f>IFERROR(__xludf.DUMMYFUNCTION("""COMPUTED_VALUE"""),"Howard Zhu")</f>
        <v>Howard Zhu</v>
      </c>
      <c r="J106" s="3" t="str">
        <f>IFERROR(__xludf.DUMMYFUNCTION("""COMPUTED_VALUE"""),"Mark Southern")</f>
        <v>Mark Southern</v>
      </c>
      <c r="K106" s="3" t="str">
        <f>IFERROR(__xludf.DUMMYFUNCTION("""COMPUTED_VALUE"""),"Maxwell Trias")</f>
        <v>Maxwell Trias</v>
      </c>
      <c r="L106" s="3" t="str">
        <f>IFERROR(__xludf.DUMMYFUNCTION("""COMPUTED_VALUE"""),"Noah Spain")</f>
        <v>Noah Spain</v>
      </c>
      <c r="M106" s="3" t="str">
        <f>IFERROR(__xludf.DUMMYFUNCTION("""COMPUTED_VALUE"""),"Reid Schattgen")</f>
        <v>Reid Schattgen</v>
      </c>
      <c r="N106" s="3" t="str">
        <f>IFERROR(__xludf.DUMMYFUNCTION("""COMPUTED_VALUE"""),"Will Baxley")</f>
        <v>Will Baxley</v>
      </c>
      <c r="W106" s="3" t="str">
        <f>IFERROR(__xludf.DUMMYFUNCTION("""COMPUTED_VALUE"""),"Noah Nichols")</f>
        <v>Noah Nichols</v>
      </c>
    </row>
    <row r="107">
      <c r="B107" s="3" t="str">
        <f>IFERROR(__xludf.DUMMYFUNCTION("""COMPUTED_VALUE"""),"Connor Brooks")</f>
        <v>Connor Brooks</v>
      </c>
      <c r="C107" s="3" t="str">
        <f>IFERROR(__xludf.DUMMYFUNCTION("""COMPUTED_VALUE"""),"Kobe Nguyen")</f>
        <v>Kobe Nguyen</v>
      </c>
      <c r="D107" s="3" t="str">
        <f>IFERROR(__xludf.DUMMYFUNCTION("""COMPUTED_VALUE"""),"Kyle Demers")</f>
        <v>Kyle Demers</v>
      </c>
      <c r="E107" s="3" t="str">
        <f>IFERROR(__xludf.DUMMYFUNCTION("""COMPUTED_VALUE"""),"Noah Nichols")</f>
        <v>Noah Nichols</v>
      </c>
      <c r="G107" s="3" t="str">
        <f>IFERROR(__xludf.DUMMYFUNCTION("""COMPUTED_VALUE"""),"Davis Wheeler")</f>
        <v>Davis Wheeler</v>
      </c>
      <c r="H107" s="3" t="str">
        <f>IFERROR(__xludf.DUMMYFUNCTION("""COMPUTED_VALUE"""),"Nate Pfeffer")</f>
        <v>Nate Pfeffer</v>
      </c>
      <c r="I107" s="3" t="str">
        <f>IFERROR(__xludf.DUMMYFUNCTION("""COMPUTED_VALUE"""),"Corey Rogness")</f>
        <v>Corey Rogness</v>
      </c>
      <c r="J107" s="3" t="str">
        <f>IFERROR(__xludf.DUMMYFUNCTION("""COMPUTED_VALUE"""),"Jackson Hunter")</f>
        <v>Jackson Hunter</v>
      </c>
      <c r="K107" s="3" t="str">
        <f>IFERROR(__xludf.DUMMYFUNCTION("""COMPUTED_VALUE"""),"Massimo Serafini")</f>
        <v>Massimo Serafini</v>
      </c>
      <c r="L107" s="3" t="str">
        <f>IFERROR(__xludf.DUMMYFUNCTION("""COMPUTED_VALUE"""),"Preston Hunter")</f>
        <v>Preston Hunter</v>
      </c>
      <c r="M107" s="3" t="str">
        <f>IFERROR(__xludf.DUMMYFUNCTION("""COMPUTED_VALUE"""),"Michael Wood")</f>
        <v>Michael Wood</v>
      </c>
      <c r="N107" s="3" t="str">
        <f>IFERROR(__xludf.DUMMYFUNCTION("""COMPUTED_VALUE"""),"Jacob Miller")</f>
        <v>Jacob Miller</v>
      </c>
      <c r="W107" s="3" t="str">
        <f>IFERROR(__xludf.DUMMYFUNCTION("""COMPUTED_VALUE"""),"Forest Webb")</f>
        <v>Forest Webb</v>
      </c>
    </row>
    <row r="108">
      <c r="B108" s="3" t="str">
        <f>IFERROR(__xludf.DUMMYFUNCTION("""COMPUTED_VALUE"""),"Jake Blackburn")</f>
        <v>Jake Blackburn</v>
      </c>
      <c r="C108" s="3" t="str">
        <f>IFERROR(__xludf.DUMMYFUNCTION("""COMPUTED_VALUE"""),"AJ Schwabe")</f>
        <v>AJ Schwabe</v>
      </c>
      <c r="D108" s="3" t="str">
        <f>IFERROR(__xludf.DUMMYFUNCTION("""COMPUTED_VALUE"""),"Ethan Jones")</f>
        <v>Ethan Jones</v>
      </c>
      <c r="G108" s="3" t="str">
        <f>IFERROR(__xludf.DUMMYFUNCTION("""COMPUTED_VALUE"""),"Reid Schattgen")</f>
        <v>Reid Schattgen</v>
      </c>
      <c r="H108" s="3" t="str">
        <f>IFERROR(__xludf.DUMMYFUNCTION("""COMPUTED_VALUE"""),"Erik Cumpston")</f>
        <v>Erik Cumpston</v>
      </c>
      <c r="I108" s="3" t="str">
        <f>IFERROR(__xludf.DUMMYFUNCTION("""COMPUTED_VALUE"""),"Connor Brooks")</f>
        <v>Connor Brooks</v>
      </c>
      <c r="J108" s="3" t="str">
        <f>IFERROR(__xludf.DUMMYFUNCTION("""COMPUTED_VALUE"""),"Andrew Betts")</f>
        <v>Andrew Betts</v>
      </c>
      <c r="K108" s="3" t="str">
        <f>IFERROR(__xludf.DUMMYFUNCTION("""COMPUTED_VALUE"""),"Ryan Taylor")</f>
        <v>Ryan Taylor</v>
      </c>
      <c r="L108" s="3" t="str">
        <f>IFERROR(__xludf.DUMMYFUNCTION("""COMPUTED_VALUE"""),"Noah Frerichs")</f>
        <v>Noah Frerichs</v>
      </c>
      <c r="M108" s="3" t="str">
        <f>IFERROR(__xludf.DUMMYFUNCTION("""COMPUTED_VALUE"""),"Ethan Roehrle")</f>
        <v>Ethan Roehrle</v>
      </c>
      <c r="N108" s="3" t="str">
        <f>IFERROR(__xludf.DUMMYFUNCTION("""COMPUTED_VALUE"""),"Connor Sauls")</f>
        <v>Connor Sauls</v>
      </c>
      <c r="W108" s="3" t="str">
        <f>IFERROR(__xludf.DUMMYFUNCTION("""COMPUTED_VALUE"""),"Gavin Lamoureux")</f>
        <v>Gavin Lamoureux</v>
      </c>
    </row>
    <row r="109">
      <c r="B109" s="3" t="str">
        <f>IFERROR(__xludf.DUMMYFUNCTION("""COMPUTED_VALUE"""),"Michael Davis")</f>
        <v>Michael Davis</v>
      </c>
      <c r="C109" s="3" t="str">
        <f>IFERROR(__xludf.DUMMYFUNCTION("""COMPUTED_VALUE"""),"Patrick Crowder")</f>
        <v>Patrick Crowder</v>
      </c>
      <c r="D109" s="3" t="str">
        <f>IFERROR(__xludf.DUMMYFUNCTION("""COMPUTED_VALUE"""),"Chris Farrell")</f>
        <v>Chris Farrell</v>
      </c>
      <c r="G109" s="3" t="str">
        <f>IFERROR(__xludf.DUMMYFUNCTION("""COMPUTED_VALUE"""),"Will Fletcher")</f>
        <v>Will Fletcher</v>
      </c>
      <c r="H109" s="3" t="str">
        <f>IFERROR(__xludf.DUMMYFUNCTION("""COMPUTED_VALUE"""),"Kostas Mateer")</f>
        <v>Kostas Mateer</v>
      </c>
      <c r="I109" s="3" t="str">
        <f>IFERROR(__xludf.DUMMYFUNCTION("""COMPUTED_VALUE"""),"Michael Senter")</f>
        <v>Michael Senter</v>
      </c>
      <c r="J109" s="3" t="str">
        <f>IFERROR(__xludf.DUMMYFUNCTION("""COMPUTED_VALUE"""),"Chris Homer")</f>
        <v>Chris Homer</v>
      </c>
      <c r="K109" s="3" t="str">
        <f>IFERROR(__xludf.DUMMYFUNCTION("""COMPUTED_VALUE"""),"Ethan Jones")</f>
        <v>Ethan Jones</v>
      </c>
      <c r="L109" s="3" t="str">
        <f>IFERROR(__xludf.DUMMYFUNCTION("""COMPUTED_VALUE"""),"Cole Hudak")</f>
        <v>Cole Hudak</v>
      </c>
      <c r="M109" s="3" t="str">
        <f>IFERROR(__xludf.DUMMYFUNCTION("""COMPUTED_VALUE"""),"Robert Hodge")</f>
        <v>Robert Hodge</v>
      </c>
      <c r="W109" s="3" t="str">
        <f>IFERROR(__xludf.DUMMYFUNCTION("""COMPUTED_VALUE"""),"Cole Younger")</f>
        <v>Cole Younger</v>
      </c>
    </row>
    <row r="110">
      <c r="B110" s="3" t="str">
        <f>IFERROR(__xludf.DUMMYFUNCTION("""COMPUTED_VALUE"""),"Derek Lang")</f>
        <v>Derek Lang</v>
      </c>
      <c r="C110" s="3" t="str">
        <f>IFERROR(__xludf.DUMMYFUNCTION("""COMPUTED_VALUE"""),"Logan DeWalt")</f>
        <v>Logan DeWalt</v>
      </c>
      <c r="D110" s="3" t="str">
        <f>IFERROR(__xludf.DUMMYFUNCTION("""COMPUTED_VALUE"""),"Luke Osleger")</f>
        <v>Luke Osleger</v>
      </c>
      <c r="G110" s="3" t="str">
        <f>IFERROR(__xludf.DUMMYFUNCTION("""COMPUTED_VALUE"""),"Brandon Brewer")</f>
        <v>Brandon Brewer</v>
      </c>
      <c r="H110" s="3" t="str">
        <f>IFERROR(__xludf.DUMMYFUNCTION("""COMPUTED_VALUE"""),"Jamie Edwards")</f>
        <v>Jamie Edwards</v>
      </c>
      <c r="I110" s="3" t="str">
        <f>IFERROR(__xludf.DUMMYFUNCTION("""COMPUTED_VALUE"""),"Hunter Muench")</f>
        <v>Hunter Muench</v>
      </c>
      <c r="J110" s="3" t="str">
        <f>IFERROR(__xludf.DUMMYFUNCTION("""COMPUTED_VALUE"""),"Aidan Campbell")</f>
        <v>Aidan Campbell</v>
      </c>
      <c r="K110" s="3" t="str">
        <f>IFERROR(__xludf.DUMMYFUNCTION("""COMPUTED_VALUE"""),"Julian Montes")</f>
        <v>Julian Montes</v>
      </c>
      <c r="L110" s="3" t="str">
        <f>IFERROR(__xludf.DUMMYFUNCTION("""COMPUTED_VALUE"""),"Kolby Hoge")</f>
        <v>Kolby Hoge</v>
      </c>
      <c r="M110" s="3" t="str">
        <f>IFERROR(__xludf.DUMMYFUNCTION("""COMPUTED_VALUE"""),"Noah Spain")</f>
        <v>Noah Spain</v>
      </c>
      <c r="W110" s="3" t="str">
        <f>IFERROR(__xludf.DUMMYFUNCTION("""COMPUTED_VALUE"""),"Atesh Camurdan")</f>
        <v>Atesh Camurdan</v>
      </c>
    </row>
    <row r="111">
      <c r="B111" s="3" t="str">
        <f>IFERROR(__xludf.DUMMYFUNCTION("""COMPUTED_VALUE"""),"Tim Higgins")</f>
        <v>Tim Higgins</v>
      </c>
      <c r="C111" s="3" t="str">
        <f>IFERROR(__xludf.DUMMYFUNCTION("""COMPUTED_VALUE"""),"Maxwell Trias")</f>
        <v>Maxwell Trias</v>
      </c>
      <c r="D111" s="3" t="str">
        <f>IFERROR(__xludf.DUMMYFUNCTION("""COMPUTED_VALUE"""),"Conrad Tan")</f>
        <v>Conrad Tan</v>
      </c>
      <c r="G111" s="3" t="str">
        <f>IFERROR(__xludf.DUMMYFUNCTION("""COMPUTED_VALUE"""),"Robert Hodge")</f>
        <v>Robert Hodge</v>
      </c>
      <c r="H111" s="3" t="str">
        <f>IFERROR(__xludf.DUMMYFUNCTION("""COMPUTED_VALUE"""),"Johnathan Walden")</f>
        <v>Johnathan Walden</v>
      </c>
      <c r="I111" s="3" t="str">
        <f>IFERROR(__xludf.DUMMYFUNCTION("""COMPUTED_VALUE"""),"Ezekiel Brubaker")</f>
        <v>Ezekiel Brubaker</v>
      </c>
      <c r="J111" s="3" t="str">
        <f>IFERROR(__xludf.DUMMYFUNCTION("""COMPUTED_VALUE"""),"Benjamin Beaudoin")</f>
        <v>Benjamin Beaudoin</v>
      </c>
      <c r="K111" s="3" t="str">
        <f>IFERROR(__xludf.DUMMYFUNCTION("""COMPUTED_VALUE"""),"Ben James")</f>
        <v>Ben James</v>
      </c>
      <c r="L111" s="3" t="str">
        <f>IFERROR(__xludf.DUMMYFUNCTION("""COMPUTED_VALUE"""),"Connor Weston")</f>
        <v>Connor Weston</v>
      </c>
      <c r="M111" s="3" t="str">
        <f>IFERROR(__xludf.DUMMYFUNCTION("""COMPUTED_VALUE"""),"Preston Trevey")</f>
        <v>Preston Trevey</v>
      </c>
      <c r="W111" s="3" t="str">
        <f>IFERROR(__xludf.DUMMYFUNCTION("""COMPUTED_VALUE"""),"Connor Doyle")</f>
        <v>Connor Doyle</v>
      </c>
    </row>
    <row r="112">
      <c r="B112" s="3" t="str">
        <f>IFERROR(__xludf.DUMMYFUNCTION("""COMPUTED_VALUE"""),"Conrad Tan")</f>
        <v>Conrad Tan</v>
      </c>
      <c r="C112" s="3" t="str">
        <f>IFERROR(__xludf.DUMMYFUNCTION("""COMPUTED_VALUE"""),"Mason Van Tassell")</f>
        <v>Mason Van Tassell</v>
      </c>
      <c r="D112" s="3" t="str">
        <f>IFERROR(__xludf.DUMMYFUNCTION("""COMPUTED_VALUE"""),"Jacob Miller")</f>
        <v>Jacob Miller</v>
      </c>
      <c r="G112" s="3" t="str">
        <f>IFERROR(__xludf.DUMMYFUNCTION("""COMPUTED_VALUE"""),"Maxwell Trias")</f>
        <v>Maxwell Trias</v>
      </c>
      <c r="H112" s="3" t="str">
        <f>IFERROR(__xludf.DUMMYFUNCTION("""COMPUTED_VALUE"""),"Logan DeWalt")</f>
        <v>Logan DeWalt</v>
      </c>
      <c r="I112" s="3" t="str">
        <f>IFERROR(__xludf.DUMMYFUNCTION("""COMPUTED_VALUE"""),"Michael Pilar")</f>
        <v>Michael Pilar</v>
      </c>
      <c r="J112" s="3" t="str">
        <f>IFERROR(__xludf.DUMMYFUNCTION("""COMPUTED_VALUE"""),"Brock Rempe")</f>
        <v>Brock Rempe</v>
      </c>
      <c r="K112" s="3" t="str">
        <f>IFERROR(__xludf.DUMMYFUNCTION("""COMPUTED_VALUE"""),"Jack Spinnanger")</f>
        <v>Jack Spinnanger</v>
      </c>
      <c r="L112" s="3" t="str">
        <f>IFERROR(__xludf.DUMMYFUNCTION("""COMPUTED_VALUE"""),"Sam Sokalzuk")</f>
        <v>Sam Sokalzuk</v>
      </c>
      <c r="M112" s="3" t="str">
        <f>IFERROR(__xludf.DUMMYFUNCTION("""COMPUTED_VALUE"""),"Alex Kidd")</f>
        <v>Alex Kidd</v>
      </c>
      <c r="W112" s="3" t="str">
        <f>IFERROR(__xludf.DUMMYFUNCTION("""COMPUTED_VALUE"""),"Noah Ratliff")</f>
        <v>Noah Ratliff</v>
      </c>
    </row>
    <row r="113">
      <c r="B113" s="3" t="str">
        <f>IFERROR(__xludf.DUMMYFUNCTION("""COMPUTED_VALUE"""),"Jonathan Bettis")</f>
        <v>Jonathan Bettis</v>
      </c>
      <c r="C113" s="3" t="str">
        <f>IFERROR(__xludf.DUMMYFUNCTION("""COMPUTED_VALUE"""),"Heath Lewis")</f>
        <v>Heath Lewis</v>
      </c>
      <c r="D113" s="3" t="str">
        <f>IFERROR(__xludf.DUMMYFUNCTION("""COMPUTED_VALUE"""),"Patrick Crowder")</f>
        <v>Patrick Crowder</v>
      </c>
      <c r="G113" s="3" t="str">
        <f>IFERROR(__xludf.DUMMYFUNCTION("""COMPUTED_VALUE"""),"Julian Montes")</f>
        <v>Julian Montes</v>
      </c>
      <c r="H113" s="3" t="str">
        <f>IFERROR(__xludf.DUMMYFUNCTION("""COMPUTED_VALUE"""),"Paul Datovech")</f>
        <v>Paul Datovech</v>
      </c>
      <c r="I113" s="3" t="str">
        <f>IFERROR(__xludf.DUMMYFUNCTION("""COMPUTED_VALUE"""),"Derek Lang")</f>
        <v>Derek Lang</v>
      </c>
      <c r="J113" s="3" t="str">
        <f>IFERROR(__xludf.DUMMYFUNCTION("""COMPUTED_VALUE"""),"Howard Zhu")</f>
        <v>Howard Zhu</v>
      </c>
      <c r="K113" s="3" t="str">
        <f>IFERROR(__xludf.DUMMYFUNCTION("""COMPUTED_VALUE"""),"Alex Stanley")</f>
        <v>Alex Stanley</v>
      </c>
      <c r="L113" s="3" t="str">
        <f>IFERROR(__xludf.DUMMYFUNCTION("""COMPUTED_VALUE"""),"Owen Wassmer")</f>
        <v>Owen Wassmer</v>
      </c>
      <c r="M113" s="3" t="str">
        <f>IFERROR(__xludf.DUMMYFUNCTION("""COMPUTED_VALUE"""),"Will Stevens")</f>
        <v>Will Stevens</v>
      </c>
      <c r="W113" s="3" t="str">
        <f>IFERROR(__xludf.DUMMYFUNCTION("""COMPUTED_VALUE"""),"Reed Sells")</f>
        <v>Reed Sells</v>
      </c>
    </row>
    <row r="114">
      <c r="B114" s="3" t="str">
        <f>IFERROR(__xludf.DUMMYFUNCTION("""COMPUTED_VALUE"""),"Thomas McGowan")</f>
        <v>Thomas McGowan</v>
      </c>
      <c r="C114" s="3" t="str">
        <f>IFERROR(__xludf.DUMMYFUNCTION("""COMPUTED_VALUE"""),"Ben James")</f>
        <v>Ben James</v>
      </c>
      <c r="D114" s="3" t="str">
        <f>IFERROR(__xludf.DUMMYFUNCTION("""COMPUTED_VALUE"""),"Aidan Moudry")</f>
        <v>Aidan Moudry</v>
      </c>
      <c r="G114" s="3" t="str">
        <f>IFERROR(__xludf.DUMMYFUNCTION("""COMPUTED_VALUE"""),"Nick Zolovick")</f>
        <v>Nick Zolovick</v>
      </c>
      <c r="H114" s="3" t="str">
        <f>IFERROR(__xludf.DUMMYFUNCTION("""COMPUTED_VALUE"""),"Sam Sweetser")</f>
        <v>Sam Sweetser</v>
      </c>
      <c r="I114" s="3" t="str">
        <f>IFERROR(__xludf.DUMMYFUNCTION("""COMPUTED_VALUE"""),"Jack Dragone")</f>
        <v>Jack Dragone</v>
      </c>
      <c r="J114" s="3" t="str">
        <f>IFERROR(__xludf.DUMMYFUNCTION("""COMPUTED_VALUE"""),"Jacob Winn")</f>
        <v>Jacob Winn</v>
      </c>
      <c r="K114" s="3" t="str">
        <f>IFERROR(__xludf.DUMMYFUNCTION("""COMPUTED_VALUE"""),"Cameron Adams")</f>
        <v>Cameron Adams</v>
      </c>
      <c r="L114" s="3" t="str">
        <f>IFERROR(__xludf.DUMMYFUNCTION("""COMPUTED_VALUE"""),"Russell Nystrom")</f>
        <v>Russell Nystrom</v>
      </c>
      <c r="M114" s="3" t="str">
        <f>IFERROR(__xludf.DUMMYFUNCTION("""COMPUTED_VALUE"""),"Corey Rogness")</f>
        <v>Corey Rogness</v>
      </c>
      <c r="W114" s="3" t="str">
        <f>IFERROR(__xludf.DUMMYFUNCTION("""COMPUTED_VALUE"""),"Nicholas Viers")</f>
        <v>Nicholas Viers</v>
      </c>
    </row>
    <row r="115">
      <c r="B115" s="3" t="str">
        <f>IFERROR(__xludf.DUMMYFUNCTION("""COMPUTED_VALUE"""),"Teddy Cross")</f>
        <v>Teddy Cross</v>
      </c>
      <c r="C115" s="3" t="str">
        <f>IFERROR(__xludf.DUMMYFUNCTION("""COMPUTED_VALUE"""),"Garrett Pendleton")</f>
        <v>Garrett Pendleton</v>
      </c>
      <c r="D115" s="3" t="str">
        <f>IFERROR(__xludf.DUMMYFUNCTION("""COMPUTED_VALUE"""),"Brady Lang")</f>
        <v>Brady Lang</v>
      </c>
      <c r="G115" s="3" t="str">
        <f>IFERROR(__xludf.DUMMYFUNCTION("""COMPUTED_VALUE"""),"Logan DeWalt")</f>
        <v>Logan DeWalt</v>
      </c>
      <c r="H115" s="3" t="str">
        <f>IFERROR(__xludf.DUMMYFUNCTION("""COMPUTED_VALUE"""),"Nathan Pechacek")</f>
        <v>Nathan Pechacek</v>
      </c>
      <c r="I115" s="3" t="str">
        <f>IFERROR(__xludf.DUMMYFUNCTION("""COMPUTED_VALUE"""),"Gus Jones")</f>
        <v>Gus Jones</v>
      </c>
      <c r="K115" s="3" t="str">
        <f>IFERROR(__xludf.DUMMYFUNCTION("""COMPUTED_VALUE"""),"Kevin Bennett")</f>
        <v>Kevin Bennett</v>
      </c>
      <c r="L115" s="3" t="str">
        <f>IFERROR(__xludf.DUMMYFUNCTION("""COMPUTED_VALUE"""),"Michael Senter")</f>
        <v>Michael Senter</v>
      </c>
      <c r="M115" s="3" t="str">
        <f>IFERROR(__xludf.DUMMYFUNCTION("""COMPUTED_VALUE"""),"Cameron Adams")</f>
        <v>Cameron Adams</v>
      </c>
      <c r="W115" s="3" t="str">
        <f>IFERROR(__xludf.DUMMYFUNCTION("""COMPUTED_VALUE"""),"Parker Hayungs")</f>
        <v>Parker Hayungs</v>
      </c>
    </row>
    <row r="116">
      <c r="B116" s="3" t="str">
        <f>IFERROR(__xludf.DUMMYFUNCTION("""COMPUTED_VALUE"""),"Nicolas Noto")</f>
        <v>Nicolas Noto</v>
      </c>
      <c r="C116" s="3" t="str">
        <f>IFERROR(__xludf.DUMMYFUNCTION("""COMPUTED_VALUE"""),"Matthew Sweat")</f>
        <v>Matthew Sweat</v>
      </c>
      <c r="D116" s="3" t="str">
        <f>IFERROR(__xludf.DUMMYFUNCTION("""COMPUTED_VALUE"""),"Andrew Chaikin")</f>
        <v>Andrew Chaikin</v>
      </c>
      <c r="G116" s="3" t="str">
        <f>IFERROR(__xludf.DUMMYFUNCTION("""COMPUTED_VALUE"""),"Parker Hayungs")</f>
        <v>Parker Hayungs</v>
      </c>
      <c r="H116" s="3" t="str">
        <f>IFERROR(__xludf.DUMMYFUNCTION("""COMPUTED_VALUE"""),"Austin Booth")</f>
        <v>Austin Booth</v>
      </c>
      <c r="I116" s="3" t="str">
        <f>IFERROR(__xludf.DUMMYFUNCTION("""COMPUTED_VALUE"""),"Jack Spinnanger")</f>
        <v>Jack Spinnanger</v>
      </c>
      <c r="K116" s="3" t="str">
        <f>IFERROR(__xludf.DUMMYFUNCTION("""COMPUTED_VALUE"""),"JT Lotz")</f>
        <v>JT Lotz</v>
      </c>
      <c r="L116" s="3" t="str">
        <f>IFERROR(__xludf.DUMMYFUNCTION("""COMPUTED_VALUE"""),"David Johnson")</f>
        <v>David Johnson</v>
      </c>
      <c r="M116" s="3" t="str">
        <f>IFERROR(__xludf.DUMMYFUNCTION("""COMPUTED_VALUE"""),"Erik Cumpston")</f>
        <v>Erik Cumpston</v>
      </c>
      <c r="W116" s="3" t="str">
        <f>IFERROR(__xludf.DUMMYFUNCTION("""COMPUTED_VALUE"""),"Jack Sheehan")</f>
        <v>Jack Sheehan</v>
      </c>
    </row>
    <row r="117">
      <c r="B117" s="3" t="str">
        <f>IFERROR(__xludf.DUMMYFUNCTION("""COMPUTED_VALUE"""),"Fletcher Marshall")</f>
        <v>Fletcher Marshall</v>
      </c>
      <c r="C117" s="3" t="str">
        <f>IFERROR(__xludf.DUMMYFUNCTION("""COMPUTED_VALUE"""),"Tate Snyder")</f>
        <v>Tate Snyder</v>
      </c>
      <c r="D117" s="3" t="str">
        <f>IFERROR(__xludf.DUMMYFUNCTION("""COMPUTED_VALUE"""),"Julian Montes")</f>
        <v>Julian Montes</v>
      </c>
      <c r="G117" s="3" t="str">
        <f>IFERROR(__xludf.DUMMYFUNCTION("""COMPUTED_VALUE"""),"Joe Combs")</f>
        <v>Joe Combs</v>
      </c>
      <c r="H117" s="3" t="str">
        <f>IFERROR(__xludf.DUMMYFUNCTION("""COMPUTED_VALUE"""),"Jacob Sprigg")</f>
        <v>Jacob Sprigg</v>
      </c>
      <c r="I117" s="3" t="str">
        <f>IFERROR(__xludf.DUMMYFUNCTION("""COMPUTED_VALUE"""),"Erik Payne")</f>
        <v>Erik Payne</v>
      </c>
      <c r="K117" s="3" t="str">
        <f>IFERROR(__xludf.DUMMYFUNCTION("""COMPUTED_VALUE"""),"Preston Hunter")</f>
        <v>Preston Hunter</v>
      </c>
      <c r="L117" s="3" t="str">
        <f>IFERROR(__xludf.DUMMYFUNCTION("""COMPUTED_VALUE"""),"Alex Neff")</f>
        <v>Alex Neff</v>
      </c>
      <c r="M117" s="3" t="str">
        <f>IFERROR(__xludf.DUMMYFUNCTION("""COMPUTED_VALUE"""),"Ethan Spencer")</f>
        <v>Ethan Spencer</v>
      </c>
      <c r="W117" s="3" t="str">
        <f>IFERROR(__xludf.DUMMYFUNCTION("""COMPUTED_VALUE"""),"Austin Clark")</f>
        <v>Austin Clark</v>
      </c>
    </row>
    <row r="118">
      <c r="B118" s="3" t="str">
        <f>IFERROR(__xludf.DUMMYFUNCTION("""COMPUTED_VALUE"""),"Garrett Pendleton")</f>
        <v>Garrett Pendleton</v>
      </c>
      <c r="C118" s="3" t="str">
        <f>IFERROR(__xludf.DUMMYFUNCTION("""COMPUTED_VALUE"""),"Houston Crowder")</f>
        <v>Houston Crowder</v>
      </c>
      <c r="D118" s="3" t="str">
        <f>IFERROR(__xludf.DUMMYFUNCTION("""COMPUTED_VALUE"""),"Joey Sims")</f>
        <v>Joey Sims</v>
      </c>
      <c r="G118" s="3" t="str">
        <f>IFERROR(__xludf.DUMMYFUNCTION("""COMPUTED_VALUE"""),"Nathan Smith")</f>
        <v>Nathan Smith</v>
      </c>
      <c r="H118" s="3" t="str">
        <f>IFERROR(__xludf.DUMMYFUNCTION("""COMPUTED_VALUE"""),"Ian Hart")</f>
        <v>Ian Hart</v>
      </c>
      <c r="I118" s="3" t="str">
        <f>IFERROR(__xludf.DUMMYFUNCTION("""COMPUTED_VALUE"""),"Chris Farrell")</f>
        <v>Chris Farrell</v>
      </c>
      <c r="K118" s="3" t="str">
        <f>IFERROR(__xludf.DUMMYFUNCTION("""COMPUTED_VALUE"""),"Cole Hudak")</f>
        <v>Cole Hudak</v>
      </c>
      <c r="L118" s="3" t="str">
        <f>IFERROR(__xludf.DUMMYFUNCTION("""COMPUTED_VALUE"""),"Colin Whiting")</f>
        <v>Colin Whiting</v>
      </c>
      <c r="M118" s="3" t="str">
        <f>IFERROR(__xludf.DUMMYFUNCTION("""COMPUTED_VALUE"""),"Sam Rivas")</f>
        <v>Sam Rivas</v>
      </c>
      <c r="W118" s="3" t="str">
        <f>IFERROR(__xludf.DUMMYFUNCTION("""COMPUTED_VALUE"""),"Andrew Betts")</f>
        <v>Andrew Betts</v>
      </c>
    </row>
    <row r="119">
      <c r="B119" s="3" t="str">
        <f>IFERROR(__xludf.DUMMYFUNCTION("""COMPUTED_VALUE"""),"Patrick Crowder")</f>
        <v>Patrick Crowder</v>
      </c>
      <c r="C119" s="3" t="str">
        <f>IFERROR(__xludf.DUMMYFUNCTION("""COMPUTED_VALUE"""),"Carter Bunting")</f>
        <v>Carter Bunting</v>
      </c>
      <c r="D119" s="3" t="str">
        <f>IFERROR(__xludf.DUMMYFUNCTION("""COMPUTED_VALUE"""),"Alex Scott")</f>
        <v>Alex Scott</v>
      </c>
      <c r="G119" s="3" t="str">
        <f>IFERROR(__xludf.DUMMYFUNCTION("""COMPUTED_VALUE"""),"Hunter Strickland")</f>
        <v>Hunter Strickland</v>
      </c>
      <c r="H119" s="3" t="str">
        <f>IFERROR(__xludf.DUMMYFUNCTION("""COMPUTED_VALUE"""),"Garrett Pendleton")</f>
        <v>Garrett Pendleton</v>
      </c>
      <c r="I119" s="3" t="str">
        <f>IFERROR(__xludf.DUMMYFUNCTION("""COMPUTED_VALUE"""),"Alexi Gentz")</f>
        <v>Alexi Gentz</v>
      </c>
      <c r="K119" s="3" t="str">
        <f>IFERROR(__xludf.DUMMYFUNCTION("""COMPUTED_VALUE"""),"Lorenzo Galang")</f>
        <v>Lorenzo Galang</v>
      </c>
      <c r="L119" s="3" t="str">
        <f>IFERROR(__xludf.DUMMYFUNCTION("""COMPUTED_VALUE"""),"Grayson Daughtry")</f>
        <v>Grayson Daughtry</v>
      </c>
      <c r="M119" s="3" t="str">
        <f>IFERROR(__xludf.DUMMYFUNCTION("""COMPUTED_VALUE"""),"Hunter Muench")</f>
        <v>Hunter Muench</v>
      </c>
      <c r="W119" s="3" t="str">
        <f>IFERROR(__xludf.DUMMYFUNCTION("""COMPUTED_VALUE"""),"Collin Feliciano")</f>
        <v>Collin Feliciano</v>
      </c>
    </row>
    <row r="120">
      <c r="B120" s="3" t="str">
        <f>IFERROR(__xludf.DUMMYFUNCTION("""COMPUTED_VALUE"""),"Charlie Cross")</f>
        <v>Charlie Cross</v>
      </c>
      <c r="C120" s="3" t="str">
        <f>IFERROR(__xludf.DUMMYFUNCTION("""COMPUTED_VALUE"""),"Tim Higgins")</f>
        <v>Tim Higgins</v>
      </c>
      <c r="D120" s="3" t="str">
        <f>IFERROR(__xludf.DUMMYFUNCTION("""COMPUTED_VALUE"""),"Joshua Dicken")</f>
        <v>Joshua Dicken</v>
      </c>
      <c r="G120" s="3" t="str">
        <f>IFERROR(__xludf.DUMMYFUNCTION("""COMPUTED_VALUE"""),"Massimo Serafini")</f>
        <v>Massimo Serafini</v>
      </c>
      <c r="H120" s="3" t="str">
        <f>IFERROR(__xludf.DUMMYFUNCTION("""COMPUTED_VALUE"""),"Will Stevens")</f>
        <v>Will Stevens</v>
      </c>
      <c r="I120" s="3" t="str">
        <f>IFERROR(__xludf.DUMMYFUNCTION("""COMPUTED_VALUE"""),"Smith Martin")</f>
        <v>Smith Martin</v>
      </c>
      <c r="K120" s="3" t="str">
        <f>IFERROR(__xludf.DUMMYFUNCTION("""COMPUTED_VALUE"""),"Andrew Creelman")</f>
        <v>Andrew Creelman</v>
      </c>
      <c r="L120" s="3" t="str">
        <f>IFERROR(__xludf.DUMMYFUNCTION("""COMPUTED_VALUE"""),"Andrew Burrows")</f>
        <v>Andrew Burrows</v>
      </c>
      <c r="M120" s="3" t="str">
        <f>IFERROR(__xludf.DUMMYFUNCTION("""COMPUTED_VALUE"""),"Nicholas Fillo")</f>
        <v>Nicholas Fillo</v>
      </c>
      <c r="W120" s="3" t="str">
        <f>IFERROR(__xludf.DUMMYFUNCTION("""COMPUTED_VALUE"""),"Brandon Brewer")</f>
        <v>Brandon Brewer</v>
      </c>
    </row>
    <row r="121">
      <c r="B121" s="3" t="str">
        <f>IFERROR(__xludf.DUMMYFUNCTION("""COMPUTED_VALUE"""),"Shayom Debopadhaya")</f>
        <v>Shayom Debopadhaya</v>
      </c>
      <c r="C121" s="3" t="str">
        <f>IFERROR(__xludf.DUMMYFUNCTION("""COMPUTED_VALUE"""),"Massimo Serafini")</f>
        <v>Massimo Serafini</v>
      </c>
      <c r="D121" s="3" t="str">
        <f>IFERROR(__xludf.DUMMYFUNCTION("""COMPUTED_VALUE"""),"Logan Euker")</f>
        <v>Logan Euker</v>
      </c>
      <c r="G121" s="3" t="str">
        <f>IFERROR(__xludf.DUMMYFUNCTION("""COMPUTED_VALUE"""),"David Gepitulan")</f>
        <v>David Gepitulan</v>
      </c>
      <c r="H121" s="3" t="str">
        <f>IFERROR(__xludf.DUMMYFUNCTION("""COMPUTED_VALUE"""),"Joe Combs")</f>
        <v>Joe Combs</v>
      </c>
      <c r="I121" s="3" t="str">
        <f>IFERROR(__xludf.DUMMYFUNCTION("""COMPUTED_VALUE"""),"Hunter Strickland")</f>
        <v>Hunter Strickland</v>
      </c>
      <c r="K121" s="3" t="str">
        <f>IFERROR(__xludf.DUMMYFUNCTION("""COMPUTED_VALUE"""),"Paul Southern")</f>
        <v>Paul Southern</v>
      </c>
      <c r="L121" s="3" t="str">
        <f>IFERROR(__xludf.DUMMYFUNCTION("""COMPUTED_VALUE"""),"Blakely Dean")</f>
        <v>Blakely Dean</v>
      </c>
      <c r="M121" s="3" t="str">
        <f>IFERROR(__xludf.DUMMYFUNCTION("""COMPUTED_VALUE"""),"Alexi Gentz")</f>
        <v>Alexi Gentz</v>
      </c>
      <c r="W121" s="3" t="str">
        <f>IFERROR(__xludf.DUMMYFUNCTION("""COMPUTED_VALUE"""),"Edward Finman")</f>
        <v>Edward Finman</v>
      </c>
    </row>
    <row r="122">
      <c r="B122" s="3" t="str">
        <f>IFERROR(__xludf.DUMMYFUNCTION("""COMPUTED_VALUE"""),"Caleb Smietana")</f>
        <v>Caleb Smietana</v>
      </c>
      <c r="C122" s="3" t="str">
        <f>IFERROR(__xludf.DUMMYFUNCTION("""COMPUTED_VALUE"""),"Connor Brooks")</f>
        <v>Connor Brooks</v>
      </c>
      <c r="D122" s="3" t="str">
        <f>IFERROR(__xludf.DUMMYFUNCTION("""COMPUTED_VALUE"""),"John Reed")</f>
        <v>John Reed</v>
      </c>
      <c r="G122" s="3" t="str">
        <f>IFERROR(__xludf.DUMMYFUNCTION("""COMPUTED_VALUE"""),"Mason Van Tassell")</f>
        <v>Mason Van Tassell</v>
      </c>
      <c r="H122" s="3" t="str">
        <f>IFERROR(__xludf.DUMMYFUNCTION("""COMPUTED_VALUE"""),"Aidan Campbell")</f>
        <v>Aidan Campbell</v>
      </c>
      <c r="I122" s="3" t="str">
        <f>IFERROR(__xludf.DUMMYFUNCTION("""COMPUTED_VALUE"""),"JT Lotz")</f>
        <v>JT Lotz</v>
      </c>
      <c r="K122" s="3" t="str">
        <f>IFERROR(__xludf.DUMMYFUNCTION("""COMPUTED_VALUE"""),"Jonathan Bettis")</f>
        <v>Jonathan Bettis</v>
      </c>
      <c r="L122" s="3" t="str">
        <f>IFERROR(__xludf.DUMMYFUNCTION("""COMPUTED_VALUE"""),"Andrew Creelman")</f>
        <v>Andrew Creelman</v>
      </c>
      <c r="M122" s="3" t="str">
        <f>IFERROR(__xludf.DUMMYFUNCTION("""COMPUTED_VALUE"""),"Tyler Hill")</f>
        <v>Tyler Hill</v>
      </c>
      <c r="W122" s="3" t="str">
        <f>IFERROR(__xludf.DUMMYFUNCTION("""COMPUTED_VALUE"""),"Kevin Bennett")</f>
        <v>Kevin Bennett</v>
      </c>
    </row>
    <row r="123">
      <c r="B123" s="3" t="str">
        <f>IFERROR(__xludf.DUMMYFUNCTION("""COMPUTED_VALUE"""),"Derek Estep")</f>
        <v>Derek Estep</v>
      </c>
      <c r="C123" s="3" t="str">
        <f>IFERROR(__xludf.DUMMYFUNCTION("""COMPUTED_VALUE"""),"Perry Ingraham")</f>
        <v>Perry Ingraham</v>
      </c>
      <c r="D123" s="3" t="str">
        <f>IFERROR(__xludf.DUMMYFUNCTION("""COMPUTED_VALUE"""),"Sam Sweetser")</f>
        <v>Sam Sweetser</v>
      </c>
      <c r="G123" s="3" t="str">
        <f>IFERROR(__xludf.DUMMYFUNCTION("""COMPUTED_VALUE"""),"Jacob Miller")</f>
        <v>Jacob Miller</v>
      </c>
      <c r="H123" s="3" t="str">
        <f>IFERROR(__xludf.DUMMYFUNCTION("""COMPUTED_VALUE"""),"Davis Kubovcik")</f>
        <v>Davis Kubovcik</v>
      </c>
      <c r="I123" s="3" t="str">
        <f>IFERROR(__xludf.DUMMYFUNCTION("""COMPUTED_VALUE"""),"Lorenzo Galang")</f>
        <v>Lorenzo Galang</v>
      </c>
      <c r="K123" s="3" t="str">
        <f>IFERROR(__xludf.DUMMYFUNCTION("""COMPUTED_VALUE"""),"Gus Jones")</f>
        <v>Gus Jones</v>
      </c>
      <c r="M123" s="3" t="str">
        <f>IFERROR(__xludf.DUMMYFUNCTION("""COMPUTED_VALUE"""),"Parker Hayungs")</f>
        <v>Parker Hayungs</v>
      </c>
      <c r="W123" s="3" t="str">
        <f>IFERROR(__xludf.DUMMYFUNCTION("""COMPUTED_VALUE"""),"Logan Deal")</f>
        <v>Logan Deal</v>
      </c>
    </row>
    <row r="124">
      <c r="B124" s="3" t="str">
        <f>IFERROR(__xludf.DUMMYFUNCTION("""COMPUTED_VALUE"""),"Jackson Sitton")</f>
        <v>Jackson Sitton</v>
      </c>
      <c r="C124" s="3" t="str">
        <f>IFERROR(__xludf.DUMMYFUNCTION("""COMPUTED_VALUE"""),"Jake Blackburn")</f>
        <v>Jake Blackburn</v>
      </c>
      <c r="D124" s="3" t="str">
        <f>IFERROR(__xludf.DUMMYFUNCTION("""COMPUTED_VALUE"""),"Victor Valovalo")</f>
        <v>Victor Valovalo</v>
      </c>
      <c r="G124" s="3" t="str">
        <f>IFERROR(__xludf.DUMMYFUNCTION("""COMPUTED_VALUE"""),"Collin Feliciano")</f>
        <v>Collin Feliciano</v>
      </c>
      <c r="H124" s="3" t="str">
        <f>IFERROR(__xludf.DUMMYFUNCTION("""COMPUTED_VALUE"""),"Ethan Comeyne")</f>
        <v>Ethan Comeyne</v>
      </c>
      <c r="I124" s="3" t="str">
        <f>IFERROR(__xludf.DUMMYFUNCTION("""COMPUTED_VALUE"""),"Collin Marks")</f>
        <v>Collin Marks</v>
      </c>
      <c r="K124" s="3" t="str">
        <f>IFERROR(__xludf.DUMMYFUNCTION("""COMPUTED_VALUE"""),"Michael Pilar")</f>
        <v>Michael Pilar</v>
      </c>
      <c r="M124" s="3" t="str">
        <f>IFERROR(__xludf.DUMMYFUNCTION("""COMPUTED_VALUE"""),"Eric Watson")</f>
        <v>Eric Watson</v>
      </c>
      <c r="W124" s="3" t="str">
        <f>IFERROR(__xludf.DUMMYFUNCTION("""COMPUTED_VALUE"""),"Kobe Nguyen")</f>
        <v>Kobe Nguyen</v>
      </c>
    </row>
    <row r="125">
      <c r="B125" s="3" t="str">
        <f>IFERROR(__xludf.DUMMYFUNCTION("""COMPUTED_VALUE"""),"Oz Potter")</f>
        <v>Oz Potter</v>
      </c>
      <c r="C125" s="3" t="str">
        <f>IFERROR(__xludf.DUMMYFUNCTION("""COMPUTED_VALUE"""),"Jack Spinnanger")</f>
        <v>Jack Spinnanger</v>
      </c>
      <c r="D125" s="3" t="str">
        <f>IFERROR(__xludf.DUMMYFUNCTION("""COMPUTED_VALUE"""),"Hunter Strickland")</f>
        <v>Hunter Strickland</v>
      </c>
      <c r="G125" s="3" t="str">
        <f>IFERROR(__xludf.DUMMYFUNCTION("""COMPUTED_VALUE"""),"Oz Potter")</f>
        <v>Oz Potter</v>
      </c>
      <c r="H125" s="3" t="str">
        <f>IFERROR(__xludf.DUMMYFUNCTION("""COMPUTED_VALUE"""),"Noah Frerichs")</f>
        <v>Noah Frerichs</v>
      </c>
      <c r="I125" s="3" t="str">
        <f>IFERROR(__xludf.DUMMYFUNCTION("""COMPUTED_VALUE"""),"Tee Bowles")</f>
        <v>Tee Bowles</v>
      </c>
      <c r="K125" s="3" t="str">
        <f>IFERROR(__xludf.DUMMYFUNCTION("""COMPUTED_VALUE"""),"Sam Sokalzuk")</f>
        <v>Sam Sokalzuk</v>
      </c>
      <c r="M125" s="3" t="str">
        <f>IFERROR(__xludf.DUMMYFUNCTION("""COMPUTED_VALUE"""),"Hunter Strickland")</f>
        <v>Hunter Strickland</v>
      </c>
      <c r="W125" s="3" t="str">
        <f>IFERROR(__xludf.DUMMYFUNCTION("""COMPUTED_VALUE"""),"Maxwell Trias")</f>
        <v>Maxwell Trias</v>
      </c>
    </row>
    <row r="126">
      <c r="B126" s="3" t="str">
        <f>IFERROR(__xludf.DUMMYFUNCTION("""COMPUTED_VALUE"""),"Brandt Gillette")</f>
        <v>Brandt Gillette</v>
      </c>
      <c r="C126" s="3" t="str">
        <f>IFERROR(__xludf.DUMMYFUNCTION("""COMPUTED_VALUE"""),"Noah Spain")</f>
        <v>Noah Spain</v>
      </c>
      <c r="D126" s="3" t="str">
        <f>IFERROR(__xludf.DUMMYFUNCTION("""COMPUTED_VALUE"""),"Quin Elder")</f>
        <v>Quin Elder</v>
      </c>
      <c r="G126" s="3" t="str">
        <f>IFERROR(__xludf.DUMMYFUNCTION("""COMPUTED_VALUE"""),"Edward Finman")</f>
        <v>Edward Finman</v>
      </c>
      <c r="H126" s="3" t="str">
        <f>IFERROR(__xludf.DUMMYFUNCTION("""COMPUTED_VALUE"""),"Luke Osleger")</f>
        <v>Luke Osleger</v>
      </c>
      <c r="I126" s="3" t="str">
        <f>IFERROR(__xludf.DUMMYFUNCTION("""COMPUTED_VALUE"""),"Luke Osleger")</f>
        <v>Luke Osleger</v>
      </c>
      <c r="K126" s="3" t="str">
        <f>IFERROR(__xludf.DUMMYFUNCTION("""COMPUTED_VALUE"""),"Brian Hua")</f>
        <v>Brian Hua</v>
      </c>
      <c r="M126" s="3" t="str">
        <f>IFERROR(__xludf.DUMMYFUNCTION("""COMPUTED_VALUE"""),"Christian Mayr")</f>
        <v>Christian Mayr</v>
      </c>
      <c r="W126" s="3" t="str">
        <f>IFERROR(__xludf.DUMMYFUNCTION("""COMPUTED_VALUE"""),"Tate Snyder")</f>
        <v>Tate Snyder</v>
      </c>
    </row>
    <row r="127">
      <c r="B127" s="3" t="str">
        <f>IFERROR(__xludf.DUMMYFUNCTION("""COMPUTED_VALUE"""),"Micah Hunt")</f>
        <v>Micah Hunt</v>
      </c>
      <c r="C127" s="3" t="str">
        <f>IFERROR(__xludf.DUMMYFUNCTION("""COMPUTED_VALUE"""),"Alex Scott")</f>
        <v>Alex Scott</v>
      </c>
      <c r="D127" s="3" t="str">
        <f>IFERROR(__xludf.DUMMYFUNCTION("""COMPUTED_VALUE"""),"Noah Frerichs")</f>
        <v>Noah Frerichs</v>
      </c>
      <c r="G127" s="3" t="str">
        <f>IFERROR(__xludf.DUMMYFUNCTION("""COMPUTED_VALUE"""),"Alexi Gentz")</f>
        <v>Alexi Gentz</v>
      </c>
      <c r="H127" s="3" t="str">
        <f>IFERROR(__xludf.DUMMYFUNCTION("""COMPUTED_VALUE"""),"Nathan Wakefield")</f>
        <v>Nathan Wakefield</v>
      </c>
      <c r="I127" s="3" t="str">
        <f>IFERROR(__xludf.DUMMYFUNCTION("""COMPUTED_VALUE"""),"Benjamin Beaudoin")</f>
        <v>Benjamin Beaudoin</v>
      </c>
      <c r="K127" s="3" t="str">
        <f>IFERROR(__xludf.DUMMYFUNCTION("""COMPUTED_VALUE"""),"Brandt Gillette")</f>
        <v>Brandt Gillette</v>
      </c>
      <c r="M127" s="3" t="str">
        <f>IFERROR(__xludf.DUMMYFUNCTION("""COMPUTED_VALUE"""),"Kaelig Michel")</f>
        <v>Kaelig Michel</v>
      </c>
      <c r="W127" s="3" t="str">
        <f>IFERROR(__xludf.DUMMYFUNCTION("""COMPUTED_VALUE"""),"Carter Bunting")</f>
        <v>Carter Bunting</v>
      </c>
    </row>
    <row r="128">
      <c r="B128" s="3" t="str">
        <f>IFERROR(__xludf.DUMMYFUNCTION("""COMPUTED_VALUE"""),"Houston Crowder")</f>
        <v>Houston Crowder</v>
      </c>
      <c r="C128" s="3" t="str">
        <f>IFERROR(__xludf.DUMMYFUNCTION("""COMPUTED_VALUE"""),"Johnathan Walden")</f>
        <v>Johnathan Walden</v>
      </c>
      <c r="D128" s="3" t="str">
        <f>IFERROR(__xludf.DUMMYFUNCTION("""COMPUTED_VALUE"""),"Fletcher Marshall")</f>
        <v>Fletcher Marshall</v>
      </c>
      <c r="G128" s="3" t="str">
        <f>IFERROR(__xludf.DUMMYFUNCTION("""COMPUTED_VALUE"""),"Connor Smith")</f>
        <v>Connor Smith</v>
      </c>
      <c r="H128" s="3" t="str">
        <f>IFERROR(__xludf.DUMMYFUNCTION("""COMPUTED_VALUE"""),"Andrew Burrows")</f>
        <v>Andrew Burrows</v>
      </c>
      <c r="I128" s="3" t="str">
        <f>IFERROR(__xludf.DUMMYFUNCTION("""COMPUTED_VALUE"""),"Jonathan Bettis")</f>
        <v>Jonathan Bettis</v>
      </c>
      <c r="K128" s="3" t="str">
        <f>IFERROR(__xludf.DUMMYFUNCTION("""COMPUTED_VALUE"""),"Hunter Howery")</f>
        <v>Hunter Howery</v>
      </c>
      <c r="M128" s="3" t="str">
        <f>IFERROR(__xludf.DUMMYFUNCTION("""COMPUTED_VALUE"""),"Brian Kwon")</f>
        <v>Brian Kwon</v>
      </c>
      <c r="W128" s="3" t="str">
        <f>IFERROR(__xludf.DUMMYFUNCTION("""COMPUTED_VALUE"""),"Noah Spain")</f>
        <v>Noah Spain</v>
      </c>
    </row>
    <row r="129">
      <c r="B129" s="3" t="str">
        <f>IFERROR(__xludf.DUMMYFUNCTION("""COMPUTED_VALUE"""),"Preston Hudak")</f>
        <v>Preston Hudak</v>
      </c>
      <c r="C129" s="3" t="str">
        <f>IFERROR(__xludf.DUMMYFUNCTION("""COMPUTED_VALUE"""),"Zach Brinson")</f>
        <v>Zach Brinson</v>
      </c>
      <c r="D129" s="3" t="str">
        <f>IFERROR(__xludf.DUMMYFUNCTION("""COMPUTED_VALUE"""),"Andrew Creelman")</f>
        <v>Andrew Creelman</v>
      </c>
      <c r="G129" s="3" t="str">
        <f>IFERROR(__xludf.DUMMYFUNCTION("""COMPUTED_VALUE"""),"Garrett Pendleton")</f>
        <v>Garrett Pendleton</v>
      </c>
      <c r="H129" s="3" t="str">
        <f>IFERROR(__xludf.DUMMYFUNCTION("""COMPUTED_VALUE"""),"Blake Young")</f>
        <v>Blake Young</v>
      </c>
      <c r="I129" s="3" t="str">
        <f>IFERROR(__xludf.DUMMYFUNCTION("""COMPUTED_VALUE"""),"Hunter Howery")</f>
        <v>Hunter Howery</v>
      </c>
      <c r="K129" s="3" t="str">
        <f>IFERROR(__xludf.DUMMYFUNCTION("""COMPUTED_VALUE"""),"Noah Fields")</f>
        <v>Noah Fields</v>
      </c>
      <c r="M129" s="3" t="str">
        <f>IFERROR(__xludf.DUMMYFUNCTION("""COMPUTED_VALUE"""),"Chris Farrell")</f>
        <v>Chris Farrell</v>
      </c>
      <c r="W129" s="3" t="str">
        <f>IFERROR(__xludf.DUMMYFUNCTION("""COMPUTED_VALUE"""),"Alex Scott")</f>
        <v>Alex Scott</v>
      </c>
    </row>
    <row r="130">
      <c r="B130" s="3" t="str">
        <f>IFERROR(__xludf.DUMMYFUNCTION("""COMPUTED_VALUE"""),"Kyle Floyd")</f>
        <v>Kyle Floyd</v>
      </c>
      <c r="C130" s="3" t="str">
        <f>IFERROR(__xludf.DUMMYFUNCTION("""COMPUTED_VALUE"""),"Colin Schmidt")</f>
        <v>Colin Schmidt</v>
      </c>
      <c r="D130" s="3" t="str">
        <f>IFERROR(__xludf.DUMMYFUNCTION("""COMPUTED_VALUE"""),"Brendan Farrar")</f>
        <v>Brendan Farrar</v>
      </c>
      <c r="G130" s="3" t="str">
        <f>IFERROR(__xludf.DUMMYFUNCTION("""COMPUTED_VALUE"""),"Ben Young")</f>
        <v>Ben Young</v>
      </c>
      <c r="H130" s="3" t="str">
        <f>IFERROR(__xludf.DUMMYFUNCTION("""COMPUTED_VALUE"""),"Patrick Reilly")</f>
        <v>Patrick Reilly</v>
      </c>
      <c r="I130" s="3" t="str">
        <f>IFERROR(__xludf.DUMMYFUNCTION("""COMPUTED_VALUE"""),"Joey Sims")</f>
        <v>Joey Sims</v>
      </c>
      <c r="K130" s="3" t="str">
        <f>IFERROR(__xludf.DUMMYFUNCTION("""COMPUTED_VALUE"""),"Anderson Broughton")</f>
        <v>Anderson Broughton</v>
      </c>
      <c r="M130" s="3" t="str">
        <f>IFERROR(__xludf.DUMMYFUNCTION("""COMPUTED_VALUE"""),"Zach Ashby")</f>
        <v>Zach Ashby</v>
      </c>
      <c r="W130" s="3" t="str">
        <f>IFERROR(__xludf.DUMMYFUNCTION("""COMPUTED_VALUE"""),"Zach Brinson")</f>
        <v>Zach Brinson</v>
      </c>
    </row>
    <row r="131">
      <c r="B131" s="3" t="str">
        <f>IFERROR(__xludf.DUMMYFUNCTION("""COMPUTED_VALUE"""),"Preston Trevey")</f>
        <v>Preston Trevey</v>
      </c>
      <c r="C131" s="3" t="str">
        <f>IFERROR(__xludf.DUMMYFUNCTION("""COMPUTED_VALUE"""),"Derek Estep")</f>
        <v>Derek Estep</v>
      </c>
      <c r="D131" s="3" t="str">
        <f>IFERROR(__xludf.DUMMYFUNCTION("""COMPUTED_VALUE"""),"Reed Sells")</f>
        <v>Reed Sells</v>
      </c>
      <c r="G131" s="3" t="str">
        <f>IFERROR(__xludf.DUMMYFUNCTION("""COMPUTED_VALUE"""),"Christian Mayr")</f>
        <v>Christian Mayr</v>
      </c>
      <c r="I131" s="3" t="str">
        <f>IFERROR(__xludf.DUMMYFUNCTION("""COMPUTED_VALUE"""),"J. P. Brunetti")</f>
        <v>J. P. Brunetti</v>
      </c>
      <c r="K131" s="3" t="str">
        <f>IFERROR(__xludf.DUMMYFUNCTION("""COMPUTED_VALUE"""),"Alexander Franklin")</f>
        <v>Alexander Franklin</v>
      </c>
      <c r="M131" s="3" t="str">
        <f>IFERROR(__xludf.DUMMYFUNCTION("""COMPUTED_VALUE"""),"Kyle Demers")</f>
        <v>Kyle Demers</v>
      </c>
      <c r="W131" s="3" t="str">
        <f>IFERROR(__xludf.DUMMYFUNCTION("""COMPUTED_VALUE"""),"Colin Schmidt")</f>
        <v>Colin Schmidt</v>
      </c>
    </row>
    <row r="132">
      <c r="B132" s="3" t="str">
        <f>IFERROR(__xludf.DUMMYFUNCTION("""COMPUTED_VALUE"""),"Matthew Marquis")</f>
        <v>Matthew Marquis</v>
      </c>
      <c r="C132" s="3" t="str">
        <f>IFERROR(__xludf.DUMMYFUNCTION("""COMPUTED_VALUE"""),"Joe Combs")</f>
        <v>Joe Combs</v>
      </c>
      <c r="G132" s="3" t="str">
        <f>IFERROR(__xludf.DUMMYFUNCTION("""COMPUTED_VALUE"""),"Carter Bunting")</f>
        <v>Carter Bunting</v>
      </c>
      <c r="I132" s="3" t="str">
        <f>IFERROR(__xludf.DUMMYFUNCTION("""COMPUTED_VALUE"""),"Aidan Campbell")</f>
        <v>Aidan Campbell</v>
      </c>
      <c r="K132" s="3" t="str">
        <f>IFERROR(__xludf.DUMMYFUNCTION("""COMPUTED_VALUE"""),"Christopher Johnson")</f>
        <v>Christopher Johnson</v>
      </c>
      <c r="M132" s="3" t="str">
        <f>IFERROR(__xludf.DUMMYFUNCTION("""COMPUTED_VALUE"""),"Alex Kaplan")</f>
        <v>Alex Kaplan</v>
      </c>
      <c r="W132" s="3" t="str">
        <f>IFERROR(__xludf.DUMMYFUNCTION("""COMPUTED_VALUE"""),"Joe Combs")</f>
        <v>Joe Combs</v>
      </c>
    </row>
    <row r="133">
      <c r="B133" s="3" t="str">
        <f>IFERROR(__xludf.DUMMYFUNCTION("""COMPUTED_VALUE"""),"Grayson Daughtry")</f>
        <v>Grayson Daughtry</v>
      </c>
      <c r="C133" s="3" t="str">
        <f>IFERROR(__xludf.DUMMYFUNCTION("""COMPUTED_VALUE"""),"Jason Menninger")</f>
        <v>Jason Menninger</v>
      </c>
      <c r="G133" s="3" t="str">
        <f>IFERROR(__xludf.DUMMYFUNCTION("""COMPUTED_VALUE"""),"Nathan Pechacek")</f>
        <v>Nathan Pechacek</v>
      </c>
      <c r="I133" s="3" t="str">
        <f>IFERROR(__xludf.DUMMYFUNCTION("""COMPUTED_VALUE"""),"Kolby Hoge")</f>
        <v>Kolby Hoge</v>
      </c>
      <c r="K133" s="3" t="str">
        <f>IFERROR(__xludf.DUMMYFUNCTION("""COMPUTED_VALUE"""),"Connor Sauls")</f>
        <v>Connor Sauls</v>
      </c>
      <c r="M133" s="3" t="str">
        <f>IFERROR(__xludf.DUMMYFUNCTION("""COMPUTED_VALUE"""),"Blake Rouzie")</f>
        <v>Blake Rouzie</v>
      </c>
      <c r="W133" s="3" t="str">
        <f>IFERROR(__xludf.DUMMYFUNCTION("""COMPUTED_VALUE"""),"Jason Menninger")</f>
        <v>Jason Menninger</v>
      </c>
    </row>
    <row r="134">
      <c r="B134" s="3" t="str">
        <f>IFERROR(__xludf.DUMMYFUNCTION("""COMPUTED_VALUE"""),"Andrew Creelman")</f>
        <v>Andrew Creelman</v>
      </c>
      <c r="C134" s="3" t="str">
        <f>IFERROR(__xludf.DUMMYFUNCTION("""COMPUTED_VALUE"""),"Micah Hunt")</f>
        <v>Micah Hunt</v>
      </c>
      <c r="G134" s="3" t="str">
        <f>IFERROR(__xludf.DUMMYFUNCTION("""COMPUTED_VALUE"""),"Patrick Reilly")</f>
        <v>Patrick Reilly</v>
      </c>
      <c r="I134" s="3" t="str">
        <f>IFERROR(__xludf.DUMMYFUNCTION("""COMPUTED_VALUE"""),"Liam Ryan")</f>
        <v>Liam Ryan</v>
      </c>
      <c r="K134" s="3" t="str">
        <f>IFERROR(__xludf.DUMMYFUNCTION("""COMPUTED_VALUE"""),"Colin Whiting")</f>
        <v>Colin Whiting</v>
      </c>
      <c r="M134" s="3" t="str">
        <f>IFERROR(__xludf.DUMMYFUNCTION("""COMPUTED_VALUE"""),"Andrew Farney")</f>
        <v>Andrew Farney</v>
      </c>
      <c r="W134" s="3" t="str">
        <f>IFERROR(__xludf.DUMMYFUNCTION("""COMPUTED_VALUE"""),"Andrew Chaikin")</f>
        <v>Andrew Chaikin</v>
      </c>
    </row>
    <row r="135">
      <c r="C135" s="3" t="str">
        <f>IFERROR(__xludf.DUMMYFUNCTION("""COMPUTED_VALUE"""),"Jonathan Bettis")</f>
        <v>Jonathan Bettis</v>
      </c>
      <c r="G135" s="3" t="str">
        <f>IFERROR(__xludf.DUMMYFUNCTION("""COMPUTED_VALUE"""),"Ian Hart")</f>
        <v>Ian Hart</v>
      </c>
      <c r="I135" s="3" t="str">
        <f>IFERROR(__xludf.DUMMYFUNCTION("""COMPUTED_VALUE"""),"Declan Young")</f>
        <v>Declan Young</v>
      </c>
      <c r="K135" s="3" t="str">
        <f>IFERROR(__xludf.DUMMYFUNCTION("""COMPUTED_VALUE"""),"Andrew Burrows")</f>
        <v>Andrew Burrows</v>
      </c>
      <c r="M135" s="3" t="str">
        <f>IFERROR(__xludf.DUMMYFUNCTION("""COMPUTED_VALUE"""),"Carter Bunting")</f>
        <v>Carter Bunting</v>
      </c>
      <c r="W135" s="3" t="str">
        <f>IFERROR(__xludf.DUMMYFUNCTION("""COMPUTED_VALUE"""),"J. P. Brunetti")</f>
        <v>J. P. Brunetti</v>
      </c>
    </row>
    <row r="136">
      <c r="C136" s="3" t="str">
        <f>IFERROR(__xludf.DUMMYFUNCTION("""COMPUTED_VALUE"""),"Jackson Sitton")</f>
        <v>Jackson Sitton</v>
      </c>
      <c r="G136" s="3" t="str">
        <f>IFERROR(__xludf.DUMMYFUNCTION("""COMPUTED_VALUE"""),"Ethan Comeyne")</f>
        <v>Ethan Comeyne</v>
      </c>
      <c r="I136" s="3" t="str">
        <f>IFERROR(__xludf.DUMMYFUNCTION("""COMPUTED_VALUE"""),"Mark Southern")</f>
        <v>Mark Southern</v>
      </c>
      <c r="M136" s="3" t="str">
        <f>IFERROR(__xludf.DUMMYFUNCTION("""COMPUTED_VALUE"""),"Logan Deal")</f>
        <v>Logan Deal</v>
      </c>
      <c r="W136" s="3" t="str">
        <f>IFERROR(__xludf.DUMMYFUNCTION("""COMPUTED_VALUE"""),"Joe Manley")</f>
        <v>Joe Manley</v>
      </c>
    </row>
    <row r="137">
      <c r="C137" s="3" t="str">
        <f>IFERROR(__xludf.DUMMYFUNCTION("""COMPUTED_VALUE"""),"Michael Davis")</f>
        <v>Michael Davis</v>
      </c>
      <c r="G137" s="3" t="str">
        <f>IFERROR(__xludf.DUMMYFUNCTION("""COMPUTED_VALUE"""),"Aidan Campbell")</f>
        <v>Aidan Campbell</v>
      </c>
      <c r="I137" s="3" t="str">
        <f>IFERROR(__xludf.DUMMYFUNCTION("""COMPUTED_VALUE"""),"Thomas McGowan")</f>
        <v>Thomas McGowan</v>
      </c>
      <c r="M137" s="3" t="str">
        <f>IFERROR(__xludf.DUMMYFUNCTION("""COMPUTED_VALUE"""),"Connor Smith")</f>
        <v>Connor Smith</v>
      </c>
      <c r="W137" s="3" t="str">
        <f>IFERROR(__xludf.DUMMYFUNCTION("""COMPUTED_VALUE"""),"Brady Lang")</f>
        <v>Brady Lang</v>
      </c>
    </row>
    <row r="138">
      <c r="C138" s="3" t="str">
        <f>IFERROR(__xludf.DUMMYFUNCTION("""COMPUTED_VALUE"""),"Andrew Chaikin")</f>
        <v>Andrew Chaikin</v>
      </c>
      <c r="G138" s="3" t="str">
        <f>IFERROR(__xludf.DUMMYFUNCTION("""COMPUTED_VALUE"""),"Ashton Temme")</f>
        <v>Ashton Temme</v>
      </c>
      <c r="I138" s="3" t="str">
        <f>IFERROR(__xludf.DUMMYFUNCTION("""COMPUTED_VALUE"""),"Connor Sauls")</f>
        <v>Connor Sauls</v>
      </c>
      <c r="M138" s="3" t="str">
        <f>IFERROR(__xludf.DUMMYFUNCTION("""COMPUTED_VALUE"""),"Zach Brinson")</f>
        <v>Zach Brinson</v>
      </c>
      <c r="W138" s="3" t="str">
        <f>IFERROR(__xludf.DUMMYFUNCTION("""COMPUTED_VALUE"""),"Noah Frerichs")</f>
        <v>Noah Frerichs</v>
      </c>
    </row>
    <row r="139">
      <c r="C139" s="3" t="str">
        <f>IFERROR(__xludf.DUMMYFUNCTION("""COMPUTED_VALUE"""),"J. P. Brunetti")</f>
        <v>J. P. Brunetti</v>
      </c>
      <c r="G139" s="3" t="str">
        <f>IFERROR(__xludf.DUMMYFUNCTION("""COMPUTED_VALUE"""),"Alexander Wright")</f>
        <v>Alexander Wright</v>
      </c>
      <c r="I139" s="3" t="str">
        <f>IFERROR(__xludf.DUMMYFUNCTION("""COMPUTED_VALUE"""),"Jonny Kerr")</f>
        <v>Jonny Kerr</v>
      </c>
      <c r="M139" s="3" t="str">
        <f>IFERROR(__xludf.DUMMYFUNCTION("""COMPUTED_VALUE"""),"Landon Ellis")</f>
        <v>Landon Ellis</v>
      </c>
      <c r="W139" s="3" t="str">
        <f>IFERROR(__xludf.DUMMYFUNCTION("""COMPUTED_VALUE"""),"Andrew Burrows")</f>
        <v>Andrew Burrows</v>
      </c>
    </row>
    <row r="140">
      <c r="C140" s="3" t="str">
        <f>IFERROR(__xludf.DUMMYFUNCTION("""COMPUTED_VALUE"""),"Nicolas Noto")</f>
        <v>Nicolas Noto</v>
      </c>
      <c r="G140" s="3" t="str">
        <f>IFERROR(__xludf.DUMMYFUNCTION("""COMPUTED_VALUE"""),"Andrew Burrows")</f>
        <v>Andrew Burrows</v>
      </c>
      <c r="I140" s="3" t="str">
        <f>IFERROR(__xludf.DUMMYFUNCTION("""COMPUTED_VALUE"""),"Jaz Paraham")</f>
        <v>Jaz Paraham</v>
      </c>
      <c r="M140" s="3" t="str">
        <f>IFERROR(__xludf.DUMMYFUNCTION("""COMPUTED_VALUE"""),"Abel Buell")</f>
        <v>Abel Buell</v>
      </c>
      <c r="W140" s="3" t="str">
        <f>IFERROR(__xludf.DUMMYFUNCTION("""COMPUTED_VALUE"""),"Will Burkey")</f>
        <v>Will Burkey</v>
      </c>
    </row>
    <row r="141">
      <c r="C141" s="3" t="str">
        <f>IFERROR(__xludf.DUMMYFUNCTION("""COMPUTED_VALUE"""),"Caleb Smietana")</f>
        <v>Caleb Smietana</v>
      </c>
      <c r="G141" s="3" t="str">
        <f>IFERROR(__xludf.DUMMYFUNCTION("""COMPUTED_VALUE"""),"Blakely Dean")</f>
        <v>Blakely Dean</v>
      </c>
      <c r="I141" s="3" t="str">
        <f>IFERROR(__xludf.DUMMYFUNCTION("""COMPUTED_VALUE"""),"Stephen Durham")</f>
        <v>Stephen Durham</v>
      </c>
      <c r="M141" s="3" t="str">
        <f>IFERROR(__xludf.DUMMYFUNCTION("""COMPUTED_VALUE"""),"Connor Brooks")</f>
        <v>Connor Brooks</v>
      </c>
      <c r="W141" s="3" t="str">
        <f>IFERROR(__xludf.DUMMYFUNCTION("""COMPUTED_VALUE"""),"Chris Dalla Valle")</f>
        <v>Chris Dalla Valle</v>
      </c>
    </row>
    <row r="142">
      <c r="C142" s="3" t="str">
        <f>IFERROR(__xludf.DUMMYFUNCTION("""COMPUTED_VALUE"""),"Joe Manley")</f>
        <v>Joe Manley</v>
      </c>
      <c r="G142" s="3" t="str">
        <f>IFERROR(__xludf.DUMMYFUNCTION("""COMPUTED_VALUE"""),"Jack Hufner")</f>
        <v>Jack Hufner</v>
      </c>
      <c r="I142" s="3" t="str">
        <f>IFERROR(__xludf.DUMMYFUNCTION("""COMPUTED_VALUE"""),"Will Burkey")</f>
        <v>Will Burkey</v>
      </c>
      <c r="M142" s="3" t="str">
        <f>IFERROR(__xludf.DUMMYFUNCTION("""COMPUTED_VALUE"""),"John Reed")</f>
        <v>John Reed</v>
      </c>
      <c r="W142" s="3" t="str">
        <f>IFERROR(__xludf.DUMMYFUNCTION("""COMPUTED_VALUE"""),"Zachary Cram")</f>
        <v>Zachary Cram</v>
      </c>
    </row>
    <row r="143">
      <c r="C143" s="3" t="str">
        <f>IFERROR(__xludf.DUMMYFUNCTION("""COMPUTED_VALUE"""),"Brady Lang")</f>
        <v>Brady Lang</v>
      </c>
      <c r="G143" s="3" t="str">
        <f>IFERROR(__xludf.DUMMYFUNCTION("""COMPUTED_VALUE"""),"Jacob Winn")</f>
        <v>Jacob Winn</v>
      </c>
      <c r="M143" s="3" t="str">
        <f>IFERROR(__xludf.DUMMYFUNCTION("""COMPUTED_VALUE"""),"Davis Jobe")</f>
        <v>Davis Jobe</v>
      </c>
      <c r="W143" s="3" t="str">
        <f>IFERROR(__xludf.DUMMYFUNCTION("""COMPUTED_VALUE"""),"Chris Kostelni")</f>
        <v>Chris Kostelni</v>
      </c>
    </row>
    <row r="144">
      <c r="C144" s="3" t="str">
        <f>IFERROR(__xludf.DUMMYFUNCTION("""COMPUTED_VALUE"""),"Noah Frerichs")</f>
        <v>Noah Frerichs</v>
      </c>
      <c r="M144" s="3" t="str">
        <f>IFERROR(__xludf.DUMMYFUNCTION("""COMPUTED_VALUE"""),"Jake Blackburn")</f>
        <v>Jake Blackburn</v>
      </c>
      <c r="W144" s="3" t="str">
        <f>IFERROR(__xludf.DUMMYFUNCTION("""COMPUTED_VALUE"""),"Daniel Chance")</f>
        <v>Daniel Chance</v>
      </c>
    </row>
    <row r="145">
      <c r="C145" s="3" t="str">
        <f>IFERROR(__xludf.DUMMYFUNCTION("""COMPUTED_VALUE"""),"Andrew Burrows")</f>
        <v>Andrew Burrows</v>
      </c>
      <c r="M145" s="3" t="str">
        <f>IFERROR(__xludf.DUMMYFUNCTION("""COMPUTED_VALUE"""),"Andrew Betts")</f>
        <v>Andrew Betts</v>
      </c>
      <c r="W145" s="3" t="str">
        <f>IFERROR(__xludf.DUMMYFUNCTION("""COMPUTED_VALUE"""),"Eli Tarabocchia")</f>
        <v>Eli Tarabocchia</v>
      </c>
    </row>
    <row r="146">
      <c r="C146" s="3" t="str">
        <f>IFERROR(__xludf.DUMMYFUNCTION("""COMPUTED_VALUE"""),"Will Burkey")</f>
        <v>Will Burkey</v>
      </c>
      <c r="M146" s="3" t="str">
        <f>IFERROR(__xludf.DUMMYFUNCTION("""COMPUTED_VALUE"""),"Xavier Raymondson")</f>
        <v>Xavier Raymondson</v>
      </c>
      <c r="W146" s="3" t="str">
        <f>IFERROR(__xludf.DUMMYFUNCTION("""COMPUTED_VALUE"""),"Reid Hutcherson")</f>
        <v>Reid Hutcherson</v>
      </c>
    </row>
    <row r="147">
      <c r="M147" s="3" t="str">
        <f>IFERROR(__xludf.DUMMYFUNCTION("""COMPUTED_VALUE"""),"Connor Gleim")</f>
        <v>Connor Gleim</v>
      </c>
      <c r="W147" s="3" t="str">
        <f>IFERROR(__xludf.DUMMYFUNCTION("""COMPUTED_VALUE"""),"Sean Hogan")</f>
        <v>Sean Hogan</v>
      </c>
    </row>
    <row r="148">
      <c r="M148" s="3" t="str">
        <f>IFERROR(__xludf.DUMMYFUNCTION("""COMPUTED_VALUE"""),"Victor Valovalo")</f>
        <v>Victor Valovalo</v>
      </c>
      <c r="W148" s="3" t="str">
        <f>IFERROR(__xludf.DUMMYFUNCTION("""COMPUTED_VALUE"""),"Jacob Sprigg")</f>
        <v>Jacob Sprigg</v>
      </c>
    </row>
    <row r="149">
      <c r="M149" s="3" t="str">
        <f>IFERROR(__xludf.DUMMYFUNCTION("""COMPUTED_VALUE"""),"Preston Hudak")</f>
        <v>Preston Hudak</v>
      </c>
      <c r="W149" s="3" t="str">
        <f>IFERROR(__xludf.DUMMYFUNCTION("""COMPUTED_VALUE"""),"Patrick Madden")</f>
        <v>Patrick Madden</v>
      </c>
    </row>
    <row r="150">
      <c r="M150" s="3" t="str">
        <f>IFERROR(__xludf.DUMMYFUNCTION("""COMPUTED_VALUE"""),"Alex Scott")</f>
        <v>Alex Scott</v>
      </c>
      <c r="W150" s="3" t="str">
        <f>IFERROR(__xludf.DUMMYFUNCTION("""COMPUTED_VALUE"""),"Nathan Wakefield")</f>
        <v>Nathan Wakefield</v>
      </c>
    </row>
    <row r="151">
      <c r="M151" s="3" t="str">
        <f>IFERROR(__xludf.DUMMYFUNCTION("""COMPUTED_VALUE"""),"Daniel Murray")</f>
        <v>Daniel Murray</v>
      </c>
      <c r="W151" s="3" t="str">
        <f>IFERROR(__xludf.DUMMYFUNCTION("""COMPUTED_VALUE"""),"James Creelman")</f>
        <v>James Creelman</v>
      </c>
    </row>
    <row r="152">
      <c r="M152" s="3" t="str">
        <f>IFERROR(__xludf.DUMMYFUNCTION("""COMPUTED_VALUE"""),"Matt Duren")</f>
        <v>Matt Duren</v>
      </c>
      <c r="W152" s="3" t="str">
        <f>IFERROR(__xludf.DUMMYFUNCTION("""COMPUTED_VALUE"""),"Connor Smith")</f>
        <v>Connor Smith</v>
      </c>
    </row>
    <row r="153">
      <c r="M153" s="3" t="str">
        <f>IFERROR(__xludf.DUMMYFUNCTION("""COMPUTED_VALUE"""),"Michael Pilar")</f>
        <v>Michael Pilar</v>
      </c>
      <c r="W153" s="3" t="str">
        <f>IFERROR(__xludf.DUMMYFUNCTION("""COMPUTED_VALUE"""),"Isaac Sudweeks")</f>
        <v>Isaac Sudweeks</v>
      </c>
    </row>
    <row r="154">
      <c r="M154" s="3" t="str">
        <f>IFERROR(__xludf.DUMMYFUNCTION("""COMPUTED_VALUE"""),"Kolby Hoge")</f>
        <v>Kolby Hoge</v>
      </c>
      <c r="W154" s="3" t="str">
        <f>IFERROR(__xludf.DUMMYFUNCTION("""COMPUTED_VALUE"""),"Jackson Nester")</f>
        <v>Jackson Nester</v>
      </c>
    </row>
    <row r="155">
      <c r="M155" s="3" t="str">
        <f>IFERROR(__xludf.DUMMYFUNCTION("""COMPUTED_VALUE"""),"Dominic Mistretta")</f>
        <v>Dominic Mistretta</v>
      </c>
      <c r="W155" s="3" t="str">
        <f>IFERROR(__xludf.DUMMYFUNCTION("""COMPUTED_VALUE"""),"Clayton Whetstine")</f>
        <v>Clayton Whetstine</v>
      </c>
    </row>
    <row r="156">
      <c r="M156" s="3" t="str">
        <f>IFERROR(__xludf.DUMMYFUNCTION("""COMPUTED_VALUE"""),"Kendall Ewing")</f>
        <v>Kendall Ewing</v>
      </c>
      <c r="W156" s="3" t="str">
        <f>IFERROR(__xludf.DUMMYFUNCTION("""COMPUTED_VALUE"""),"Graham Boyle")</f>
        <v>Graham Boyle</v>
      </c>
    </row>
    <row r="157">
      <c r="M157" s="3" t="str">
        <f>IFERROR(__xludf.DUMMYFUNCTION("""COMPUTED_VALUE"""),"Derek Lang")</f>
        <v>Derek Lang</v>
      </c>
      <c r="W157" s="3" t="str">
        <f>IFERROR(__xludf.DUMMYFUNCTION("""COMPUTED_VALUE"""),"Caleb Thomas")</f>
        <v>Caleb Thomas</v>
      </c>
    </row>
    <row r="158">
      <c r="M158" s="3" t="str">
        <f>IFERROR(__xludf.DUMMYFUNCTION("""COMPUTED_VALUE"""),"Sam Sterling")</f>
        <v>Sam Sterling</v>
      </c>
      <c r="W158" s="3" t="str">
        <f>IFERROR(__xludf.DUMMYFUNCTION("""COMPUTED_VALUE"""),"Aidan Crisci")</f>
        <v>Aidan Crisci</v>
      </c>
    </row>
    <row r="159">
      <c r="M159" s="3" t="str">
        <f>IFERROR(__xludf.DUMMYFUNCTION("""COMPUTED_VALUE"""),"Nathan Wakefield")</f>
        <v>Nathan Wakefield</v>
      </c>
      <c r="W159" s="3" t="str">
        <f>IFERROR(__xludf.DUMMYFUNCTION("""COMPUTED_VALUE"""),"Alex Kidd")</f>
        <v>Alex Kidd</v>
      </c>
    </row>
    <row r="160">
      <c r="W160" s="3" t="str">
        <f>IFERROR(__xludf.DUMMYFUNCTION("""COMPUTED_VALUE"""),"Ethan Stoltz")</f>
        <v>Ethan Stoltz</v>
      </c>
    </row>
    <row r="161">
      <c r="W161" s="3" t="str">
        <f>IFERROR(__xludf.DUMMYFUNCTION("""COMPUTED_VALUE"""),"Logan Amatruda")</f>
        <v>Logan Amatruda</v>
      </c>
    </row>
    <row r="162">
      <c r="W162" s="3" t="str">
        <f>IFERROR(__xludf.DUMMYFUNCTION("""COMPUTED_VALUE"""),"Andrew Farney")</f>
        <v>Andrew Farney</v>
      </c>
    </row>
    <row r="163">
      <c r="W163" s="3" t="str">
        <f>IFERROR(__xludf.DUMMYFUNCTION("""COMPUTED_VALUE"""),"Peyton Wray")</f>
        <v>Peyton Wray</v>
      </c>
    </row>
    <row r="164">
      <c r="W164" s="3" t="str">
        <f>IFERROR(__xludf.DUMMYFUNCTION("""COMPUTED_VALUE"""),"Reid Schattgen")</f>
        <v>Reid Schattgen</v>
      </c>
    </row>
    <row r="165">
      <c r="W165" s="3" t="str">
        <f>IFERROR(__xludf.DUMMYFUNCTION("""COMPUTED_VALUE"""),"Ashton Temme")</f>
        <v>Ashton Temme</v>
      </c>
    </row>
    <row r="166">
      <c r="W166" s="3" t="str">
        <f>IFERROR(__xludf.DUMMYFUNCTION("""COMPUTED_VALUE"""),"Jacob Teer")</f>
        <v>Jacob Teer</v>
      </c>
    </row>
    <row r="167">
      <c r="W167" s="3" t="str">
        <f>IFERROR(__xludf.DUMMYFUNCTION("""COMPUTED_VALUE"""),"Landon Ellis")</f>
        <v>Landon Ellis</v>
      </c>
    </row>
    <row r="168">
      <c r="W168" s="3" t="str">
        <f>IFERROR(__xludf.DUMMYFUNCTION("""COMPUTED_VALUE"""),"Aubrey Bowles")</f>
        <v>Aubrey Bowles</v>
      </c>
    </row>
    <row r="169">
      <c r="W169" s="3" t="str">
        <f>IFERROR(__xludf.DUMMYFUNCTION("""COMPUTED_VALUE"""),"Nick Zolovick")</f>
        <v>Nick Zolovick</v>
      </c>
    </row>
    <row r="170">
      <c r="W170" s="3" t="str">
        <f>IFERROR(__xludf.DUMMYFUNCTION("""COMPUTED_VALUE"""),"Chase Hensen")</f>
        <v>Chase Hensen</v>
      </c>
    </row>
    <row r="171">
      <c r="W171" s="3" t="str">
        <f>IFERROR(__xludf.DUMMYFUNCTION("""COMPUTED_VALUE"""),"Kyle Demers")</f>
        <v>Kyle Demers</v>
      </c>
    </row>
    <row r="172">
      <c r="W172" s="3" t="str">
        <f>IFERROR(__xludf.DUMMYFUNCTION("""COMPUTED_VALUE"""),"Jacob Miller")</f>
        <v>Jacob Miller</v>
      </c>
    </row>
    <row r="173">
      <c r="W173" s="3" t="str">
        <f>IFERROR(__xludf.DUMMYFUNCTION("""COMPUTED_VALUE"""),"Julian Montes")</f>
        <v>Julian Montes</v>
      </c>
    </row>
    <row r="174">
      <c r="W174" s="3" t="str">
        <f>IFERROR(__xludf.DUMMYFUNCTION("""COMPUTED_VALUE"""),"Joey Sims")</f>
        <v>Joey Sims</v>
      </c>
    </row>
    <row r="175">
      <c r="W175" s="3" t="str">
        <f>IFERROR(__xludf.DUMMYFUNCTION("""COMPUTED_VALUE"""),"Joshua Dicken")</f>
        <v>Joshua Dicken</v>
      </c>
    </row>
    <row r="176">
      <c r="W176" s="3" t="str">
        <f>IFERROR(__xludf.DUMMYFUNCTION("""COMPUTED_VALUE"""),"Logan Euker")</f>
        <v>Logan Euker</v>
      </c>
    </row>
    <row r="177">
      <c r="W177" s="3" t="str">
        <f>IFERROR(__xludf.DUMMYFUNCTION("""COMPUTED_VALUE"""),"John Reed")</f>
        <v>John Reed</v>
      </c>
    </row>
    <row r="178">
      <c r="W178" s="3" t="str">
        <f>IFERROR(__xludf.DUMMYFUNCTION("""COMPUTED_VALUE"""),"Sam Sweetser")</f>
        <v>Sam Sweetser</v>
      </c>
    </row>
    <row r="179">
      <c r="W179" s="3" t="str">
        <f>IFERROR(__xludf.DUMMYFUNCTION("""COMPUTED_VALUE"""),"Hunter Strickland")</f>
        <v>Hunter Strickland</v>
      </c>
    </row>
    <row r="180">
      <c r="W180" s="3" t="str">
        <f>IFERROR(__xludf.DUMMYFUNCTION("""COMPUTED_VALUE"""),"Brendan Farrar")</f>
        <v>Brendan Farrar</v>
      </c>
    </row>
    <row r="181">
      <c r="W181" s="3" t="str">
        <f>IFERROR(__xludf.DUMMYFUNCTION("""COMPUTED_VALUE"""),"DC Hellams")</f>
        <v>DC Hellams</v>
      </c>
    </row>
    <row r="182">
      <c r="W182" s="3" t="str">
        <f>IFERROR(__xludf.DUMMYFUNCTION("""COMPUTED_VALUE"""),"Hunter Locher")</f>
        <v>Hunter Locher</v>
      </c>
    </row>
    <row r="183">
      <c r="W183" s="3" t="str">
        <f>IFERROR(__xludf.DUMMYFUNCTION("""COMPUTED_VALUE"""),"Zach Wassmer")</f>
        <v>Zach Wassmer</v>
      </c>
    </row>
    <row r="184">
      <c r="W184" s="3" t="str">
        <f>IFERROR(__xludf.DUMMYFUNCTION("""COMPUTED_VALUE"""),"Ryan Hillery")</f>
        <v>Ryan Hillery</v>
      </c>
    </row>
    <row r="185">
      <c r="W185" s="3" t="str">
        <f>IFERROR(__xludf.DUMMYFUNCTION("""COMPUTED_VALUE"""),"Luke Daley")</f>
        <v>Luke Daley</v>
      </c>
    </row>
    <row r="186">
      <c r="W186" s="3" t="str">
        <f>IFERROR(__xludf.DUMMYFUNCTION("""COMPUTED_VALUE"""),"Charlie Boykin")</f>
        <v>Charlie Boykin</v>
      </c>
    </row>
    <row r="187">
      <c r="W187" s="3" t="str">
        <f>IFERROR(__xludf.DUMMYFUNCTION("""COMPUTED_VALUE"""),"Aidan Duffy")</f>
        <v>Aidan Duffy</v>
      </c>
    </row>
    <row r="188">
      <c r="W188" s="3" t="str">
        <f>IFERROR(__xludf.DUMMYFUNCTION("""COMPUTED_VALUE"""),"Conner Jorgensen")</f>
        <v>Conner Jorgensen</v>
      </c>
    </row>
    <row r="189">
      <c r="W189" s="3" t="str">
        <f>IFERROR(__xludf.DUMMYFUNCTION("""COMPUTED_VALUE"""),"Justin Geiszler")</f>
        <v>Justin Geiszler</v>
      </c>
    </row>
    <row r="190">
      <c r="W190" s="3" t="str">
        <f>IFERROR(__xludf.DUMMYFUNCTION("""COMPUTED_VALUE"""),"Cameron Adams")</f>
        <v>Cameron Adams</v>
      </c>
    </row>
    <row r="191">
      <c r="W191" s="3" t="str">
        <f>IFERROR(__xludf.DUMMYFUNCTION("""COMPUTED_VALUE"""),"Andrew Turbyfill")</f>
        <v>Andrew Turbyfill</v>
      </c>
    </row>
    <row r="192">
      <c r="W192" s="3" t="str">
        <f>IFERROR(__xludf.DUMMYFUNCTION("""COMPUTED_VALUE"""),"Abel Buell")</f>
        <v>Abel Buell</v>
      </c>
    </row>
    <row r="193">
      <c r="W193" s="3" t="str">
        <f>IFERROR(__xludf.DUMMYFUNCTION("""COMPUTED_VALUE"""),"Hunter Muench")</f>
        <v>Hunter Muench</v>
      </c>
    </row>
    <row r="194">
      <c r="W194" s="3" t="str">
        <f>IFERROR(__xludf.DUMMYFUNCTION("""COMPUTED_VALUE"""),"Blake Rouzie")</f>
        <v>Blake Rouzie</v>
      </c>
    </row>
    <row r="195">
      <c r="W195" s="3" t="str">
        <f>IFERROR(__xludf.DUMMYFUNCTION("""COMPUTED_VALUE"""),"Davis Jobe")</f>
        <v>Davis Jobe</v>
      </c>
    </row>
    <row r="196">
      <c r="W196" s="3" t="str">
        <f>IFERROR(__xludf.DUMMYFUNCTION("""COMPUTED_VALUE"""),"Nate Pfeffer")</f>
        <v>Nate Pfeffer</v>
      </c>
    </row>
    <row r="197">
      <c r="W197" s="3" t="str">
        <f>IFERROR(__xludf.DUMMYFUNCTION("""COMPUTED_VALUE"""),"Paul Warnagiris")</f>
        <v>Paul Warnagiris</v>
      </c>
    </row>
    <row r="198">
      <c r="W198" s="3" t="str">
        <f>IFERROR(__xludf.DUMMYFUNCTION("""COMPUTED_VALUE"""),"Will Stevens")</f>
        <v>Will Stevens</v>
      </c>
    </row>
    <row r="199">
      <c r="W199" s="3" t="str">
        <f>IFERROR(__xludf.DUMMYFUNCTION("""COMPUTED_VALUE"""),"Kennon Downes")</f>
        <v>Kennon Downes</v>
      </c>
    </row>
    <row r="200">
      <c r="W200" s="3" t="str">
        <f>IFERROR(__xludf.DUMMYFUNCTION("""COMPUTED_VALUE"""),"Blakely Dean")</f>
        <v>Blakely Dean</v>
      </c>
    </row>
    <row r="201">
      <c r="W201" s="3" t="str">
        <f>IFERROR(__xludf.DUMMYFUNCTION("""COMPUTED_VALUE"""),"Conor Sokolowsky")</f>
        <v>Conor Sokolowsky</v>
      </c>
    </row>
    <row r="202">
      <c r="W202" s="3" t="str">
        <f>IFERROR(__xludf.DUMMYFUNCTION("""COMPUTED_VALUE"""),"Alex Stanley")</f>
        <v>Alex Stanley</v>
      </c>
    </row>
    <row r="203">
      <c r="W203" s="3" t="str">
        <f>IFERROR(__xludf.DUMMYFUNCTION("""COMPUTED_VALUE"""),"Austin Booth")</f>
        <v>Austin Booth</v>
      </c>
    </row>
    <row r="204">
      <c r="W204" s="3" t="str">
        <f>IFERROR(__xludf.DUMMYFUNCTION("""COMPUTED_VALUE"""),"Jimmy Granger")</f>
        <v>Jimmy Granger</v>
      </c>
    </row>
    <row r="205">
      <c r="W205" s="3" t="str">
        <f>IFERROR(__xludf.DUMMYFUNCTION("""COMPUTED_VALUE"""),"Matt Murray")</f>
        <v>Matt Murray</v>
      </c>
    </row>
    <row r="206">
      <c r="W206" s="3" t="str">
        <f>IFERROR(__xludf.DUMMYFUNCTION("""COMPUTED_VALUE"""),"Jackson Hunter")</f>
        <v>Jackson Hunter</v>
      </c>
    </row>
    <row r="207">
      <c r="W207" s="3" t="str">
        <f>IFERROR(__xludf.DUMMYFUNCTION("""COMPUTED_VALUE"""),"JT Lotz")</f>
        <v>JT Lotz</v>
      </c>
    </row>
    <row r="208">
      <c r="W208" s="3" t="str">
        <f>IFERROR(__xludf.DUMMYFUNCTION("""COMPUTED_VALUE"""),"Russell Nystrom")</f>
        <v>Russell Nystrom</v>
      </c>
    </row>
    <row r="209">
      <c r="W209" s="3" t="str">
        <f>IFERROR(__xludf.DUMMYFUNCTION("""COMPUTED_VALUE"""),"Ahmad Woodson")</f>
        <v>Ahmad Woodson</v>
      </c>
    </row>
    <row r="210">
      <c r="W210" s="3" t="str">
        <f>IFERROR(__xludf.DUMMYFUNCTION("""COMPUTED_VALUE"""),"Joel Giraudeau")</f>
        <v>Joel Giraudeau</v>
      </c>
    </row>
    <row r="211">
      <c r="W211" s="3" t="str">
        <f>IFERROR(__xludf.DUMMYFUNCTION("""COMPUTED_VALUE"""),"Noah Fields")</f>
        <v>Noah Fields</v>
      </c>
    </row>
    <row r="212">
      <c r="W212" s="3" t="str">
        <f>IFERROR(__xludf.DUMMYFUNCTION("""COMPUTED_VALUE"""),"Adam Kerr")</f>
        <v>Adam Kerr</v>
      </c>
    </row>
    <row r="213">
      <c r="W213" s="3" t="str">
        <f>IFERROR(__xludf.DUMMYFUNCTION("""COMPUTED_VALUE"""),"Liam Ryan")</f>
        <v>Liam Ryan</v>
      </c>
    </row>
    <row r="214">
      <c r="W214" s="3" t="str">
        <f>IFERROR(__xludf.DUMMYFUNCTION("""COMPUTED_VALUE"""),"Sam Long")</f>
        <v>Sam Long</v>
      </c>
    </row>
    <row r="215">
      <c r="W215" s="3" t="str">
        <f>IFERROR(__xludf.DUMMYFUNCTION("""COMPUTED_VALUE"""),"Lewis Rockwell")</f>
        <v>Lewis Rockwell</v>
      </c>
    </row>
    <row r="216">
      <c r="W216" s="3" t="str">
        <f>IFERROR(__xludf.DUMMYFUNCTION("""COMPUTED_VALUE"""),"Colby Mills")</f>
        <v>Colby Mills</v>
      </c>
    </row>
    <row r="217">
      <c r="W217" s="3" t="str">
        <f>IFERROR(__xludf.DUMMYFUNCTION("""COMPUTED_VALUE"""),"Anderson Broughton")</f>
        <v>Anderson Broughton</v>
      </c>
    </row>
    <row r="218">
      <c r="W218" s="3" t="str">
        <f>IFERROR(__xludf.DUMMYFUNCTION("""COMPUTED_VALUE"""),"Jacob Rice")</f>
        <v>Jacob Rice</v>
      </c>
    </row>
    <row r="219">
      <c r="W219" s="3" t="str">
        <f>IFERROR(__xludf.DUMMYFUNCTION("""COMPUTED_VALUE"""),"Declan Young")</f>
        <v>Declan Young</v>
      </c>
    </row>
    <row r="220">
      <c r="W220" s="3" t="str">
        <f>IFERROR(__xludf.DUMMYFUNCTION("""COMPUTED_VALUE"""),"Paul Datovech")</f>
        <v>Paul Datovech</v>
      </c>
    </row>
    <row r="221">
      <c r="W221" s="3" t="str">
        <f>IFERROR(__xludf.DUMMYFUNCTION("""COMPUTED_VALUE"""),"Jerry Jones")</f>
        <v>Jerry Jones</v>
      </c>
    </row>
    <row r="222">
      <c r="W222" s="3" t="str">
        <f>IFERROR(__xludf.DUMMYFUNCTION("""COMPUTED_VALUE"""),"Kaelig Michel")</f>
        <v>Kaelig Michel</v>
      </c>
    </row>
    <row r="223">
      <c r="W223" s="3" t="str">
        <f>IFERROR(__xludf.DUMMYFUNCTION("""COMPUTED_VALUE"""),"Noah Johnson")</f>
        <v>Noah Johnson</v>
      </c>
    </row>
    <row r="224">
      <c r="W224" s="3" t="str">
        <f>IFERROR(__xludf.DUMMYFUNCTION("""COMPUTED_VALUE"""),"Brian Kwon")</f>
        <v>Brian Kwon</v>
      </c>
    </row>
    <row r="225">
      <c r="W225" s="3" t="str">
        <f>IFERROR(__xludf.DUMMYFUNCTION("""COMPUTED_VALUE"""),"Davis Wheeler")</f>
        <v>Davis Wheeler</v>
      </c>
    </row>
    <row r="226">
      <c r="W226" s="3" t="str">
        <f>IFERROR(__xludf.DUMMYFUNCTION("""COMPUTED_VALUE"""),"Will Fletcher")</f>
        <v>Will Fletcher</v>
      </c>
    </row>
    <row r="227">
      <c r="W227" s="3" t="str">
        <f>IFERROR(__xludf.DUMMYFUNCTION("""COMPUTED_VALUE"""),"Robert Hodge")</f>
        <v>Robert Hodge</v>
      </c>
    </row>
    <row r="228">
      <c r="W228" s="3" t="str">
        <f>IFERROR(__xludf.DUMMYFUNCTION("""COMPUTED_VALUE"""),"Nathan Smith")</f>
        <v>Nathan Smith</v>
      </c>
    </row>
    <row r="229">
      <c r="W229" s="3" t="str">
        <f>IFERROR(__xludf.DUMMYFUNCTION("""COMPUTED_VALUE"""),"David Gepitulan")</f>
        <v>David Gepitulan</v>
      </c>
    </row>
    <row r="230">
      <c r="W230" s="3" t="str">
        <f>IFERROR(__xludf.DUMMYFUNCTION("""COMPUTED_VALUE"""),"Nathan Pechacek")</f>
        <v>Nathan Pechacek</v>
      </c>
    </row>
    <row r="231">
      <c r="W231" s="3" t="str">
        <f>IFERROR(__xludf.DUMMYFUNCTION("""COMPUTED_VALUE"""),"Patrick Reilly")</f>
        <v>Patrick Reilly</v>
      </c>
    </row>
    <row r="232">
      <c r="W232" s="3" t="str">
        <f>IFERROR(__xludf.DUMMYFUNCTION("""COMPUTED_VALUE"""),"Ian Hart")</f>
        <v>Ian Hart</v>
      </c>
    </row>
    <row r="233">
      <c r="W233" s="3" t="str">
        <f>IFERROR(__xludf.DUMMYFUNCTION("""COMPUTED_VALUE"""),"Ethan Comeyne")</f>
        <v>Ethan Comeyne</v>
      </c>
    </row>
    <row r="234">
      <c r="W234" s="3" t="str">
        <f>IFERROR(__xludf.DUMMYFUNCTION("""COMPUTED_VALUE"""),"Aidan Campbell")</f>
        <v>Aidan Campbell</v>
      </c>
    </row>
    <row r="235">
      <c r="W235" s="3" t="str">
        <f>IFERROR(__xludf.DUMMYFUNCTION("""COMPUTED_VALUE"""),"Alexander Wright")</f>
        <v>Alexander Wright</v>
      </c>
    </row>
    <row r="236">
      <c r="W236" s="3" t="str">
        <f>IFERROR(__xludf.DUMMYFUNCTION("""COMPUTED_VALUE"""),"Jack Hufner")</f>
        <v>Jack Hufner</v>
      </c>
    </row>
    <row r="237">
      <c r="W237" s="3" t="str">
        <f>IFERROR(__xludf.DUMMYFUNCTION("""COMPUTED_VALUE"""),"Jacob Winn")</f>
        <v>Jacob Winn</v>
      </c>
    </row>
    <row r="238">
      <c r="W238" s="3" t="str">
        <f>IFERROR(__xludf.DUMMYFUNCTION("""COMPUTED_VALUE"""),"Jason Seitz")</f>
        <v>Jason Seitz</v>
      </c>
    </row>
    <row r="239">
      <c r="W239" s="3" t="str">
        <f>IFERROR(__xludf.DUMMYFUNCTION("""COMPUTED_VALUE"""),"Kostas Mateer")</f>
        <v>Kostas Mateer</v>
      </c>
    </row>
    <row r="240">
      <c r="W240" s="3" t="str">
        <f>IFERROR(__xludf.DUMMYFUNCTION("""COMPUTED_VALUE"""),"Jamie Edwards")</f>
        <v>Jamie Edwards</v>
      </c>
    </row>
    <row r="241">
      <c r="W241" s="3" t="str">
        <f>IFERROR(__xludf.DUMMYFUNCTION("""COMPUTED_VALUE"""),"Davis Kubovcik")</f>
        <v>Davis Kubovcik</v>
      </c>
    </row>
    <row r="242">
      <c r="W242" s="3" t="str">
        <f>IFERROR(__xludf.DUMMYFUNCTION("""COMPUTED_VALUE"""),"Blake Young")</f>
        <v>Blake Young</v>
      </c>
    </row>
    <row r="243">
      <c r="W243" s="3" t="str">
        <f>IFERROR(__xludf.DUMMYFUNCTION("""COMPUTED_VALUE"""),"August Lamb")</f>
        <v>August Lamb</v>
      </c>
    </row>
    <row r="244">
      <c r="W244" s="3" t="str">
        <f>IFERROR(__xludf.DUMMYFUNCTION("""COMPUTED_VALUE"""),"Cooper Muench")</f>
        <v>Cooper Muench</v>
      </c>
    </row>
    <row r="245">
      <c r="W245" s="3" t="str">
        <f>IFERROR(__xludf.DUMMYFUNCTION("""COMPUTED_VALUE"""),"Jack McCann")</f>
        <v>Jack McCann</v>
      </c>
    </row>
    <row r="246">
      <c r="W246" s="3" t="str">
        <f>IFERROR(__xludf.DUMMYFUNCTION("""COMPUTED_VALUE"""),"Will Timme")</f>
        <v>Will Timme</v>
      </c>
    </row>
    <row r="247">
      <c r="W247" s="3" t="str">
        <f>IFERROR(__xludf.DUMMYFUNCTION("""COMPUTED_VALUE"""),"Alex Kaplan")</f>
        <v>Alex Kaplan</v>
      </c>
    </row>
    <row r="248">
      <c r="W248" s="3" t="str">
        <f>IFERROR(__xludf.DUMMYFUNCTION("""COMPUTED_VALUE"""),"Dominic Mistretta")</f>
        <v>Dominic Mistretta</v>
      </c>
    </row>
    <row r="249">
      <c r="W249" s="3" t="str">
        <f>IFERROR(__xludf.DUMMYFUNCTION("""COMPUTED_VALUE"""),"Ryan Taylor")</f>
        <v>Ryan Taylor</v>
      </c>
    </row>
    <row r="250">
      <c r="W250" s="3" t="str">
        <f>IFERROR(__xludf.DUMMYFUNCTION("""COMPUTED_VALUE"""),"Nick Barrows")</f>
        <v>Nick Barrows</v>
      </c>
    </row>
    <row r="251">
      <c r="W251" s="3" t="str">
        <f>IFERROR(__xludf.DUMMYFUNCTION("""COMPUTED_VALUE"""),"Andy Lee")</f>
        <v>Andy Lee</v>
      </c>
    </row>
    <row r="252">
      <c r="W252" s="3" t="str">
        <f>IFERROR(__xludf.DUMMYFUNCTION("""COMPUTED_VALUE"""),"Brock Rempe")</f>
        <v>Brock Rempe</v>
      </c>
    </row>
    <row r="253">
      <c r="W253" s="3" t="str">
        <f>IFERROR(__xludf.DUMMYFUNCTION("""COMPUTED_VALUE"""),"Nicholas Fillo")</f>
        <v>Nicholas Fillo</v>
      </c>
    </row>
    <row r="254">
      <c r="W254" s="3" t="str">
        <f>IFERROR(__xludf.DUMMYFUNCTION("""COMPUTED_VALUE"""),"Ethan Spencer")</f>
        <v>Ethan Spencer</v>
      </c>
    </row>
    <row r="255">
      <c r="W255" s="3" t="str">
        <f>IFERROR(__xludf.DUMMYFUNCTION("""COMPUTED_VALUE"""),"Chris Homer")</f>
        <v>Chris Homer</v>
      </c>
    </row>
    <row r="256">
      <c r="W256" s="3" t="str">
        <f>IFERROR(__xludf.DUMMYFUNCTION("""COMPUTED_VALUE"""),"Ryan Deavers")</f>
        <v>Ryan Deavers</v>
      </c>
    </row>
    <row r="257">
      <c r="W257" s="3" t="str">
        <f>IFERROR(__xludf.DUMMYFUNCTION("""COMPUTED_VALUE"""),"Ari Semper")</f>
        <v>Ari Semper</v>
      </c>
    </row>
    <row r="258">
      <c r="W258" s="3" t="str">
        <f>IFERROR(__xludf.DUMMYFUNCTION("""COMPUTED_VALUE"""),"Stephen Wallach")</f>
        <v>Stephen Wallach</v>
      </c>
    </row>
    <row r="259">
      <c r="W259" s="3" t="str">
        <f>IFERROR(__xludf.DUMMYFUNCTION("""COMPUTED_VALUE"""),"Daniel Murray")</f>
        <v>Daniel Murray</v>
      </c>
    </row>
    <row r="260">
      <c r="W260" s="3" t="str">
        <f>IFERROR(__xludf.DUMMYFUNCTION("""COMPUTED_VALUE"""),"Howard Zhu")</f>
        <v>Howard Zhu</v>
      </c>
    </row>
    <row r="261">
      <c r="W261" s="3" t="str">
        <f>IFERROR(__xludf.DUMMYFUNCTION("""COMPUTED_VALUE"""),"Michael Senter")</f>
        <v>Michael Senter</v>
      </c>
    </row>
    <row r="262">
      <c r="W262" s="3" t="str">
        <f>IFERROR(__xludf.DUMMYFUNCTION("""COMPUTED_VALUE"""),"Ezekiel Brubaker")</f>
        <v>Ezekiel Brubaker</v>
      </c>
    </row>
    <row r="263">
      <c r="W263" s="3" t="str">
        <f>IFERROR(__xludf.DUMMYFUNCTION("""COMPUTED_VALUE"""),"Michael Pilar")</f>
        <v>Michael Pilar</v>
      </c>
    </row>
    <row r="264">
      <c r="W264" s="3" t="str">
        <f>IFERROR(__xludf.DUMMYFUNCTION("""COMPUTED_VALUE"""),"Jack Dragone")</f>
        <v>Jack Dragone</v>
      </c>
    </row>
    <row r="265">
      <c r="W265" s="3" t="str">
        <f>IFERROR(__xludf.DUMMYFUNCTION("""COMPUTED_VALUE"""),"Gus Jones")</f>
        <v>Gus Jones</v>
      </c>
    </row>
    <row r="266">
      <c r="W266" s="3" t="str">
        <f>IFERROR(__xludf.DUMMYFUNCTION("""COMPUTED_VALUE"""),"Erik Payne")</f>
        <v>Erik Payne</v>
      </c>
    </row>
    <row r="267">
      <c r="W267" s="3" t="str">
        <f>IFERROR(__xludf.DUMMYFUNCTION("""COMPUTED_VALUE"""),"Smith Martin")</f>
        <v>Smith Martin</v>
      </c>
    </row>
    <row r="268">
      <c r="W268" s="3" t="str">
        <f>IFERROR(__xludf.DUMMYFUNCTION("""COMPUTED_VALUE"""),"Lorenzo Galang")</f>
        <v>Lorenzo Galang</v>
      </c>
    </row>
    <row r="269">
      <c r="W269" s="3" t="str">
        <f>IFERROR(__xludf.DUMMYFUNCTION("""COMPUTED_VALUE"""),"Tee Bowles")</f>
        <v>Tee Bowles</v>
      </c>
    </row>
    <row r="270">
      <c r="W270" s="3" t="str">
        <f>IFERROR(__xludf.DUMMYFUNCTION("""COMPUTED_VALUE"""),"Benjamin Beaudoin")</f>
        <v>Benjamin Beaudoin</v>
      </c>
    </row>
    <row r="271">
      <c r="W271" s="3" t="str">
        <f>IFERROR(__xludf.DUMMYFUNCTION("""COMPUTED_VALUE"""),"Hunter Howery")</f>
        <v>Hunter Howery</v>
      </c>
    </row>
    <row r="272">
      <c r="W272" s="3" t="str">
        <f>IFERROR(__xludf.DUMMYFUNCTION("""COMPUTED_VALUE"""),"Kolby Hoge")</f>
        <v>Kolby Hoge</v>
      </c>
    </row>
    <row r="273">
      <c r="W273" s="3" t="str">
        <f>IFERROR(__xludf.DUMMYFUNCTION("""COMPUTED_VALUE"""),"Mark Southern")</f>
        <v>Mark Southern</v>
      </c>
    </row>
    <row r="274">
      <c r="W274" s="3" t="str">
        <f>IFERROR(__xludf.DUMMYFUNCTION("""COMPUTED_VALUE"""),"Connor Sauls")</f>
        <v>Connor Sauls</v>
      </c>
    </row>
    <row r="275">
      <c r="W275" s="3" t="str">
        <f>IFERROR(__xludf.DUMMYFUNCTION("""COMPUTED_VALUE"""),"Jonny Kerr")</f>
        <v>Jonny Kerr</v>
      </c>
    </row>
    <row r="276">
      <c r="W276" s="3" t="str">
        <f>IFERROR(__xludf.DUMMYFUNCTION("""COMPUTED_VALUE"""),"Jaz Paraham")</f>
        <v>Jaz Paraham</v>
      </c>
    </row>
    <row r="277">
      <c r="W277" s="3" t="str">
        <f>IFERROR(__xludf.DUMMYFUNCTION("""COMPUTED_VALUE"""),"Stephen Durham")</f>
        <v>Stephen Durham</v>
      </c>
    </row>
    <row r="278">
      <c r="W278" s="3" t="str">
        <f>IFERROR(__xludf.DUMMYFUNCTION("""COMPUTED_VALUE"""),"Victor Kontopanos")</f>
        <v>Victor Kontopanos</v>
      </c>
    </row>
    <row r="279">
      <c r="W279" s="3" t="str">
        <f>IFERROR(__xludf.DUMMYFUNCTION("""COMPUTED_VALUE"""),"Michael Wood")</f>
        <v>Michael Wood</v>
      </c>
    </row>
    <row r="280">
      <c r="W280" s="3" t="str">
        <f>IFERROR(__xludf.DUMMYFUNCTION("""COMPUTED_VALUE"""),"Sam Rivas")</f>
        <v>Sam Rivas</v>
      </c>
    </row>
    <row r="281">
      <c r="W281" s="3" t="str">
        <f>IFERROR(__xludf.DUMMYFUNCTION("""COMPUTED_VALUE"""),"Eric Watson")</f>
        <v>Eric Watson</v>
      </c>
    </row>
    <row r="282">
      <c r="W282" s="3" t="str">
        <f>IFERROR(__xludf.DUMMYFUNCTION("""COMPUTED_VALUE"""),"Will Baxley")</f>
        <v>Will Baxley</v>
      </c>
    </row>
    <row r="283">
      <c r="W283" s="3" t="str">
        <f>IFERROR(__xludf.DUMMYFUNCTION("""COMPUTED_VALUE"""),"Preston Hunter")</f>
        <v>Preston Hunter</v>
      </c>
    </row>
    <row r="284">
      <c r="W284" s="3" t="str">
        <f>IFERROR(__xludf.DUMMYFUNCTION("""COMPUTED_VALUE"""),"Cole Hudak")</f>
        <v>Cole Hudak</v>
      </c>
    </row>
    <row r="285">
      <c r="W285" s="3" t="str">
        <f>IFERROR(__xludf.DUMMYFUNCTION("""COMPUTED_VALUE"""),"Sam Sokalzuk")</f>
        <v>Sam Sokalzuk</v>
      </c>
    </row>
    <row r="286">
      <c r="W286" s="3" t="str">
        <f>IFERROR(__xludf.DUMMYFUNCTION("""COMPUTED_VALUE"""),"Brian Hua")</f>
        <v>Brian Hua</v>
      </c>
    </row>
    <row r="287">
      <c r="W287" s="3" t="str">
        <f>IFERROR(__xludf.DUMMYFUNCTION("""COMPUTED_VALUE"""),"Cullen Beach")</f>
        <v>Cullen Beach</v>
      </c>
    </row>
    <row r="288">
      <c r="W288" s="3" t="str">
        <f>IFERROR(__xludf.DUMMYFUNCTION("""COMPUTED_VALUE"""),"Connor Weston")</f>
        <v>Connor Weston</v>
      </c>
    </row>
    <row r="289">
      <c r="W289" s="3" t="str">
        <f>IFERROR(__xludf.DUMMYFUNCTION("""COMPUTED_VALUE"""),"Owen Wassmer")</f>
        <v>Owen Wassmer</v>
      </c>
    </row>
    <row r="290">
      <c r="W290" s="3" t="str">
        <f>IFERROR(__xludf.DUMMYFUNCTION("""COMPUTED_VALUE"""),"David Johnson")</f>
        <v>David Johnson</v>
      </c>
    </row>
    <row r="291">
      <c r="W291" s="3" t="str">
        <f>IFERROR(__xludf.DUMMYFUNCTION("""COMPUTED_VALUE"""),"Tyce Winter")</f>
        <v>Tyce Winter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29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W2" s="1" t="s">
        <v>30</v>
      </c>
    </row>
    <row r="3">
      <c r="A3" s="1" t="s">
        <v>30</v>
      </c>
      <c r="B3" s="4" t="str">
        <f>IFERROR(__xludf.DUMMYFUNCTION("IMPORTXML(CONCATENATE('Event Dictionary'!$A2,""event/"",'Event Dictionary'!$F7),""//td[2]"")"),"Olivia Bray")</f>
        <v>Olivia Bray</v>
      </c>
      <c r="C3" s="4" t="str">
        <f>IFERROR(__xludf.DUMMYFUNCTION("IMPORTXML(CONCATENATE('Event Dictionary'!$A2,""event/"",'Event Dictionary'!$F8),""//td[2]"")"),"Olivia Bray")</f>
        <v>Olivia Bray</v>
      </c>
      <c r="D3" s="4" t="str">
        <f>IFERROR(__xludf.DUMMYFUNCTION("IMPORTXML(CONCATENATE('Event Dictionary'!$A2,""event/"",'Event Dictionary'!$F9),""//td[2]"")"),"Elle Caldow")</f>
        <v>Elle Caldow</v>
      </c>
      <c r="E3" s="4" t="str">
        <f>IFERROR(__xludf.DUMMYFUNCTION("IMPORTXML(CONCATENATE('Event Dictionary'!$A2,""event/"",'Event Dictionary'!$F10),""//td[2]"")"),"Grace Sheble")</f>
        <v>Grace Sheble</v>
      </c>
      <c r="F3" s="4" t="str">
        <f>IFERROR(__xludf.DUMMYFUNCTION("IMPORTXML(CONCATENATE('Event Dictionary'!$A2,""event/"",'Event Dictionary'!$F11),""//td[2]"")"),"Samantha Tadder")</f>
        <v>Samantha Tadder</v>
      </c>
      <c r="G3" s="4" t="str">
        <f>IFERROR(__xludf.DUMMYFUNCTION("IMPORTXML(CONCATENATE('Event Dictionary'!$A2,""event/"",'Event Dictionary'!$F12),""//td[2]"")"),"Asia Minnes")</f>
        <v>Asia Minnes</v>
      </c>
      <c r="H3" s="4" t="str">
        <f>IFERROR(__xludf.DUMMYFUNCTION("IMPORTXML(CONCATENATE('Event Dictionary'!$A2,""event/"",'Event Dictionary'!$F13),""//td[2]"")"),"Grace Sheble")</f>
        <v>Grace Sheble</v>
      </c>
      <c r="I3" s="4" t="str">
        <f>IFERROR(__xludf.DUMMYFUNCTION("IMPORTXML(CONCATENATE('Event Dictionary'!$A2,""event/"",'Event Dictionary'!$F14),""//td[2]"")"),"Asia Minnes")</f>
        <v>Asia Minnes</v>
      </c>
      <c r="J3" s="4" t="str">
        <f>IFERROR(__xludf.DUMMYFUNCTION("IMPORTXML(CONCATENATE('Event Dictionary'!$A2,""event/"",'Event Dictionary'!$F15),""//td[2]"")"),"Sarah Bender")</f>
        <v>Sarah Bender</v>
      </c>
      <c r="K3" s="4" t="str">
        <f>IFERROR(__xludf.DUMMYFUNCTION("IMPORTXML(CONCATENATE('Event Dictionary'!$A2,""event/"",'Event Dictionary'!$F16),""//td[2]"")"),"Olivia Bray")</f>
        <v>Olivia Bray</v>
      </c>
      <c r="L3" s="4" t="str">
        <f>IFERROR(__xludf.DUMMYFUNCTION("IMPORTXML(CONCATENATE('Event Dictionary'!$A2,""event/"",'Event Dictionary'!$F17),""//td[2]"")"),"Olivia Bray")</f>
        <v>Olivia Bray</v>
      </c>
      <c r="M3" s="4" t="str">
        <f>IFERROR(__xludf.DUMMYFUNCTION("IMPORTXML(CONCATENATE('Event Dictionary'!$A2,""event/"",'Event Dictionary'!$F18),""//td[2]"")"),"Grace Sheble")</f>
        <v>Grace Sheble</v>
      </c>
      <c r="N3" s="4" t="str">
        <f>IFERROR(__xludf.DUMMYFUNCTION("IMPORTXML(CONCATENATE('Event Dictionary'!$A2,""event/"",'Event Dictionary'!$F19),""//td[2]"")"),"Grace Sheble")</f>
        <v>Grace Sheble</v>
      </c>
      <c r="O3" s="4" t="str">
        <f>IFERROR(__xludf.DUMMYFUNCTION("IMPORTXML(CONCATENATE('Event Dictionary'!$A2,""event/"",'Event Dictionary'!$F25),""//td[2]"")"),"Samantha Tadder")</f>
        <v>Samantha Tadder</v>
      </c>
      <c r="P3" s="4" t="str">
        <f>IFERROR(__xludf.DUMMYFUNCTION("IMPORTXML(CONCATENATE('Event Dictionary'!$A2,""event/"",'Event Dictionary'!$F26),""//td[2]"")"),"#N/A")</f>
        <v>#N/A</v>
      </c>
      <c r="Q3" s="4" t="str">
        <f>IFERROR(__xludf.DUMMYFUNCTION("IMPORTXML(CONCATENATE('Event Dictionary'!$A2,""event/"",'Event Dictionary'!$F27),""//td[2]"")"),"#N/A")</f>
        <v>#N/A</v>
      </c>
      <c r="R3" s="4" t="str">
        <f>IFERROR(__xludf.DUMMYFUNCTION("IMPORTXML(CONCATENATE('Event Dictionary'!$A2,""event/"",'Event Dictionary'!$F28),""//td[2]"")"),"#N/A")</f>
        <v>#N/A</v>
      </c>
      <c r="S3" s="4" t="str">
        <f>IFERROR(__xludf.DUMMYFUNCTION("IMPORTXML(CONCATENATE('Event Dictionary'!$A2,""event/"",'Event Dictionary'!$F29),""//td[2]"")"),"#N/A")</f>
        <v>#N/A</v>
      </c>
      <c r="W3" s="3" t="str">
        <f>IFERROR(__xludf.DUMMYFUNCTION("UNIQUE({B3:B1000;C3:C1000;D3:D1000;E3:E1000;F3:F1000;G3:G1000;H3:H1000;I3:I1000;J3:J1000;K3:K1000;L3:L1000;M3:M1000;N3:N1000})"),"Olivia Bray")</f>
        <v>Olivia Bray</v>
      </c>
    </row>
    <row r="4">
      <c r="B4" s="5" t="str">
        <f>IFERROR(__xludf.DUMMYFUNCTION("""COMPUTED_VALUE"""),"Nikki Venema")</f>
        <v>Nikki Venema</v>
      </c>
      <c r="C4" s="3" t="str">
        <f>IFERROR(__xludf.DUMMYFUNCTION("""COMPUTED_VALUE"""),"Asia Minnes")</f>
        <v>Asia Minnes</v>
      </c>
      <c r="D4" s="3" t="str">
        <f>IFERROR(__xludf.DUMMYFUNCTION("""COMPUTED_VALUE"""),"Kayla Wilson")</f>
        <v>Kayla Wilson</v>
      </c>
      <c r="E4" s="3" t="str">
        <f>IFERROR(__xludf.DUMMYFUNCTION("""COMPUTED_VALUE"""),"Elle Caldow")</f>
        <v>Elle Caldow</v>
      </c>
      <c r="F4" s="3" t="str">
        <f>IFERROR(__xludf.DUMMYFUNCTION("""COMPUTED_VALUE"""),"Maddie Wallin")</f>
        <v>Maddie Wallin</v>
      </c>
      <c r="G4" s="3" t="str">
        <f>IFERROR(__xludf.DUMMYFUNCTION("""COMPUTED_VALUE"""),"Josephine Fuller")</f>
        <v>Josephine Fuller</v>
      </c>
      <c r="H4" s="3" t="str">
        <f>IFERROR(__xludf.DUMMYFUNCTION("""COMPUTED_VALUE"""),"Abby Reardon")</f>
        <v>Abby Reardon</v>
      </c>
      <c r="I4" s="3" t="str">
        <f>IFERROR(__xludf.DUMMYFUNCTION("""COMPUTED_VALUE"""),"Jenna Thompson")</f>
        <v>Jenna Thompson</v>
      </c>
      <c r="J4" s="3" t="str">
        <f>IFERROR(__xludf.DUMMYFUNCTION("""COMPUTED_VALUE"""),"Colby Hurt")</f>
        <v>Colby Hurt</v>
      </c>
      <c r="K4" s="3" t="str">
        <f>IFERROR(__xludf.DUMMYFUNCTION("""COMPUTED_VALUE"""),"Megan Pulley")</f>
        <v>Megan Pulley</v>
      </c>
      <c r="L4" s="3" t="str">
        <f>IFERROR(__xludf.DUMMYFUNCTION("""COMPUTED_VALUE"""),"Grace Sheble")</f>
        <v>Grace Sheble</v>
      </c>
      <c r="M4" s="3" t="str">
        <f>IFERROR(__xludf.DUMMYFUNCTION("""COMPUTED_VALUE"""),"Asia Minnes")</f>
        <v>Asia Minnes</v>
      </c>
      <c r="N4" s="3" t="str">
        <f>IFERROR(__xludf.DUMMYFUNCTION("""COMPUTED_VALUE"""),"Samantha Tadder")</f>
        <v>Samantha Tadder</v>
      </c>
      <c r="O4" s="3" t="str">
        <f>IFERROR(__xludf.DUMMYFUNCTION("""COMPUTED_VALUE"""),"Annabelle Young")</f>
        <v>Annabelle Young</v>
      </c>
      <c r="W4" s="3" t="str">
        <f>IFERROR(__xludf.DUMMYFUNCTION("""COMPUTED_VALUE"""),"Nikki Venema")</f>
        <v>Nikki Venema</v>
      </c>
    </row>
    <row r="5">
      <c r="B5" s="4" t="str">
        <f>IFERROR(__xludf.DUMMYFUNCTION("""COMPUTED_VALUE"""),"Samantha Tadder")</f>
        <v>Samantha Tadder</v>
      </c>
      <c r="C5" s="3" t="str">
        <f>IFERROR(__xludf.DUMMYFUNCTION("""COMPUTED_VALUE"""),"Sydney Whiting")</f>
        <v>Sydney Whiting</v>
      </c>
      <c r="D5" s="3" t="str">
        <f>IFERROR(__xludf.DUMMYFUNCTION("""COMPUTED_VALUE"""),"Sydney Whiting")</f>
        <v>Sydney Whiting</v>
      </c>
      <c r="E5" s="3" t="str">
        <f>IFERROR(__xludf.DUMMYFUNCTION("""COMPUTED_VALUE"""),"Kayla Wilson")</f>
        <v>Kayla Wilson</v>
      </c>
      <c r="F5" s="3" t="str">
        <f>IFERROR(__xludf.DUMMYFUNCTION("""COMPUTED_VALUE"""),"Michaela Sizemore")</f>
        <v>Michaela Sizemore</v>
      </c>
      <c r="G5" s="3" t="str">
        <f>IFERROR(__xludf.DUMMYFUNCTION("""COMPUTED_VALUE"""),"Morgan Miller")</f>
        <v>Morgan Miller</v>
      </c>
      <c r="H5" s="3" t="str">
        <f>IFERROR(__xludf.DUMMYFUNCTION("""COMPUTED_VALUE"""),"Morgan Miller")</f>
        <v>Morgan Miller</v>
      </c>
      <c r="I5" s="3" t="str">
        <f>IFERROR(__xludf.DUMMYFUNCTION("""COMPUTED_VALUE"""),"Grace Sheble")</f>
        <v>Grace Sheble</v>
      </c>
      <c r="J5" s="3" t="str">
        <f>IFERROR(__xludf.DUMMYFUNCTION("""COMPUTED_VALUE"""),"Samantha Tadder")</f>
        <v>Samantha Tadder</v>
      </c>
      <c r="K5" s="3" t="str">
        <f>IFERROR(__xludf.DUMMYFUNCTION("""COMPUTED_VALUE"""),"Morgan Miller")</f>
        <v>Morgan Miller</v>
      </c>
      <c r="L5" s="3" t="str">
        <f>IFERROR(__xludf.DUMMYFUNCTION("""COMPUTED_VALUE"""),"Morgan Miller")</f>
        <v>Morgan Miller</v>
      </c>
      <c r="M5" s="3" t="str">
        <f>IFERROR(__xludf.DUMMYFUNCTION("""COMPUTED_VALUE"""),"Sarah Bender")</f>
        <v>Sarah Bender</v>
      </c>
      <c r="N5" s="3" t="str">
        <f>IFERROR(__xludf.DUMMYFUNCTION("""COMPUTED_VALUE"""),"Colby Hurt")</f>
        <v>Colby Hurt</v>
      </c>
      <c r="O5" s="3" t="str">
        <f>IFERROR(__xludf.DUMMYFUNCTION("""COMPUTED_VALUE"""),"Cooper Ackerly")</f>
        <v>Cooper Ackerly</v>
      </c>
      <c r="W5" s="3" t="str">
        <f>IFERROR(__xludf.DUMMYFUNCTION("""COMPUTED_VALUE"""),"Samantha Tadder")</f>
        <v>Samantha Tadder</v>
      </c>
    </row>
    <row r="6">
      <c r="B6" s="4" t="str">
        <f>IFERROR(__xludf.DUMMYFUNCTION("""COMPUTED_VALUE"""),"Asia Minnes")</f>
        <v>Asia Minnes</v>
      </c>
      <c r="C6" s="3" t="str">
        <f>IFERROR(__xludf.DUMMYFUNCTION("""COMPUTED_VALUE"""),"Kayla Wilson")</f>
        <v>Kayla Wilson</v>
      </c>
      <c r="D6" s="3" t="str">
        <f>IFERROR(__xludf.DUMMYFUNCTION("""COMPUTED_VALUE"""),"Morgan Miller")</f>
        <v>Morgan Miller</v>
      </c>
      <c r="E6" s="3" t="str">
        <f>IFERROR(__xludf.DUMMYFUNCTION("""COMPUTED_VALUE"""),"Caroline Sheble")</f>
        <v>Caroline Sheble</v>
      </c>
      <c r="F6" s="3" t="str">
        <f>IFERROR(__xludf.DUMMYFUNCTION("""COMPUTED_VALUE"""),"Lizzie Danforth")</f>
        <v>Lizzie Danforth</v>
      </c>
      <c r="G6" s="3" t="str">
        <f>IFERROR(__xludf.DUMMYFUNCTION("""COMPUTED_VALUE"""),"Abby Reardon")</f>
        <v>Abby Reardon</v>
      </c>
      <c r="H6" s="3" t="str">
        <f>IFERROR(__xludf.DUMMYFUNCTION("""COMPUTED_VALUE"""),"Madison Cottrell")</f>
        <v>Madison Cottrell</v>
      </c>
      <c r="I6" s="3" t="str">
        <f>IFERROR(__xludf.DUMMYFUNCTION("""COMPUTED_VALUE"""),"Julia Smith")</f>
        <v>Julia Smith</v>
      </c>
      <c r="J6" s="3" t="str">
        <f>IFERROR(__xludf.DUMMYFUNCTION("""COMPUTED_VALUE"""),"Annabelle Young")</f>
        <v>Annabelle Young</v>
      </c>
      <c r="K6" s="3" t="str">
        <f>IFERROR(__xludf.DUMMYFUNCTION("""COMPUTED_VALUE"""),"Tristan Harrison")</f>
        <v>Tristan Harrison</v>
      </c>
      <c r="L6" s="3" t="str">
        <f>IFERROR(__xludf.DUMMYFUNCTION("""COMPUTED_VALUE"""),"Megan Pulley")</f>
        <v>Megan Pulley</v>
      </c>
      <c r="M6" s="3" t="str">
        <f>IFERROR(__xludf.DUMMYFUNCTION("""COMPUTED_VALUE"""),"Caroline Sheble")</f>
        <v>Caroline Sheble</v>
      </c>
      <c r="N6" s="3" t="str">
        <f>IFERROR(__xludf.DUMMYFUNCTION("""COMPUTED_VALUE"""),"Caroline Sheble")</f>
        <v>Caroline Sheble</v>
      </c>
      <c r="O6" s="3" t="str">
        <f>IFERROR(__xludf.DUMMYFUNCTION("""COMPUTED_VALUE"""),"Ellie Eckert")</f>
        <v>Ellie Eckert</v>
      </c>
      <c r="W6" s="3" t="str">
        <f>IFERROR(__xludf.DUMMYFUNCTION("""COMPUTED_VALUE"""),"Asia Minnes")</f>
        <v>Asia Minnes</v>
      </c>
    </row>
    <row r="7">
      <c r="B7" s="4" t="str">
        <f>IFERROR(__xludf.DUMMYFUNCTION("""COMPUTED_VALUE"""),"Sydney Whiting")</f>
        <v>Sydney Whiting</v>
      </c>
      <c r="C7" s="3" t="str">
        <f>IFERROR(__xludf.DUMMYFUNCTION("""COMPUTED_VALUE"""),"Megan Pulley")</f>
        <v>Megan Pulley</v>
      </c>
      <c r="D7" s="3" t="str">
        <f>IFERROR(__xludf.DUMMYFUNCTION("""COMPUTED_VALUE"""),"Megan Pulley")</f>
        <v>Megan Pulley</v>
      </c>
      <c r="E7" s="3" t="str">
        <f>IFERROR(__xludf.DUMMYFUNCTION("""COMPUTED_VALUE"""),"Maddie Wallin")</f>
        <v>Maddie Wallin</v>
      </c>
      <c r="F7" s="3" t="str">
        <f>IFERROR(__xludf.DUMMYFUNCTION("""COMPUTED_VALUE"""),"Allison Langenburg")</f>
        <v>Allison Langenburg</v>
      </c>
      <c r="G7" s="3" t="str">
        <f>IFERROR(__xludf.DUMMYFUNCTION("""COMPUTED_VALUE"""),"Elle Caldow")</f>
        <v>Elle Caldow</v>
      </c>
      <c r="H7" s="3" t="str">
        <f>IFERROR(__xludf.DUMMYFUNCTION("""COMPUTED_VALUE"""),"Josephine Fuller")</f>
        <v>Josephine Fuller</v>
      </c>
      <c r="I7" s="3" t="str">
        <f>IFERROR(__xludf.DUMMYFUNCTION("""COMPUTED_VALUE"""),"Sarah Bender")</f>
        <v>Sarah Bender</v>
      </c>
      <c r="J7" s="3" t="str">
        <f>IFERROR(__xludf.DUMMYFUNCTION("""COMPUTED_VALUE"""),"Julia Smith")</f>
        <v>Julia Smith</v>
      </c>
      <c r="K7" s="3" t="str">
        <f>IFERROR(__xludf.DUMMYFUNCTION("""COMPUTED_VALUE"""),"Asia Minnes")</f>
        <v>Asia Minnes</v>
      </c>
      <c r="L7" s="3" t="str">
        <f>IFERROR(__xludf.DUMMYFUNCTION("""COMPUTED_VALUE"""),"Caroline Sheble")</f>
        <v>Caroline Sheble</v>
      </c>
      <c r="M7" s="3" t="str">
        <f>IFERROR(__xludf.DUMMYFUNCTION("""COMPUTED_VALUE"""),"Lizzie Danforth")</f>
        <v>Lizzie Danforth</v>
      </c>
      <c r="N7" s="3" t="str">
        <f>IFERROR(__xludf.DUMMYFUNCTION("""COMPUTED_VALUE"""),"Annabelle Young")</f>
        <v>Annabelle Young</v>
      </c>
      <c r="O7" s="3" t="str">
        <f>IFERROR(__xludf.DUMMYFUNCTION("""COMPUTED_VALUE"""),"Sanna Peterson")</f>
        <v>Sanna Peterson</v>
      </c>
      <c r="W7" s="3" t="str">
        <f>IFERROR(__xludf.DUMMYFUNCTION("""COMPUTED_VALUE"""),"Sydney Whiting")</f>
        <v>Sydney Whiting</v>
      </c>
    </row>
    <row r="8">
      <c r="B8" s="4" t="str">
        <f>IFERROR(__xludf.DUMMYFUNCTION("""COMPUTED_VALUE"""),"Megan Pulley")</f>
        <v>Megan Pulley</v>
      </c>
      <c r="C8" s="3" t="str">
        <f>IFERROR(__xludf.DUMMYFUNCTION("""COMPUTED_VALUE"""),"Elle Caldow")</f>
        <v>Elle Caldow</v>
      </c>
      <c r="D8" s="3" t="str">
        <f>IFERROR(__xludf.DUMMYFUNCTION("""COMPUTED_VALUE"""),"Colby Hurt")</f>
        <v>Colby Hurt</v>
      </c>
      <c r="E8" s="3" t="str">
        <f>IFERROR(__xludf.DUMMYFUNCTION("""COMPUTED_VALUE"""),"Morgan Burton")</f>
        <v>Morgan Burton</v>
      </c>
      <c r="F8" s="3" t="str">
        <f>IFERROR(__xludf.DUMMYFUNCTION("""COMPUTED_VALUE"""),"Kathryn Burrows")</f>
        <v>Kathryn Burrows</v>
      </c>
      <c r="G8" s="3" t="str">
        <f>IFERROR(__xludf.DUMMYFUNCTION("""COMPUTED_VALUE"""),"Tristan Harrison")</f>
        <v>Tristan Harrison</v>
      </c>
      <c r="H8" s="3" t="str">
        <f>IFERROR(__xludf.DUMMYFUNCTION("""COMPUTED_VALUE"""),"Charlie Burt")</f>
        <v>Charlie Burt</v>
      </c>
      <c r="I8" s="3" t="str">
        <f>IFERROR(__xludf.DUMMYFUNCTION("""COMPUTED_VALUE"""),"Annabelle Young")</f>
        <v>Annabelle Young</v>
      </c>
      <c r="J8" s="3" t="str">
        <f>IFERROR(__xludf.DUMMYFUNCTION("""COMPUTED_VALUE"""),"Jenna Thompson")</f>
        <v>Jenna Thompson</v>
      </c>
      <c r="K8" s="3" t="str">
        <f>IFERROR(__xludf.DUMMYFUNCTION("""COMPUTED_VALUE"""),"Caroline Sheble")</f>
        <v>Caroline Sheble</v>
      </c>
      <c r="L8" s="3" t="str">
        <f>IFERROR(__xludf.DUMMYFUNCTION("""COMPUTED_VALUE"""),"Tristan Harrison")</f>
        <v>Tristan Harrison</v>
      </c>
      <c r="M8" s="3" t="str">
        <f>IFERROR(__xludf.DUMMYFUNCTION("""COMPUTED_VALUE"""),"Megan Pulley")</f>
        <v>Megan Pulley</v>
      </c>
      <c r="N8" s="3" t="str">
        <f>IFERROR(__xludf.DUMMYFUNCTION("""COMPUTED_VALUE"""),"Lizzie Danforth")</f>
        <v>Lizzie Danforth</v>
      </c>
      <c r="O8" s="3" t="str">
        <f>IFERROR(__xludf.DUMMYFUNCTION("""COMPUTED_VALUE"""),"Michaela Sizemore")</f>
        <v>Michaela Sizemore</v>
      </c>
      <c r="W8" s="3" t="str">
        <f>IFERROR(__xludf.DUMMYFUNCTION("""COMPUTED_VALUE"""),"Megan Pulley")</f>
        <v>Megan Pulley</v>
      </c>
    </row>
    <row r="9">
      <c r="B9" s="4" t="str">
        <f>IFERROR(__xludf.DUMMYFUNCTION("""COMPUTED_VALUE"""),"Elle Caldow")</f>
        <v>Elle Caldow</v>
      </c>
      <c r="C9" s="3" t="str">
        <f>IFERROR(__xludf.DUMMYFUNCTION("""COMPUTED_VALUE"""),"Tristan Harrison")</f>
        <v>Tristan Harrison</v>
      </c>
      <c r="D9" s="3" t="str">
        <f>IFERROR(__xludf.DUMMYFUNCTION("""COMPUTED_VALUE"""),"Abby Reardon")</f>
        <v>Abby Reardon</v>
      </c>
      <c r="E9" s="3" t="str">
        <f>IFERROR(__xludf.DUMMYFUNCTION("""COMPUTED_VALUE"""),"Sanna Peterson")</f>
        <v>Sanna Peterson</v>
      </c>
      <c r="F9" s="3" t="str">
        <f>IFERROR(__xludf.DUMMYFUNCTION("""COMPUTED_VALUE"""),"Sanna Peterson")</f>
        <v>Sanna Peterson</v>
      </c>
      <c r="G9" s="3" t="str">
        <f>IFERROR(__xludf.DUMMYFUNCTION("""COMPUTED_VALUE"""),"Madison Cottrell")</f>
        <v>Madison Cottrell</v>
      </c>
      <c r="H9" s="3" t="str">
        <f>IFERROR(__xludf.DUMMYFUNCTION("""COMPUTED_VALUE"""),"Lizzie Danforth")</f>
        <v>Lizzie Danforth</v>
      </c>
      <c r="I9" s="3" t="str">
        <f>IFERROR(__xludf.DUMMYFUNCTION("""COMPUTED_VALUE"""),"Lauren Barakey")</f>
        <v>Lauren Barakey</v>
      </c>
      <c r="J9" s="3" t="str">
        <f>IFERROR(__xludf.DUMMYFUNCTION("""COMPUTED_VALUE"""),"Lauren Barakey")</f>
        <v>Lauren Barakey</v>
      </c>
      <c r="K9" s="3" t="str">
        <f>IFERROR(__xludf.DUMMYFUNCTION("""COMPUTED_VALUE"""),"Morgan Burton")</f>
        <v>Morgan Burton</v>
      </c>
      <c r="L9" s="3" t="str">
        <f>IFERROR(__xludf.DUMMYFUNCTION("""COMPUTED_VALUE"""),"Alyssa Reilly")</f>
        <v>Alyssa Reilly</v>
      </c>
      <c r="M9" s="3" t="str">
        <f>IFERROR(__xludf.DUMMYFUNCTION("""COMPUTED_VALUE"""),"Peyton Proffitt")</f>
        <v>Peyton Proffitt</v>
      </c>
      <c r="N9" s="3" t="str">
        <f>IFERROR(__xludf.DUMMYFUNCTION("""COMPUTED_VALUE"""),"Peyton Proffitt")</f>
        <v>Peyton Proffitt</v>
      </c>
      <c r="O9" s="3" t="str">
        <f>IFERROR(__xludf.DUMMYFUNCTION("""COMPUTED_VALUE"""),"Hannah Garner")</f>
        <v>Hannah Garner</v>
      </c>
      <c r="W9" s="3" t="str">
        <f>IFERROR(__xludf.DUMMYFUNCTION("""COMPUTED_VALUE"""),"Elle Caldow")</f>
        <v>Elle Caldow</v>
      </c>
    </row>
    <row r="10">
      <c r="B10" s="4" t="str">
        <f>IFERROR(__xludf.DUMMYFUNCTION("""COMPUTED_VALUE"""),"Abby Fuller")</f>
        <v>Abby Fuller</v>
      </c>
      <c r="C10" s="3" t="str">
        <f>IFERROR(__xludf.DUMMYFUNCTION("""COMPUTED_VALUE"""),"Samantha Tadder")</f>
        <v>Samantha Tadder</v>
      </c>
      <c r="D10" s="3" t="str">
        <f>IFERROR(__xludf.DUMMYFUNCTION("""COMPUTED_VALUE"""),"Sarah Bender")</f>
        <v>Sarah Bender</v>
      </c>
      <c r="E10" s="3" t="str">
        <f>IFERROR(__xludf.DUMMYFUNCTION("""COMPUTED_VALUE"""),"Hannah Garner")</f>
        <v>Hannah Garner</v>
      </c>
      <c r="F10" s="3" t="str">
        <f>IFERROR(__xludf.DUMMYFUNCTION("""COMPUTED_VALUE"""),"Hannah Garner")</f>
        <v>Hannah Garner</v>
      </c>
      <c r="G10" s="3" t="str">
        <f>IFERROR(__xludf.DUMMYFUNCTION("""COMPUTED_VALUE"""),"Maddie Pierce")</f>
        <v>Maddie Pierce</v>
      </c>
      <c r="H10" s="3" t="str">
        <f>IFERROR(__xludf.DUMMYFUNCTION("""COMPUTED_VALUE"""),"Caroline Storen")</f>
        <v>Caroline Storen</v>
      </c>
      <c r="I10" s="3" t="str">
        <f>IFERROR(__xludf.DUMMYFUNCTION("""COMPUTED_VALUE"""),"Brooke Lamoureux")</f>
        <v>Brooke Lamoureux</v>
      </c>
      <c r="J10" s="3" t="str">
        <f>IFERROR(__xludf.DUMMYFUNCTION("""COMPUTED_VALUE"""),"Peyton Proffitt")</f>
        <v>Peyton Proffitt</v>
      </c>
      <c r="K10" s="3" t="str">
        <f>IFERROR(__xludf.DUMMYFUNCTION("""COMPUTED_VALUE"""),"Josephine Fuller")</f>
        <v>Josephine Fuller</v>
      </c>
      <c r="L10" s="3" t="str">
        <f>IFERROR(__xludf.DUMMYFUNCTION("""COMPUTED_VALUE"""),"Morgan Burton")</f>
        <v>Morgan Burton</v>
      </c>
      <c r="M10" s="3" t="str">
        <f>IFERROR(__xludf.DUMMYFUNCTION("""COMPUTED_VALUE"""),"Madison Cottrell")</f>
        <v>Madison Cottrell</v>
      </c>
      <c r="N10" s="3" t="str">
        <f>IFERROR(__xludf.DUMMYFUNCTION("""COMPUTED_VALUE"""),"angela ritchie")</f>
        <v>angela ritchie</v>
      </c>
      <c r="O10" s="3" t="str">
        <f>IFERROR(__xludf.DUMMYFUNCTION("""COMPUTED_VALUE"""),"Allison Langenburg")</f>
        <v>Allison Langenburg</v>
      </c>
      <c r="W10" s="3" t="str">
        <f>IFERROR(__xludf.DUMMYFUNCTION("""COMPUTED_VALUE"""),"Abby Fuller")</f>
        <v>Abby Fuller</v>
      </c>
    </row>
    <row r="11">
      <c r="B11" s="4" t="str">
        <f>IFERROR(__xludf.DUMMYFUNCTION("""COMPUTED_VALUE"""),"Kayla Wilson")</f>
        <v>Kayla Wilson</v>
      </c>
      <c r="C11" s="3" t="str">
        <f>IFERROR(__xludf.DUMMYFUNCTION("""COMPUTED_VALUE"""),"Kierstin Godfrey")</f>
        <v>Kierstin Godfrey</v>
      </c>
      <c r="D11" s="3" t="str">
        <f>IFERROR(__xludf.DUMMYFUNCTION("""COMPUTED_VALUE"""),"Cooper Ackerly")</f>
        <v>Cooper Ackerly</v>
      </c>
      <c r="E11" s="3" t="str">
        <f>IFERROR(__xludf.DUMMYFUNCTION("""COMPUTED_VALUE"""),"Cooper Ackerly")</f>
        <v>Cooper Ackerly</v>
      </c>
      <c r="F11" s="3" t="str">
        <f>IFERROR(__xludf.DUMMYFUNCTION("""COMPUTED_VALUE"""),"Kylie Johnson")</f>
        <v>Kylie Johnson</v>
      </c>
      <c r="G11" s="3" t="str">
        <f>IFERROR(__xludf.DUMMYFUNCTION("""COMPUTED_VALUE"""),"Molly Blanchard")</f>
        <v>Molly Blanchard</v>
      </c>
      <c r="H11" s="3" t="str">
        <f>IFERROR(__xludf.DUMMYFUNCTION("""COMPUTED_VALUE"""),"Elle Caldow")</f>
        <v>Elle Caldow</v>
      </c>
      <c r="I11" s="3" t="str">
        <f>IFERROR(__xludf.DUMMYFUNCTION("""COMPUTED_VALUE"""),"Josephine Fuller")</f>
        <v>Josephine Fuller</v>
      </c>
      <c r="J11" s="3" t="str">
        <f>IFERROR(__xludf.DUMMYFUNCTION("""COMPUTED_VALUE"""),"Mary Cornett")</f>
        <v>Mary Cornett</v>
      </c>
      <c r="K11" s="3" t="str">
        <f>IFERROR(__xludf.DUMMYFUNCTION("""COMPUTED_VALUE"""),"Sofia Long")</f>
        <v>Sofia Long</v>
      </c>
      <c r="L11" s="3" t="str">
        <f>IFERROR(__xludf.DUMMYFUNCTION("""COMPUTED_VALUE"""),"Maddie Wallin")</f>
        <v>Maddie Wallin</v>
      </c>
      <c r="M11" s="3" t="str">
        <f>IFERROR(__xludf.DUMMYFUNCTION("""COMPUTED_VALUE"""),"Jenna Thompson")</f>
        <v>Jenna Thompson</v>
      </c>
      <c r="N11" s="3" t="str">
        <f>IFERROR(__xludf.DUMMYFUNCTION("""COMPUTED_VALUE"""),"Michaela Sizemore")</f>
        <v>Michaela Sizemore</v>
      </c>
      <c r="O11" s="3" t="str">
        <f>IFERROR(__xludf.DUMMYFUNCTION("""COMPUTED_VALUE"""),"Peyton Proffitt")</f>
        <v>Peyton Proffitt</v>
      </c>
      <c r="W11" s="3" t="str">
        <f>IFERROR(__xludf.DUMMYFUNCTION("""COMPUTED_VALUE"""),"Kayla Wilson")</f>
        <v>Kayla Wilson</v>
      </c>
    </row>
    <row r="12">
      <c r="B12" s="4" t="str">
        <f>IFERROR(__xludf.DUMMYFUNCTION("""COMPUTED_VALUE"""),"Josephine Fuller")</f>
        <v>Josephine Fuller</v>
      </c>
      <c r="C12" s="3" t="str">
        <f>IFERROR(__xludf.DUMMYFUNCTION("""COMPUTED_VALUE"""),"Sarah Bender")</f>
        <v>Sarah Bender</v>
      </c>
      <c r="D12" s="3" t="str">
        <f>IFERROR(__xludf.DUMMYFUNCTION("""COMPUTED_VALUE"""),"Morgan Burton")</f>
        <v>Morgan Burton</v>
      </c>
      <c r="E12" s="3" t="str">
        <f>IFERROR(__xludf.DUMMYFUNCTION("""COMPUTED_VALUE"""),"Annabelle Young")</f>
        <v>Annabelle Young</v>
      </c>
      <c r="F12" s="3" t="str">
        <f>IFERROR(__xludf.DUMMYFUNCTION("""COMPUTED_VALUE"""),"Ellie Eckert")</f>
        <v>Ellie Eckert</v>
      </c>
      <c r="G12" s="3" t="str">
        <f>IFERROR(__xludf.DUMMYFUNCTION("""COMPUTED_VALUE"""),"Nikki Venema")</f>
        <v>Nikki Venema</v>
      </c>
      <c r="H12" s="3" t="str">
        <f>IFERROR(__xludf.DUMMYFUNCTION("""COMPUTED_VALUE"""),"Nikki Venema")</f>
        <v>Nikki Venema</v>
      </c>
      <c r="I12" s="3" t="str">
        <f>IFERROR(__xludf.DUMMYFUNCTION("""COMPUTED_VALUE"""),"Madison Cottrell")</f>
        <v>Madison Cottrell</v>
      </c>
      <c r="J12" s="3" t="str">
        <f>IFERROR(__xludf.DUMMYFUNCTION("""COMPUTED_VALUE"""),"Tara Enneking")</f>
        <v>Tara Enneking</v>
      </c>
      <c r="K12" s="3" t="str">
        <f>IFERROR(__xludf.DUMMYFUNCTION("""COMPUTED_VALUE"""),"Athena Vanyo")</f>
        <v>Athena Vanyo</v>
      </c>
      <c r="L12" s="3" t="str">
        <f>IFERROR(__xludf.DUMMYFUNCTION("""COMPUTED_VALUE"""),"Lauren Shoemaker")</f>
        <v>Lauren Shoemaker</v>
      </c>
      <c r="M12" s="3" t="str">
        <f>IFERROR(__xludf.DUMMYFUNCTION("""COMPUTED_VALUE"""),"Nikki Venema")</f>
        <v>Nikki Venema</v>
      </c>
      <c r="N12" s="3" t="str">
        <f>IFERROR(__xludf.DUMMYFUNCTION("""COMPUTED_VALUE"""),"Charlie Burt")</f>
        <v>Charlie Burt</v>
      </c>
      <c r="O12" s="3" t="str">
        <f>IFERROR(__xludf.DUMMYFUNCTION("""COMPUTED_VALUE"""),"Alexa Owen")</f>
        <v>Alexa Owen</v>
      </c>
      <c r="W12" s="3" t="str">
        <f>IFERROR(__xludf.DUMMYFUNCTION("""COMPUTED_VALUE"""),"Josephine Fuller")</f>
        <v>Josephine Fuller</v>
      </c>
    </row>
    <row r="13">
      <c r="B13" s="4" t="str">
        <f>IFERROR(__xludf.DUMMYFUNCTION("""COMPUTED_VALUE"""),"Kierstin Godfrey")</f>
        <v>Kierstin Godfrey</v>
      </c>
      <c r="C13" s="3" t="str">
        <f>IFERROR(__xludf.DUMMYFUNCTION("""COMPUTED_VALUE"""),"Julia Smith")</f>
        <v>Julia Smith</v>
      </c>
      <c r="D13" s="3" t="str">
        <f>IFERROR(__xludf.DUMMYFUNCTION("""COMPUTED_VALUE"""),"Courtney Isley")</f>
        <v>Courtney Isley</v>
      </c>
      <c r="E13" s="3" t="str">
        <f>IFERROR(__xludf.DUMMYFUNCTION("""COMPUTED_VALUE"""),"Abby Reardon")</f>
        <v>Abby Reardon</v>
      </c>
      <c r="F13" s="3" t="str">
        <f>IFERROR(__xludf.DUMMYFUNCTION("""COMPUTED_VALUE"""),"Anne-Elaine Tiller")</f>
        <v>Anne-Elaine Tiller</v>
      </c>
      <c r="G13" s="3" t="str">
        <f>IFERROR(__xludf.DUMMYFUNCTION("""COMPUTED_VALUE"""),"Courtney Isley")</f>
        <v>Courtney Isley</v>
      </c>
      <c r="H13" s="3" t="str">
        <f>IFERROR(__xludf.DUMMYFUNCTION("""COMPUTED_VALUE"""),"Abby Russell")</f>
        <v>Abby Russell</v>
      </c>
      <c r="I13" s="3" t="str">
        <f>IFERROR(__xludf.DUMMYFUNCTION("""COMPUTED_VALUE"""),"Mary Cornett")</f>
        <v>Mary Cornett</v>
      </c>
      <c r="J13" s="3" t="str">
        <f>IFERROR(__xludf.DUMMYFUNCTION("""COMPUTED_VALUE"""),"Kinsey Brooks")</f>
        <v>Kinsey Brooks</v>
      </c>
      <c r="K13" s="3" t="str">
        <f>IFERROR(__xludf.DUMMYFUNCTION("""COMPUTED_VALUE"""),"angela ritchie")</f>
        <v>angela ritchie</v>
      </c>
      <c r="L13" s="3" t="str">
        <f>IFERROR(__xludf.DUMMYFUNCTION("""COMPUTED_VALUE"""),"Laura Gaffney")</f>
        <v>Laura Gaffney</v>
      </c>
      <c r="M13" s="3" t="str">
        <f>IFERROR(__xludf.DUMMYFUNCTION("""COMPUTED_VALUE"""),"Annabelle Young")</f>
        <v>Annabelle Young</v>
      </c>
      <c r="N13" s="3" t="str">
        <f>IFERROR(__xludf.DUMMYFUNCTION("""COMPUTED_VALUE"""),"Maddie Wallin")</f>
        <v>Maddie Wallin</v>
      </c>
      <c r="O13" s="3" t="str">
        <f>IFERROR(__xludf.DUMMYFUNCTION("""COMPUTED_VALUE"""),"Kathryn Burrows")</f>
        <v>Kathryn Burrows</v>
      </c>
      <c r="W13" s="3" t="str">
        <f>IFERROR(__xludf.DUMMYFUNCTION("""COMPUTED_VALUE"""),"Kierstin Godfrey")</f>
        <v>Kierstin Godfrey</v>
      </c>
    </row>
    <row r="14">
      <c r="B14" s="4" t="str">
        <f>IFERROR(__xludf.DUMMYFUNCTION("""COMPUTED_VALUE"""),"Madison Cottrell")</f>
        <v>Madison Cottrell</v>
      </c>
      <c r="C14" s="3" t="str">
        <f>IFERROR(__xludf.DUMMYFUNCTION("""COMPUTED_VALUE"""),"Courtney Isley")</f>
        <v>Courtney Isley</v>
      </c>
      <c r="D14" s="3" t="str">
        <f>IFERROR(__xludf.DUMMYFUNCTION("""COMPUTED_VALUE"""),"Caroline Storen")</f>
        <v>Caroline Storen</v>
      </c>
      <c r="E14" s="3" t="str">
        <f>IFERROR(__xludf.DUMMYFUNCTION("""COMPUTED_VALUE"""),"Ellie Eckert")</f>
        <v>Ellie Eckert</v>
      </c>
      <c r="F14" s="3" t="str">
        <f>IFERROR(__xludf.DUMMYFUNCTION("""COMPUTED_VALUE"""),"Gracie Mueller")</f>
        <v>Gracie Mueller</v>
      </c>
      <c r="G14" s="3" t="str">
        <f>IFERROR(__xludf.DUMMYFUNCTION("""COMPUTED_VALUE"""),"Sophie Knepper")</f>
        <v>Sophie Knepper</v>
      </c>
      <c r="H14" s="3" t="str">
        <f>IFERROR(__xludf.DUMMYFUNCTION("""COMPUTED_VALUE"""),"Maddie Wallin")</f>
        <v>Maddie Wallin</v>
      </c>
      <c r="I14" s="3" t="str">
        <f>IFERROR(__xludf.DUMMYFUNCTION("""COMPUTED_VALUE"""),"Peyton Proffitt")</f>
        <v>Peyton Proffitt</v>
      </c>
      <c r="J14" s="3" t="str">
        <f>IFERROR(__xludf.DUMMYFUNCTION("""COMPUTED_VALUE"""),"Brooke Lamoureux")</f>
        <v>Brooke Lamoureux</v>
      </c>
      <c r="K14" s="3" t="str">
        <f>IFERROR(__xludf.DUMMYFUNCTION("""COMPUTED_VALUE"""),"Maddie Pierce")</f>
        <v>Maddie Pierce</v>
      </c>
      <c r="L14" s="3" t="str">
        <f>IFERROR(__xludf.DUMMYFUNCTION("""COMPUTED_VALUE"""),"Ally Kopal")</f>
        <v>Ally Kopal</v>
      </c>
      <c r="M14" s="3" t="str">
        <f>IFERROR(__xludf.DUMMYFUNCTION("""COMPUTED_VALUE"""),"Kinsey Brooks")</f>
        <v>Kinsey Brooks</v>
      </c>
      <c r="N14" s="3" t="str">
        <f>IFERROR(__xludf.DUMMYFUNCTION("""COMPUTED_VALUE"""),"Abby Reardon")</f>
        <v>Abby Reardon</v>
      </c>
      <c r="O14" s="3" t="str">
        <f>IFERROR(__xludf.DUMMYFUNCTION("""COMPUTED_VALUE"""),"Gracie Mueller")</f>
        <v>Gracie Mueller</v>
      </c>
      <c r="W14" s="3" t="str">
        <f>IFERROR(__xludf.DUMMYFUNCTION("""COMPUTED_VALUE"""),"Madison Cottrell")</f>
        <v>Madison Cottrell</v>
      </c>
    </row>
    <row r="15">
      <c r="B15" s="3" t="str">
        <f>IFERROR(__xludf.DUMMYFUNCTION("""COMPUTED_VALUE"""),"Kimberly Large")</f>
        <v>Kimberly Large</v>
      </c>
      <c r="C15" s="3" t="str">
        <f>IFERROR(__xludf.DUMMYFUNCTION("""COMPUTED_VALUE"""),"Morgan Burton")</f>
        <v>Morgan Burton</v>
      </c>
      <c r="D15" s="3" t="str">
        <f>IFERROR(__xludf.DUMMYFUNCTION("""COMPUTED_VALUE"""),"Laura Gaffney")</f>
        <v>Laura Gaffney</v>
      </c>
      <c r="E15" s="3" t="str">
        <f>IFERROR(__xludf.DUMMYFUNCTION("""COMPUTED_VALUE"""),"Sydney Whiting")</f>
        <v>Sydney Whiting</v>
      </c>
      <c r="F15" s="3" t="str">
        <f>IFERROR(__xludf.DUMMYFUNCTION("""COMPUTED_VALUE"""),"Bella Kimbel")</f>
        <v>Bella Kimbel</v>
      </c>
      <c r="G15" s="3" t="str">
        <f>IFERROR(__xludf.DUMMYFUNCTION("""COMPUTED_VALUE"""),"Charlie Burt")</f>
        <v>Charlie Burt</v>
      </c>
      <c r="H15" s="3" t="str">
        <f>IFERROR(__xludf.DUMMYFUNCTION("""COMPUTED_VALUE"""),"Maialen Sudupe")</f>
        <v>Maialen Sudupe</v>
      </c>
      <c r="I15" s="3" t="str">
        <f>IFERROR(__xludf.DUMMYFUNCTION("""COMPUTED_VALUE"""),"Kinsey Brooks")</f>
        <v>Kinsey Brooks</v>
      </c>
      <c r="J15" s="3" t="str">
        <f>IFERROR(__xludf.DUMMYFUNCTION("""COMPUTED_VALUE"""),"Brooke-Lynn Clark")</f>
        <v>Brooke-Lynn Clark</v>
      </c>
      <c r="K15" s="3" t="str">
        <f>IFERROR(__xludf.DUMMYFUNCTION("""COMPUTED_VALUE"""),"Madison Cottrell")</f>
        <v>Madison Cottrell</v>
      </c>
      <c r="L15" s="3" t="str">
        <f>IFERROR(__xludf.DUMMYFUNCTION("""COMPUTED_VALUE"""),"Julie Anderson")</f>
        <v>Julie Anderson</v>
      </c>
      <c r="M15" s="3" t="str">
        <f>IFERROR(__xludf.DUMMYFUNCTION("""COMPUTED_VALUE"""),"Courtney Isley")</f>
        <v>Courtney Isley</v>
      </c>
      <c r="N15" s="3" t="str">
        <f>IFERROR(__xludf.DUMMYFUNCTION("""COMPUTED_VALUE"""),"Ally Kopal")</f>
        <v>Ally Kopal</v>
      </c>
      <c r="O15" s="3" t="str">
        <f>IFERROR(__xludf.DUMMYFUNCTION("""COMPUTED_VALUE"""),"Tillie Lewis")</f>
        <v>Tillie Lewis</v>
      </c>
      <c r="W15" s="3" t="str">
        <f>IFERROR(__xludf.DUMMYFUNCTION("""COMPUTED_VALUE"""),"Kimberly Large")</f>
        <v>Kimberly Large</v>
      </c>
    </row>
    <row r="16">
      <c r="B16" s="3" t="str">
        <f>IFERROR(__xludf.DUMMYFUNCTION("""COMPUTED_VALUE"""),"Cooper Ackerly")</f>
        <v>Cooper Ackerly</v>
      </c>
      <c r="C16" s="3" t="str">
        <f>IFERROR(__xludf.DUMMYFUNCTION("""COMPUTED_VALUE"""),"Jenna Thompson")</f>
        <v>Jenna Thompson</v>
      </c>
      <c r="D16" s="3" t="str">
        <f>IFERROR(__xludf.DUMMYFUNCTION("""COMPUTED_VALUE"""),"Charlie Burt")</f>
        <v>Charlie Burt</v>
      </c>
      <c r="E16" s="3" t="str">
        <f>IFERROR(__xludf.DUMMYFUNCTION("""COMPUTED_VALUE"""),"Lizzie Danforth")</f>
        <v>Lizzie Danforth</v>
      </c>
      <c r="F16" s="3" t="str">
        <f>IFERROR(__xludf.DUMMYFUNCTION("""COMPUTED_VALUE"""),"Shannah Dillman")</f>
        <v>Shannah Dillman</v>
      </c>
      <c r="G16" s="3" t="str">
        <f>IFERROR(__xludf.DUMMYFUNCTION("""COMPUTED_VALUE"""),"Lizzie Danforth")</f>
        <v>Lizzie Danforth</v>
      </c>
      <c r="H16" s="3" t="str">
        <f>IFERROR(__xludf.DUMMYFUNCTION("""COMPUTED_VALUE"""),"Summer Sampson")</f>
        <v>Summer Sampson</v>
      </c>
      <c r="I16" s="3" t="str">
        <f>IFERROR(__xludf.DUMMYFUNCTION("""COMPUTED_VALUE"""),"Katie Nunez")</f>
        <v>Katie Nunez</v>
      </c>
      <c r="J16" s="3" t="str">
        <f>IFERROR(__xludf.DUMMYFUNCTION("""COMPUTED_VALUE"""),"Brooke Simila")</f>
        <v>Brooke Simila</v>
      </c>
      <c r="K16" s="3" t="str">
        <f>IFERROR(__xludf.DUMMYFUNCTION("""COMPUTED_VALUE"""),"Leah Riley")</f>
        <v>Leah Riley</v>
      </c>
      <c r="L16" s="3" t="str">
        <f>IFERROR(__xludf.DUMMYFUNCTION("""COMPUTED_VALUE"""),"Charlie Burt")</f>
        <v>Charlie Burt</v>
      </c>
      <c r="M16" s="3" t="str">
        <f>IFERROR(__xludf.DUMMYFUNCTION("""COMPUTED_VALUE"""),"Abby Reardon")</f>
        <v>Abby Reardon</v>
      </c>
      <c r="N16" s="3" t="str">
        <f>IFERROR(__xludf.DUMMYFUNCTION("""COMPUTED_VALUE"""),"Brooke-Lynn Clark")</f>
        <v>Brooke-Lynn Clark</v>
      </c>
      <c r="O16" s="3" t="str">
        <f>IFERROR(__xludf.DUMMYFUNCTION("""COMPUTED_VALUE"""),"Kennedy Darensbourg")</f>
        <v>Kennedy Darensbourg</v>
      </c>
      <c r="W16" s="3" t="str">
        <f>IFERROR(__xludf.DUMMYFUNCTION("""COMPUTED_VALUE"""),"Cooper Ackerly")</f>
        <v>Cooper Ackerly</v>
      </c>
    </row>
    <row r="17">
      <c r="B17" s="3" t="str">
        <f>IFERROR(__xludf.DUMMYFUNCTION("""COMPUTED_VALUE"""),"Tristan Harrison")</f>
        <v>Tristan Harrison</v>
      </c>
      <c r="C17" s="3" t="str">
        <f>IFERROR(__xludf.DUMMYFUNCTION("""COMPUTED_VALUE"""),"Cooper Ackerly")</f>
        <v>Cooper Ackerly</v>
      </c>
      <c r="D17" s="3" t="str">
        <f>IFERROR(__xludf.DUMMYFUNCTION("""COMPUTED_VALUE"""),"Anka Whelan")</f>
        <v>Anka Whelan</v>
      </c>
      <c r="E17" s="3" t="str">
        <f>IFERROR(__xludf.DUMMYFUNCTION("""COMPUTED_VALUE"""),"Alexa Owen")</f>
        <v>Alexa Owen</v>
      </c>
      <c r="F17" s="3" t="str">
        <f>IFERROR(__xludf.DUMMYFUNCTION("""COMPUTED_VALUE"""),"Abby Russell")</f>
        <v>Abby Russell</v>
      </c>
      <c r="G17" s="3" t="str">
        <f>IFERROR(__xludf.DUMMYFUNCTION("""COMPUTED_VALUE"""),"Caroline Storen")</f>
        <v>Caroline Storen</v>
      </c>
      <c r="H17" s="3" t="str">
        <f>IFERROR(__xludf.DUMMYFUNCTION("""COMPUTED_VALUE"""),"Sara Gaston")</f>
        <v>Sara Gaston</v>
      </c>
      <c r="I17" s="3" t="str">
        <f>IFERROR(__xludf.DUMMYFUNCTION("""COMPUTED_VALUE"""),"Charlotte Wishnack")</f>
        <v>Charlotte Wishnack</v>
      </c>
      <c r="J17" s="3" t="str">
        <f>IFERROR(__xludf.DUMMYFUNCTION("""COMPUTED_VALUE"""),"Clara Rodriguez")</f>
        <v>Clara Rodriguez</v>
      </c>
      <c r="K17" s="3" t="str">
        <f>IFERROR(__xludf.DUMMYFUNCTION("""COMPUTED_VALUE"""),"Julie Anderson")</f>
        <v>Julie Anderson</v>
      </c>
      <c r="L17" s="3" t="str">
        <f>IFERROR(__xludf.DUMMYFUNCTION("""COMPUTED_VALUE"""),"Maura Graff")</f>
        <v>Maura Graff</v>
      </c>
      <c r="M17" s="3" t="str">
        <f>IFERROR(__xludf.DUMMYFUNCTION("""COMPUTED_VALUE"""),"Molly Blanchard")</f>
        <v>Molly Blanchard</v>
      </c>
      <c r="N17" s="3" t="str">
        <f>IFERROR(__xludf.DUMMYFUNCTION("""COMPUTED_VALUE"""),"Alyssa Reilly")</f>
        <v>Alyssa Reilly</v>
      </c>
      <c r="O17" s="3" t="str">
        <f>IFERROR(__xludf.DUMMYFUNCTION("""COMPUTED_VALUE"""),"Rose McMullen")</f>
        <v>Rose McMullen</v>
      </c>
      <c r="W17" s="3" t="str">
        <f>IFERROR(__xludf.DUMMYFUNCTION("""COMPUTED_VALUE"""),"Tristan Harrison")</f>
        <v>Tristan Harrison</v>
      </c>
    </row>
    <row r="18">
      <c r="B18" s="3" t="str">
        <f>IFERROR(__xludf.DUMMYFUNCTION("""COMPUTED_VALUE"""),"Julia Smith")</f>
        <v>Julia Smith</v>
      </c>
      <c r="C18" s="3" t="str">
        <f>IFERROR(__xludf.DUMMYFUNCTION("""COMPUTED_VALUE"""),"Brooke Lamoureux")</f>
        <v>Brooke Lamoureux</v>
      </c>
      <c r="D18" s="3" t="str">
        <f>IFERROR(__xludf.DUMMYFUNCTION("""COMPUTED_VALUE"""),"Kierstin Godfrey")</f>
        <v>Kierstin Godfrey</v>
      </c>
      <c r="E18" s="3" t="str">
        <f>IFERROR(__xludf.DUMMYFUNCTION("""COMPUTED_VALUE"""),"Peyton Proffitt")</f>
        <v>Peyton Proffitt</v>
      </c>
      <c r="F18" s="3" t="str">
        <f>IFERROR(__xludf.DUMMYFUNCTION("""COMPUTED_VALUE"""),"Kennedy Darensbourg")</f>
        <v>Kennedy Darensbourg</v>
      </c>
      <c r="G18" s="3" t="str">
        <f>IFERROR(__xludf.DUMMYFUNCTION("""COMPUTED_VALUE"""),"Shelby Raber")</f>
        <v>Shelby Raber</v>
      </c>
      <c r="H18" s="3" t="str">
        <f>IFERROR(__xludf.DUMMYFUNCTION("""COMPUTED_VALUE"""),"Shelby Raber")</f>
        <v>Shelby Raber</v>
      </c>
      <c r="I18" s="3" t="str">
        <f>IFERROR(__xludf.DUMMYFUNCTION("""COMPUTED_VALUE"""),"Brooke-Lynn Clark")</f>
        <v>Brooke-Lynn Clark</v>
      </c>
      <c r="J18" s="3" t="str">
        <f>IFERROR(__xludf.DUMMYFUNCTION("""COMPUTED_VALUE"""),"Charlotte Wishnack")</f>
        <v>Charlotte Wishnack</v>
      </c>
      <c r="K18" s="3" t="str">
        <f>IFERROR(__xludf.DUMMYFUNCTION("""COMPUTED_VALUE"""),"Kierstin Godfrey")</f>
        <v>Kierstin Godfrey</v>
      </c>
      <c r="L18" s="3" t="str">
        <f>IFERROR(__xludf.DUMMYFUNCTION("""COMPUTED_VALUE"""),"Erin Langenburg")</f>
        <v>Erin Langenburg</v>
      </c>
      <c r="M18" s="3" t="str">
        <f>IFERROR(__xludf.DUMMYFUNCTION("""COMPUTED_VALUE"""),"Laura Gaffney")</f>
        <v>Laura Gaffney</v>
      </c>
      <c r="N18" s="3" t="str">
        <f>IFERROR(__xludf.DUMMYFUNCTION("""COMPUTED_VALUE"""),"Alexa Owen")</f>
        <v>Alexa Owen</v>
      </c>
      <c r="O18" s="3" t="str">
        <f>IFERROR(__xludf.DUMMYFUNCTION("""COMPUTED_VALUE"""),"Grace Morgan")</f>
        <v>Grace Morgan</v>
      </c>
      <c r="W18" s="3" t="str">
        <f>IFERROR(__xludf.DUMMYFUNCTION("""COMPUTED_VALUE"""),"Julia Smith")</f>
        <v>Julia Smith</v>
      </c>
    </row>
    <row r="19">
      <c r="B19" s="3" t="str">
        <f>IFERROR(__xludf.DUMMYFUNCTION("""COMPUTED_VALUE"""),"Jenna Thompson")</f>
        <v>Jenna Thompson</v>
      </c>
      <c r="C19" s="3" t="str">
        <f>IFERROR(__xludf.DUMMYFUNCTION("""COMPUTED_VALUE"""),"Tamara Wheater")</f>
        <v>Tamara Wheater</v>
      </c>
      <c r="D19" s="3" t="str">
        <f>IFERROR(__xludf.DUMMYFUNCTION("""COMPUTED_VALUE"""),"Hannah Garner")</f>
        <v>Hannah Garner</v>
      </c>
      <c r="E19" s="3" t="str">
        <f>IFERROR(__xludf.DUMMYFUNCTION("""COMPUTED_VALUE"""),"Anka Whelan")</f>
        <v>Anka Whelan</v>
      </c>
      <c r="F19" s="3" t="str">
        <f>IFERROR(__xludf.DUMMYFUNCTION("""COMPUTED_VALUE"""),"Tillie Lewis")</f>
        <v>Tillie Lewis</v>
      </c>
      <c r="G19" s="3" t="str">
        <f>IFERROR(__xludf.DUMMYFUNCTION("""COMPUTED_VALUE"""),"Tara Enneking")</f>
        <v>Tara Enneking</v>
      </c>
      <c r="H19" s="3" t="str">
        <f>IFERROR(__xludf.DUMMYFUNCTION("""COMPUTED_VALUE"""),"Molly Blanchard")</f>
        <v>Molly Blanchard</v>
      </c>
      <c r="I19" s="3" t="str">
        <f>IFERROR(__xludf.DUMMYFUNCTION("""COMPUTED_VALUE"""),"Kristina Zachary")</f>
        <v>Kristina Zachary</v>
      </c>
      <c r="J19" s="3" t="str">
        <f>IFERROR(__xludf.DUMMYFUNCTION("""COMPUTED_VALUE"""),"Tessa Campbell")</f>
        <v>Tessa Campbell</v>
      </c>
      <c r="K19" s="3" t="str">
        <f>IFERROR(__xludf.DUMMYFUNCTION("""COMPUTED_VALUE"""),"Ally Kopal")</f>
        <v>Ally Kopal</v>
      </c>
      <c r="L19" s="3" t="str">
        <f>IFERROR(__xludf.DUMMYFUNCTION("""COMPUTED_VALUE"""),"Brooke-Lynn Clark")</f>
        <v>Brooke-Lynn Clark</v>
      </c>
      <c r="M19" s="3" t="str">
        <f>IFERROR(__xludf.DUMMYFUNCTION("""COMPUTED_VALUE"""),"Mary Cornett")</f>
        <v>Mary Cornett</v>
      </c>
      <c r="N19" s="3" t="str">
        <f>IFERROR(__xludf.DUMMYFUNCTION("""COMPUTED_VALUE"""),"Laura Gaffney")</f>
        <v>Laura Gaffney</v>
      </c>
      <c r="O19" s="3" t="str">
        <f>IFERROR(__xludf.DUMMYFUNCTION("""COMPUTED_VALUE"""),"Anne-Elaine Tiller")</f>
        <v>Anne-Elaine Tiller</v>
      </c>
      <c r="W19" s="3" t="str">
        <f>IFERROR(__xludf.DUMMYFUNCTION("""COMPUTED_VALUE"""),"Jenna Thompson")</f>
        <v>Jenna Thompson</v>
      </c>
    </row>
    <row r="20">
      <c r="B20" s="3" t="str">
        <f>IFERROR(__xludf.DUMMYFUNCTION("""COMPUTED_VALUE"""),"Tara Enneking")</f>
        <v>Tara Enneking</v>
      </c>
      <c r="C20" s="3" t="str">
        <f>IFERROR(__xludf.DUMMYFUNCTION("""COMPUTED_VALUE"""),"Colby Hurt")</f>
        <v>Colby Hurt</v>
      </c>
      <c r="D20" s="3" t="str">
        <f>IFERROR(__xludf.DUMMYFUNCTION("""COMPUTED_VALUE"""),"Tristan Harrison")</f>
        <v>Tristan Harrison</v>
      </c>
      <c r="E20" s="3" t="str">
        <f>IFERROR(__xludf.DUMMYFUNCTION("""COMPUTED_VALUE"""),"Allison Langenburg")</f>
        <v>Allison Langenburg</v>
      </c>
      <c r="F20" s="3" t="str">
        <f>IFERROR(__xludf.DUMMYFUNCTION("""COMPUTED_VALUE"""),"Britney Denny")</f>
        <v>Britney Denny</v>
      </c>
      <c r="G20" s="3" t="str">
        <f>IFERROR(__xludf.DUMMYFUNCTION("""COMPUTED_VALUE"""),"angela ritchie")</f>
        <v>angela ritchie</v>
      </c>
      <c r="H20" s="3" t="str">
        <f>IFERROR(__xludf.DUMMYFUNCTION("""COMPUTED_VALUE"""),"Meagan Baxley")</f>
        <v>Meagan Baxley</v>
      </c>
      <c r="I20" s="3" t="str">
        <f>IFERROR(__xludf.DUMMYFUNCTION("""COMPUTED_VALUE"""),"Clara Rodriguez")</f>
        <v>Clara Rodriguez</v>
      </c>
      <c r="J20" s="3" t="str">
        <f>IFERROR(__xludf.DUMMYFUNCTION("""COMPUTED_VALUE"""),"Casey Fusco")</f>
        <v>Casey Fusco</v>
      </c>
      <c r="K20" s="3" t="str">
        <f>IFERROR(__xludf.DUMMYFUNCTION("""COMPUTED_VALUE"""),"Maura Graff")</f>
        <v>Maura Graff</v>
      </c>
      <c r="L20" s="3" t="str">
        <f>IFERROR(__xludf.DUMMYFUNCTION("""COMPUTED_VALUE"""),"Meagan Baxley")</f>
        <v>Meagan Baxley</v>
      </c>
      <c r="M20" s="3" t="str">
        <f>IFERROR(__xludf.DUMMYFUNCTION("""COMPUTED_VALUE"""),"Morgan Miller")</f>
        <v>Morgan Miller</v>
      </c>
      <c r="N20" s="3" t="str">
        <f>IFERROR(__xludf.DUMMYFUNCTION("""COMPUTED_VALUE"""),"Maggie Shepard")</f>
        <v>Maggie Shepard</v>
      </c>
      <c r="O20" s="3" t="str">
        <f>IFERROR(__xludf.DUMMYFUNCTION("""COMPUTED_VALUE"""),"Avery Rogers")</f>
        <v>Avery Rogers</v>
      </c>
      <c r="W20" s="3" t="str">
        <f>IFERROR(__xludf.DUMMYFUNCTION("""COMPUTED_VALUE"""),"Tara Enneking")</f>
        <v>Tara Enneking</v>
      </c>
    </row>
    <row r="21">
      <c r="B21" s="3" t="str">
        <f>IFERROR(__xludf.DUMMYFUNCTION("""COMPUTED_VALUE"""),"Tamara Wheater")</f>
        <v>Tamara Wheater</v>
      </c>
      <c r="C21" s="3" t="str">
        <f>IFERROR(__xludf.DUMMYFUNCTION("""COMPUTED_VALUE"""),"Mary Heffron")</f>
        <v>Mary Heffron</v>
      </c>
      <c r="D21" s="3" t="str">
        <f>IFERROR(__xludf.DUMMYFUNCTION("""COMPUTED_VALUE"""),"Erin Langenburg")</f>
        <v>Erin Langenburg</v>
      </c>
      <c r="E21" s="3" t="str">
        <f>IFERROR(__xludf.DUMMYFUNCTION("""COMPUTED_VALUE"""),"Kathryn Burrows")</f>
        <v>Kathryn Burrows</v>
      </c>
      <c r="F21" s="3" t="str">
        <f>IFERROR(__xludf.DUMMYFUNCTION("""COMPUTED_VALUE"""),"Paige Strycker")</f>
        <v>Paige Strycker</v>
      </c>
      <c r="G21" s="3" t="str">
        <f>IFERROR(__xludf.DUMMYFUNCTION("""COMPUTED_VALUE"""),"Abby Russell")</f>
        <v>Abby Russell</v>
      </c>
      <c r="H21" s="3" t="str">
        <f>IFERROR(__xludf.DUMMYFUNCTION("""COMPUTED_VALUE"""),"Sophie Knepper")</f>
        <v>Sophie Knepper</v>
      </c>
      <c r="I21" s="3" t="str">
        <f>IFERROR(__xludf.DUMMYFUNCTION("""COMPUTED_VALUE"""),"Molly Blanchard")</f>
        <v>Molly Blanchard</v>
      </c>
      <c r="J21" s="3" t="str">
        <f>IFERROR(__xludf.DUMMYFUNCTION("""COMPUTED_VALUE"""),"Megan Gaffney")</f>
        <v>Megan Gaffney</v>
      </c>
      <c r="K21" s="3" t="str">
        <f>IFERROR(__xludf.DUMMYFUNCTION("""COMPUTED_VALUE"""),"Ellie Ahmed")</f>
        <v>Ellie Ahmed</v>
      </c>
      <c r="L21" s="3" t="str">
        <f>IFERROR(__xludf.DUMMYFUNCTION("""COMPUTED_VALUE"""),"Britney Denny")</f>
        <v>Britney Denny</v>
      </c>
      <c r="M21" s="3" t="str">
        <f>IFERROR(__xludf.DUMMYFUNCTION("""COMPUTED_VALUE"""),"Brooke-Lynn Clark")</f>
        <v>Brooke-Lynn Clark</v>
      </c>
      <c r="N21" s="3" t="str">
        <f>IFERROR(__xludf.DUMMYFUNCTION("""COMPUTED_VALUE"""),"Sanna Peterson")</f>
        <v>Sanna Peterson</v>
      </c>
      <c r="O21" s="3" t="str">
        <f>IFERROR(__xludf.DUMMYFUNCTION("""COMPUTED_VALUE"""),"Kayla Sprincis")</f>
        <v>Kayla Sprincis</v>
      </c>
      <c r="W21" s="3" t="str">
        <f>IFERROR(__xludf.DUMMYFUNCTION("""COMPUTED_VALUE"""),"Tamara Wheater")</f>
        <v>Tamara Wheater</v>
      </c>
    </row>
    <row r="22">
      <c r="B22" s="3" t="str">
        <f>IFERROR(__xludf.DUMMYFUNCTION("""COMPUTED_VALUE"""),"Kaitlyn Sullivan")</f>
        <v>Kaitlyn Sullivan</v>
      </c>
      <c r="C22" s="3" t="str">
        <f>IFERROR(__xludf.DUMMYFUNCTION("""COMPUTED_VALUE"""),"Ally Kopal")</f>
        <v>Ally Kopal</v>
      </c>
      <c r="D22" s="3" t="str">
        <f>IFERROR(__xludf.DUMMYFUNCTION("""COMPUTED_VALUE"""),"Lauren Shoemaker")</f>
        <v>Lauren Shoemaker</v>
      </c>
      <c r="E22" s="3" t="str">
        <f>IFERROR(__xludf.DUMMYFUNCTION("""COMPUTED_VALUE"""),"Laura Gaffney")</f>
        <v>Laura Gaffney</v>
      </c>
      <c r="F22" s="3" t="str">
        <f>IFERROR(__xludf.DUMMYFUNCTION("""COMPUTED_VALUE"""),"Grace Morgan")</f>
        <v>Grace Morgan</v>
      </c>
      <c r="G22" s="3" t="str">
        <f>IFERROR(__xludf.DUMMYFUNCTION("""COMPUTED_VALUE"""),"Sally Ennis")</f>
        <v>Sally Ennis</v>
      </c>
      <c r="H22" s="3" t="str">
        <f>IFERROR(__xludf.DUMMYFUNCTION("""COMPUTED_VALUE"""),"Sally Ennis")</f>
        <v>Sally Ennis</v>
      </c>
      <c r="I22" s="3" t="str">
        <f>IFERROR(__xludf.DUMMYFUNCTION("""COMPUTED_VALUE"""),"Cassidy Doyle")</f>
        <v>Cassidy Doyle</v>
      </c>
      <c r="J22" s="3" t="str">
        <f>IFERROR(__xludf.DUMMYFUNCTION("""COMPUTED_VALUE"""),"Alison Harvey")</f>
        <v>Alison Harvey</v>
      </c>
      <c r="K22" s="3" t="str">
        <f>IFERROR(__xludf.DUMMYFUNCTION("""COMPUTED_VALUE"""),"Lauren Underwood")</f>
        <v>Lauren Underwood</v>
      </c>
      <c r="L22" s="3" t="str">
        <f>IFERROR(__xludf.DUMMYFUNCTION("""COMPUTED_VALUE"""),"Kathryn Burrows")</f>
        <v>Kathryn Burrows</v>
      </c>
      <c r="M22" s="3" t="str">
        <f>IFERROR(__xludf.DUMMYFUNCTION("""COMPUTED_VALUE"""),"Morgan Burton")</f>
        <v>Morgan Burton</v>
      </c>
      <c r="N22" s="3" t="str">
        <f>IFERROR(__xludf.DUMMYFUNCTION("""COMPUTED_VALUE"""),"Anna Clare Fleenor")</f>
        <v>Anna Clare Fleenor</v>
      </c>
      <c r="O22" s="3" t="str">
        <f>IFERROR(__xludf.DUMMYFUNCTION("""COMPUTED_VALUE"""),"Paige Strycker")</f>
        <v>Paige Strycker</v>
      </c>
      <c r="W22" s="3" t="str">
        <f>IFERROR(__xludf.DUMMYFUNCTION("""COMPUTED_VALUE"""),"Kaitlyn Sullivan")</f>
        <v>Kaitlyn Sullivan</v>
      </c>
    </row>
    <row r="23">
      <c r="B23" s="3" t="str">
        <f>IFERROR(__xludf.DUMMYFUNCTION("""COMPUTED_VALUE"""),"Katie Nunez")</f>
        <v>Katie Nunez</v>
      </c>
      <c r="C23" s="3" t="str">
        <f>IFERROR(__xludf.DUMMYFUNCTION("""COMPUTED_VALUE"""),"Leah Riley")</f>
        <v>Leah Riley</v>
      </c>
      <c r="D23" s="3" t="str">
        <f>IFERROR(__xludf.DUMMYFUNCTION("""COMPUTED_VALUE"""),"Julia Smith")</f>
        <v>Julia Smith</v>
      </c>
      <c r="E23" s="3" t="str">
        <f>IFERROR(__xludf.DUMMYFUNCTION("""COMPUTED_VALUE"""),"Kylie Johnson")</f>
        <v>Kylie Johnson</v>
      </c>
      <c r="F23" s="3" t="str">
        <f>IFERROR(__xludf.DUMMYFUNCTION("""COMPUTED_VALUE"""),"Kayla Sprincis")</f>
        <v>Kayla Sprincis</v>
      </c>
      <c r="G23" s="3" t="str">
        <f>IFERROR(__xludf.DUMMYFUNCTION("""COMPUTED_VALUE"""),"Cecilia Cortez")</f>
        <v>Cecilia Cortez</v>
      </c>
      <c r="H23" s="3" t="str">
        <f>IFERROR(__xludf.DUMMYFUNCTION("""COMPUTED_VALUE"""),"Hallie Wilson")</f>
        <v>Hallie Wilson</v>
      </c>
      <c r="I23" s="3" t="str">
        <f>IFERROR(__xludf.DUMMYFUNCTION("""COMPUTED_VALUE"""),"Elizabette Macias")</f>
        <v>Elizabette Macias</v>
      </c>
      <c r="J23" s="3" t="str">
        <f>IFERROR(__xludf.DUMMYFUNCTION("""COMPUTED_VALUE"""),"Maggie Shepard")</f>
        <v>Maggie Shepard</v>
      </c>
      <c r="K23" s="3" t="str">
        <f>IFERROR(__xludf.DUMMYFUNCTION("""COMPUTED_VALUE"""),"Shelby Raber")</f>
        <v>Shelby Raber</v>
      </c>
      <c r="L23" s="3" t="str">
        <f>IFERROR(__xludf.DUMMYFUNCTION("""COMPUTED_VALUE"""),"Charlotte Wishnack")</f>
        <v>Charlotte Wishnack</v>
      </c>
      <c r="M23" s="3" t="str">
        <f>IFERROR(__xludf.DUMMYFUNCTION("""COMPUTED_VALUE"""),"Charlie Burt")</f>
        <v>Charlie Burt</v>
      </c>
      <c r="N23" s="3" t="str">
        <f>IFERROR(__xludf.DUMMYFUNCTION("""COMPUTED_VALUE"""),"Allison Langenburg")</f>
        <v>Allison Langenburg</v>
      </c>
      <c r="O23" s="3" t="str">
        <f>IFERROR(__xludf.DUMMYFUNCTION("""COMPUTED_VALUE"""),"Sydney McCallie")</f>
        <v>Sydney McCallie</v>
      </c>
      <c r="W23" s="3" t="str">
        <f>IFERROR(__xludf.DUMMYFUNCTION("""COMPUTED_VALUE"""),"Katie Nunez")</f>
        <v>Katie Nunez</v>
      </c>
    </row>
    <row r="24">
      <c r="B24" s="3" t="str">
        <f>IFERROR(__xludf.DUMMYFUNCTION("""COMPUTED_VALUE"""),"Courtney Isley")</f>
        <v>Courtney Isley</v>
      </c>
      <c r="C24" s="3" t="str">
        <f>IFERROR(__xludf.DUMMYFUNCTION("""COMPUTED_VALUE"""),"Anna Clare Fleenor")</f>
        <v>Anna Clare Fleenor</v>
      </c>
      <c r="D24" s="3" t="str">
        <f>IFERROR(__xludf.DUMMYFUNCTION("""COMPUTED_VALUE"""),"Ellie Eckert")</f>
        <v>Ellie Eckert</v>
      </c>
      <c r="E24" s="3" t="str">
        <f>IFERROR(__xludf.DUMMYFUNCTION("""COMPUTED_VALUE"""),"Gracie Mueller")</f>
        <v>Gracie Mueller</v>
      </c>
      <c r="F24" s="3" t="str">
        <f>IFERROR(__xludf.DUMMYFUNCTION("""COMPUTED_VALUE"""),"Harper Sensiba")</f>
        <v>Harper Sensiba</v>
      </c>
      <c r="G24" s="3" t="str">
        <f>IFERROR(__xludf.DUMMYFUNCTION("""COMPUTED_VALUE"""),"Ellie Ahmed")</f>
        <v>Ellie Ahmed</v>
      </c>
      <c r="H24" s="3" t="str">
        <f>IFERROR(__xludf.DUMMYFUNCTION("""COMPUTED_VALUE"""),"Calli McEvoy")</f>
        <v>Calli McEvoy</v>
      </c>
      <c r="I24" s="3" t="str">
        <f>IFERROR(__xludf.DUMMYFUNCTION("""COMPUTED_VALUE"""),"Sydney Hall")</f>
        <v>Sydney Hall</v>
      </c>
      <c r="J24" s="3" t="str">
        <f>IFERROR(__xludf.DUMMYFUNCTION("""COMPUTED_VALUE"""),"Cassidy Doyle")</f>
        <v>Cassidy Doyle</v>
      </c>
      <c r="K24" s="3" t="str">
        <f>IFERROR(__xludf.DUMMYFUNCTION("""COMPUTED_VALUE"""),"Alyssa Reilly")</f>
        <v>Alyssa Reilly</v>
      </c>
      <c r="L24" s="3" t="str">
        <f>IFERROR(__xludf.DUMMYFUNCTION("""COMPUTED_VALUE"""),"Alexa Owen")</f>
        <v>Alexa Owen</v>
      </c>
      <c r="M24" s="3" t="str">
        <f>IFERROR(__xludf.DUMMYFUNCTION("""COMPUTED_VALUE"""),"Anna Clare Fleenor")</f>
        <v>Anna Clare Fleenor</v>
      </c>
      <c r="N24" s="3" t="str">
        <f>IFERROR(__xludf.DUMMYFUNCTION("""COMPUTED_VALUE"""),"Lauren Barakey")</f>
        <v>Lauren Barakey</v>
      </c>
      <c r="O24" s="3" t="str">
        <f>IFERROR(__xludf.DUMMYFUNCTION("""COMPUTED_VALUE"""),"Britney Denny")</f>
        <v>Britney Denny</v>
      </c>
      <c r="W24" s="3" t="str">
        <f>IFERROR(__xludf.DUMMYFUNCTION("""COMPUTED_VALUE"""),"Courtney Isley")</f>
        <v>Courtney Isley</v>
      </c>
    </row>
    <row r="25">
      <c r="B25" s="3" t="str">
        <f>IFERROR(__xludf.DUMMYFUNCTION("""COMPUTED_VALUE"""),"Maddie Pierce")</f>
        <v>Maddie Pierce</v>
      </c>
      <c r="C25" s="3" t="str">
        <f>IFERROR(__xludf.DUMMYFUNCTION("""COMPUTED_VALUE"""),"Abby Fuller")</f>
        <v>Abby Fuller</v>
      </c>
      <c r="D25" s="3" t="str">
        <f>IFERROR(__xludf.DUMMYFUNCTION("""COMPUTED_VALUE"""),"Leah Riley")</f>
        <v>Leah Riley</v>
      </c>
      <c r="E25" s="3" t="str">
        <f>IFERROR(__xludf.DUMMYFUNCTION("""COMPUTED_VALUE"""),"Caroline Storen")</f>
        <v>Caroline Storen</v>
      </c>
      <c r="F25" s="3" t="str">
        <f>IFERROR(__xludf.DUMMYFUNCTION("""COMPUTED_VALUE"""),"Abby Frey")</f>
        <v>Abby Frey</v>
      </c>
      <c r="G25" s="3" t="str">
        <f>IFERROR(__xludf.DUMMYFUNCTION("""COMPUTED_VALUE"""),"Summer Sampson")</f>
        <v>Summer Sampson</v>
      </c>
      <c r="H25" s="3" t="str">
        <f>IFERROR(__xludf.DUMMYFUNCTION("""COMPUTED_VALUE"""),"Laura Gaffney")</f>
        <v>Laura Gaffney</v>
      </c>
      <c r="I25" s="3" t="str">
        <f>IFERROR(__xludf.DUMMYFUNCTION("""COMPUTED_VALUE"""),"Kat Burr")</f>
        <v>Kat Burr</v>
      </c>
      <c r="J25" s="3" t="str">
        <f>IFERROR(__xludf.DUMMYFUNCTION("""COMPUTED_VALUE"""),"Claire Moody")</f>
        <v>Claire Moody</v>
      </c>
      <c r="K25" s="3" t="str">
        <f>IFERROR(__xludf.DUMMYFUNCTION("""COMPUTED_VALUE"""),"Charlotte Wishnack")</f>
        <v>Charlotte Wishnack</v>
      </c>
      <c r="L25" s="3" t="str">
        <f>IFERROR(__xludf.DUMMYFUNCTION("""COMPUTED_VALUE"""),"Lauren Underwood")</f>
        <v>Lauren Underwood</v>
      </c>
      <c r="M25" s="3" t="str">
        <f>IFERROR(__xludf.DUMMYFUNCTION("""COMPUTED_VALUE"""),"Charlotte Wishnack")</f>
        <v>Charlotte Wishnack</v>
      </c>
      <c r="N25" s="3" t="str">
        <f>IFERROR(__xludf.DUMMYFUNCTION("""COMPUTED_VALUE"""),"Charlotte Wishnack")</f>
        <v>Charlotte Wishnack</v>
      </c>
      <c r="O25" s="3" t="str">
        <f>IFERROR(__xludf.DUMMYFUNCTION("""COMPUTED_VALUE"""),"Gabby Thompson")</f>
        <v>Gabby Thompson</v>
      </c>
      <c r="W25" s="3" t="str">
        <f>IFERROR(__xludf.DUMMYFUNCTION("""COMPUTED_VALUE"""),"Maddie Pierce")</f>
        <v>Maddie Pierce</v>
      </c>
    </row>
    <row r="26">
      <c r="B26" s="3" t="str">
        <f>IFERROR(__xludf.DUMMYFUNCTION("""COMPUTED_VALUE"""),"Mary Heffron")</f>
        <v>Mary Heffron</v>
      </c>
      <c r="C26" s="3" t="str">
        <f>IFERROR(__xludf.DUMMYFUNCTION("""COMPUTED_VALUE"""),"Jean Graham")</f>
        <v>Jean Graham</v>
      </c>
      <c r="D26" s="3" t="str">
        <f>IFERROR(__xludf.DUMMYFUNCTION("""COMPUTED_VALUE"""),"Alexa Owen")</f>
        <v>Alexa Owen</v>
      </c>
      <c r="E26" s="3" t="str">
        <f>IFERROR(__xludf.DUMMYFUNCTION("""COMPUTED_VALUE"""),"Avery Rogers")</f>
        <v>Avery Rogers</v>
      </c>
      <c r="F26" s="3" t="str">
        <f>IFERROR(__xludf.DUMMYFUNCTION("""COMPUTED_VALUE"""),"Lauren Meyer")</f>
        <v>Lauren Meyer</v>
      </c>
      <c r="G26" s="3" t="str">
        <f>IFERROR(__xludf.DUMMYFUNCTION("""COMPUTED_VALUE"""),"Sofia Long")</f>
        <v>Sofia Long</v>
      </c>
      <c r="H26" s="3" t="str">
        <f>IFERROR(__xludf.DUMMYFUNCTION("""COMPUTED_VALUE"""),"Alyssa Reilly")</f>
        <v>Alyssa Reilly</v>
      </c>
      <c r="I26" s="3" t="str">
        <f>IFERROR(__xludf.DUMMYFUNCTION("""COMPUTED_VALUE"""),"Maddie Pierce")</f>
        <v>Maddie Pierce</v>
      </c>
      <c r="J26" s="3" t="str">
        <f>IFERROR(__xludf.DUMMYFUNCTION("""COMPUTED_VALUE"""),"Kat Burr")</f>
        <v>Kat Burr</v>
      </c>
      <c r="K26" s="3" t="str">
        <f>IFERROR(__xludf.DUMMYFUNCTION("""COMPUTED_VALUE"""),"Kimberly Warnagiris")</f>
        <v>Kimberly Warnagiris</v>
      </c>
      <c r="L26" s="3" t="str">
        <f>IFERROR(__xludf.DUMMYFUNCTION("""COMPUTED_VALUE"""),"Anna Clare Fleenor")</f>
        <v>Anna Clare Fleenor</v>
      </c>
      <c r="M26" s="3" t="str">
        <f>IFERROR(__xludf.DUMMYFUNCTION("""COMPUTED_VALUE"""),"Leah Riley")</f>
        <v>Leah Riley</v>
      </c>
      <c r="N26" s="3" t="str">
        <f>IFERROR(__xludf.DUMMYFUNCTION("""COMPUTED_VALUE"""),"Kinsey Brooks")</f>
        <v>Kinsey Brooks</v>
      </c>
      <c r="O26" s="3" t="str">
        <f>IFERROR(__xludf.DUMMYFUNCTION("""COMPUTED_VALUE"""),"Emily Waite")</f>
        <v>Emily Waite</v>
      </c>
      <c r="W26" s="3" t="str">
        <f>IFERROR(__xludf.DUMMYFUNCTION("""COMPUTED_VALUE"""),"Mary Heffron")</f>
        <v>Mary Heffron</v>
      </c>
    </row>
    <row r="27">
      <c r="B27" s="3" t="str">
        <f>IFERROR(__xludf.DUMMYFUNCTION("""COMPUTED_VALUE"""),"Brooke Lamoureux")</f>
        <v>Brooke Lamoureux</v>
      </c>
      <c r="C27" s="3" t="str">
        <f>IFERROR(__xludf.DUMMYFUNCTION("""COMPUTED_VALUE"""),"Maddie Pierce")</f>
        <v>Maddie Pierce</v>
      </c>
      <c r="D27" s="3" t="str">
        <f>IFERROR(__xludf.DUMMYFUNCTION("""COMPUTED_VALUE"""),"Shelby Raber")</f>
        <v>Shelby Raber</v>
      </c>
      <c r="E27" s="3" t="str">
        <f>IFERROR(__xludf.DUMMYFUNCTION("""COMPUTED_VALUE"""),"Michaela Sizemore")</f>
        <v>Michaela Sizemore</v>
      </c>
      <c r="F27" s="3" t="str">
        <f>IFERROR(__xludf.DUMMYFUNCTION("""COMPUTED_VALUE"""),"Rose McMullen")</f>
        <v>Rose McMullen</v>
      </c>
      <c r="G27" s="3" t="str">
        <f>IFERROR(__xludf.DUMMYFUNCTION("""COMPUTED_VALUE"""),"Kierstin Godfrey")</f>
        <v>Kierstin Godfrey</v>
      </c>
      <c r="H27" s="3" t="str">
        <f>IFERROR(__xludf.DUMMYFUNCTION("""COMPUTED_VALUE"""),"Athena Vanyo")</f>
        <v>Athena Vanyo</v>
      </c>
      <c r="I27" s="3" t="str">
        <f>IFERROR(__xludf.DUMMYFUNCTION("""COMPUTED_VALUE"""),"Anne Bowles")</f>
        <v>Anne Bowles</v>
      </c>
      <c r="J27" s="3" t="str">
        <f>IFERROR(__xludf.DUMMYFUNCTION("""COMPUTED_VALUE"""),"Kristina Zachary")</f>
        <v>Kristina Zachary</v>
      </c>
      <c r="K27" s="3" t="str">
        <f>IFERROR(__xludf.DUMMYFUNCTION("""COMPUTED_VALUE"""),"Hannah Jirsa")</f>
        <v>Hannah Jirsa</v>
      </c>
      <c r="L27" s="3" t="str">
        <f>IFERROR(__xludf.DUMMYFUNCTION("""COMPUTED_VALUE"""),"angela ritchie")</f>
        <v>angela ritchie</v>
      </c>
      <c r="M27" s="3" t="str">
        <f>IFERROR(__xludf.DUMMYFUNCTION("""COMPUTED_VALUE"""),"Anka Whelan")</f>
        <v>Anka Whelan</v>
      </c>
      <c r="N27" s="3" t="str">
        <f>IFERROR(__xludf.DUMMYFUNCTION("""COMPUTED_VALUE"""),"Grey Davis")</f>
        <v>Grey Davis</v>
      </c>
      <c r="O27" s="3" t="str">
        <f>IFERROR(__xludf.DUMMYFUNCTION("""COMPUTED_VALUE"""),"Abby Frey")</f>
        <v>Abby Frey</v>
      </c>
      <c r="W27" s="3" t="str">
        <f>IFERROR(__xludf.DUMMYFUNCTION("""COMPUTED_VALUE"""),"Brooke Lamoureux")</f>
        <v>Brooke Lamoureux</v>
      </c>
    </row>
    <row r="28">
      <c r="B28" s="3" t="str">
        <f>IFERROR(__xludf.DUMMYFUNCTION("""COMPUTED_VALUE"""),"Sara Gaston")</f>
        <v>Sara Gaston</v>
      </c>
      <c r="C28" s="3" t="str">
        <f>IFERROR(__xludf.DUMMYFUNCTION("""COMPUTED_VALUE"""),"Kaitlyn Sullivan")</f>
        <v>Kaitlyn Sullivan</v>
      </c>
      <c r="D28" s="3" t="str">
        <f>IFERROR(__xludf.DUMMYFUNCTION("""COMPUTED_VALUE"""),"Allison Langenburg")</f>
        <v>Allison Langenburg</v>
      </c>
      <c r="E28" s="3" t="str">
        <f>IFERROR(__xludf.DUMMYFUNCTION("""COMPUTED_VALUE"""),"Lauren Shoemaker")</f>
        <v>Lauren Shoemaker</v>
      </c>
      <c r="F28" s="3" t="str">
        <f>IFERROR(__xludf.DUMMYFUNCTION("""COMPUTED_VALUE"""),"Livvie Cohn")</f>
        <v>Livvie Cohn</v>
      </c>
      <c r="G28" s="3" t="str">
        <f>IFERROR(__xludf.DUMMYFUNCTION("""COMPUTED_VALUE"""),"Lindsey Hair")</f>
        <v>Lindsey Hair</v>
      </c>
      <c r="H28" s="3" t="str">
        <f>IFERROR(__xludf.DUMMYFUNCTION("""COMPUTED_VALUE"""),"Lena Steckler")</f>
        <v>Lena Steckler</v>
      </c>
      <c r="I28" s="3" t="str">
        <f>IFERROR(__xludf.DUMMYFUNCTION("""COMPUTED_VALUE"""),"Anna Slominski")</f>
        <v>Anna Slominski</v>
      </c>
      <c r="J28" s="3" t="str">
        <f>IFERROR(__xludf.DUMMYFUNCTION("""COMPUTED_VALUE"""),"Anna Slominski")</f>
        <v>Anna Slominski</v>
      </c>
      <c r="K28" s="3" t="str">
        <f>IFERROR(__xludf.DUMMYFUNCTION("""COMPUTED_VALUE"""),"Tatum Robinson")</f>
        <v>Tatum Robinson</v>
      </c>
      <c r="L28" s="3" t="str">
        <f>IFERROR(__xludf.DUMMYFUNCTION("""COMPUTED_VALUE"""),"Sophie Knepper")</f>
        <v>Sophie Knepper</v>
      </c>
      <c r="M28" s="3" t="str">
        <f>IFERROR(__xludf.DUMMYFUNCTION("""COMPUTED_VALUE"""),"Hannah Garner")</f>
        <v>Hannah Garner</v>
      </c>
      <c r="N28" s="3" t="str">
        <f>IFERROR(__xludf.DUMMYFUNCTION("""COMPUTED_VALUE"""),"Molly Blanchard")</f>
        <v>Molly Blanchard</v>
      </c>
      <c r="O28" s="3" t="str">
        <f>IFERROR(__xludf.DUMMYFUNCTION("""COMPUTED_VALUE"""),"Lauren Meyer")</f>
        <v>Lauren Meyer</v>
      </c>
      <c r="W28" s="3" t="str">
        <f>IFERROR(__xludf.DUMMYFUNCTION("""COMPUTED_VALUE"""),"Sara Gaston")</f>
        <v>Sara Gaston</v>
      </c>
    </row>
    <row r="29">
      <c r="B29" s="3" t="str">
        <f>IFERROR(__xludf.DUMMYFUNCTION("""COMPUTED_VALUE"""),"Kelsey Peel")</f>
        <v>Kelsey Peel</v>
      </c>
      <c r="C29" s="3" t="str">
        <f>IFERROR(__xludf.DUMMYFUNCTION("""COMPUTED_VALUE"""),"Raea Farquharson")</f>
        <v>Raea Farquharson</v>
      </c>
      <c r="D29" s="3" t="str">
        <f>IFERROR(__xludf.DUMMYFUNCTION("""COMPUTED_VALUE"""),"Maddie Wallin")</f>
        <v>Maddie Wallin</v>
      </c>
      <c r="E29" s="3" t="str">
        <f>IFERROR(__xludf.DUMMYFUNCTION("""COMPUTED_VALUE"""),"Tillie Lewis")</f>
        <v>Tillie Lewis</v>
      </c>
      <c r="F29" s="3" t="str">
        <f>IFERROR(__xludf.DUMMYFUNCTION("""COMPUTED_VALUE"""),"Lauren Masters")</f>
        <v>Lauren Masters</v>
      </c>
      <c r="G29" s="3" t="str">
        <f>IFERROR(__xludf.DUMMYFUNCTION("""COMPUTED_VALUE"""),"Lena Steckler")</f>
        <v>Lena Steckler</v>
      </c>
      <c r="H29" s="3" t="str">
        <f>IFERROR(__xludf.DUMMYFUNCTION("""COMPUTED_VALUE"""),"Casey Fusco")</f>
        <v>Casey Fusco</v>
      </c>
      <c r="I29" s="3" t="str">
        <f>IFERROR(__xludf.DUMMYFUNCTION("""COMPUTED_VALUE"""),"Alison Harvey")</f>
        <v>Alison Harvey</v>
      </c>
      <c r="J29" s="3" t="str">
        <f>IFERROR(__xludf.DUMMYFUNCTION("""COMPUTED_VALUE"""),"Sydney Hall")</f>
        <v>Sydney Hall</v>
      </c>
      <c r="K29" s="3" t="str">
        <f>IFERROR(__xludf.DUMMYFUNCTION("""COMPUTED_VALUE"""),"Sara Gaston")</f>
        <v>Sara Gaston</v>
      </c>
      <c r="L29" s="3" t="str">
        <f>IFERROR(__xludf.DUMMYFUNCTION("""COMPUTED_VALUE"""),"Leah Riley")</f>
        <v>Leah Riley</v>
      </c>
      <c r="M29" s="3" t="str">
        <f>IFERROR(__xludf.DUMMYFUNCTION("""COMPUTED_VALUE"""),"Shelby Raber")</f>
        <v>Shelby Raber</v>
      </c>
      <c r="N29" s="3" t="str">
        <f>IFERROR(__xludf.DUMMYFUNCTION("""COMPUTED_VALUE"""),"Jillian Haig")</f>
        <v>Jillian Haig</v>
      </c>
      <c r="O29" s="3" t="str">
        <f>IFERROR(__xludf.DUMMYFUNCTION("""COMPUTED_VALUE"""),"Jane Lawing")</f>
        <v>Jane Lawing</v>
      </c>
      <c r="W29" s="3" t="str">
        <f>IFERROR(__xludf.DUMMYFUNCTION("""COMPUTED_VALUE"""),"Kelsey Peel")</f>
        <v>Kelsey Peel</v>
      </c>
    </row>
    <row r="30">
      <c r="B30" s="3" t="str">
        <f>IFERROR(__xludf.DUMMYFUNCTION("""COMPUTED_VALUE"""),"Alexandra Browne")</f>
        <v>Alexandra Browne</v>
      </c>
      <c r="C30" s="3" t="str">
        <f>IFERROR(__xludf.DUMMYFUNCTION("""COMPUTED_VALUE"""),"Ellie Webb")</f>
        <v>Ellie Webb</v>
      </c>
      <c r="D30" s="3" t="str">
        <f>IFERROR(__xludf.DUMMYFUNCTION("""COMPUTED_VALUE"""),"Claire Moody")</f>
        <v>Claire Moody</v>
      </c>
      <c r="E30" s="3" t="str">
        <f>IFERROR(__xludf.DUMMYFUNCTION("""COMPUTED_VALUE"""),"Hallie Wilson")</f>
        <v>Hallie Wilson</v>
      </c>
      <c r="F30" s="3" t="str">
        <f>IFERROR(__xludf.DUMMYFUNCTION("""COMPUTED_VALUE"""),"Kassy McCoy")</f>
        <v>Kassy McCoy</v>
      </c>
      <c r="G30" s="3" t="str">
        <f>IFERROR(__xludf.DUMMYFUNCTION("""COMPUTED_VALUE"""),"Kaila Hewitt")</f>
        <v>Kaila Hewitt</v>
      </c>
      <c r="H30" s="3" t="str">
        <f>IFERROR(__xludf.DUMMYFUNCTION("""COMPUTED_VALUE"""),"Maggie Ivie")</f>
        <v>Maggie Ivie</v>
      </c>
      <c r="I30" s="3" t="str">
        <f>IFERROR(__xludf.DUMMYFUNCTION("""COMPUTED_VALUE"""),"Kaitlyn Sullivan")</f>
        <v>Kaitlyn Sullivan</v>
      </c>
      <c r="J30" s="3" t="str">
        <f>IFERROR(__xludf.DUMMYFUNCTION("""COMPUTED_VALUE"""),"Zorey Sargent")</f>
        <v>Zorey Sargent</v>
      </c>
      <c r="K30" s="3" t="str">
        <f>IFERROR(__xludf.DUMMYFUNCTION("""COMPUTED_VALUE"""),"Cecilia Cortez")</f>
        <v>Cecilia Cortez</v>
      </c>
      <c r="L30" s="3" t="str">
        <f>IFERROR(__xludf.DUMMYFUNCTION("""COMPUTED_VALUE"""),"Korina Davis")</f>
        <v>Korina Davis</v>
      </c>
      <c r="M30" s="3" t="str">
        <f>IFERROR(__xludf.DUMMYFUNCTION("""COMPUTED_VALUE"""),"Lauren Underwood")</f>
        <v>Lauren Underwood</v>
      </c>
      <c r="N30" s="3" t="str">
        <f>IFERROR(__xludf.DUMMYFUNCTION("""COMPUTED_VALUE"""),"Britney Denny")</f>
        <v>Britney Denny</v>
      </c>
      <c r="O30" s="3" t="str">
        <f>IFERROR(__xludf.DUMMYFUNCTION("""COMPUTED_VALUE"""),"Livvie Cohn")</f>
        <v>Livvie Cohn</v>
      </c>
      <c r="W30" s="3" t="str">
        <f>IFERROR(__xludf.DUMMYFUNCTION("""COMPUTED_VALUE"""),"Alexandra Browne")</f>
        <v>Alexandra Browne</v>
      </c>
    </row>
    <row r="31">
      <c r="B31" s="3" t="str">
        <f>IFERROR(__xludf.DUMMYFUNCTION("""COMPUTED_VALUE"""),"Casey Fusco")</f>
        <v>Casey Fusco</v>
      </c>
      <c r="C31" s="3" t="str">
        <f>IFERROR(__xludf.DUMMYFUNCTION("""COMPUTED_VALUE"""),"Avery Rogers")</f>
        <v>Avery Rogers</v>
      </c>
      <c r="D31" s="3" t="str">
        <f>IFERROR(__xludf.DUMMYFUNCTION("""COMPUTED_VALUE"""),"Hannah Jirsa")</f>
        <v>Hannah Jirsa</v>
      </c>
      <c r="E31" s="3" t="str">
        <f>IFERROR(__xludf.DUMMYFUNCTION("""COMPUTED_VALUE"""),"Katie Nunez")</f>
        <v>Katie Nunez</v>
      </c>
      <c r="F31" s="3" t="str">
        <f>IFERROR(__xludf.DUMMYFUNCTION("""COMPUTED_VALUE"""),"Peyton Geiszler")</f>
        <v>Peyton Geiszler</v>
      </c>
      <c r="G31" s="3" t="str">
        <f>IFERROR(__xludf.DUMMYFUNCTION("""COMPUTED_VALUE"""),"Hallie Wilson")</f>
        <v>Hallie Wilson</v>
      </c>
      <c r="H31" s="3" t="str">
        <f>IFERROR(__xludf.DUMMYFUNCTION("""COMPUTED_VALUE"""),"Kathryn Burrows")</f>
        <v>Kathryn Burrows</v>
      </c>
      <c r="I31" s="3" t="str">
        <f>IFERROR(__xludf.DUMMYFUNCTION("""COMPUTED_VALUE"""),"Emma De Jong")</f>
        <v>Emma De Jong</v>
      </c>
      <c r="J31" s="3" t="str">
        <f>IFERROR(__xludf.DUMMYFUNCTION("""COMPUTED_VALUE"""),"Tatum Robinson")</f>
        <v>Tatum Robinson</v>
      </c>
      <c r="K31" s="3" t="str">
        <f>IFERROR(__xludf.DUMMYFUNCTION("""COMPUTED_VALUE"""),"Erin Langenburg")</f>
        <v>Erin Langenburg</v>
      </c>
      <c r="L31" s="3" t="str">
        <f>IFERROR(__xludf.DUMMYFUNCTION("""COMPUTED_VALUE"""),"Jillian Haig")</f>
        <v>Jillian Haig</v>
      </c>
      <c r="M31" s="3" t="str">
        <f>IFERROR(__xludf.DUMMYFUNCTION("""COMPUTED_VALUE"""),"Lauren Barakey")</f>
        <v>Lauren Barakey</v>
      </c>
      <c r="N31" s="3" t="str">
        <f>IFERROR(__xludf.DUMMYFUNCTION("""COMPUTED_VALUE"""),"Abby Russell")</f>
        <v>Abby Russell</v>
      </c>
      <c r="O31" s="3" t="str">
        <f>IFERROR(__xludf.DUMMYFUNCTION("""COMPUTED_VALUE"""),"Sydnee Blackburn")</f>
        <v>Sydnee Blackburn</v>
      </c>
      <c r="W31" s="3" t="str">
        <f>IFERROR(__xludf.DUMMYFUNCTION("""COMPUTED_VALUE"""),"Casey Fusco")</f>
        <v>Casey Fusco</v>
      </c>
    </row>
    <row r="32">
      <c r="B32" s="3" t="str">
        <f>IFERROR(__xludf.DUMMYFUNCTION("""COMPUTED_VALUE"""),"Kat Burr")</f>
        <v>Kat Burr</v>
      </c>
      <c r="C32" s="3" t="str">
        <f>IFERROR(__xludf.DUMMYFUNCTION("""COMPUTED_VALUE"""),"Josephine Fuller")</f>
        <v>Josephine Fuller</v>
      </c>
      <c r="D32" s="3" t="str">
        <f>IFERROR(__xludf.DUMMYFUNCTION("""COMPUTED_VALUE"""),"Ellie Webb")</f>
        <v>Ellie Webb</v>
      </c>
      <c r="E32" s="3" t="str">
        <f>IFERROR(__xludf.DUMMYFUNCTION("""COMPUTED_VALUE"""),"Paige Strycker")</f>
        <v>Paige Strycker</v>
      </c>
      <c r="F32" s="3" t="str">
        <f>IFERROR(__xludf.DUMMYFUNCTION("""COMPUTED_VALUE"""),"Paige Simko")</f>
        <v>Paige Simko</v>
      </c>
      <c r="G32" s="3" t="str">
        <f>IFERROR(__xludf.DUMMYFUNCTION("""COMPUTED_VALUE"""),"Maggie Dominick")</f>
        <v>Maggie Dominick</v>
      </c>
      <c r="H32" s="3" t="str">
        <f>IFERROR(__xludf.DUMMYFUNCTION("""COMPUTED_VALUE"""),"Shannah Dillman")</f>
        <v>Shannah Dillman</v>
      </c>
      <c r="I32" s="3" t="str">
        <f>IFERROR(__xludf.DUMMYFUNCTION("""COMPUTED_VALUE"""),"Megan Gaffney")</f>
        <v>Megan Gaffney</v>
      </c>
      <c r="J32" s="3" t="str">
        <f>IFERROR(__xludf.DUMMYFUNCTION("""COMPUTED_VALUE"""),"Britney Denny")</f>
        <v>Britney Denny</v>
      </c>
      <c r="K32" s="3" t="str">
        <f>IFERROR(__xludf.DUMMYFUNCTION("""COMPUTED_VALUE"""),"Maggie Shepard")</f>
        <v>Maggie Shepard</v>
      </c>
      <c r="L32" s="3" t="str">
        <f>IFERROR(__xludf.DUMMYFUNCTION("""COMPUTED_VALUE"""),"Avery Rogers")</f>
        <v>Avery Rogers</v>
      </c>
      <c r="M32" s="3" t="str">
        <f>IFERROR(__xludf.DUMMYFUNCTION("""COMPUTED_VALUE"""),"Kaitlyn Sullivan")</f>
        <v>Kaitlyn Sullivan</v>
      </c>
      <c r="N32" s="3" t="str">
        <f>IFERROR(__xludf.DUMMYFUNCTION("""COMPUTED_VALUE"""),"Olivia Hutton")</f>
        <v>Olivia Hutton</v>
      </c>
      <c r="O32" s="3" t="str">
        <f>IFERROR(__xludf.DUMMYFUNCTION("""COMPUTED_VALUE"""),"Harper Sensiba")</f>
        <v>Harper Sensiba</v>
      </c>
      <c r="W32" s="3" t="str">
        <f>IFERROR(__xludf.DUMMYFUNCTION("""COMPUTED_VALUE"""),"Kat Burr")</f>
        <v>Kat Burr</v>
      </c>
    </row>
    <row r="33">
      <c r="B33" s="3" t="str">
        <f>IFERROR(__xludf.DUMMYFUNCTION("""COMPUTED_VALUE"""),"Aleena De Sir")</f>
        <v>Aleena De Sir</v>
      </c>
      <c r="C33" s="3" t="str">
        <f>IFERROR(__xludf.DUMMYFUNCTION("""COMPUTED_VALUE"""),"Claire Moody")</f>
        <v>Claire Moody</v>
      </c>
      <c r="D33" s="3" t="str">
        <f>IFERROR(__xludf.DUMMYFUNCTION("""COMPUTED_VALUE"""),"Avery Rogers")</f>
        <v>Avery Rogers</v>
      </c>
      <c r="E33" s="3" t="str">
        <f>IFERROR(__xludf.DUMMYFUNCTION("""COMPUTED_VALUE"""),"Kennedy Darensbourg")</f>
        <v>Kennedy Darensbourg</v>
      </c>
      <c r="F33" s="3" t="str">
        <f>IFERROR(__xludf.DUMMYFUNCTION("""COMPUTED_VALUE"""),"Trinity Luxeder")</f>
        <v>Trinity Luxeder</v>
      </c>
      <c r="G33" s="3" t="str">
        <f>IFERROR(__xludf.DUMMYFUNCTION("""COMPUTED_VALUE"""),"Kelsey Peel")</f>
        <v>Kelsey Peel</v>
      </c>
      <c r="H33" s="3" t="str">
        <f>IFERROR(__xludf.DUMMYFUNCTION("""COMPUTED_VALUE"""),"Kayla Wilson")</f>
        <v>Kayla Wilson</v>
      </c>
      <c r="I33" s="3" t="str">
        <f>IFERROR(__xludf.DUMMYFUNCTION("""COMPUTED_VALUE"""),"Brooke Simila")</f>
        <v>Brooke Simila</v>
      </c>
      <c r="J33" s="3" t="str">
        <f>IFERROR(__xludf.DUMMYFUNCTION("""COMPUTED_VALUE"""),"Shannah Dillman")</f>
        <v>Shannah Dillman</v>
      </c>
      <c r="K33" s="3" t="str">
        <f>IFERROR(__xludf.DUMMYFUNCTION("""COMPUTED_VALUE"""),"Lauren Shoemaker")</f>
        <v>Lauren Shoemaker</v>
      </c>
      <c r="L33" s="3" t="str">
        <f>IFERROR(__xludf.DUMMYFUNCTION("""COMPUTED_VALUE"""),"Sara Gaston")</f>
        <v>Sara Gaston</v>
      </c>
      <c r="M33" s="3" t="str">
        <f>IFERROR(__xludf.DUMMYFUNCTION("""COMPUTED_VALUE"""),"Alyssa Reilly")</f>
        <v>Alyssa Reilly</v>
      </c>
      <c r="N33" s="3" t="str">
        <f>IFERROR(__xludf.DUMMYFUNCTION("""COMPUTED_VALUE"""),"Julie Anderson")</f>
        <v>Julie Anderson</v>
      </c>
      <c r="O33" s="3" t="str">
        <f>IFERROR(__xludf.DUMMYFUNCTION("""COMPUTED_VALUE"""),"Ashley Dyer")</f>
        <v>Ashley Dyer</v>
      </c>
      <c r="W33" s="3" t="str">
        <f>IFERROR(__xludf.DUMMYFUNCTION("""COMPUTED_VALUE"""),"Aleena De Sir")</f>
        <v>Aleena De Sir</v>
      </c>
    </row>
    <row r="34">
      <c r="B34" s="3" t="str">
        <f>IFERROR(__xludf.DUMMYFUNCTION("""COMPUTED_VALUE"""),"Sofia Long")</f>
        <v>Sofia Long</v>
      </c>
      <c r="C34" s="3" t="str">
        <f>IFERROR(__xludf.DUMMYFUNCTION("""COMPUTED_VALUE"""),"Aleena De Sir")</f>
        <v>Aleena De Sir</v>
      </c>
      <c r="D34" s="3" t="str">
        <f>IFERROR(__xludf.DUMMYFUNCTION("""COMPUTED_VALUE"""),"Jean Graham")</f>
        <v>Jean Graham</v>
      </c>
      <c r="E34" s="3" t="str">
        <f>IFERROR(__xludf.DUMMYFUNCTION("""COMPUTED_VALUE"""),"Abby Russell")</f>
        <v>Abby Russell</v>
      </c>
      <c r="F34" s="3" t="str">
        <f>IFERROR(__xludf.DUMMYFUNCTION("""COMPUTED_VALUE"""),"Jackie Scheneman")</f>
        <v>Jackie Scheneman</v>
      </c>
      <c r="G34" s="3" t="str">
        <f>IFERROR(__xludf.DUMMYFUNCTION("""COMPUTED_VALUE"""),"Claire Moody")</f>
        <v>Claire Moody</v>
      </c>
      <c r="H34" s="3" t="str">
        <f>IFERROR(__xludf.DUMMYFUNCTION("""COMPUTED_VALUE"""),"Kierstin Godfrey")</f>
        <v>Kierstin Godfrey</v>
      </c>
      <c r="I34" s="3" t="str">
        <f>IFERROR(__xludf.DUMMYFUNCTION("""COMPUTED_VALUE"""),"Zorey Sargent")</f>
        <v>Zorey Sargent</v>
      </c>
      <c r="J34" s="3" t="str">
        <f>IFERROR(__xludf.DUMMYFUNCTION("""COMPUTED_VALUE"""),"Emma De Jong")</f>
        <v>Emma De Jong</v>
      </c>
      <c r="K34" s="3" t="str">
        <f>IFERROR(__xludf.DUMMYFUNCTION("""COMPUTED_VALUE"""),"Zorey Sargent")</f>
        <v>Zorey Sargent</v>
      </c>
      <c r="L34" s="3" t="str">
        <f>IFERROR(__xludf.DUMMYFUNCTION("""COMPUTED_VALUE"""),"Hannah Garner")</f>
        <v>Hannah Garner</v>
      </c>
      <c r="M34" s="3" t="str">
        <f>IFERROR(__xludf.DUMMYFUNCTION("""COMPUTED_VALUE"""),"Michaela Sizemore")</f>
        <v>Michaela Sizemore</v>
      </c>
      <c r="N34" s="3" t="str">
        <f>IFERROR(__xludf.DUMMYFUNCTION("""COMPUTED_VALUE"""),"Clara Rodriguez")</f>
        <v>Clara Rodriguez</v>
      </c>
      <c r="O34" s="3" t="str">
        <f>IFERROR(__xludf.DUMMYFUNCTION("""COMPUTED_VALUE"""),"Caroline Turner")</f>
        <v>Caroline Turner</v>
      </c>
      <c r="W34" s="3" t="str">
        <f>IFERROR(__xludf.DUMMYFUNCTION("""COMPUTED_VALUE"""),"Sofia Long")</f>
        <v>Sofia Long</v>
      </c>
    </row>
    <row r="35">
      <c r="B35" s="3" t="str">
        <f>IFERROR(__xludf.DUMMYFUNCTION("""COMPUTED_VALUE"""),"Olivia Bray")</f>
        <v>Olivia Bray</v>
      </c>
      <c r="C35" s="3" t="str">
        <f>IFERROR(__xludf.DUMMYFUNCTION("""COMPUTED_VALUE"""),"Olivia Bray")</f>
        <v>Olivia Bray</v>
      </c>
      <c r="D35" s="3" t="str">
        <f>IFERROR(__xludf.DUMMYFUNCTION("""COMPUTED_VALUE"""),"Elle Caldow")</f>
        <v>Elle Caldow</v>
      </c>
      <c r="E35" s="3" t="str">
        <f>IFERROR(__xludf.DUMMYFUNCTION("""COMPUTED_VALUE"""),"Grace Sheble")</f>
        <v>Grace Sheble</v>
      </c>
      <c r="F35" s="3" t="str">
        <f>IFERROR(__xludf.DUMMYFUNCTION("""COMPUTED_VALUE"""),"Beth Ann Cortright")</f>
        <v>Beth Ann Cortright</v>
      </c>
      <c r="G35" s="3" t="str">
        <f>IFERROR(__xludf.DUMMYFUNCTION("""COMPUTED_VALUE"""),"Elle Caldow")</f>
        <v>Elle Caldow</v>
      </c>
      <c r="H35" s="3" t="str">
        <f>IFERROR(__xludf.DUMMYFUNCTION("""COMPUTED_VALUE"""),"Josephine Fuller")</f>
        <v>Josephine Fuller</v>
      </c>
      <c r="I35" s="3" t="str">
        <f>IFERROR(__xludf.DUMMYFUNCTION("""COMPUTED_VALUE"""),"Asia Minnes")</f>
        <v>Asia Minnes</v>
      </c>
      <c r="J35" s="3" t="str">
        <f>IFERROR(__xludf.DUMMYFUNCTION("""COMPUTED_VALUE"""),"Sarah Bender")</f>
        <v>Sarah Bender</v>
      </c>
      <c r="K35" s="3" t="str">
        <f>IFERROR(__xludf.DUMMYFUNCTION("""COMPUTED_VALUE"""),"Olivia Bray")</f>
        <v>Olivia Bray</v>
      </c>
      <c r="L35" s="3" t="str">
        <f>IFERROR(__xludf.DUMMYFUNCTION("""COMPUTED_VALUE"""),"Olivia Bray")</f>
        <v>Olivia Bray</v>
      </c>
      <c r="M35" s="3" t="str">
        <f>IFERROR(__xludf.DUMMYFUNCTION("""COMPUTED_VALUE"""),"Grace Sheble")</f>
        <v>Grace Sheble</v>
      </c>
      <c r="N35" s="3" t="str">
        <f>IFERROR(__xludf.DUMMYFUNCTION("""COMPUTED_VALUE"""),"Grace Sheble")</f>
        <v>Grace Sheble</v>
      </c>
      <c r="O35" s="3" t="str">
        <f>IFERROR(__xludf.DUMMYFUNCTION("""COMPUTED_VALUE"""),"Trinity Luxeder")</f>
        <v>Trinity Luxeder</v>
      </c>
      <c r="W35" s="3" t="str">
        <f>IFERROR(__xludf.DUMMYFUNCTION("""COMPUTED_VALUE"""),"Sarah Bender")</f>
        <v>Sarah Bender</v>
      </c>
    </row>
    <row r="36">
      <c r="B36" s="3" t="str">
        <f>IFERROR(__xludf.DUMMYFUNCTION("""COMPUTED_VALUE"""),"Nikki Venema")</f>
        <v>Nikki Venema</v>
      </c>
      <c r="C36" s="3" t="str">
        <f>IFERROR(__xludf.DUMMYFUNCTION("""COMPUTED_VALUE"""),"Asia Minnes")</f>
        <v>Asia Minnes</v>
      </c>
      <c r="D36" s="3" t="str">
        <f>IFERROR(__xludf.DUMMYFUNCTION("""COMPUTED_VALUE"""),"Sydney Whiting")</f>
        <v>Sydney Whiting</v>
      </c>
      <c r="E36" s="3" t="str">
        <f>IFERROR(__xludf.DUMMYFUNCTION("""COMPUTED_VALUE"""),"Elle Caldow")</f>
        <v>Elle Caldow</v>
      </c>
      <c r="F36" s="3" t="str">
        <f>IFERROR(__xludf.DUMMYFUNCTION("""COMPUTED_VALUE"""),"Carrington Bowles")</f>
        <v>Carrington Bowles</v>
      </c>
      <c r="G36" s="3" t="str">
        <f>IFERROR(__xludf.DUMMYFUNCTION("""COMPUTED_VALUE"""),"Asia Minnes")</f>
        <v>Asia Minnes</v>
      </c>
      <c r="H36" s="3" t="str">
        <f>IFERROR(__xludf.DUMMYFUNCTION("""COMPUTED_VALUE"""),"Madison Cottrell")</f>
        <v>Madison Cottrell</v>
      </c>
      <c r="I36" s="3" t="str">
        <f>IFERROR(__xludf.DUMMYFUNCTION("""COMPUTED_VALUE"""),"Grace Sheble")</f>
        <v>Grace Sheble</v>
      </c>
      <c r="J36" s="3" t="str">
        <f>IFERROR(__xludf.DUMMYFUNCTION("""COMPUTED_VALUE"""),"Annabelle Young")</f>
        <v>Annabelle Young</v>
      </c>
      <c r="K36" s="3" t="str">
        <f>IFERROR(__xludf.DUMMYFUNCTION("""COMPUTED_VALUE"""),"Megan Pulley")</f>
        <v>Megan Pulley</v>
      </c>
      <c r="L36" s="3" t="str">
        <f>IFERROR(__xludf.DUMMYFUNCTION("""COMPUTED_VALUE"""),"Grace Sheble")</f>
        <v>Grace Sheble</v>
      </c>
      <c r="M36" s="3" t="str">
        <f>IFERROR(__xludf.DUMMYFUNCTION("""COMPUTED_VALUE"""),"Asia Minnes")</f>
        <v>Asia Minnes</v>
      </c>
      <c r="N36" s="3" t="str">
        <f>IFERROR(__xludf.DUMMYFUNCTION("""COMPUTED_VALUE"""),"Samantha Tadder")</f>
        <v>Samantha Tadder</v>
      </c>
      <c r="O36" s="3" t="str">
        <f>IFERROR(__xludf.DUMMYFUNCTION("""COMPUTED_VALUE"""),"Quinn Keatley")</f>
        <v>Quinn Keatley</v>
      </c>
      <c r="W36" s="3" t="str">
        <f>IFERROR(__xludf.DUMMYFUNCTION("""COMPUTED_VALUE"""),"Mary Cornett")</f>
        <v>Mary Cornett</v>
      </c>
    </row>
    <row r="37">
      <c r="B37" s="3" t="str">
        <f>IFERROR(__xludf.DUMMYFUNCTION("""COMPUTED_VALUE"""),"Samantha Tadder")</f>
        <v>Samantha Tadder</v>
      </c>
      <c r="C37" s="3" t="str">
        <f>IFERROR(__xludf.DUMMYFUNCTION("""COMPUTED_VALUE"""),"Megan Pulley")</f>
        <v>Megan Pulley</v>
      </c>
      <c r="D37" s="3" t="str">
        <f>IFERROR(__xludf.DUMMYFUNCTION("""COMPUTED_VALUE"""),"Morgan Miller")</f>
        <v>Morgan Miller</v>
      </c>
      <c r="E37" s="3" t="str">
        <f>IFERROR(__xludf.DUMMYFUNCTION("""COMPUTED_VALUE"""),"Kayla Wilson")</f>
        <v>Kayla Wilson</v>
      </c>
      <c r="G37" s="3" t="str">
        <f>IFERROR(__xludf.DUMMYFUNCTION("""COMPUTED_VALUE"""),"Josephine Fuller")</f>
        <v>Josephine Fuller</v>
      </c>
      <c r="H37" s="3" t="str">
        <f>IFERROR(__xludf.DUMMYFUNCTION("""COMPUTED_VALUE"""),"Grace Sheble")</f>
        <v>Grace Sheble</v>
      </c>
      <c r="I37" s="3" t="str">
        <f>IFERROR(__xludf.DUMMYFUNCTION("""COMPUTED_VALUE"""),"Jenna Thompson")</f>
        <v>Jenna Thompson</v>
      </c>
      <c r="J37" s="3" t="str">
        <f>IFERROR(__xludf.DUMMYFUNCTION("""COMPUTED_VALUE"""),"Samantha Tadder")</f>
        <v>Samantha Tadder</v>
      </c>
      <c r="K37" s="3" t="str">
        <f>IFERROR(__xludf.DUMMYFUNCTION("""COMPUTED_VALUE"""),"Morgan Miller")</f>
        <v>Morgan Miller</v>
      </c>
      <c r="L37" s="3" t="str">
        <f>IFERROR(__xludf.DUMMYFUNCTION("""COMPUTED_VALUE"""),"Morgan Miller")</f>
        <v>Morgan Miller</v>
      </c>
      <c r="M37" s="3" t="str">
        <f>IFERROR(__xludf.DUMMYFUNCTION("""COMPUTED_VALUE"""),"Sarah Bender")</f>
        <v>Sarah Bender</v>
      </c>
      <c r="N37" s="3" t="str">
        <f>IFERROR(__xludf.DUMMYFUNCTION("""COMPUTED_VALUE"""),"Colby Hurt")</f>
        <v>Colby Hurt</v>
      </c>
      <c r="O37" s="3" t="str">
        <f>IFERROR(__xludf.DUMMYFUNCTION("""COMPUTED_VALUE"""),"Jackie Scheneman")</f>
        <v>Jackie Scheneman</v>
      </c>
      <c r="W37" s="3" t="str">
        <f>IFERROR(__xludf.DUMMYFUNCTION("""COMPUTED_VALUE"""),"Anna Clare Fleenor")</f>
        <v>Anna Clare Fleenor</v>
      </c>
    </row>
    <row r="38">
      <c r="B38" s="3" t="str">
        <f>IFERROR(__xludf.DUMMYFUNCTION("""COMPUTED_VALUE"""),"Asia Minnes")</f>
        <v>Asia Minnes</v>
      </c>
      <c r="C38" s="3" t="str">
        <f>IFERROR(__xludf.DUMMYFUNCTION("""COMPUTED_VALUE"""),"Sydney Whiting")</f>
        <v>Sydney Whiting</v>
      </c>
      <c r="D38" s="3" t="str">
        <f>IFERROR(__xludf.DUMMYFUNCTION("""COMPUTED_VALUE"""),"Kayla Wilson")</f>
        <v>Kayla Wilson</v>
      </c>
      <c r="E38" s="3" t="str">
        <f>IFERROR(__xludf.DUMMYFUNCTION("""COMPUTED_VALUE"""),"Caroline Sheble")</f>
        <v>Caroline Sheble</v>
      </c>
      <c r="G38" s="3" t="str">
        <f>IFERROR(__xludf.DUMMYFUNCTION("""COMPUTED_VALUE"""),"Maddie Pierce")</f>
        <v>Maddie Pierce</v>
      </c>
      <c r="H38" s="3" t="str">
        <f>IFERROR(__xludf.DUMMYFUNCTION("""COMPUTED_VALUE"""),"Charlie Burt")</f>
        <v>Charlie Burt</v>
      </c>
      <c r="I38" s="3" t="str">
        <f>IFERROR(__xludf.DUMMYFUNCTION("""COMPUTED_VALUE"""),"Julia Smith")</f>
        <v>Julia Smith</v>
      </c>
      <c r="J38" s="3" t="str">
        <f>IFERROR(__xludf.DUMMYFUNCTION("""COMPUTED_VALUE"""),"Colby Hurt")</f>
        <v>Colby Hurt</v>
      </c>
      <c r="K38" s="3" t="str">
        <f>IFERROR(__xludf.DUMMYFUNCTION("""COMPUTED_VALUE"""),"Tristan Harrison")</f>
        <v>Tristan Harrison</v>
      </c>
      <c r="L38" s="3" t="str">
        <f>IFERROR(__xludf.DUMMYFUNCTION("""COMPUTED_VALUE"""),"Megan Pulley")</f>
        <v>Megan Pulley</v>
      </c>
      <c r="M38" s="3" t="str">
        <f>IFERROR(__xludf.DUMMYFUNCTION("""COMPUTED_VALUE"""),"Lizzie Danforth")</f>
        <v>Lizzie Danforth</v>
      </c>
      <c r="N38" s="3" t="str">
        <f>IFERROR(__xludf.DUMMYFUNCTION("""COMPUTED_VALUE"""),"Caroline Sheble")</f>
        <v>Caroline Sheble</v>
      </c>
      <c r="O38" s="3" t="str">
        <f>IFERROR(__xludf.DUMMYFUNCTION("""COMPUTED_VALUE"""),"Beth Ann Cortright")</f>
        <v>Beth Ann Cortright</v>
      </c>
      <c r="W38" s="3" t="str">
        <f>IFERROR(__xludf.DUMMYFUNCTION("""COMPUTED_VALUE"""),"Jean Graham")</f>
        <v>Jean Graham</v>
      </c>
    </row>
    <row r="39">
      <c r="B39" s="3" t="str">
        <f>IFERROR(__xludf.DUMMYFUNCTION("""COMPUTED_VALUE"""),"Megan Pulley")</f>
        <v>Megan Pulley</v>
      </c>
      <c r="C39" s="3" t="str">
        <f>IFERROR(__xludf.DUMMYFUNCTION("""COMPUTED_VALUE"""),"Elle Caldow")</f>
        <v>Elle Caldow</v>
      </c>
      <c r="D39" s="3" t="str">
        <f>IFERROR(__xludf.DUMMYFUNCTION("""COMPUTED_VALUE"""),"Megan Pulley")</f>
        <v>Megan Pulley</v>
      </c>
      <c r="E39" s="3" t="str">
        <f>IFERROR(__xludf.DUMMYFUNCTION("""COMPUTED_VALUE"""),"Sanna Peterson")</f>
        <v>Sanna Peterson</v>
      </c>
      <c r="G39" s="3" t="str">
        <f>IFERROR(__xludf.DUMMYFUNCTION("""COMPUTED_VALUE"""),"Morgan Miller")</f>
        <v>Morgan Miller</v>
      </c>
      <c r="H39" s="3" t="str">
        <f>IFERROR(__xludf.DUMMYFUNCTION("""COMPUTED_VALUE"""),"Abby Reardon")</f>
        <v>Abby Reardon</v>
      </c>
      <c r="I39" s="3" t="str">
        <f>IFERROR(__xludf.DUMMYFUNCTION("""COMPUTED_VALUE"""),"Sarah Bender")</f>
        <v>Sarah Bender</v>
      </c>
      <c r="J39" s="3" t="str">
        <f>IFERROR(__xludf.DUMMYFUNCTION("""COMPUTED_VALUE"""),"Julia Smith")</f>
        <v>Julia Smith</v>
      </c>
      <c r="K39" s="3" t="str">
        <f>IFERROR(__xludf.DUMMYFUNCTION("""COMPUTED_VALUE"""),"Asia Minnes")</f>
        <v>Asia Minnes</v>
      </c>
      <c r="L39" s="3" t="str">
        <f>IFERROR(__xludf.DUMMYFUNCTION("""COMPUTED_VALUE"""),"Caroline Sheble")</f>
        <v>Caroline Sheble</v>
      </c>
      <c r="M39" s="3" t="str">
        <f>IFERROR(__xludf.DUMMYFUNCTION("""COMPUTED_VALUE"""),"Caroline Sheble")</f>
        <v>Caroline Sheble</v>
      </c>
      <c r="N39" s="3" t="str">
        <f>IFERROR(__xludf.DUMMYFUNCTION("""COMPUTED_VALUE"""),"Lizzie Danforth")</f>
        <v>Lizzie Danforth</v>
      </c>
      <c r="O39" s="3" t="str">
        <f>IFERROR(__xludf.DUMMYFUNCTION("""COMPUTED_VALUE"""),"Carrington Bowles")</f>
        <v>Carrington Bowles</v>
      </c>
      <c r="W39" s="3" t="str">
        <f>IFERROR(__xludf.DUMMYFUNCTION("""COMPUTED_VALUE"""),"Colby Hurt")</f>
        <v>Colby Hurt</v>
      </c>
    </row>
    <row r="40">
      <c r="B40" s="3" t="str">
        <f>IFERROR(__xludf.DUMMYFUNCTION("""COMPUTED_VALUE"""),"Abby Fuller")</f>
        <v>Abby Fuller</v>
      </c>
      <c r="C40" s="3" t="str">
        <f>IFERROR(__xludf.DUMMYFUNCTION("""COMPUTED_VALUE"""),"Samantha Tadder")</f>
        <v>Samantha Tadder</v>
      </c>
      <c r="D40" s="3" t="str">
        <f>IFERROR(__xludf.DUMMYFUNCTION("""COMPUTED_VALUE"""),"Abby Reardon")</f>
        <v>Abby Reardon</v>
      </c>
      <c r="E40" s="3" t="str">
        <f>IFERROR(__xludf.DUMMYFUNCTION("""COMPUTED_VALUE"""),"Maddie Wallin")</f>
        <v>Maddie Wallin</v>
      </c>
      <c r="G40" s="3" t="str">
        <f>IFERROR(__xludf.DUMMYFUNCTION("""COMPUTED_VALUE"""),"Tristan Harrison")</f>
        <v>Tristan Harrison</v>
      </c>
      <c r="H40" s="3" t="str">
        <f>IFERROR(__xludf.DUMMYFUNCTION("""COMPUTED_VALUE"""),"Morgan Miller")</f>
        <v>Morgan Miller</v>
      </c>
      <c r="I40" s="3" t="str">
        <f>IFERROR(__xludf.DUMMYFUNCTION("""COMPUTED_VALUE"""),"Brooke Lamoureux")</f>
        <v>Brooke Lamoureux</v>
      </c>
      <c r="J40" s="3" t="str">
        <f>IFERROR(__xludf.DUMMYFUNCTION("""COMPUTED_VALUE"""),"Peyton Proffitt")</f>
        <v>Peyton Proffitt</v>
      </c>
      <c r="K40" s="3" t="str">
        <f>IFERROR(__xludf.DUMMYFUNCTION("""COMPUTED_VALUE"""),"Josephine Fuller")</f>
        <v>Josephine Fuller</v>
      </c>
      <c r="L40" s="3" t="str">
        <f>IFERROR(__xludf.DUMMYFUNCTION("""COMPUTED_VALUE"""),"Morgan Burton")</f>
        <v>Morgan Burton</v>
      </c>
      <c r="M40" s="3" t="str">
        <f>IFERROR(__xludf.DUMMYFUNCTION("""COMPUTED_VALUE"""),"Megan Pulley")</f>
        <v>Megan Pulley</v>
      </c>
      <c r="N40" s="3" t="str">
        <f>IFERROR(__xludf.DUMMYFUNCTION("""COMPUTED_VALUE"""),"Peyton Proffitt")</f>
        <v>Peyton Proffitt</v>
      </c>
      <c r="O40" s="3" t="str">
        <f>IFERROR(__xludf.DUMMYFUNCTION("""COMPUTED_VALUE"""),"Sydney Branch")</f>
        <v>Sydney Branch</v>
      </c>
      <c r="W40" s="3" t="str">
        <f>IFERROR(__xludf.DUMMYFUNCTION("""COMPUTED_VALUE"""),"Shelby Raber")</f>
        <v>Shelby Raber</v>
      </c>
    </row>
    <row r="41">
      <c r="B41" s="3" t="str">
        <f>IFERROR(__xludf.DUMMYFUNCTION("""COMPUTED_VALUE"""),"Sydney Whiting")</f>
        <v>Sydney Whiting</v>
      </c>
      <c r="C41" s="3" t="str">
        <f>IFERROR(__xludf.DUMMYFUNCTION("""COMPUTED_VALUE"""),"Kayla Wilson")</f>
        <v>Kayla Wilson</v>
      </c>
      <c r="D41" s="3" t="str">
        <f>IFERROR(__xludf.DUMMYFUNCTION("""COMPUTED_VALUE"""),"Sarah Bender")</f>
        <v>Sarah Bender</v>
      </c>
      <c r="E41" s="3" t="str">
        <f>IFERROR(__xludf.DUMMYFUNCTION("""COMPUTED_VALUE"""),"Hannah Garner")</f>
        <v>Hannah Garner</v>
      </c>
      <c r="G41" s="3" t="str">
        <f>IFERROR(__xludf.DUMMYFUNCTION("""COMPUTED_VALUE"""),"Madison Cottrell")</f>
        <v>Madison Cottrell</v>
      </c>
      <c r="H41" s="3" t="str">
        <f>IFERROR(__xludf.DUMMYFUNCTION("""COMPUTED_VALUE"""),"Lizzie Danforth")</f>
        <v>Lizzie Danforth</v>
      </c>
      <c r="I41" s="3" t="str">
        <f>IFERROR(__xludf.DUMMYFUNCTION("""COMPUTED_VALUE"""),"Lauren Barakey")</f>
        <v>Lauren Barakey</v>
      </c>
      <c r="J41" s="3" t="str">
        <f>IFERROR(__xludf.DUMMYFUNCTION("""COMPUTED_VALUE"""),"Jenna Thompson")</f>
        <v>Jenna Thompson</v>
      </c>
      <c r="K41" s="3" t="str">
        <f>IFERROR(__xludf.DUMMYFUNCTION("""COMPUTED_VALUE"""),"Caroline Sheble")</f>
        <v>Caroline Sheble</v>
      </c>
      <c r="L41" s="3" t="str">
        <f>IFERROR(__xludf.DUMMYFUNCTION("""COMPUTED_VALUE"""),"Alyssa Reilly")</f>
        <v>Alyssa Reilly</v>
      </c>
      <c r="M41" s="3" t="str">
        <f>IFERROR(__xludf.DUMMYFUNCTION("""COMPUTED_VALUE"""),"Madison Cottrell")</f>
        <v>Madison Cottrell</v>
      </c>
      <c r="N41" s="3" t="str">
        <f>IFERROR(__xludf.DUMMYFUNCTION("""COMPUTED_VALUE"""),"Annabelle Young")</f>
        <v>Annabelle Young</v>
      </c>
      <c r="O41" s="3" t="str">
        <f>IFERROR(__xludf.DUMMYFUNCTION("""COMPUTED_VALUE"""),"Caroline Storen")</f>
        <v>Caroline Storen</v>
      </c>
      <c r="W41" s="3" t="str">
        <f>IFERROR(__xludf.DUMMYFUNCTION("""COMPUTED_VALUE"""),"Corinne Whisenant")</f>
        <v>Corinne Whisenant</v>
      </c>
    </row>
    <row r="42">
      <c r="B42" s="3" t="str">
        <f>IFERROR(__xludf.DUMMYFUNCTION("""COMPUTED_VALUE"""),"Elle Caldow")</f>
        <v>Elle Caldow</v>
      </c>
      <c r="C42" s="3" t="str">
        <f>IFERROR(__xludf.DUMMYFUNCTION("""COMPUTED_VALUE"""),"Tristan Harrison")</f>
        <v>Tristan Harrison</v>
      </c>
      <c r="D42" s="3" t="str">
        <f>IFERROR(__xludf.DUMMYFUNCTION("""COMPUTED_VALUE"""),"Colby Hurt")</f>
        <v>Colby Hurt</v>
      </c>
      <c r="E42" s="3" t="str">
        <f>IFERROR(__xludf.DUMMYFUNCTION("""COMPUTED_VALUE"""),"Morgan Burton")</f>
        <v>Morgan Burton</v>
      </c>
      <c r="G42" s="3" t="str">
        <f>IFERROR(__xludf.DUMMYFUNCTION("""COMPUTED_VALUE"""),"Abby Reardon")</f>
        <v>Abby Reardon</v>
      </c>
      <c r="H42" s="3" t="str">
        <f>IFERROR(__xludf.DUMMYFUNCTION("""COMPUTED_VALUE"""),"Caroline Storen")</f>
        <v>Caroline Storen</v>
      </c>
      <c r="I42" s="3" t="str">
        <f>IFERROR(__xludf.DUMMYFUNCTION("""COMPUTED_VALUE"""),"Annabelle Young")</f>
        <v>Annabelle Young</v>
      </c>
      <c r="J42" s="3" t="str">
        <f>IFERROR(__xludf.DUMMYFUNCTION("""COMPUTED_VALUE"""),"Lauren Barakey")</f>
        <v>Lauren Barakey</v>
      </c>
      <c r="K42" s="3" t="str">
        <f>IFERROR(__xludf.DUMMYFUNCTION("""COMPUTED_VALUE"""),"Morgan Burton")</f>
        <v>Morgan Burton</v>
      </c>
      <c r="L42" s="3" t="str">
        <f>IFERROR(__xludf.DUMMYFUNCTION("""COMPUTED_VALUE"""),"Tristan Harrison")</f>
        <v>Tristan Harrison</v>
      </c>
      <c r="M42" s="3" t="str">
        <f>IFERROR(__xludf.DUMMYFUNCTION("""COMPUTED_VALUE"""),"Peyton Proffitt")</f>
        <v>Peyton Proffitt</v>
      </c>
      <c r="N42" s="3" t="str">
        <f>IFERROR(__xludf.DUMMYFUNCTION("""COMPUTED_VALUE"""),"angela ritchie")</f>
        <v>angela ritchie</v>
      </c>
      <c r="W42" s="3" t="str">
        <f>IFERROR(__xludf.DUMMYFUNCTION("""COMPUTED_VALUE"""),"Ellie Webb")</f>
        <v>Ellie Webb</v>
      </c>
    </row>
    <row r="43">
      <c r="B43" s="3" t="str">
        <f>IFERROR(__xludf.DUMMYFUNCTION("""COMPUTED_VALUE"""),"Kierstin Godfrey")</f>
        <v>Kierstin Godfrey</v>
      </c>
      <c r="C43" s="3" t="str">
        <f>IFERROR(__xludf.DUMMYFUNCTION("""COMPUTED_VALUE"""),"Kierstin Godfrey")</f>
        <v>Kierstin Godfrey</v>
      </c>
      <c r="D43" s="3" t="str">
        <f>IFERROR(__xludf.DUMMYFUNCTION("""COMPUTED_VALUE"""),"Cooper Ackerly")</f>
        <v>Cooper Ackerly</v>
      </c>
      <c r="E43" s="3" t="str">
        <f>IFERROR(__xludf.DUMMYFUNCTION("""COMPUTED_VALUE"""),"Annabelle Young")</f>
        <v>Annabelle Young</v>
      </c>
      <c r="G43" s="3" t="str">
        <f>IFERROR(__xludf.DUMMYFUNCTION("""COMPUTED_VALUE"""),"Nikki Venema")</f>
        <v>Nikki Venema</v>
      </c>
      <c r="H43" s="3" t="str">
        <f>IFERROR(__xludf.DUMMYFUNCTION("""COMPUTED_VALUE"""),"Shelby Raber")</f>
        <v>Shelby Raber</v>
      </c>
      <c r="I43" s="3" t="str">
        <f>IFERROR(__xludf.DUMMYFUNCTION("""COMPUTED_VALUE"""),"Kinsey Brooks")</f>
        <v>Kinsey Brooks</v>
      </c>
      <c r="J43" s="3" t="str">
        <f>IFERROR(__xludf.DUMMYFUNCTION("""COMPUTED_VALUE"""),"Kinsey Brooks")</f>
        <v>Kinsey Brooks</v>
      </c>
      <c r="K43" s="3" t="str">
        <f>IFERROR(__xludf.DUMMYFUNCTION("""COMPUTED_VALUE"""),"Brieanna Romney")</f>
        <v>Brieanna Romney</v>
      </c>
      <c r="L43" s="3" t="str">
        <f>IFERROR(__xludf.DUMMYFUNCTION("""COMPUTED_VALUE"""),"Maura Graff")</f>
        <v>Maura Graff</v>
      </c>
      <c r="M43" s="3" t="str">
        <f>IFERROR(__xludf.DUMMYFUNCTION("""COMPUTED_VALUE"""),"Jenna Thompson")</f>
        <v>Jenna Thompson</v>
      </c>
      <c r="N43" s="3" t="str">
        <f>IFERROR(__xludf.DUMMYFUNCTION("""COMPUTED_VALUE"""),"Michaela Sizemore")</f>
        <v>Michaela Sizemore</v>
      </c>
      <c r="W43" s="3" t="str">
        <f>IFERROR(__xludf.DUMMYFUNCTION("""COMPUTED_VALUE"""),"Ellie Ahmed")</f>
        <v>Ellie Ahmed</v>
      </c>
    </row>
    <row r="44">
      <c r="B44" s="3" t="str">
        <f>IFERROR(__xludf.DUMMYFUNCTION("""COMPUTED_VALUE"""),"Josephine Fuller")</f>
        <v>Josephine Fuller</v>
      </c>
      <c r="C44" s="3" t="str">
        <f>IFERROR(__xludf.DUMMYFUNCTION("""COMPUTED_VALUE"""),"Sarah Bender")</f>
        <v>Sarah Bender</v>
      </c>
      <c r="D44" s="3" t="str">
        <f>IFERROR(__xludf.DUMMYFUNCTION("""COMPUTED_VALUE"""),"Kierstin Godfrey")</f>
        <v>Kierstin Godfrey</v>
      </c>
      <c r="E44" s="3" t="str">
        <f>IFERROR(__xludf.DUMMYFUNCTION("""COMPUTED_VALUE"""),"Lizzie Danforth")</f>
        <v>Lizzie Danforth</v>
      </c>
      <c r="G44" s="3" t="str">
        <f>IFERROR(__xludf.DUMMYFUNCTION("""COMPUTED_VALUE"""),"Courtney Isley")</f>
        <v>Courtney Isley</v>
      </c>
      <c r="H44" s="3" t="str">
        <f>IFERROR(__xludf.DUMMYFUNCTION("""COMPUTED_VALUE"""),"Maddie Wallin")</f>
        <v>Maddie Wallin</v>
      </c>
      <c r="I44" s="3" t="str">
        <f>IFERROR(__xludf.DUMMYFUNCTION("""COMPUTED_VALUE"""),"Josephine Fuller")</f>
        <v>Josephine Fuller</v>
      </c>
      <c r="J44" s="3" t="str">
        <f>IFERROR(__xludf.DUMMYFUNCTION("""COMPUTED_VALUE"""),"Charlotte Wishnack")</f>
        <v>Charlotte Wishnack</v>
      </c>
      <c r="K44" s="3" t="str">
        <f>IFERROR(__xludf.DUMMYFUNCTION("""COMPUTED_VALUE"""),"Sofia Long")</f>
        <v>Sofia Long</v>
      </c>
      <c r="L44" s="3" t="str">
        <f>IFERROR(__xludf.DUMMYFUNCTION("""COMPUTED_VALUE"""),"Laura Gaffney")</f>
        <v>Laura Gaffney</v>
      </c>
      <c r="M44" s="3" t="str">
        <f>IFERROR(__xludf.DUMMYFUNCTION("""COMPUTED_VALUE"""),"Kinsey Brooks")</f>
        <v>Kinsey Brooks</v>
      </c>
      <c r="N44" s="3" t="str">
        <f>IFERROR(__xludf.DUMMYFUNCTION("""COMPUTED_VALUE"""),"Maddie Wallin")</f>
        <v>Maddie Wallin</v>
      </c>
      <c r="W44" s="3" t="str">
        <f>IFERROR(__xludf.DUMMYFUNCTION("""COMPUTED_VALUE"""),"Maura Graff")</f>
        <v>Maura Graff</v>
      </c>
    </row>
    <row r="45">
      <c r="B45" s="3" t="str">
        <f>IFERROR(__xludf.DUMMYFUNCTION("""COMPUTED_VALUE"""),"Cooper Ackerly")</f>
        <v>Cooper Ackerly</v>
      </c>
      <c r="C45" s="3" t="str">
        <f>IFERROR(__xludf.DUMMYFUNCTION("""COMPUTED_VALUE"""),"Cooper Ackerly")</f>
        <v>Cooper Ackerly</v>
      </c>
      <c r="D45" s="3" t="str">
        <f>IFERROR(__xludf.DUMMYFUNCTION("""COMPUTED_VALUE"""),"Morgan Burton")</f>
        <v>Morgan Burton</v>
      </c>
      <c r="E45" s="3" t="str">
        <f>IFERROR(__xludf.DUMMYFUNCTION("""COMPUTED_VALUE"""),"Ellie Eckert")</f>
        <v>Ellie Eckert</v>
      </c>
      <c r="G45" s="3" t="str">
        <f>IFERROR(__xludf.DUMMYFUNCTION("""COMPUTED_VALUE"""),"Lizzie Danforth")</f>
        <v>Lizzie Danforth</v>
      </c>
      <c r="H45" s="3" t="str">
        <f>IFERROR(__xludf.DUMMYFUNCTION("""COMPUTED_VALUE"""),"Nikki Venema")</f>
        <v>Nikki Venema</v>
      </c>
      <c r="I45" s="3" t="str">
        <f>IFERROR(__xludf.DUMMYFUNCTION("""COMPUTED_VALUE"""),"Madison Cottrell")</f>
        <v>Madison Cottrell</v>
      </c>
      <c r="J45" s="3" t="str">
        <f>IFERROR(__xludf.DUMMYFUNCTION("""COMPUTED_VALUE"""),"Mary Cornett")</f>
        <v>Mary Cornett</v>
      </c>
      <c r="K45" s="3" t="str">
        <f>IFERROR(__xludf.DUMMYFUNCTION("""COMPUTED_VALUE"""),"Kierstin Godfrey")</f>
        <v>Kierstin Godfrey</v>
      </c>
      <c r="L45" s="3" t="str">
        <f>IFERROR(__xludf.DUMMYFUNCTION("""COMPUTED_VALUE"""),"Maddie Wallin")</f>
        <v>Maddie Wallin</v>
      </c>
      <c r="M45" s="3" t="str">
        <f>IFERROR(__xludf.DUMMYFUNCTION("""COMPUTED_VALUE"""),"Annabelle Young")</f>
        <v>Annabelle Young</v>
      </c>
      <c r="N45" s="3" t="str">
        <f>IFERROR(__xludf.DUMMYFUNCTION("""COMPUTED_VALUE"""),"Abby Reardon")</f>
        <v>Abby Reardon</v>
      </c>
      <c r="W45" s="3" t="str">
        <f>IFERROR(__xludf.DUMMYFUNCTION("""COMPUTED_VALUE"""),"Marissa Ross")</f>
        <v>Marissa Ross</v>
      </c>
    </row>
    <row r="46">
      <c r="B46" s="3" t="str">
        <f>IFERROR(__xludf.DUMMYFUNCTION("""COMPUTED_VALUE"""),"Sarah Bender")</f>
        <v>Sarah Bender</v>
      </c>
      <c r="C46" s="3" t="str">
        <f>IFERROR(__xludf.DUMMYFUNCTION("""COMPUTED_VALUE"""),"Julia Smith")</f>
        <v>Julia Smith</v>
      </c>
      <c r="D46" s="3" t="str">
        <f>IFERROR(__xludf.DUMMYFUNCTION("""COMPUTED_VALUE"""),"Courtney Isley")</f>
        <v>Courtney Isley</v>
      </c>
      <c r="E46" s="3" t="str">
        <f>IFERROR(__xludf.DUMMYFUNCTION("""COMPUTED_VALUE"""),"Sydney Whiting")</f>
        <v>Sydney Whiting</v>
      </c>
      <c r="G46" s="3" t="str">
        <f>IFERROR(__xludf.DUMMYFUNCTION("""COMPUTED_VALUE"""),"Sophie Knepper")</f>
        <v>Sophie Knepper</v>
      </c>
      <c r="H46" s="3" t="str">
        <f>IFERROR(__xludf.DUMMYFUNCTION("""COMPUTED_VALUE"""),"Elle Caldow")</f>
        <v>Elle Caldow</v>
      </c>
      <c r="I46" s="3" t="str">
        <f>IFERROR(__xludf.DUMMYFUNCTION("""COMPUTED_VALUE"""),"Katie Nunez")</f>
        <v>Katie Nunez</v>
      </c>
      <c r="J46" s="3" t="str">
        <f>IFERROR(__xludf.DUMMYFUNCTION("""COMPUTED_VALUE"""),"Brooke-Lynn Clark")</f>
        <v>Brooke-Lynn Clark</v>
      </c>
      <c r="K46" s="3" t="str">
        <f>IFERROR(__xludf.DUMMYFUNCTION("""COMPUTED_VALUE"""),"Leah Riley")</f>
        <v>Leah Riley</v>
      </c>
      <c r="L46" s="3" t="str">
        <f>IFERROR(__xludf.DUMMYFUNCTION("""COMPUTED_VALUE"""),"Erin Langenburg")</f>
        <v>Erin Langenburg</v>
      </c>
      <c r="M46" s="3" t="str">
        <f>IFERROR(__xludf.DUMMYFUNCTION("""COMPUTED_VALUE"""),"Abby Reardon")</f>
        <v>Abby Reardon</v>
      </c>
      <c r="N46" s="3" t="str">
        <f>IFERROR(__xludf.DUMMYFUNCTION("""COMPUTED_VALUE"""),"Charlie Burt")</f>
        <v>Charlie Burt</v>
      </c>
      <c r="W46" s="3" t="str">
        <f>IFERROR(__xludf.DUMMYFUNCTION("""COMPUTED_VALUE"""),"Kinsey Brooks")</f>
        <v>Kinsey Brooks</v>
      </c>
    </row>
    <row r="47">
      <c r="B47" s="3" t="str">
        <f>IFERROR(__xludf.DUMMYFUNCTION("""COMPUTED_VALUE"""),"Madison Cottrell")</f>
        <v>Madison Cottrell</v>
      </c>
      <c r="C47" s="3" t="str">
        <f>IFERROR(__xludf.DUMMYFUNCTION("""COMPUTED_VALUE"""),"Morgan Burton")</f>
        <v>Morgan Burton</v>
      </c>
      <c r="D47" s="3" t="str">
        <f>IFERROR(__xludf.DUMMYFUNCTION("""COMPUTED_VALUE"""),"Brieanna Romney")</f>
        <v>Brieanna Romney</v>
      </c>
      <c r="E47" s="3" t="str">
        <f>IFERROR(__xludf.DUMMYFUNCTION("""COMPUTED_VALUE"""),"Peyton Proffitt")</f>
        <v>Peyton Proffitt</v>
      </c>
      <c r="G47" s="3" t="str">
        <f>IFERROR(__xludf.DUMMYFUNCTION("""COMPUTED_VALUE"""),"Shelby Raber")</f>
        <v>Shelby Raber</v>
      </c>
      <c r="H47" s="3" t="str">
        <f>IFERROR(__xludf.DUMMYFUNCTION("""COMPUTED_VALUE"""),"Summer Sampson")</f>
        <v>Summer Sampson</v>
      </c>
      <c r="I47" s="3" t="str">
        <f>IFERROR(__xludf.DUMMYFUNCTION("""COMPUTED_VALUE"""),"Mary Cornett")</f>
        <v>Mary Cornett</v>
      </c>
      <c r="J47" s="3" t="str">
        <f>IFERROR(__xludf.DUMMYFUNCTION("""COMPUTED_VALUE"""),"Tara Enneking")</f>
        <v>Tara Enneking</v>
      </c>
      <c r="K47" s="3" t="str">
        <f>IFERROR(__xludf.DUMMYFUNCTION("""COMPUTED_VALUE"""),"angela ritchie")</f>
        <v>angela ritchie</v>
      </c>
      <c r="L47" s="3" t="str">
        <f>IFERROR(__xludf.DUMMYFUNCTION("""COMPUTED_VALUE"""),"Lauren Shoemaker")</f>
        <v>Lauren Shoemaker</v>
      </c>
      <c r="M47" s="3" t="str">
        <f>IFERROR(__xludf.DUMMYFUNCTION("""COMPUTED_VALUE"""),"Molly Blanchard")</f>
        <v>Molly Blanchard</v>
      </c>
      <c r="N47" s="3" t="str">
        <f>IFERROR(__xludf.DUMMYFUNCTION("""COMPUTED_VALUE"""),"Alyssa Reilly")</f>
        <v>Alyssa Reilly</v>
      </c>
      <c r="W47" s="3" t="str">
        <f>IFERROR(__xludf.DUMMYFUNCTION("""COMPUTED_VALUE"""),"Allie Pickels")</f>
        <v>Allie Pickels</v>
      </c>
    </row>
    <row r="48">
      <c r="B48" s="3" t="str">
        <f>IFERROR(__xludf.DUMMYFUNCTION("""COMPUTED_VALUE"""),"Julia Smith")</f>
        <v>Julia Smith</v>
      </c>
      <c r="C48" s="3" t="str">
        <f>IFERROR(__xludf.DUMMYFUNCTION("""COMPUTED_VALUE"""),"Jenna Thompson")</f>
        <v>Jenna Thompson</v>
      </c>
      <c r="D48" s="3" t="str">
        <f>IFERROR(__xludf.DUMMYFUNCTION("""COMPUTED_VALUE"""),"Laura Gaffney")</f>
        <v>Laura Gaffney</v>
      </c>
      <c r="E48" s="3" t="str">
        <f>IFERROR(__xludf.DUMMYFUNCTION("""COMPUTED_VALUE"""),"Abby Reardon")</f>
        <v>Abby Reardon</v>
      </c>
      <c r="G48" s="3" t="str">
        <f>IFERROR(__xludf.DUMMYFUNCTION("""COMPUTED_VALUE"""),"Charlie Burt")</f>
        <v>Charlie Burt</v>
      </c>
      <c r="H48" s="3" t="str">
        <f>IFERROR(__xludf.DUMMYFUNCTION("""COMPUTED_VALUE"""),"Sara Gaston")</f>
        <v>Sara Gaston</v>
      </c>
      <c r="I48" s="3" t="str">
        <f>IFERROR(__xludf.DUMMYFUNCTION("""COMPUTED_VALUE"""),"Peyton Proffitt")</f>
        <v>Peyton Proffitt</v>
      </c>
      <c r="J48" s="3" t="str">
        <f>IFERROR(__xludf.DUMMYFUNCTION("""COMPUTED_VALUE"""),"Clara Rodriguez")</f>
        <v>Clara Rodriguez</v>
      </c>
      <c r="K48" s="3" t="str">
        <f>IFERROR(__xludf.DUMMYFUNCTION("""COMPUTED_VALUE"""),"Madison Cottrell")</f>
        <v>Madison Cottrell</v>
      </c>
      <c r="L48" s="3" t="str">
        <f>IFERROR(__xludf.DUMMYFUNCTION("""COMPUTED_VALUE"""),"Charlie Burt")</f>
        <v>Charlie Burt</v>
      </c>
      <c r="M48" s="3" t="str">
        <f>IFERROR(__xludf.DUMMYFUNCTION("""COMPUTED_VALUE"""),"Courtney Isley")</f>
        <v>Courtney Isley</v>
      </c>
      <c r="N48" s="3" t="str">
        <f>IFERROR(__xludf.DUMMYFUNCTION("""COMPUTED_VALUE"""),"Alexa Owen")</f>
        <v>Alexa Owen</v>
      </c>
      <c r="W48" s="3" t="str">
        <f>IFERROR(__xludf.DUMMYFUNCTION("""COMPUTED_VALUE"""),"Kristen Wagner")</f>
        <v>Kristen Wagner</v>
      </c>
    </row>
    <row r="49">
      <c r="B49" s="3" t="str">
        <f>IFERROR(__xludf.DUMMYFUNCTION("""COMPUTED_VALUE"""),"Kimberly Large")</f>
        <v>Kimberly Large</v>
      </c>
      <c r="C49" s="3" t="str">
        <f>IFERROR(__xludf.DUMMYFUNCTION("""COMPUTED_VALUE"""),"Brooke Lamoureux")</f>
        <v>Brooke Lamoureux</v>
      </c>
      <c r="D49" s="3" t="str">
        <f>IFERROR(__xludf.DUMMYFUNCTION("""COMPUTED_VALUE"""),"Anka Whelan")</f>
        <v>Anka Whelan</v>
      </c>
      <c r="E49" s="3" t="str">
        <f>IFERROR(__xludf.DUMMYFUNCTION("""COMPUTED_VALUE"""),"Cooper Ackerly")</f>
        <v>Cooper Ackerly</v>
      </c>
      <c r="G49" s="3" t="str">
        <f>IFERROR(__xludf.DUMMYFUNCTION("""COMPUTED_VALUE"""),"Molly Blanchard")</f>
        <v>Molly Blanchard</v>
      </c>
      <c r="H49" s="3" t="str">
        <f>IFERROR(__xludf.DUMMYFUNCTION("""COMPUTED_VALUE"""),"Abby Russell")</f>
        <v>Abby Russell</v>
      </c>
      <c r="I49" s="3" t="str">
        <f>IFERROR(__xludf.DUMMYFUNCTION("""COMPUTED_VALUE"""),"Charlotte Wishnack")</f>
        <v>Charlotte Wishnack</v>
      </c>
      <c r="J49" s="3" t="str">
        <f>IFERROR(__xludf.DUMMYFUNCTION("""COMPUTED_VALUE"""),"Brooke Lamoureux")</f>
        <v>Brooke Lamoureux</v>
      </c>
      <c r="K49" s="3" t="str">
        <f>IFERROR(__xludf.DUMMYFUNCTION("""COMPUTED_VALUE"""),"Maddie Pierce")</f>
        <v>Maddie Pierce</v>
      </c>
      <c r="L49" s="3" t="str">
        <f>IFERROR(__xludf.DUMMYFUNCTION("""COMPUTED_VALUE"""),"Ally Kopal")</f>
        <v>Ally Kopal</v>
      </c>
      <c r="M49" s="3" t="str">
        <f>IFERROR(__xludf.DUMMYFUNCTION("""COMPUTED_VALUE"""),"Nikki Venema")</f>
        <v>Nikki Venema</v>
      </c>
      <c r="N49" s="3" t="str">
        <f>IFERROR(__xludf.DUMMYFUNCTION("""COMPUTED_VALUE"""),"Brooke-Lynn Clark")</f>
        <v>Brooke-Lynn Clark</v>
      </c>
      <c r="W49" s="3" t="str">
        <f>IFERROR(__xludf.DUMMYFUNCTION("""COMPUTED_VALUE"""),"Blythe Brenner")</f>
        <v>Blythe Brenner</v>
      </c>
    </row>
    <row r="50">
      <c r="B50" s="3" t="str">
        <f>IFERROR(__xludf.DUMMYFUNCTION("""COMPUTED_VALUE"""),"Tristan Harrison")</f>
        <v>Tristan Harrison</v>
      </c>
      <c r="C50" s="3" t="str">
        <f>IFERROR(__xludf.DUMMYFUNCTION("""COMPUTED_VALUE"""),"Kelsey Peel")</f>
        <v>Kelsey Peel</v>
      </c>
      <c r="D50" s="3" t="str">
        <f>IFERROR(__xludf.DUMMYFUNCTION("""COMPUTED_VALUE"""),"Caroline Storen")</f>
        <v>Caroline Storen</v>
      </c>
      <c r="E50" s="3" t="str">
        <f>IFERROR(__xludf.DUMMYFUNCTION("""COMPUTED_VALUE"""),"Alexa Owen")</f>
        <v>Alexa Owen</v>
      </c>
      <c r="G50" s="3" t="str">
        <f>IFERROR(__xludf.DUMMYFUNCTION("""COMPUTED_VALUE"""),"Caroline Storen")</f>
        <v>Caroline Storen</v>
      </c>
      <c r="H50" s="3" t="str">
        <f>IFERROR(__xludf.DUMMYFUNCTION("""COMPUTED_VALUE"""),"Maialen Sudupe")</f>
        <v>Maialen Sudupe</v>
      </c>
      <c r="I50" s="3" t="str">
        <f>IFERROR(__xludf.DUMMYFUNCTION("""COMPUTED_VALUE"""),"Brooke-Lynn Clark")</f>
        <v>Brooke-Lynn Clark</v>
      </c>
      <c r="J50" s="3" t="str">
        <f>IFERROR(__xludf.DUMMYFUNCTION("""COMPUTED_VALUE"""),"Brooke Simila")</f>
        <v>Brooke Simila</v>
      </c>
      <c r="K50" s="3" t="str">
        <f>IFERROR(__xludf.DUMMYFUNCTION("""COMPUTED_VALUE"""),"Athena Vanyo")</f>
        <v>Athena Vanyo</v>
      </c>
      <c r="L50" s="3" t="str">
        <f>IFERROR(__xludf.DUMMYFUNCTION("""COMPUTED_VALUE"""),"Julie Anderson")</f>
        <v>Julie Anderson</v>
      </c>
      <c r="M50" s="3" t="str">
        <f>IFERROR(__xludf.DUMMYFUNCTION("""COMPUTED_VALUE"""),"Laura Gaffney")</f>
        <v>Laura Gaffney</v>
      </c>
      <c r="N50" s="3" t="str">
        <f>IFERROR(__xludf.DUMMYFUNCTION("""COMPUTED_VALUE"""),"Ally Kopal")</f>
        <v>Ally Kopal</v>
      </c>
      <c r="W50" s="3" t="str">
        <f>IFERROR(__xludf.DUMMYFUNCTION("""COMPUTED_VALUE"""),"Andrea Leng")</f>
        <v>Andrea Leng</v>
      </c>
    </row>
    <row r="51">
      <c r="B51" s="3" t="str">
        <f>IFERROR(__xludf.DUMMYFUNCTION("""COMPUTED_VALUE"""),"Kayla Wilson")</f>
        <v>Kayla Wilson</v>
      </c>
      <c r="C51" s="3" t="str">
        <f>IFERROR(__xludf.DUMMYFUNCTION("""COMPUTED_VALUE"""),"Courtney Isley")</f>
        <v>Courtney Isley</v>
      </c>
      <c r="D51" s="3" t="str">
        <f>IFERROR(__xludf.DUMMYFUNCTION("""COMPUTED_VALUE"""),"Charlie Burt")</f>
        <v>Charlie Burt</v>
      </c>
      <c r="E51" s="3" t="str">
        <f>IFERROR(__xludf.DUMMYFUNCTION("""COMPUTED_VALUE"""),"Anka Whelan")</f>
        <v>Anka Whelan</v>
      </c>
      <c r="G51" s="3" t="str">
        <f>IFERROR(__xludf.DUMMYFUNCTION("""COMPUTED_VALUE"""),"Cecilia Cortez")</f>
        <v>Cecilia Cortez</v>
      </c>
      <c r="H51" s="3" t="str">
        <f>IFERROR(__xludf.DUMMYFUNCTION("""COMPUTED_VALUE"""),"Molly Blanchard")</f>
        <v>Molly Blanchard</v>
      </c>
      <c r="I51" s="3" t="str">
        <f>IFERROR(__xludf.DUMMYFUNCTION("""COMPUTED_VALUE"""),"Sydney Hall")</f>
        <v>Sydney Hall</v>
      </c>
      <c r="J51" s="3" t="str">
        <f>IFERROR(__xludf.DUMMYFUNCTION("""COMPUTED_VALUE"""),"Tessa Campbell")</f>
        <v>Tessa Campbell</v>
      </c>
      <c r="K51" s="3" t="str">
        <f>IFERROR(__xludf.DUMMYFUNCTION("""COMPUTED_VALUE"""),"Julie Anderson")</f>
        <v>Julie Anderson</v>
      </c>
      <c r="L51" s="3" t="str">
        <f>IFERROR(__xludf.DUMMYFUNCTION("""COMPUTED_VALUE"""),"Brooke-Lynn Clark")</f>
        <v>Brooke-Lynn Clark</v>
      </c>
      <c r="M51" s="3" t="str">
        <f>IFERROR(__xludf.DUMMYFUNCTION("""COMPUTED_VALUE"""),"Morgan Burton")</f>
        <v>Morgan Burton</v>
      </c>
      <c r="N51" s="3" t="str">
        <f>IFERROR(__xludf.DUMMYFUNCTION("""COMPUTED_VALUE"""),"Laura Gaffney")</f>
        <v>Laura Gaffney</v>
      </c>
      <c r="W51" s="3" t="str">
        <f>IFERROR(__xludf.DUMMYFUNCTION("""COMPUTED_VALUE"""),"Molly Blanchard")</f>
        <v>Molly Blanchard</v>
      </c>
    </row>
    <row r="52">
      <c r="B52" s="3" t="str">
        <f>IFERROR(__xludf.DUMMYFUNCTION("""COMPUTED_VALUE"""),"Jenna Thompson")</f>
        <v>Jenna Thompson</v>
      </c>
      <c r="C52" s="3" t="str">
        <f>IFERROR(__xludf.DUMMYFUNCTION("""COMPUTED_VALUE"""),"Tamara Wheater")</f>
        <v>Tamara Wheater</v>
      </c>
      <c r="D52" s="3" t="str">
        <f>IFERROR(__xludf.DUMMYFUNCTION("""COMPUTED_VALUE"""),"Alexa Owen")</f>
        <v>Alexa Owen</v>
      </c>
      <c r="E52" s="3" t="str">
        <f>IFERROR(__xludf.DUMMYFUNCTION("""COMPUTED_VALUE"""),"Kylie Johnson")</f>
        <v>Kylie Johnson</v>
      </c>
      <c r="G52" s="3" t="str">
        <f>IFERROR(__xludf.DUMMYFUNCTION("""COMPUTED_VALUE"""),"Abby Russell")</f>
        <v>Abby Russell</v>
      </c>
      <c r="H52" s="3" t="str">
        <f>IFERROR(__xludf.DUMMYFUNCTION("""COMPUTED_VALUE"""),"Sophie Knepper")</f>
        <v>Sophie Knepper</v>
      </c>
      <c r="I52" s="3" t="str">
        <f>IFERROR(__xludf.DUMMYFUNCTION("""COMPUTED_VALUE"""),"Clara Rodriguez")</f>
        <v>Clara Rodriguez</v>
      </c>
      <c r="J52" s="3" t="str">
        <f>IFERROR(__xludf.DUMMYFUNCTION("""COMPUTED_VALUE"""),"Cassidy Doyle")</f>
        <v>Cassidy Doyle</v>
      </c>
      <c r="K52" s="3" t="str">
        <f>IFERROR(__xludf.DUMMYFUNCTION("""COMPUTED_VALUE"""),"Maura Graff")</f>
        <v>Maura Graff</v>
      </c>
      <c r="L52" s="3" t="str">
        <f>IFERROR(__xludf.DUMMYFUNCTION("""COMPUTED_VALUE"""),"Charlotte Wishnack")</f>
        <v>Charlotte Wishnack</v>
      </c>
      <c r="M52" s="3" t="str">
        <f>IFERROR(__xludf.DUMMYFUNCTION("""COMPUTED_VALUE"""),"Charlotte Wishnack")</f>
        <v>Charlotte Wishnack</v>
      </c>
      <c r="N52" s="3" t="str">
        <f>IFERROR(__xludf.DUMMYFUNCTION("""COMPUTED_VALUE"""),"Anna Clare Fleenor")</f>
        <v>Anna Clare Fleenor</v>
      </c>
      <c r="W52" s="3" t="str">
        <f>IFERROR(__xludf.DUMMYFUNCTION("""COMPUTED_VALUE"""),"Kat Vanbourgondien")</f>
        <v>Kat Vanbourgondien</v>
      </c>
    </row>
    <row r="53">
      <c r="B53" s="3" t="str">
        <f>IFERROR(__xludf.DUMMYFUNCTION("""COMPUTED_VALUE"""),"Tara Enneking")</f>
        <v>Tara Enneking</v>
      </c>
      <c r="C53" s="3" t="str">
        <f>IFERROR(__xludf.DUMMYFUNCTION("""COMPUTED_VALUE"""),"Colby Hurt")</f>
        <v>Colby Hurt</v>
      </c>
      <c r="D53" s="3" t="str">
        <f>IFERROR(__xludf.DUMMYFUNCTION("""COMPUTED_VALUE"""),"Tristan Harrison")</f>
        <v>Tristan Harrison</v>
      </c>
      <c r="E53" s="3" t="str">
        <f>IFERROR(__xludf.DUMMYFUNCTION("""COMPUTED_VALUE"""),"Kathryn Burrows")</f>
        <v>Kathryn Burrows</v>
      </c>
      <c r="G53" s="3" t="str">
        <f>IFERROR(__xludf.DUMMYFUNCTION("""COMPUTED_VALUE"""),"Summer Sampson")</f>
        <v>Summer Sampson</v>
      </c>
      <c r="H53" s="3" t="str">
        <f>IFERROR(__xludf.DUMMYFUNCTION("""COMPUTED_VALUE"""),"Alyssa Reilly")</f>
        <v>Alyssa Reilly</v>
      </c>
      <c r="I53" s="3" t="str">
        <f>IFERROR(__xludf.DUMMYFUNCTION("""COMPUTED_VALUE"""),"Molly Blanchard")</f>
        <v>Molly Blanchard</v>
      </c>
      <c r="J53" s="3" t="str">
        <f>IFERROR(__xludf.DUMMYFUNCTION("""COMPUTED_VALUE"""),"Megan Gaffney")</f>
        <v>Megan Gaffney</v>
      </c>
      <c r="K53" s="3" t="str">
        <f>IFERROR(__xludf.DUMMYFUNCTION("""COMPUTED_VALUE"""),"Ellie Ahmed")</f>
        <v>Ellie Ahmed</v>
      </c>
      <c r="L53" s="3" t="str">
        <f>IFERROR(__xludf.DUMMYFUNCTION("""COMPUTED_VALUE"""),"Britney Denny")</f>
        <v>Britney Denny</v>
      </c>
      <c r="M53" s="3" t="str">
        <f>IFERROR(__xludf.DUMMYFUNCTION("""COMPUTED_VALUE"""),"Mary Cornett")</f>
        <v>Mary Cornett</v>
      </c>
      <c r="N53" s="3" t="str">
        <f>IFERROR(__xludf.DUMMYFUNCTION("""COMPUTED_VALUE"""),"Lauren Barakey")</f>
        <v>Lauren Barakey</v>
      </c>
      <c r="W53" s="3" t="str">
        <f>IFERROR(__xludf.DUMMYFUNCTION("""COMPUTED_VALUE"""),"Raea Farquharson")</f>
        <v>Raea Farquharson</v>
      </c>
    </row>
    <row r="54">
      <c r="B54" s="3" t="str">
        <f>IFERROR(__xludf.DUMMYFUNCTION("""COMPUTED_VALUE"""),"Mary Cornett")</f>
        <v>Mary Cornett</v>
      </c>
      <c r="C54" s="3" t="str">
        <f>IFERROR(__xludf.DUMMYFUNCTION("""COMPUTED_VALUE"""),"Kimberly Large")</f>
        <v>Kimberly Large</v>
      </c>
      <c r="D54" s="3" t="str">
        <f>IFERROR(__xludf.DUMMYFUNCTION("""COMPUTED_VALUE"""),"Julia Smith")</f>
        <v>Julia Smith</v>
      </c>
      <c r="E54" s="3" t="str">
        <f>IFERROR(__xludf.DUMMYFUNCTION("""COMPUTED_VALUE"""),"Allison Langenburg")</f>
        <v>Allison Langenburg</v>
      </c>
      <c r="G54" s="3" t="str">
        <f>IFERROR(__xludf.DUMMYFUNCTION("""COMPUTED_VALUE"""),"Tara Enneking")</f>
        <v>Tara Enneking</v>
      </c>
      <c r="H54" s="3" t="str">
        <f>IFERROR(__xludf.DUMMYFUNCTION("""COMPUTED_VALUE"""),"Meagan Baxley")</f>
        <v>Meagan Baxley</v>
      </c>
      <c r="I54" s="3" t="str">
        <f>IFERROR(__xludf.DUMMYFUNCTION("""COMPUTED_VALUE"""),"Maddie Pierce")</f>
        <v>Maddie Pierce</v>
      </c>
      <c r="J54" s="3" t="str">
        <f>IFERROR(__xludf.DUMMYFUNCTION("""COMPUTED_VALUE"""),"Kat Burr")</f>
        <v>Kat Burr</v>
      </c>
      <c r="K54" s="3" t="str">
        <f>IFERROR(__xludf.DUMMYFUNCTION("""COMPUTED_VALUE"""),"Ally Kopal")</f>
        <v>Ally Kopal</v>
      </c>
      <c r="L54" s="3" t="str">
        <f>IFERROR(__xludf.DUMMYFUNCTION("""COMPUTED_VALUE"""),"Alexa Owen")</f>
        <v>Alexa Owen</v>
      </c>
      <c r="M54" s="3" t="str">
        <f>IFERROR(__xludf.DUMMYFUNCTION("""COMPUTED_VALUE"""),"Charlie Burt")</f>
        <v>Charlie Burt</v>
      </c>
      <c r="N54" s="3" t="str">
        <f>IFERROR(__xludf.DUMMYFUNCTION("""COMPUTED_VALUE"""),"Kinsey Brooks")</f>
        <v>Kinsey Brooks</v>
      </c>
      <c r="W54" s="3" t="str">
        <f>IFERROR(__xludf.DUMMYFUNCTION("""COMPUTED_VALUE"""),"Maggie Ivie")</f>
        <v>Maggie Ivie</v>
      </c>
    </row>
    <row r="55">
      <c r="B55" s="3" t="str">
        <f>IFERROR(__xludf.DUMMYFUNCTION("""COMPUTED_VALUE"""),"Maddie Pierce")</f>
        <v>Maddie Pierce</v>
      </c>
      <c r="C55" s="3" t="str">
        <f>IFERROR(__xludf.DUMMYFUNCTION("""COMPUTED_VALUE"""),"Jean Graham")</f>
        <v>Jean Graham</v>
      </c>
      <c r="D55" s="3" t="str">
        <f>IFERROR(__xludf.DUMMYFUNCTION("""COMPUTED_VALUE"""),"Hannah Garner")</f>
        <v>Hannah Garner</v>
      </c>
      <c r="E55" s="3" t="str">
        <f>IFERROR(__xludf.DUMMYFUNCTION("""COMPUTED_VALUE"""),"Laura Gaffney")</f>
        <v>Laura Gaffney</v>
      </c>
      <c r="G55" s="3" t="str">
        <f>IFERROR(__xludf.DUMMYFUNCTION("""COMPUTED_VALUE"""),"Sally Ennis")</f>
        <v>Sally Ennis</v>
      </c>
      <c r="H55" s="3" t="str">
        <f>IFERROR(__xludf.DUMMYFUNCTION("""COMPUTED_VALUE"""),"Laura Gaffney")</f>
        <v>Laura Gaffney</v>
      </c>
      <c r="I55" s="3" t="str">
        <f>IFERROR(__xludf.DUMMYFUNCTION("""COMPUTED_VALUE"""),"Cassidy Doyle")</f>
        <v>Cassidy Doyle</v>
      </c>
      <c r="J55" s="3" t="str">
        <f>IFERROR(__xludf.DUMMYFUNCTION("""COMPUTED_VALUE"""),"Alison Harvey")</f>
        <v>Alison Harvey</v>
      </c>
      <c r="K55" s="3" t="str">
        <f>IFERROR(__xludf.DUMMYFUNCTION("""COMPUTED_VALUE"""),"Charlotte Wishnack")</f>
        <v>Charlotte Wishnack</v>
      </c>
      <c r="L55" s="3" t="str">
        <f>IFERROR(__xludf.DUMMYFUNCTION("""COMPUTED_VALUE"""),"Kathryn Burrows")</f>
        <v>Kathryn Burrows</v>
      </c>
      <c r="M55" s="3" t="str">
        <f>IFERROR(__xludf.DUMMYFUNCTION("""COMPUTED_VALUE"""),"Leah Riley")</f>
        <v>Leah Riley</v>
      </c>
      <c r="N55" s="3" t="str">
        <f>IFERROR(__xludf.DUMMYFUNCTION("""COMPUTED_VALUE"""),"Charlotte Wishnack")</f>
        <v>Charlotte Wishnack</v>
      </c>
      <c r="W55" s="3" t="str">
        <f>IFERROR(__xludf.DUMMYFUNCTION("""COMPUTED_VALUE"""),"Hallie Wilson")</f>
        <v>Hallie Wilson</v>
      </c>
    </row>
    <row r="56">
      <c r="B56" s="3" t="str">
        <f>IFERROR(__xludf.DUMMYFUNCTION("""COMPUTED_VALUE"""),"Courtney Isley")</f>
        <v>Courtney Isley</v>
      </c>
      <c r="C56" s="3" t="str">
        <f>IFERROR(__xludf.DUMMYFUNCTION("""COMPUTED_VALUE"""),"Abby Fuller")</f>
        <v>Abby Fuller</v>
      </c>
      <c r="D56" s="3" t="str">
        <f>IFERROR(__xludf.DUMMYFUNCTION("""COMPUTED_VALUE"""),"Leah Riley")</f>
        <v>Leah Riley</v>
      </c>
      <c r="E56" s="3" t="str">
        <f>IFERROR(__xludf.DUMMYFUNCTION("""COMPUTED_VALUE"""),"Avery Rogers")</f>
        <v>Avery Rogers</v>
      </c>
      <c r="G56" s="3" t="str">
        <f>IFERROR(__xludf.DUMMYFUNCTION("""COMPUTED_VALUE"""),"Sofia Long")</f>
        <v>Sofia Long</v>
      </c>
      <c r="H56" s="3" t="str">
        <f>IFERROR(__xludf.DUMMYFUNCTION("""COMPUTED_VALUE"""),"Maddie Pierce")</f>
        <v>Maddie Pierce</v>
      </c>
      <c r="I56" s="3" t="str">
        <f>IFERROR(__xludf.DUMMYFUNCTION("""COMPUTED_VALUE"""),"Elizabette Macias")</f>
        <v>Elizabette Macias</v>
      </c>
      <c r="J56" s="3" t="str">
        <f>IFERROR(__xludf.DUMMYFUNCTION("""COMPUTED_VALUE"""),"Maggie Shepard")</f>
        <v>Maggie Shepard</v>
      </c>
      <c r="K56" s="3" t="str">
        <f>IFERROR(__xludf.DUMMYFUNCTION("""COMPUTED_VALUE"""),"Lauren Underwood")</f>
        <v>Lauren Underwood</v>
      </c>
      <c r="L56" s="3" t="str">
        <f>IFERROR(__xludf.DUMMYFUNCTION("""COMPUTED_VALUE"""),"Meagan Baxley")</f>
        <v>Meagan Baxley</v>
      </c>
      <c r="M56" s="3" t="str">
        <f>IFERROR(__xludf.DUMMYFUNCTION("""COMPUTED_VALUE"""),"Anna Clare Fleenor")</f>
        <v>Anna Clare Fleenor</v>
      </c>
      <c r="N56" s="3" t="str">
        <f>IFERROR(__xludf.DUMMYFUNCTION("""COMPUTED_VALUE"""),"Allison Langenburg")</f>
        <v>Allison Langenburg</v>
      </c>
      <c r="W56" s="3" t="str">
        <f>IFERROR(__xludf.DUMMYFUNCTION("""COMPUTED_VALUE"""),"Tess Deyerle")</f>
        <v>Tess Deyerle</v>
      </c>
    </row>
    <row r="57">
      <c r="B57" s="3" t="str">
        <f>IFERROR(__xludf.DUMMYFUNCTION("""COMPUTED_VALUE"""),"Kaitlyn Sullivan")</f>
        <v>Kaitlyn Sullivan</v>
      </c>
      <c r="C57" s="3" t="str">
        <f>IFERROR(__xludf.DUMMYFUNCTION("""COMPUTED_VALUE"""),"Anna Clare Fleenor")</f>
        <v>Anna Clare Fleenor</v>
      </c>
      <c r="D57" s="3" t="str">
        <f>IFERROR(__xludf.DUMMYFUNCTION("""COMPUTED_VALUE"""),"Lauren Shoemaker")</f>
        <v>Lauren Shoemaker</v>
      </c>
      <c r="E57" s="3" t="str">
        <f>IFERROR(__xludf.DUMMYFUNCTION("""COMPUTED_VALUE"""),"Gracie Mueller")</f>
        <v>Gracie Mueller</v>
      </c>
      <c r="G57" s="3" t="str">
        <f>IFERROR(__xludf.DUMMYFUNCTION("""COMPUTED_VALUE"""),"Ellie Ahmed")</f>
        <v>Ellie Ahmed</v>
      </c>
      <c r="H57" s="3" t="str">
        <f>IFERROR(__xludf.DUMMYFUNCTION("""COMPUTED_VALUE"""),"Hallie Wilson")</f>
        <v>Hallie Wilson</v>
      </c>
      <c r="I57" s="3" t="str">
        <f>IFERROR(__xludf.DUMMYFUNCTION("""COMPUTED_VALUE"""),"Kat Burr")</f>
        <v>Kat Burr</v>
      </c>
      <c r="J57" s="3" t="str">
        <f>IFERROR(__xludf.DUMMYFUNCTION("""COMPUTED_VALUE"""),"Claire Moody")</f>
        <v>Claire Moody</v>
      </c>
      <c r="K57" s="3" t="str">
        <f>IFERROR(__xludf.DUMMYFUNCTION("""COMPUTED_VALUE"""),"Shelby Raber")</f>
        <v>Shelby Raber</v>
      </c>
      <c r="L57" s="3" t="str">
        <f>IFERROR(__xludf.DUMMYFUNCTION("""COMPUTED_VALUE"""),"Anna Clare Fleenor")</f>
        <v>Anna Clare Fleenor</v>
      </c>
      <c r="M57" s="3" t="str">
        <f>IFERROR(__xludf.DUMMYFUNCTION("""COMPUTED_VALUE"""),"Brooke-Lynn Clark")</f>
        <v>Brooke-Lynn Clark</v>
      </c>
      <c r="N57" s="3" t="str">
        <f>IFERROR(__xludf.DUMMYFUNCTION("""COMPUTED_VALUE"""),"Maggie Shepard")</f>
        <v>Maggie Shepard</v>
      </c>
      <c r="W57" s="3" t="str">
        <f>IFERROR(__xludf.DUMMYFUNCTION("""COMPUTED_VALUE"""),"Anna Slominski")</f>
        <v>Anna Slominski</v>
      </c>
    </row>
    <row r="58">
      <c r="B58" s="3" t="str">
        <f>IFERROR(__xludf.DUMMYFUNCTION("""COMPUTED_VALUE"""),"Katie Nunez")</f>
        <v>Katie Nunez</v>
      </c>
      <c r="C58" s="3" t="str">
        <f>IFERROR(__xludf.DUMMYFUNCTION("""COMPUTED_VALUE"""),"Mary Heffron")</f>
        <v>Mary Heffron</v>
      </c>
      <c r="D58" s="3" t="str">
        <f>IFERROR(__xludf.DUMMYFUNCTION("""COMPUTED_VALUE"""),"Ellie Eckert")</f>
        <v>Ellie Eckert</v>
      </c>
      <c r="E58" s="3" t="str">
        <f>IFERROR(__xludf.DUMMYFUNCTION("""COMPUTED_VALUE"""),"Caroline Storen")</f>
        <v>Caroline Storen</v>
      </c>
      <c r="G58" s="3" t="str">
        <f>IFERROR(__xludf.DUMMYFUNCTION("""COMPUTED_VALUE"""),"angela ritchie")</f>
        <v>angela ritchie</v>
      </c>
      <c r="H58" s="3" t="str">
        <f>IFERROR(__xludf.DUMMYFUNCTION("""COMPUTED_VALUE"""),"Sally Ennis")</f>
        <v>Sally Ennis</v>
      </c>
      <c r="I58" s="3" t="str">
        <f>IFERROR(__xludf.DUMMYFUNCTION("""COMPUTED_VALUE"""),"Kristina Zachary")</f>
        <v>Kristina Zachary</v>
      </c>
      <c r="J58" s="3" t="str">
        <f>IFERROR(__xludf.DUMMYFUNCTION("""COMPUTED_VALUE"""),"Casey Fusco")</f>
        <v>Casey Fusco</v>
      </c>
      <c r="K58" s="3" t="str">
        <f>IFERROR(__xludf.DUMMYFUNCTION("""COMPUTED_VALUE"""),"Sydney Whiting")</f>
        <v>Sydney Whiting</v>
      </c>
      <c r="L58" s="3" t="str">
        <f>IFERROR(__xludf.DUMMYFUNCTION("""COMPUTED_VALUE"""),"Lauren Underwood")</f>
        <v>Lauren Underwood</v>
      </c>
      <c r="M58" s="3" t="str">
        <f>IFERROR(__xludf.DUMMYFUNCTION("""COMPUTED_VALUE"""),"Morgan Miller")</f>
        <v>Morgan Miller</v>
      </c>
      <c r="N58" s="3" t="str">
        <f>IFERROR(__xludf.DUMMYFUNCTION("""COMPUTED_VALUE"""),"Sanna Peterson")</f>
        <v>Sanna Peterson</v>
      </c>
      <c r="W58" s="3" t="str">
        <f>IFERROR(__xludf.DUMMYFUNCTION("""COMPUTED_VALUE"""),"Kylie Thompson")</f>
        <v>Kylie Thompson</v>
      </c>
    </row>
    <row r="59">
      <c r="B59" s="3" t="str">
        <f>IFERROR(__xludf.DUMMYFUNCTION("""COMPUTED_VALUE"""),"Tamara Wheater")</f>
        <v>Tamara Wheater</v>
      </c>
      <c r="C59" s="3" t="str">
        <f>IFERROR(__xludf.DUMMYFUNCTION("""COMPUTED_VALUE"""),"Ally Kopal")</f>
        <v>Ally Kopal</v>
      </c>
      <c r="D59" s="3" t="str">
        <f>IFERROR(__xludf.DUMMYFUNCTION("""COMPUTED_VALUE"""),"Erin Langenburg")</f>
        <v>Erin Langenburg</v>
      </c>
      <c r="E59" s="3" t="str">
        <f>IFERROR(__xludf.DUMMYFUNCTION("""COMPUTED_VALUE"""),"Tillie Lewis")</f>
        <v>Tillie Lewis</v>
      </c>
      <c r="G59" s="3" t="str">
        <f>IFERROR(__xludf.DUMMYFUNCTION("""COMPUTED_VALUE"""),"Kierstin Godfrey")</f>
        <v>Kierstin Godfrey</v>
      </c>
      <c r="H59" s="3" t="str">
        <f>IFERROR(__xludf.DUMMYFUNCTION("""COMPUTED_VALUE"""),"Calli McEvoy")</f>
        <v>Calli McEvoy</v>
      </c>
      <c r="I59" s="3" t="str">
        <f>IFERROR(__xludf.DUMMYFUNCTION("""COMPUTED_VALUE"""),"Anna Slominski")</f>
        <v>Anna Slominski</v>
      </c>
      <c r="J59" s="3" t="str">
        <f>IFERROR(__xludf.DUMMYFUNCTION("""COMPUTED_VALUE"""),"Tatum Robinson")</f>
        <v>Tatum Robinson</v>
      </c>
      <c r="K59" s="3" t="str">
        <f>IFERROR(__xludf.DUMMYFUNCTION("""COMPUTED_VALUE"""),"Alyssa Reilly")</f>
        <v>Alyssa Reilly</v>
      </c>
      <c r="L59" s="3" t="str">
        <f>IFERROR(__xludf.DUMMYFUNCTION("""COMPUTED_VALUE"""),"Sophie Knepper")</f>
        <v>Sophie Knepper</v>
      </c>
      <c r="M59" s="3" t="str">
        <f>IFERROR(__xludf.DUMMYFUNCTION("""COMPUTED_VALUE"""),"Kaitlyn Sullivan")</f>
        <v>Kaitlyn Sullivan</v>
      </c>
      <c r="N59" s="3" t="str">
        <f>IFERROR(__xludf.DUMMYFUNCTION("""COMPUTED_VALUE"""),"Britney Denny")</f>
        <v>Britney Denny</v>
      </c>
      <c r="W59" s="3" t="str">
        <f>IFERROR(__xludf.DUMMYFUNCTION("""COMPUTED_VALUE"""),"Leah Riley")</f>
        <v>Leah Riley</v>
      </c>
    </row>
    <row r="60">
      <c r="B60" s="3" t="str">
        <f>IFERROR(__xludf.DUMMYFUNCTION("""COMPUTED_VALUE"""),"Mary Heffron")</f>
        <v>Mary Heffron</v>
      </c>
      <c r="C60" s="3" t="str">
        <f>IFERROR(__xludf.DUMMYFUNCTION("""COMPUTED_VALUE"""),"Leah Riley")</f>
        <v>Leah Riley</v>
      </c>
      <c r="D60" s="3" t="str">
        <f>IFERROR(__xludf.DUMMYFUNCTION("""COMPUTED_VALUE"""),"Allison Langenburg")</f>
        <v>Allison Langenburg</v>
      </c>
      <c r="E60" s="3" t="str">
        <f>IFERROR(__xludf.DUMMYFUNCTION("""COMPUTED_VALUE"""),"Lauren Shoemaker")</f>
        <v>Lauren Shoemaker</v>
      </c>
      <c r="G60" s="3" t="str">
        <f>IFERROR(__xludf.DUMMYFUNCTION("""COMPUTED_VALUE"""),"Lindsey Hair")</f>
        <v>Lindsey Hair</v>
      </c>
      <c r="H60" s="3" t="str">
        <f>IFERROR(__xludf.DUMMYFUNCTION("""COMPUTED_VALUE"""),"Kayla Wilson")</f>
        <v>Kayla Wilson</v>
      </c>
      <c r="I60" s="3" t="str">
        <f>IFERROR(__xludf.DUMMYFUNCTION("""COMPUTED_VALUE"""),"Emma De Jong")</f>
        <v>Emma De Jong</v>
      </c>
      <c r="J60" s="3" t="str">
        <f>IFERROR(__xludf.DUMMYFUNCTION("""COMPUTED_VALUE"""),"Kristina Zachary")</f>
        <v>Kristina Zachary</v>
      </c>
      <c r="K60" s="3" t="str">
        <f>IFERROR(__xludf.DUMMYFUNCTION("""COMPUTED_VALUE"""),"Kimberly Warnagiris")</f>
        <v>Kimberly Warnagiris</v>
      </c>
      <c r="L60" s="3" t="str">
        <f>IFERROR(__xludf.DUMMYFUNCTION("""COMPUTED_VALUE"""),"Korina Davis")</f>
        <v>Korina Davis</v>
      </c>
      <c r="M60" s="3" t="str">
        <f>IFERROR(__xludf.DUMMYFUNCTION("""COMPUTED_VALUE"""),"Lauren Barakey")</f>
        <v>Lauren Barakey</v>
      </c>
      <c r="N60" s="3" t="str">
        <f>IFERROR(__xludf.DUMMYFUNCTION("""COMPUTED_VALUE"""),"Molly Blanchard")</f>
        <v>Molly Blanchard</v>
      </c>
      <c r="W60" s="3" t="str">
        <f>IFERROR(__xludf.DUMMYFUNCTION("""COMPUTED_VALUE"""),"Christa Jones")</f>
        <v>Christa Jones</v>
      </c>
    </row>
    <row r="61">
      <c r="B61" s="3" t="str">
        <f>IFERROR(__xludf.DUMMYFUNCTION("""COMPUTED_VALUE"""),"Sara Gaston")</f>
        <v>Sara Gaston</v>
      </c>
      <c r="C61" s="3" t="str">
        <f>IFERROR(__xludf.DUMMYFUNCTION("""COMPUTED_VALUE"""),"Maddie Pierce")</f>
        <v>Maddie Pierce</v>
      </c>
      <c r="D61" s="3" t="str">
        <f>IFERROR(__xludf.DUMMYFUNCTION("""COMPUTED_VALUE"""),"Avery Rogers")</f>
        <v>Avery Rogers</v>
      </c>
      <c r="E61" s="3" t="str">
        <f>IFERROR(__xludf.DUMMYFUNCTION("""COMPUTED_VALUE"""),"Michaela Sizemore")</f>
        <v>Michaela Sizemore</v>
      </c>
      <c r="G61" s="3" t="str">
        <f>IFERROR(__xludf.DUMMYFUNCTION("""COMPUTED_VALUE"""),"Claire Moody")</f>
        <v>Claire Moody</v>
      </c>
      <c r="H61" s="3" t="str">
        <f>IFERROR(__xludf.DUMMYFUNCTION("""COMPUTED_VALUE"""),"Casey Fusco")</f>
        <v>Casey Fusco</v>
      </c>
      <c r="I61" s="3" t="str">
        <f>IFERROR(__xludf.DUMMYFUNCTION("""COMPUTED_VALUE"""),"Alison Harvey")</f>
        <v>Alison Harvey</v>
      </c>
      <c r="J61" s="3" t="str">
        <f>IFERROR(__xludf.DUMMYFUNCTION("""COMPUTED_VALUE"""),"Sydney Hall")</f>
        <v>Sydney Hall</v>
      </c>
      <c r="K61" s="3" t="str">
        <f>IFERROR(__xludf.DUMMYFUNCTION("""COMPUTED_VALUE"""),"Cecilia Cortez")</f>
        <v>Cecilia Cortez</v>
      </c>
      <c r="L61" s="3" t="str">
        <f>IFERROR(__xludf.DUMMYFUNCTION("""COMPUTED_VALUE"""),"Hannah Garner")</f>
        <v>Hannah Garner</v>
      </c>
      <c r="M61" s="3" t="str">
        <f>IFERROR(__xludf.DUMMYFUNCTION("""COMPUTED_VALUE"""),"Maura Graff")</f>
        <v>Maura Graff</v>
      </c>
      <c r="N61" s="3" t="str">
        <f>IFERROR(__xludf.DUMMYFUNCTION("""COMPUTED_VALUE"""),"Jillian Haig")</f>
        <v>Jillian Haig</v>
      </c>
      <c r="W61" s="3" t="str">
        <f>IFERROR(__xludf.DUMMYFUNCTION("""COMPUTED_VALUE"""),"Sophia Yu")</f>
        <v>Sophia Yu</v>
      </c>
    </row>
    <row r="62">
      <c r="B62" s="3" t="str">
        <f>IFERROR(__xludf.DUMMYFUNCTION("""COMPUTED_VALUE"""),"Sofia Long")</f>
        <v>Sofia Long</v>
      </c>
      <c r="C62" s="3" t="str">
        <f>IFERROR(__xludf.DUMMYFUNCTION("""COMPUTED_VALUE"""),"Maura Graff")</f>
        <v>Maura Graff</v>
      </c>
      <c r="D62" s="3" t="str">
        <f>IFERROR(__xludf.DUMMYFUNCTION("""COMPUTED_VALUE"""),"Maddie Wallin")</f>
        <v>Maddie Wallin</v>
      </c>
      <c r="E62" s="3" t="str">
        <f>IFERROR(__xludf.DUMMYFUNCTION("""COMPUTED_VALUE"""),"Katie Nunez")</f>
        <v>Katie Nunez</v>
      </c>
      <c r="G62" s="3" t="str">
        <f>IFERROR(__xludf.DUMMYFUNCTION("""COMPUTED_VALUE"""),"Hallie Wilson")</f>
        <v>Hallie Wilson</v>
      </c>
      <c r="H62" s="3" t="str">
        <f>IFERROR(__xludf.DUMMYFUNCTION("""COMPUTED_VALUE"""),"Kathryn Burrows")</f>
        <v>Kathryn Burrows</v>
      </c>
      <c r="I62" s="3" t="str">
        <f>IFERROR(__xludf.DUMMYFUNCTION("""COMPUTED_VALUE"""),"Brooke Simila")</f>
        <v>Brooke Simila</v>
      </c>
      <c r="J62" s="3" t="str">
        <f>IFERROR(__xludf.DUMMYFUNCTION("""COMPUTED_VALUE"""),"Shannah Dillman")</f>
        <v>Shannah Dillman</v>
      </c>
      <c r="K62" s="3" t="str">
        <f>IFERROR(__xludf.DUMMYFUNCTION("""COMPUTED_VALUE"""),"Erin Langenburg")</f>
        <v>Erin Langenburg</v>
      </c>
      <c r="L62" s="3" t="str">
        <f>IFERROR(__xludf.DUMMYFUNCTION("""COMPUTED_VALUE"""),"Sara Gaston")</f>
        <v>Sara Gaston</v>
      </c>
      <c r="M62" s="3" t="str">
        <f>IFERROR(__xludf.DUMMYFUNCTION("""COMPUTED_VALUE"""),"Alyssa Reilly")</f>
        <v>Alyssa Reilly</v>
      </c>
      <c r="N62" s="3" t="str">
        <f>IFERROR(__xludf.DUMMYFUNCTION("""COMPUTED_VALUE"""),"Clara Rodriguez")</f>
        <v>Clara Rodriguez</v>
      </c>
      <c r="W62" s="3" t="str">
        <f>IFERROR(__xludf.DUMMYFUNCTION("""COMPUTED_VALUE"""),"Natalie Hidrobo")</f>
        <v>Natalie Hidrobo</v>
      </c>
    </row>
    <row r="63">
      <c r="B63" s="3" t="str">
        <f>IFERROR(__xludf.DUMMYFUNCTION("""COMPUTED_VALUE"""),"Alexandra Browne")</f>
        <v>Alexandra Browne</v>
      </c>
      <c r="C63" s="3" t="str">
        <f>IFERROR(__xludf.DUMMYFUNCTION("""COMPUTED_VALUE"""),"Kaitlyn Sullivan")</f>
        <v>Kaitlyn Sullivan</v>
      </c>
      <c r="D63" s="3" t="str">
        <f>IFERROR(__xludf.DUMMYFUNCTION("""COMPUTED_VALUE"""),"Ellie Webb")</f>
        <v>Ellie Webb</v>
      </c>
      <c r="E63" s="3" t="str">
        <f>IFERROR(__xludf.DUMMYFUNCTION("""COMPUTED_VALUE"""),"Abby Russell")</f>
        <v>Abby Russell</v>
      </c>
      <c r="G63" s="3" t="str">
        <f>IFERROR(__xludf.DUMMYFUNCTION("""COMPUTED_VALUE"""),"Kelsey Peel")</f>
        <v>Kelsey Peel</v>
      </c>
      <c r="H63" s="3" t="str">
        <f>IFERROR(__xludf.DUMMYFUNCTION("""COMPUTED_VALUE"""),"Maggie Ivie")</f>
        <v>Maggie Ivie</v>
      </c>
      <c r="I63" s="3" t="str">
        <f>IFERROR(__xludf.DUMMYFUNCTION("""COMPUTED_VALUE"""),"Anne Bowles")</f>
        <v>Anne Bowles</v>
      </c>
      <c r="J63" s="3" t="str">
        <f>IFERROR(__xludf.DUMMYFUNCTION("""COMPUTED_VALUE"""),"Britney Denny")</f>
        <v>Britney Denny</v>
      </c>
      <c r="K63" s="3" t="str">
        <f>IFERROR(__xludf.DUMMYFUNCTION("""COMPUTED_VALUE"""),"Lauren Shoemaker")</f>
        <v>Lauren Shoemaker</v>
      </c>
      <c r="L63" s="3" t="str">
        <f>IFERROR(__xludf.DUMMYFUNCTION("""COMPUTED_VALUE"""),"Leah Riley")</f>
        <v>Leah Riley</v>
      </c>
      <c r="M63" s="3" t="str">
        <f>IFERROR(__xludf.DUMMYFUNCTION("""COMPUTED_VALUE"""),"Shelby Raber")</f>
        <v>Shelby Raber</v>
      </c>
      <c r="N63" s="3" t="str">
        <f>IFERROR(__xludf.DUMMYFUNCTION("""COMPUTED_VALUE"""),"Abby Russell")</f>
        <v>Abby Russell</v>
      </c>
      <c r="W63" s="3" t="str">
        <f>IFERROR(__xludf.DUMMYFUNCTION("""COMPUTED_VALUE"""),"Grace Clemens")</f>
        <v>Grace Clemens</v>
      </c>
    </row>
    <row r="64">
      <c r="B64" s="3" t="str">
        <f>IFERROR(__xludf.DUMMYFUNCTION("""COMPUTED_VALUE"""),"Kat Burr")</f>
        <v>Kat Burr</v>
      </c>
      <c r="C64" s="3" t="str">
        <f>IFERROR(__xludf.DUMMYFUNCTION("""COMPUTED_VALUE"""),"Josephine Fuller")</f>
        <v>Josephine Fuller</v>
      </c>
      <c r="D64" s="3" t="str">
        <f>IFERROR(__xludf.DUMMYFUNCTION("""COMPUTED_VALUE"""),"Shelby Raber")</f>
        <v>Shelby Raber</v>
      </c>
      <c r="E64" s="3" t="str">
        <f>IFERROR(__xludf.DUMMYFUNCTION("""COMPUTED_VALUE"""),"Hallie Wilson")</f>
        <v>Hallie Wilson</v>
      </c>
      <c r="G64" s="3" t="str">
        <f>IFERROR(__xludf.DUMMYFUNCTION("""COMPUTED_VALUE"""),"Lena Steckler")</f>
        <v>Lena Steckler</v>
      </c>
      <c r="H64" s="3" t="str">
        <f>IFERROR(__xludf.DUMMYFUNCTION("""COMPUTED_VALUE"""),"Lena Steckler")</f>
        <v>Lena Steckler</v>
      </c>
      <c r="I64" s="3" t="str">
        <f>IFERROR(__xludf.DUMMYFUNCTION("""COMPUTED_VALUE"""),"Zorey Sargent")</f>
        <v>Zorey Sargent</v>
      </c>
      <c r="J64" s="3" t="str">
        <f>IFERROR(__xludf.DUMMYFUNCTION("""COMPUTED_VALUE"""),"Zorey Sargent")</f>
        <v>Zorey Sargent</v>
      </c>
      <c r="K64" s="3" t="str">
        <f>IFERROR(__xludf.DUMMYFUNCTION("""COMPUTED_VALUE"""),"Sara Gaston")</f>
        <v>Sara Gaston</v>
      </c>
      <c r="L64" s="3" t="str">
        <f>IFERROR(__xludf.DUMMYFUNCTION("""COMPUTED_VALUE"""),"Jillian Haig")</f>
        <v>Jillian Haig</v>
      </c>
      <c r="M64" s="3" t="str">
        <f>IFERROR(__xludf.DUMMYFUNCTION("""COMPUTED_VALUE"""),"Katie Nunez")</f>
        <v>Katie Nunez</v>
      </c>
      <c r="N64" s="3" t="str">
        <f>IFERROR(__xludf.DUMMYFUNCTION("""COMPUTED_VALUE"""),"Olivia Hutton")</f>
        <v>Olivia Hutton</v>
      </c>
      <c r="W64" s="3" t="str">
        <f>IFERROR(__xludf.DUMMYFUNCTION("""COMPUTED_VALUE"""),"Isabelle Bauer")</f>
        <v>Isabelle Bauer</v>
      </c>
    </row>
    <row r="65">
      <c r="B65" s="3" t="str">
        <f>IFERROR(__xludf.DUMMYFUNCTION("""COMPUTED_VALUE"""),"Kelsey Peel")</f>
        <v>Kelsey Peel</v>
      </c>
      <c r="C65" s="3" t="str">
        <f>IFERROR(__xludf.DUMMYFUNCTION("""COMPUTED_VALUE"""),"Ellie Webb")</f>
        <v>Ellie Webb</v>
      </c>
      <c r="D65" s="3" t="str">
        <f>IFERROR(__xludf.DUMMYFUNCTION("""COMPUTED_VALUE"""),"Jean Graham")</f>
        <v>Jean Graham</v>
      </c>
      <c r="E65" s="3" t="str">
        <f>IFERROR(__xludf.DUMMYFUNCTION("""COMPUTED_VALUE"""),"Kennedy Darensbourg")</f>
        <v>Kennedy Darensbourg</v>
      </c>
      <c r="G65" s="3" t="str">
        <f>IFERROR(__xludf.DUMMYFUNCTION("""COMPUTED_VALUE"""),"Maggie Dominick")</f>
        <v>Maggie Dominick</v>
      </c>
      <c r="H65" s="3" t="str">
        <f>IFERROR(__xludf.DUMMYFUNCTION("""COMPUTED_VALUE"""),"Athena Vanyo")</f>
        <v>Athena Vanyo</v>
      </c>
      <c r="I65" s="3" t="str">
        <f>IFERROR(__xludf.DUMMYFUNCTION("""COMPUTED_VALUE"""),"Megan Gaffney")</f>
        <v>Megan Gaffney</v>
      </c>
      <c r="J65" s="3" t="str">
        <f>IFERROR(__xludf.DUMMYFUNCTION("""COMPUTED_VALUE"""),"Anna Slominski")</f>
        <v>Anna Slominski</v>
      </c>
      <c r="K65" s="3" t="str">
        <f>IFERROR(__xludf.DUMMYFUNCTION("""COMPUTED_VALUE"""),"Hannah Jirsa")</f>
        <v>Hannah Jirsa</v>
      </c>
      <c r="L65" s="3" t="str">
        <f>IFERROR(__xludf.DUMMYFUNCTION("""COMPUTED_VALUE"""),"angela ritchie")</f>
        <v>angela ritchie</v>
      </c>
      <c r="M65" s="3" t="str">
        <f>IFERROR(__xludf.DUMMYFUNCTION("""COMPUTED_VALUE"""),"Hannah Garner")</f>
        <v>Hannah Garner</v>
      </c>
      <c r="N65" s="3" t="str">
        <f>IFERROR(__xludf.DUMMYFUNCTION("""COMPUTED_VALUE"""),"Julie Anderson")</f>
        <v>Julie Anderson</v>
      </c>
      <c r="W65" s="3" t="str">
        <f>IFERROR(__xludf.DUMMYFUNCTION("""COMPUTED_VALUE"""),"Hannah Jirsa")</f>
        <v>Hannah Jirsa</v>
      </c>
    </row>
    <row r="66">
      <c r="B66" s="3" t="str">
        <f>IFERROR(__xludf.DUMMYFUNCTION("""COMPUTED_VALUE"""),"Aleena De Sir")</f>
        <v>Aleena De Sir</v>
      </c>
      <c r="C66" s="3" t="str">
        <f>IFERROR(__xludf.DUMMYFUNCTION("""COMPUTED_VALUE"""),"Claire Moody")</f>
        <v>Claire Moody</v>
      </c>
      <c r="D66" s="3" t="str">
        <f>IFERROR(__xludf.DUMMYFUNCTION("""COMPUTED_VALUE"""),"Claire Moody")</f>
        <v>Claire Moody</v>
      </c>
      <c r="E66" s="3" t="str">
        <f>IFERROR(__xludf.DUMMYFUNCTION("""COMPUTED_VALUE"""),"Paige Strycker")</f>
        <v>Paige Strycker</v>
      </c>
      <c r="G66" s="3" t="str">
        <f>IFERROR(__xludf.DUMMYFUNCTION("""COMPUTED_VALUE"""),"Kaila Hewitt")</f>
        <v>Kaila Hewitt</v>
      </c>
      <c r="H66" s="3" t="str">
        <f>IFERROR(__xludf.DUMMYFUNCTION("""COMPUTED_VALUE"""),"Shannah Dillman")</f>
        <v>Shannah Dillman</v>
      </c>
      <c r="I66" s="3" t="str">
        <f>IFERROR(__xludf.DUMMYFUNCTION("""COMPUTED_VALUE"""),"Kaitlyn Sullivan")</f>
        <v>Kaitlyn Sullivan</v>
      </c>
      <c r="J66" s="3" t="str">
        <f>IFERROR(__xludf.DUMMYFUNCTION("""COMPUTED_VALUE"""),"Emma De Jong")</f>
        <v>Emma De Jong</v>
      </c>
      <c r="K66" s="3" t="str">
        <f>IFERROR(__xludf.DUMMYFUNCTION("""COMPUTED_VALUE"""),"Tatum Robinson")</f>
        <v>Tatum Robinson</v>
      </c>
      <c r="L66" s="3" t="str">
        <f>IFERROR(__xludf.DUMMYFUNCTION("""COMPUTED_VALUE"""),"Avery Rogers")</f>
        <v>Avery Rogers</v>
      </c>
      <c r="M66" s="3" t="str">
        <f>IFERROR(__xludf.DUMMYFUNCTION("""COMPUTED_VALUE"""),"Michaela Sizemore")</f>
        <v>Michaela Sizemore</v>
      </c>
      <c r="N66" s="3" t="str">
        <f>IFERROR(__xludf.DUMMYFUNCTION("""COMPUTED_VALUE"""),"Grey Davis")</f>
        <v>Grey Davis</v>
      </c>
      <c r="W66" s="3" t="str">
        <f>IFERROR(__xludf.DUMMYFUNCTION("""COMPUTED_VALUE"""),"Anka Whelan")</f>
        <v>Anka Whelan</v>
      </c>
    </row>
    <row r="67">
      <c r="B67" s="3" t="str">
        <f>IFERROR(__xludf.DUMMYFUNCTION("""COMPUTED_VALUE"""),"Brooke Lamoureux")</f>
        <v>Brooke Lamoureux</v>
      </c>
      <c r="C67" s="3" t="str">
        <f>IFERROR(__xludf.DUMMYFUNCTION("""COMPUTED_VALUE"""),"Avery Rogers")</f>
        <v>Avery Rogers</v>
      </c>
      <c r="D67" s="3" t="str">
        <f>IFERROR(__xludf.DUMMYFUNCTION("""COMPUTED_VALUE"""),"Hannah Jirsa")</f>
        <v>Hannah Jirsa</v>
      </c>
      <c r="E67" s="3" t="str">
        <f>IFERROR(__xludf.DUMMYFUNCTION("""COMPUTED_VALUE"""),"Grace Morgan")</f>
        <v>Grace Morgan</v>
      </c>
      <c r="G67" s="3" t="str">
        <f>IFERROR(__xludf.DUMMYFUNCTION("""COMPUTED_VALUE"""),"Kristen Wagner")</f>
        <v>Kristen Wagner</v>
      </c>
      <c r="H67" s="3" t="str">
        <f>IFERROR(__xludf.DUMMYFUNCTION("""COMPUTED_VALUE"""),"Sofia Long")</f>
        <v>Sofia Long</v>
      </c>
      <c r="I67" s="3" t="str">
        <f>IFERROR(__xludf.DUMMYFUNCTION("""COMPUTED_VALUE"""),"Lexi Plogger")</f>
        <v>Lexi Plogger</v>
      </c>
      <c r="J67" s="3" t="str">
        <f>IFERROR(__xludf.DUMMYFUNCTION("""COMPUTED_VALUE"""),"Rylee Woelk")</f>
        <v>Rylee Woelk</v>
      </c>
      <c r="K67" s="3" t="str">
        <f>IFERROR(__xludf.DUMMYFUNCTION("""COMPUTED_VALUE"""),"Maggie Shepard")</f>
        <v>Maggie Shepard</v>
      </c>
      <c r="L67" s="3" t="str">
        <f>IFERROR(__xludf.DUMMYFUNCTION("""COMPUTED_VALUE"""),"Michaela Sizemore")</f>
        <v>Michaela Sizemore</v>
      </c>
      <c r="M67" s="3" t="str">
        <f>IFERROR(__xludf.DUMMYFUNCTION("""COMPUTED_VALUE"""),"Lauren Underwood")</f>
        <v>Lauren Underwood</v>
      </c>
      <c r="N67" s="3" t="str">
        <f>IFERROR(__xludf.DUMMYFUNCTION("""COMPUTED_VALUE"""),"Calli McEvoy")</f>
        <v>Calli McEvoy</v>
      </c>
      <c r="W67" s="3" t="str">
        <f>IFERROR(__xludf.DUMMYFUNCTION("""COMPUTED_VALUE"""),"Elizabette Macias")</f>
        <v>Elizabette Macias</v>
      </c>
    </row>
    <row r="68">
      <c r="B68" s="3" t="str">
        <f>IFERROR(__xludf.DUMMYFUNCTION("""COMPUTED_VALUE"""),"Casey Fusco")</f>
        <v>Casey Fusco</v>
      </c>
      <c r="C68" s="3" t="str">
        <f>IFERROR(__xludf.DUMMYFUNCTION("""COMPUTED_VALUE"""),"Raea Farquharson")</f>
        <v>Raea Farquharson</v>
      </c>
      <c r="D68" s="3" t="str">
        <f>IFERROR(__xludf.DUMMYFUNCTION("""COMPUTED_VALUE"""),"Sara Gaston")</f>
        <v>Sara Gaston</v>
      </c>
      <c r="E68" s="3" t="str">
        <f>IFERROR(__xludf.DUMMYFUNCTION("""COMPUTED_VALUE"""),"Julie Anderson")</f>
        <v>Julie Anderson</v>
      </c>
      <c r="G68" s="3" t="str">
        <f>IFERROR(__xludf.DUMMYFUNCTION("""COMPUTED_VALUE"""),"Blythe Brenner")</f>
        <v>Blythe Brenner</v>
      </c>
      <c r="H68" s="3" t="str">
        <f>IFERROR(__xludf.DUMMYFUNCTION("""COMPUTED_VALUE"""),"Kierstin Godfrey")</f>
        <v>Kierstin Godfrey</v>
      </c>
      <c r="I68" s="3" t="str">
        <f>IFERROR(__xludf.DUMMYFUNCTION("""COMPUTED_VALUE"""),"Claire Moody")</f>
        <v>Claire Moody</v>
      </c>
      <c r="J68" s="3" t="str">
        <f>IFERROR(__xludf.DUMMYFUNCTION("""COMPUTED_VALUE"""),"Olivia Hutton")</f>
        <v>Olivia Hutton</v>
      </c>
      <c r="K68" s="3" t="str">
        <f>IFERROR(__xludf.DUMMYFUNCTION("""COMPUTED_VALUE"""),"Zorey Sargent")</f>
        <v>Zorey Sargent</v>
      </c>
      <c r="L68" s="3" t="str">
        <f>IFERROR(__xludf.DUMMYFUNCTION("""COMPUTED_VALUE"""),"Rose McMullen")</f>
        <v>Rose McMullen</v>
      </c>
      <c r="M68" s="3" t="str">
        <f>IFERROR(__xludf.DUMMYFUNCTION("""COMPUTED_VALUE"""),"Anka Whelan")</f>
        <v>Anka Whelan</v>
      </c>
      <c r="N68" s="3" t="str">
        <f>IFERROR(__xludf.DUMMYFUNCTION("""COMPUTED_VALUE"""),"Gracie Mueller")</f>
        <v>Gracie Mueller</v>
      </c>
      <c r="W68" s="3" t="str">
        <f>IFERROR(__xludf.DUMMYFUNCTION("""COMPUTED_VALUE"""),"Lindsey Hair")</f>
        <v>Lindsey Hair</v>
      </c>
    </row>
    <row r="69">
      <c r="B69" s="3" t="str">
        <f>IFERROR(__xludf.DUMMYFUNCTION("""COMPUTED_VALUE"""),"Anna Clare Fleenor")</f>
        <v>Anna Clare Fleenor</v>
      </c>
      <c r="C69" s="3" t="str">
        <f>IFERROR(__xludf.DUMMYFUNCTION("""COMPUTED_VALUE"""),"Aleena De Sir")</f>
        <v>Aleena De Sir</v>
      </c>
      <c r="D69" s="3" t="str">
        <f>IFERROR(__xludf.DUMMYFUNCTION("""COMPUTED_VALUE"""),"Abby Russell")</f>
        <v>Abby Russell</v>
      </c>
      <c r="E69" s="3" t="str">
        <f>IFERROR(__xludf.DUMMYFUNCTION("""COMPUTED_VALUE"""),"Anne-Elaine Tiller")</f>
        <v>Anne-Elaine Tiller</v>
      </c>
      <c r="G69" s="3" t="str">
        <f>IFERROR(__xludf.DUMMYFUNCTION("""COMPUTED_VALUE"""),"Alison Harvey")</f>
        <v>Alison Harvey</v>
      </c>
      <c r="H69" s="3" t="str">
        <f>IFERROR(__xludf.DUMMYFUNCTION("""COMPUTED_VALUE"""),"Maggie Dominick")</f>
        <v>Maggie Dominick</v>
      </c>
      <c r="I69" s="3" t="str">
        <f>IFERROR(__xludf.DUMMYFUNCTION("""COMPUTED_VALUE"""),"Jordan MacIsaac")</f>
        <v>Jordan MacIsaac</v>
      </c>
      <c r="J69" s="3" t="str">
        <f>IFERROR(__xludf.DUMMYFUNCTION("""COMPUTED_VALUE"""),"Pearl Kluger")</f>
        <v>Pearl Kluger</v>
      </c>
      <c r="K69" s="3" t="str">
        <f>IFERROR(__xludf.DUMMYFUNCTION("""COMPUTED_VALUE"""),"Kathryn Burrows")</f>
        <v>Kathryn Burrows</v>
      </c>
      <c r="L69" s="3" t="str">
        <f>IFERROR(__xludf.DUMMYFUNCTION("""COMPUTED_VALUE"""),"Grey Davis")</f>
        <v>Grey Davis</v>
      </c>
      <c r="M69" s="3" t="str">
        <f>IFERROR(__xludf.DUMMYFUNCTION("""COMPUTED_VALUE"""),"Ally Kopal")</f>
        <v>Ally Kopal</v>
      </c>
      <c r="N69" s="3" t="str">
        <f>IFERROR(__xludf.DUMMYFUNCTION("""COMPUTED_VALUE"""),"Sydney McCallie")</f>
        <v>Sydney McCallie</v>
      </c>
      <c r="W69" s="3" t="str">
        <f>IFERROR(__xludf.DUMMYFUNCTION("""COMPUTED_VALUE"""),"Lauren Masters")</f>
        <v>Lauren Masters</v>
      </c>
    </row>
    <row r="70">
      <c r="B70" s="3" t="str">
        <f>IFERROR(__xludf.DUMMYFUNCTION("""COMPUTED_VALUE"""),"Jean Graham")</f>
        <v>Jean Graham</v>
      </c>
      <c r="C70" s="3" t="str">
        <f>IFERROR(__xludf.DUMMYFUNCTION("""COMPUTED_VALUE"""),"Alexandra Browne")</f>
        <v>Alexandra Browne</v>
      </c>
      <c r="D70" s="3" t="str">
        <f>IFERROR(__xludf.DUMMYFUNCTION("""COMPUTED_VALUE"""),"Megan Gaffney")</f>
        <v>Megan Gaffney</v>
      </c>
      <c r="E70" s="3" t="str">
        <f>IFERROR(__xludf.DUMMYFUNCTION("""COMPUTED_VALUE"""),"Bella Kimbel")</f>
        <v>Bella Kimbel</v>
      </c>
      <c r="G70" s="3" t="str">
        <f>IFERROR(__xludf.DUMMYFUNCTION("""COMPUTED_VALUE"""),"Jean Graham")</f>
        <v>Jean Graham</v>
      </c>
      <c r="H70" s="3" t="str">
        <f>IFERROR(__xludf.DUMMYFUNCTION("""COMPUTED_VALUE"""),"Alexa Owen")</f>
        <v>Alexa Owen</v>
      </c>
      <c r="I70" s="3" t="str">
        <f>IFERROR(__xludf.DUMMYFUNCTION("""COMPUTED_VALUE"""),"Casey Fusco")</f>
        <v>Casey Fusco</v>
      </c>
      <c r="J70" s="3" t="str">
        <f>IFERROR(__xludf.DUMMYFUNCTION("""COMPUTED_VALUE"""),"Amelia Macholz")</f>
        <v>Amelia Macholz</v>
      </c>
      <c r="K70" s="3" t="str">
        <f>IFERROR(__xludf.DUMMYFUNCTION("""COMPUTED_VALUE"""),"Marissa Ross")</f>
        <v>Marissa Ross</v>
      </c>
      <c r="L70" s="3" t="str">
        <f>IFERROR(__xludf.DUMMYFUNCTION("""COMPUTED_VALUE"""),"Shea Buirski")</f>
        <v>Shea Buirski</v>
      </c>
      <c r="M70" s="3" t="str">
        <f>IFERROR(__xludf.DUMMYFUNCTION("""COMPUTED_VALUE"""),"Julia Smith")</f>
        <v>Julia Smith</v>
      </c>
      <c r="N70" s="3" t="str">
        <f>IFERROR(__xludf.DUMMYFUNCTION("""COMPUTED_VALUE"""),"Shea Buirski")</f>
        <v>Shea Buirski</v>
      </c>
      <c r="W70" s="3" t="str">
        <f>IFERROR(__xludf.DUMMYFUNCTION("""COMPUTED_VALUE"""),"Olivia Tillett")</f>
        <v>Olivia Tillett</v>
      </c>
    </row>
    <row r="71">
      <c r="B71" s="3" t="str">
        <f>IFERROR(__xludf.DUMMYFUNCTION("""COMPUTED_VALUE"""),"Colby Hurt")</f>
        <v>Colby Hurt</v>
      </c>
      <c r="C71" s="3" t="str">
        <f>IFERROR(__xludf.DUMMYFUNCTION("""COMPUTED_VALUE"""),"Kat Burr")</f>
        <v>Kat Burr</v>
      </c>
      <c r="D71" s="3" t="str">
        <f>IFERROR(__xludf.DUMMYFUNCTION("""COMPUTED_VALUE"""),"Christa Jones")</f>
        <v>Christa Jones</v>
      </c>
      <c r="E71" s="3" t="str">
        <f>IFERROR(__xludf.DUMMYFUNCTION("""COMPUTED_VALUE"""),"Abby Frey")</f>
        <v>Abby Frey</v>
      </c>
      <c r="G71" s="3" t="str">
        <f>IFERROR(__xludf.DUMMYFUNCTION("""COMPUTED_VALUE"""),"Mary Heffron")</f>
        <v>Mary Heffron</v>
      </c>
      <c r="H71" s="3" t="str">
        <f>IFERROR(__xludf.DUMMYFUNCTION("""COMPUTED_VALUE"""),"Laney VanLenten")</f>
        <v>Laney VanLenten</v>
      </c>
      <c r="I71" s="3" t="str">
        <f>IFERROR(__xludf.DUMMYFUNCTION("""COMPUTED_VALUE"""),"Tatum Robinson")</f>
        <v>Tatum Robinson</v>
      </c>
      <c r="J71" s="3" t="str">
        <f>IFERROR(__xludf.DUMMYFUNCTION("""COMPUTED_VALUE"""),"Emma Fuhs")</f>
        <v>Emma Fuhs</v>
      </c>
      <c r="K71" s="3" t="str">
        <f>IFERROR(__xludf.DUMMYFUNCTION("""COMPUTED_VALUE"""),"Brooke Lamoureux")</f>
        <v>Brooke Lamoureux</v>
      </c>
      <c r="L71" s="3" t="str">
        <f>IFERROR(__xludf.DUMMYFUNCTION("""COMPUTED_VALUE"""),"Maggie Shepard")</f>
        <v>Maggie Shepard</v>
      </c>
      <c r="M71" s="3" t="str">
        <f>IFERROR(__xludf.DUMMYFUNCTION("""COMPUTED_VALUE"""),"Clara Rodriguez")</f>
        <v>Clara Rodriguez</v>
      </c>
      <c r="N71" s="3" t="str">
        <f>IFERROR(__xludf.DUMMYFUNCTION("""COMPUTED_VALUE"""),"Alison Harvey")</f>
        <v>Alison Harvey</v>
      </c>
      <c r="W71" s="3" t="str">
        <f>IFERROR(__xludf.DUMMYFUNCTION("""COMPUTED_VALUE"""),"Paige Simko")</f>
        <v>Paige Simko</v>
      </c>
    </row>
    <row r="72">
      <c r="B72" s="3" t="str">
        <f>IFERROR(__xludf.DUMMYFUNCTION("""COMPUTED_VALUE"""),"Shelby Raber")</f>
        <v>Shelby Raber</v>
      </c>
      <c r="C72" s="3" t="str">
        <f>IFERROR(__xludf.DUMMYFUNCTION("""COMPUTED_VALUE"""),"Maggie Shepard")</f>
        <v>Maggie Shepard</v>
      </c>
      <c r="D72" s="3" t="str">
        <f>IFERROR(__xludf.DUMMYFUNCTION("""COMPUTED_VALUE"""),"Sofia Long")</f>
        <v>Sofia Long</v>
      </c>
      <c r="E72" s="3" t="str">
        <f>IFERROR(__xludf.DUMMYFUNCTION("""COMPUTED_VALUE"""),"Hannah Jirsa")</f>
        <v>Hannah Jirsa</v>
      </c>
      <c r="G72" s="3" t="str">
        <f>IFERROR(__xludf.DUMMYFUNCTION("""COMPUTED_VALUE"""),"Alyssa Reilly")</f>
        <v>Alyssa Reilly</v>
      </c>
      <c r="H72" s="3" t="str">
        <f>IFERROR(__xludf.DUMMYFUNCTION("""COMPUTED_VALUE"""),"Kaila Hewitt")</f>
        <v>Kaila Hewitt</v>
      </c>
      <c r="I72" s="3" t="str">
        <f>IFERROR(__xludf.DUMMYFUNCTION("""COMPUTED_VALUE"""),"Amelia Macholz")</f>
        <v>Amelia Macholz</v>
      </c>
      <c r="J72" s="3" t="str">
        <f>IFERROR(__xludf.DUMMYFUNCTION("""COMPUTED_VALUE"""),"Lexi Plogger")</f>
        <v>Lexi Plogger</v>
      </c>
      <c r="K72" s="3" t="str">
        <f>IFERROR(__xludf.DUMMYFUNCTION("""COMPUTED_VALUE"""),"Claire Henniker")</f>
        <v>Claire Henniker</v>
      </c>
      <c r="L72" s="3" t="str">
        <f>IFERROR(__xludf.DUMMYFUNCTION("""COMPUTED_VALUE"""),"Bella Kimbel")</f>
        <v>Bella Kimbel</v>
      </c>
      <c r="M72" s="3" t="str">
        <f>IFERROR(__xludf.DUMMYFUNCTION("""COMPUTED_VALUE"""),"Maialen Sudupe")</f>
        <v>Maialen Sudupe</v>
      </c>
      <c r="N72" s="3" t="str">
        <f>IFERROR(__xludf.DUMMYFUNCTION("""COMPUTED_VALUE"""),"Abbey Murtaugh")</f>
        <v>Abbey Murtaugh</v>
      </c>
      <c r="W72" s="3" t="str">
        <f>IFERROR(__xludf.DUMMYFUNCTION("""COMPUTED_VALUE"""),"Maya Chatterson")</f>
        <v>Maya Chatterson</v>
      </c>
    </row>
    <row r="73">
      <c r="B73" s="3" t="str">
        <f>IFERROR(__xludf.DUMMYFUNCTION("""COMPUTED_VALUE"""),"Corinne Whisenant")</f>
        <v>Corinne Whisenant</v>
      </c>
      <c r="C73" s="3" t="str">
        <f>IFERROR(__xludf.DUMMYFUNCTION("""COMPUTED_VALUE"""),"Marissa Ross")</f>
        <v>Marissa Ross</v>
      </c>
      <c r="D73" s="3" t="str">
        <f>IFERROR(__xludf.DUMMYFUNCTION("""COMPUTED_VALUE"""),"Kylie Johnson")</f>
        <v>Kylie Johnson</v>
      </c>
      <c r="E73" s="3" t="str">
        <f>IFERROR(__xludf.DUMMYFUNCTION("""COMPUTED_VALUE"""),"Kayla Sprincis")</f>
        <v>Kayla Sprincis</v>
      </c>
      <c r="G73" s="3" t="str">
        <f>IFERROR(__xludf.DUMMYFUNCTION("""COMPUTED_VALUE"""),"Casey Fusco")</f>
        <v>Casey Fusco</v>
      </c>
      <c r="H73" s="3" t="str">
        <f>IFERROR(__xludf.DUMMYFUNCTION("""COMPUTED_VALUE"""),"Tillie Lewis")</f>
        <v>Tillie Lewis</v>
      </c>
      <c r="I73" s="3" t="str">
        <f>IFERROR(__xludf.DUMMYFUNCTION("""COMPUTED_VALUE"""),"Abby Fuller")</f>
        <v>Abby Fuller</v>
      </c>
      <c r="J73" s="3" t="str">
        <f>IFERROR(__xludf.DUMMYFUNCTION("""COMPUTED_VALUE"""),"Lauren Underwood")</f>
        <v>Lauren Underwood</v>
      </c>
      <c r="K73" s="3" t="str">
        <f>IFERROR(__xludf.DUMMYFUNCTION("""COMPUTED_VALUE"""),"Jenna Kapp")</f>
        <v>Jenna Kapp</v>
      </c>
      <c r="L73" s="3" t="str">
        <f>IFERROR(__xludf.DUMMYFUNCTION("""COMPUTED_VALUE"""),"Kimberly Warnagiris")</f>
        <v>Kimberly Warnagiris</v>
      </c>
      <c r="M73" s="3" t="str">
        <f>IFERROR(__xludf.DUMMYFUNCTION("""COMPUTED_VALUE"""),"Brooke Lamoureux")</f>
        <v>Brooke Lamoureux</v>
      </c>
      <c r="N73" s="3" t="str">
        <f>IFERROR(__xludf.DUMMYFUNCTION("""COMPUTED_VALUE"""),"Rylee Woelk")</f>
        <v>Rylee Woelk</v>
      </c>
      <c r="W73" s="3" t="str">
        <f>IFERROR(__xludf.DUMMYFUNCTION("""COMPUTED_VALUE"""),"Kimberly Warnagiris")</f>
        <v>Kimberly Warnagiris</v>
      </c>
    </row>
    <row r="74">
      <c r="B74" s="3" t="str">
        <f>IFERROR(__xludf.DUMMYFUNCTION("""COMPUTED_VALUE"""),"Ellie Webb")</f>
        <v>Ellie Webb</v>
      </c>
      <c r="C74" s="3" t="str">
        <f>IFERROR(__xludf.DUMMYFUNCTION("""COMPUTED_VALUE"""),"Anna Slominski")</f>
        <v>Anna Slominski</v>
      </c>
      <c r="D74" s="3" t="str">
        <f>IFERROR(__xludf.DUMMYFUNCTION("""COMPUTED_VALUE"""),"Hallie Wilson")</f>
        <v>Hallie Wilson</v>
      </c>
      <c r="E74" s="3" t="str">
        <f>IFERROR(__xludf.DUMMYFUNCTION("""COMPUTED_VALUE"""),"Lauren Masters")</f>
        <v>Lauren Masters</v>
      </c>
      <c r="G74" s="3" t="str">
        <f>IFERROR(__xludf.DUMMYFUNCTION("""COMPUTED_VALUE"""),"Ally Kopal")</f>
        <v>Ally Kopal</v>
      </c>
      <c r="H74" s="3" t="str">
        <f>IFERROR(__xludf.DUMMYFUNCTION("""COMPUTED_VALUE"""),"Gina Lynch")</f>
        <v>Gina Lynch</v>
      </c>
      <c r="I74" s="3" t="str">
        <f>IFERROR(__xludf.DUMMYFUNCTION("""COMPUTED_VALUE"""),"Alexandra Browne")</f>
        <v>Alexandra Browne</v>
      </c>
      <c r="J74" s="3" t="str">
        <f>IFERROR(__xludf.DUMMYFUNCTION("""COMPUTED_VALUE"""),"Isabel Born")</f>
        <v>Isabel Born</v>
      </c>
      <c r="K74" s="3" t="str">
        <f>IFERROR(__xludf.DUMMYFUNCTION("""COMPUTED_VALUE"""),"Cooper Ackerly")</f>
        <v>Cooper Ackerly</v>
      </c>
      <c r="L74" s="3" t="str">
        <f>IFERROR(__xludf.DUMMYFUNCTION("""COMPUTED_VALUE"""),"Melina Christou")</f>
        <v>Melina Christou</v>
      </c>
      <c r="M74" s="3" t="str">
        <f>IFERROR(__xludf.DUMMYFUNCTION("""COMPUTED_VALUE"""),"Meagan Baxley")</f>
        <v>Meagan Baxley</v>
      </c>
      <c r="N74" s="3" t="str">
        <f>IFERROR(__xludf.DUMMYFUNCTION("""COMPUTED_VALUE"""),"Maialen Sudupe")</f>
        <v>Maialen Sudupe</v>
      </c>
      <c r="W74" s="3" t="str">
        <f>IFERROR(__xludf.DUMMYFUNCTION("""COMPUTED_VALUE"""),"Selby Heyman")</f>
        <v>Selby Heyman</v>
      </c>
    </row>
    <row r="75">
      <c r="B75" s="3" t="str">
        <f>IFERROR(__xludf.DUMMYFUNCTION("""COMPUTED_VALUE"""),"Ellie Ahmed")</f>
        <v>Ellie Ahmed</v>
      </c>
      <c r="C75" s="3" t="str">
        <f>IFERROR(__xludf.DUMMYFUNCTION("""COMPUTED_VALUE"""),"Izzy Bradley")</f>
        <v>Izzy Bradley</v>
      </c>
      <c r="D75" s="3" t="str">
        <f>IFERROR(__xludf.DUMMYFUNCTION("""COMPUTED_VALUE"""),"Anna Clare Fleenor")</f>
        <v>Anna Clare Fleenor</v>
      </c>
      <c r="E75" s="3" t="str">
        <f>IFERROR(__xludf.DUMMYFUNCTION("""COMPUTED_VALUE"""),"Shea Buirski")</f>
        <v>Shea Buirski</v>
      </c>
      <c r="G75" s="3" t="str">
        <f>IFERROR(__xludf.DUMMYFUNCTION("""COMPUTED_VALUE"""),"Christa Jones")</f>
        <v>Christa Jones</v>
      </c>
      <c r="H75" s="3" t="str">
        <f>IFERROR(__xludf.DUMMYFUNCTION("""COMPUTED_VALUE"""),"Christa Jones")</f>
        <v>Christa Jones</v>
      </c>
      <c r="I75" s="3" t="str">
        <f>IFERROR(__xludf.DUMMYFUNCTION("""COMPUTED_VALUE"""),"Pearl Kluger")</f>
        <v>Pearl Kluger</v>
      </c>
      <c r="J75" s="3" t="str">
        <f>IFERROR(__xludf.DUMMYFUNCTION("""COMPUTED_VALUE"""),"Chloe Jepson")</f>
        <v>Chloe Jepson</v>
      </c>
      <c r="K75" s="3" t="str">
        <f>IFERROR(__xludf.DUMMYFUNCTION("""COMPUTED_VALUE"""),"Julia May")</f>
        <v>Julia May</v>
      </c>
      <c r="L75" s="3" t="str">
        <f>IFERROR(__xludf.DUMMYFUNCTION("""COMPUTED_VALUE"""),"Beth Ann Cortright")</f>
        <v>Beth Ann Cortright</v>
      </c>
      <c r="M75" s="3" t="str">
        <f>IFERROR(__xludf.DUMMYFUNCTION("""COMPUTED_VALUE"""),"Kristina Zachary")</f>
        <v>Kristina Zachary</v>
      </c>
      <c r="N75" s="3" t="str">
        <f>IFERROR(__xludf.DUMMYFUNCTION("""COMPUTED_VALUE"""),"Tillie Lewis")</f>
        <v>Tillie Lewis</v>
      </c>
      <c r="W75" s="3" t="str">
        <f>IFERROR(__xludf.DUMMYFUNCTION("""COMPUTED_VALUE"""),"Chloe Schmitz")</f>
        <v>Chloe Schmitz</v>
      </c>
    </row>
    <row r="76">
      <c r="B76" s="3" t="str">
        <f>IFERROR(__xludf.DUMMYFUNCTION("""COMPUTED_VALUE"""),"Maura Graff")</f>
        <v>Maura Graff</v>
      </c>
      <c r="C76" s="3" t="str">
        <f>IFERROR(__xludf.DUMMYFUNCTION("""COMPUTED_VALUE"""),"Hallie Wilson")</f>
        <v>Hallie Wilson</v>
      </c>
      <c r="D76" s="3" t="str">
        <f>IFERROR(__xludf.DUMMYFUNCTION("""COMPUTED_VALUE"""),"Paige Strycker")</f>
        <v>Paige Strycker</v>
      </c>
      <c r="E76" s="3" t="str">
        <f>IFERROR(__xludf.DUMMYFUNCTION("""COMPUTED_VALUE"""),"Jillian Haig")</f>
        <v>Jillian Haig</v>
      </c>
      <c r="G76" s="3" t="str">
        <f>IFERROR(__xludf.DUMMYFUNCTION("""COMPUTED_VALUE"""),"Erin Langenburg")</f>
        <v>Erin Langenburg</v>
      </c>
      <c r="H76" s="3" t="str">
        <f>IFERROR(__xludf.DUMMYFUNCTION("""COMPUTED_VALUE"""),"Lindsey Hair")</f>
        <v>Lindsey Hair</v>
      </c>
      <c r="I76" s="3" t="str">
        <f>IFERROR(__xludf.DUMMYFUNCTION("""COMPUTED_VALUE"""),"Ainsley Juhlin")</f>
        <v>Ainsley Juhlin</v>
      </c>
      <c r="J76" s="3" t="str">
        <f>IFERROR(__xludf.DUMMYFUNCTION("""COMPUTED_VALUE"""),"Grey Davis")</f>
        <v>Grey Davis</v>
      </c>
      <c r="K76" s="3" t="str">
        <f>IFERROR(__xludf.DUMMYFUNCTION("""COMPUTED_VALUE"""),"Avery Rogers")</f>
        <v>Avery Rogers</v>
      </c>
      <c r="L76" s="3" t="str">
        <f>IFERROR(__xludf.DUMMYFUNCTION("""COMPUTED_VALUE"""),"Peyton Geiszler")</f>
        <v>Peyton Geiszler</v>
      </c>
      <c r="M76" s="3" t="str">
        <f>IFERROR(__xludf.DUMMYFUNCTION("""COMPUTED_VALUE"""),"Tatum Robinson")</f>
        <v>Tatum Robinson</v>
      </c>
      <c r="N76" s="3" t="str">
        <f>IFERROR(__xludf.DUMMYFUNCTION("""COMPUTED_VALUE"""),"Claire Henniker")</f>
        <v>Claire Henniker</v>
      </c>
      <c r="W76" s="3" t="str">
        <f>IFERROR(__xludf.DUMMYFUNCTION("""COMPUTED_VALUE"""),"Sydney Hall")</f>
        <v>Sydney Hall</v>
      </c>
    </row>
    <row r="77">
      <c r="B77" s="3" t="str">
        <f>IFERROR(__xludf.DUMMYFUNCTION("""COMPUTED_VALUE"""),"Marissa Ross")</f>
        <v>Marissa Ross</v>
      </c>
      <c r="C77" s="3" t="str">
        <f>IFERROR(__xludf.DUMMYFUNCTION("""COMPUTED_VALUE"""),"Anna Sheng")</f>
        <v>Anna Sheng</v>
      </c>
      <c r="D77" s="3" t="str">
        <f>IFERROR(__xludf.DUMMYFUNCTION("""COMPUTED_VALUE"""),"Gina Lynch")</f>
        <v>Gina Lynch</v>
      </c>
      <c r="E77" s="3" t="str">
        <f>IFERROR(__xludf.DUMMYFUNCTION("""COMPUTED_VALUE"""),"Sydney McCallie")</f>
        <v>Sydney McCallie</v>
      </c>
      <c r="G77" s="3" t="str">
        <f>IFERROR(__xludf.DUMMYFUNCTION("""COMPUTED_VALUE"""),"Raea Farquharson")</f>
        <v>Raea Farquharson</v>
      </c>
      <c r="H77" s="3" t="str">
        <f>IFERROR(__xludf.DUMMYFUNCTION("""COMPUTED_VALUE"""),"Caroline Sheble")</f>
        <v>Caroline Sheble</v>
      </c>
      <c r="I77" s="3" t="str">
        <f>IFERROR(__xludf.DUMMYFUNCTION("""COMPUTED_VALUE"""),"Allison Masterson")</f>
        <v>Allison Masterson</v>
      </c>
      <c r="J77" s="3" t="str">
        <f>IFERROR(__xludf.DUMMYFUNCTION("""COMPUTED_VALUE"""),"Caroline Inskeep")</f>
        <v>Caroline Inskeep</v>
      </c>
      <c r="K77" s="3" t="str">
        <f>IFERROR(__xludf.DUMMYFUNCTION("""COMPUTED_VALUE"""),"Courtney Isley")</f>
        <v>Courtney Isley</v>
      </c>
      <c r="L77" s="3" t="str">
        <f>IFERROR(__xludf.DUMMYFUNCTION("""COMPUTED_VALUE"""),"Claire Henniker")</f>
        <v>Claire Henniker</v>
      </c>
      <c r="M77" s="3" t="str">
        <f>IFERROR(__xludf.DUMMYFUNCTION("""COMPUTED_VALUE"""),"Alison Harvey")</f>
        <v>Alison Harvey</v>
      </c>
      <c r="N77" s="3" t="str">
        <f>IFERROR(__xludf.DUMMYFUNCTION("""COMPUTED_VALUE"""),"Summer Sampson")</f>
        <v>Summer Sampson</v>
      </c>
      <c r="W77" s="3" t="str">
        <f>IFERROR(__xludf.DUMMYFUNCTION("""COMPUTED_VALUE"""),"Jane Lawing")</f>
        <v>Jane Lawing</v>
      </c>
    </row>
    <row r="78">
      <c r="B78" s="3" t="str">
        <f>IFERROR(__xludf.DUMMYFUNCTION("""COMPUTED_VALUE"""),"Kinsey Brooks")</f>
        <v>Kinsey Brooks</v>
      </c>
      <c r="C78" s="3" t="str">
        <f>IFERROR(__xludf.DUMMYFUNCTION("""COMPUTED_VALUE"""),"Caroline Storen")</f>
        <v>Caroline Storen</v>
      </c>
      <c r="D78" s="3" t="str">
        <f>IFERROR(__xludf.DUMMYFUNCTION("""COMPUTED_VALUE"""),"Mary Heffron")</f>
        <v>Mary Heffron</v>
      </c>
      <c r="E78" s="3" t="str">
        <f>IFERROR(__xludf.DUMMYFUNCTION("""COMPUTED_VALUE"""),"Summer Sampson")</f>
        <v>Summer Sampson</v>
      </c>
      <c r="G78" s="3" t="str">
        <f>IFERROR(__xludf.DUMMYFUNCTION("""COMPUTED_VALUE"""),"Megan Gaffney")</f>
        <v>Megan Gaffney</v>
      </c>
      <c r="H78" s="3" t="str">
        <f>IFERROR(__xludf.DUMMYFUNCTION("""COMPUTED_VALUE"""),"Sanna Peterson")</f>
        <v>Sanna Peterson</v>
      </c>
      <c r="I78" s="3" t="str">
        <f>IFERROR(__xludf.DUMMYFUNCTION("""COMPUTED_VALUE"""),"Tessa Campbell")</f>
        <v>Tessa Campbell</v>
      </c>
      <c r="J78" s="3" t="str">
        <f>IFERROR(__xludf.DUMMYFUNCTION("""COMPUTED_VALUE"""),"Ellie Eckert")</f>
        <v>Ellie Eckert</v>
      </c>
      <c r="K78" s="3" t="str">
        <f>IFERROR(__xludf.DUMMYFUNCTION("""COMPUTED_VALUE"""),"Korina Davis")</f>
        <v>Korina Davis</v>
      </c>
      <c r="L78" s="3" t="str">
        <f>IFERROR(__xludf.DUMMYFUNCTION("""COMPUTED_VALUE"""),"Lauren Barakey")</f>
        <v>Lauren Barakey</v>
      </c>
      <c r="M78" s="3" t="str">
        <f>IFERROR(__xludf.DUMMYFUNCTION("""COMPUTED_VALUE"""),"Anna Slominski")</f>
        <v>Anna Slominski</v>
      </c>
      <c r="N78" s="3" t="str">
        <f>IFERROR(__xludf.DUMMYFUNCTION("""COMPUTED_VALUE"""),"Cassidy Doyle")</f>
        <v>Cassidy Doyle</v>
      </c>
      <c r="W78" s="3" t="str">
        <f>IFERROR(__xludf.DUMMYFUNCTION("""COMPUTED_VALUE"""),"Maggie McClintock")</f>
        <v>Maggie McClintock</v>
      </c>
    </row>
    <row r="79">
      <c r="B79" s="3" t="str">
        <f>IFERROR(__xludf.DUMMYFUNCTION("""COMPUTED_VALUE"""),"Allie Pickels")</f>
        <v>Allie Pickels</v>
      </c>
      <c r="C79" s="3" t="str">
        <f>IFERROR(__xludf.DUMMYFUNCTION("""COMPUTED_VALUE"""),"Sofia Long")</f>
        <v>Sofia Long</v>
      </c>
      <c r="D79" s="3" t="str">
        <f>IFERROR(__xludf.DUMMYFUNCTION("""COMPUTED_VALUE"""),"Kelsey Peel")</f>
        <v>Kelsey Peel</v>
      </c>
      <c r="E79" s="3" t="str">
        <f>IFERROR(__xludf.DUMMYFUNCTION("""COMPUTED_VALUE"""),"Jane Lawing")</f>
        <v>Jane Lawing</v>
      </c>
      <c r="G79" s="3" t="str">
        <f>IFERROR(__xludf.DUMMYFUNCTION("""COMPUTED_VALUE"""),"Athena Vanyo")</f>
        <v>Athena Vanyo</v>
      </c>
      <c r="H79" s="3" t="str">
        <f>IFERROR(__xludf.DUMMYFUNCTION("""COMPUTED_VALUE"""),"Abbey Murtaugh")</f>
        <v>Abbey Murtaugh</v>
      </c>
      <c r="I79" s="3" t="str">
        <f>IFERROR(__xludf.DUMMYFUNCTION("""COMPUTED_VALUE"""),"Ellie Eckert")</f>
        <v>Ellie Eckert</v>
      </c>
      <c r="J79" s="3" t="str">
        <f>IFERROR(__xludf.DUMMYFUNCTION("""COMPUTED_VALUE"""),"Kaitlyn Sullivan")</f>
        <v>Kaitlyn Sullivan</v>
      </c>
      <c r="K79" s="3" t="str">
        <f>IFERROR(__xludf.DUMMYFUNCTION("""COMPUTED_VALUE"""),"Kayla Wilson")</f>
        <v>Kayla Wilson</v>
      </c>
      <c r="L79" s="3" t="str">
        <f>IFERROR(__xludf.DUMMYFUNCTION("""COMPUTED_VALUE"""),"Ellie Ahmed")</f>
        <v>Ellie Ahmed</v>
      </c>
      <c r="M79" s="3" t="str">
        <f>IFERROR(__xludf.DUMMYFUNCTION("""COMPUTED_VALUE"""),"Mary Heffron")</f>
        <v>Mary Heffron</v>
      </c>
      <c r="N79" s="3" t="str">
        <f>IFERROR(__xludf.DUMMYFUNCTION("""COMPUTED_VALUE"""),"Brooke Simila")</f>
        <v>Brooke Simila</v>
      </c>
      <c r="W79" s="3" t="str">
        <f>IFERROR(__xludf.DUMMYFUNCTION("""COMPUTED_VALUE"""),"Sally Ennis")</f>
        <v>Sally Ennis</v>
      </c>
    </row>
    <row r="80">
      <c r="B80" s="3" t="str">
        <f>IFERROR(__xludf.DUMMYFUNCTION("""COMPUTED_VALUE"""),"Kristen Wagner")</f>
        <v>Kristen Wagner</v>
      </c>
      <c r="C80" s="3" t="str">
        <f>IFERROR(__xludf.DUMMYFUNCTION("""COMPUTED_VALUE"""),"Hannah Jirsa")</f>
        <v>Hannah Jirsa</v>
      </c>
      <c r="D80" s="3" t="str">
        <f>IFERROR(__xludf.DUMMYFUNCTION("""COMPUTED_VALUE"""),"Maggie Ivie")</f>
        <v>Maggie Ivie</v>
      </c>
      <c r="E80" s="3" t="str">
        <f>IFERROR(__xludf.DUMMYFUNCTION("""COMPUTED_VALUE"""),"Sydney Branch")</f>
        <v>Sydney Branch</v>
      </c>
      <c r="G80" s="3" t="str">
        <f>IFERROR(__xludf.DUMMYFUNCTION("""COMPUTED_VALUE"""),"Kayleigh Jumper")</f>
        <v>Kayleigh Jumper</v>
      </c>
      <c r="H80" s="3" t="str">
        <f>IFERROR(__xludf.DUMMYFUNCTION("""COMPUTED_VALUE"""),"Megan Gaffney")</f>
        <v>Megan Gaffney</v>
      </c>
      <c r="I80" s="3" t="str">
        <f>IFERROR(__xludf.DUMMYFUNCTION("""COMPUTED_VALUE"""),"Athena Vanyo")</f>
        <v>Athena Vanyo</v>
      </c>
      <c r="J80" s="3" t="str">
        <f>IFERROR(__xludf.DUMMYFUNCTION("""COMPUTED_VALUE"""),"Sophia Yu")</f>
        <v>Sophia Yu</v>
      </c>
      <c r="K80" s="3" t="str">
        <f>IFERROR(__xludf.DUMMYFUNCTION("""COMPUTED_VALUE"""),"Sophie O'Donnell")</f>
        <v>Sophie O'Donnell</v>
      </c>
      <c r="L80" s="3" t="str">
        <f>IFERROR(__xludf.DUMMYFUNCTION("""COMPUTED_VALUE"""),"Calli McEvoy")</f>
        <v>Calli McEvoy</v>
      </c>
      <c r="M80" s="3" t="str">
        <f>IFERROR(__xludf.DUMMYFUNCTION("""COMPUTED_VALUE"""),"Maggie Shepard")</f>
        <v>Maggie Shepard</v>
      </c>
      <c r="N80" s="3" t="str">
        <f>IFERROR(__xludf.DUMMYFUNCTION("""COMPUTED_VALUE"""),"Amelia Macholz")</f>
        <v>Amelia Macholz</v>
      </c>
      <c r="W80" s="3" t="str">
        <f>IFERROR(__xludf.DUMMYFUNCTION("""COMPUTED_VALUE"""),"Lainey Flanagan")</f>
        <v>Lainey Flanagan</v>
      </c>
    </row>
    <row r="81">
      <c r="B81" s="3" t="str">
        <f>IFERROR(__xludf.DUMMYFUNCTION("""COMPUTED_VALUE"""),"Blythe Brenner")</f>
        <v>Blythe Brenner</v>
      </c>
      <c r="C81" s="3" t="str">
        <f>IFERROR(__xludf.DUMMYFUNCTION("""COMPUTED_VALUE"""),"Tess Deyerle")</f>
        <v>Tess Deyerle</v>
      </c>
      <c r="D81" s="3" t="str">
        <f>IFERROR(__xludf.DUMMYFUNCTION("""COMPUTED_VALUE"""),"Sanna Peterson")</f>
        <v>Sanna Peterson</v>
      </c>
      <c r="E81" s="3" t="str">
        <f>IFERROR(__xludf.DUMMYFUNCTION("""COMPUTED_VALUE"""),"Ashley Dyer")</f>
        <v>Ashley Dyer</v>
      </c>
      <c r="G81" s="3" t="str">
        <f>IFERROR(__xludf.DUMMYFUNCTION("""COMPUTED_VALUE"""),"Maura Graff")</f>
        <v>Maura Graff</v>
      </c>
      <c r="H81" s="3" t="str">
        <f>IFERROR(__xludf.DUMMYFUNCTION("""COMPUTED_VALUE"""),"Melina Christou")</f>
        <v>Melina Christou</v>
      </c>
      <c r="I81" s="3" t="str">
        <f>IFERROR(__xludf.DUMMYFUNCTION("""COMPUTED_VALUE"""),"Olivia Hutton")</f>
        <v>Olivia Hutton</v>
      </c>
      <c r="J81" s="3" t="str">
        <f>IFERROR(__xludf.DUMMYFUNCTION("""COMPUTED_VALUE"""),"Lexi Osleger")</f>
        <v>Lexi Osleger</v>
      </c>
      <c r="K81" s="3" t="str">
        <f>IFERROR(__xludf.DUMMYFUNCTION("""COMPUTED_VALUE"""),"Mary Heffron")</f>
        <v>Mary Heffron</v>
      </c>
      <c r="L81" s="3" t="str">
        <f>IFERROR(__xludf.DUMMYFUNCTION("""COMPUTED_VALUE"""),"Paige Rooks")</f>
        <v>Paige Rooks</v>
      </c>
      <c r="M81" s="3" t="str">
        <f>IFERROR(__xludf.DUMMYFUNCTION("""COMPUTED_VALUE"""),"Sydney Whiting")</f>
        <v>Sydney Whiting</v>
      </c>
      <c r="N81" s="3" t="str">
        <f>IFERROR(__xludf.DUMMYFUNCTION("""COMPUTED_VALUE"""),"Kimberly Warnagiris")</f>
        <v>Kimberly Warnagiris</v>
      </c>
      <c r="W81" s="3" t="str">
        <f>IFERROR(__xludf.DUMMYFUNCTION("""COMPUTED_VALUE"""),"Kim Schooneman")</f>
        <v>Kim Schooneman</v>
      </c>
    </row>
    <row r="82">
      <c r="B82" s="3" t="str">
        <f>IFERROR(__xludf.DUMMYFUNCTION("""COMPUTED_VALUE"""),"Andrea Leng")</f>
        <v>Andrea Leng</v>
      </c>
      <c r="C82" s="3" t="str">
        <f>IFERROR(__xludf.DUMMYFUNCTION("""COMPUTED_VALUE"""),"Mary Cornett")</f>
        <v>Mary Cornett</v>
      </c>
      <c r="D82" s="3" t="str">
        <f>IFERROR(__xludf.DUMMYFUNCTION("""COMPUTED_VALUE"""),"Lindsey Hair")</f>
        <v>Lindsey Hair</v>
      </c>
      <c r="E82" s="3" t="str">
        <f>IFERROR(__xludf.DUMMYFUNCTION("""COMPUTED_VALUE"""),"Harper Sensiba")</f>
        <v>Harper Sensiba</v>
      </c>
      <c r="G82" s="3" t="str">
        <f>IFERROR(__xludf.DUMMYFUNCTION("""COMPUTED_VALUE"""),"Melina Christou")</f>
        <v>Melina Christou</v>
      </c>
      <c r="H82" s="3" t="str">
        <f>IFERROR(__xludf.DUMMYFUNCTION("""COMPUTED_VALUE"""),"Kristen Wagner")</f>
        <v>Kristen Wagner</v>
      </c>
      <c r="I82" s="3" t="str">
        <f>IFERROR(__xludf.DUMMYFUNCTION("""COMPUTED_VALUE"""),"Bridgette Pearson")</f>
        <v>Bridgette Pearson</v>
      </c>
      <c r="J82" s="3" t="str">
        <f>IFERROR(__xludf.DUMMYFUNCTION("""COMPUTED_VALUE"""),"Sydney McCallie")</f>
        <v>Sydney McCallie</v>
      </c>
      <c r="K82" s="3" t="str">
        <f>IFERROR(__xludf.DUMMYFUNCTION("""COMPUTED_VALUE"""),"Melina Christou")</f>
        <v>Melina Christou</v>
      </c>
      <c r="L82" s="3" t="str">
        <f>IFERROR(__xludf.DUMMYFUNCTION("""COMPUTED_VALUE"""),"Maya Chatterson")</f>
        <v>Maya Chatterson</v>
      </c>
      <c r="M82" s="3" t="str">
        <f>IFERROR(__xludf.DUMMYFUNCTION("""COMPUTED_VALUE"""),"Summer Sampson")</f>
        <v>Summer Sampson</v>
      </c>
      <c r="N82" s="3" t="str">
        <f>IFERROR(__xludf.DUMMYFUNCTION("""COMPUTED_VALUE"""),"Kristina Zachary")</f>
        <v>Kristina Zachary</v>
      </c>
      <c r="W82" s="3" t="str">
        <f>IFERROR(__xludf.DUMMYFUNCTION("""COMPUTED_VALUE"""),"Anna Sheng")</f>
        <v>Anna Sheng</v>
      </c>
    </row>
    <row r="83">
      <c r="B83" s="3" t="str">
        <f>IFERROR(__xludf.DUMMYFUNCTION("""COMPUTED_VALUE"""),"Molly Blanchard")</f>
        <v>Molly Blanchard</v>
      </c>
      <c r="C83" s="3" t="str">
        <f>IFERROR(__xludf.DUMMYFUNCTION("""COMPUTED_VALUE"""),"Lauren Shoemaker")</f>
        <v>Lauren Shoemaker</v>
      </c>
      <c r="D83" s="3" t="str">
        <f>IFERROR(__xludf.DUMMYFUNCTION("""COMPUTED_VALUE"""),"Tess Deyerle")</f>
        <v>Tess Deyerle</v>
      </c>
      <c r="E83" s="3" t="str">
        <f>IFERROR(__xludf.DUMMYFUNCTION("""COMPUTED_VALUE"""),"Livvie Cohn")</f>
        <v>Livvie Cohn</v>
      </c>
      <c r="G83" s="3" t="str">
        <f>IFERROR(__xludf.DUMMYFUNCTION("""COMPUTED_VALUE"""),"Maggie Ivie")</f>
        <v>Maggie Ivie</v>
      </c>
      <c r="H83" s="3" t="str">
        <f>IFERROR(__xludf.DUMMYFUNCTION("""COMPUTED_VALUE"""),"Lauren Underwood")</f>
        <v>Lauren Underwood</v>
      </c>
      <c r="I83" s="3" t="str">
        <f>IFERROR(__xludf.DUMMYFUNCTION("""COMPUTED_VALUE"""),"Chloe Jepson")</f>
        <v>Chloe Jepson</v>
      </c>
      <c r="J83" s="3" t="str">
        <f>IFERROR(__xludf.DUMMYFUNCTION("""COMPUTED_VALUE"""),"Athena Vanyo")</f>
        <v>Athena Vanyo</v>
      </c>
      <c r="K83" s="3" t="str">
        <f>IFERROR(__xludf.DUMMYFUNCTION("""COMPUTED_VALUE"""),"Raea Farquharson")</f>
        <v>Raea Farquharson</v>
      </c>
      <c r="L83" s="3" t="str">
        <f>IFERROR(__xludf.DUMMYFUNCTION("""COMPUTED_VALUE"""),"Rylee Woelk")</f>
        <v>Rylee Woelk</v>
      </c>
      <c r="M83" s="3" t="str">
        <f>IFERROR(__xludf.DUMMYFUNCTION("""COMPUTED_VALUE"""),"Megan Gaffney")</f>
        <v>Megan Gaffney</v>
      </c>
      <c r="N83" s="3" t="str">
        <f>IFERROR(__xludf.DUMMYFUNCTION("""COMPUTED_VALUE"""),"Pearl Kluger")</f>
        <v>Pearl Kluger</v>
      </c>
      <c r="W83" s="3" t="str">
        <f>IFERROR(__xludf.DUMMYFUNCTION("""COMPUTED_VALUE"""),"Emmaline Woodworth")</f>
        <v>Emmaline Woodworth</v>
      </c>
    </row>
    <row r="84">
      <c r="B84" s="3" t="str">
        <f>IFERROR(__xludf.DUMMYFUNCTION("""COMPUTED_VALUE"""),"Kat Vanbourgondien")</f>
        <v>Kat Vanbourgondien</v>
      </c>
      <c r="C84" s="3" t="str">
        <f>IFERROR(__xludf.DUMMYFUNCTION("""COMPUTED_VALUE"""),"Sophie Knepper")</f>
        <v>Sophie Knepper</v>
      </c>
      <c r="D84" s="3" t="str">
        <f>IFERROR(__xludf.DUMMYFUNCTION("""COMPUTED_VALUE"""),"Shannah Dillman")</f>
        <v>Shannah Dillman</v>
      </c>
      <c r="E84" s="3" t="str">
        <f>IFERROR(__xludf.DUMMYFUNCTION("""COMPUTED_VALUE"""),"Moira Euker")</f>
        <v>Moira Euker</v>
      </c>
      <c r="G84" s="3" t="str">
        <f>IFERROR(__xludf.DUMMYFUNCTION("""COMPUTED_VALUE"""),"Andrea Leng")</f>
        <v>Andrea Leng</v>
      </c>
      <c r="H84" s="3" t="str">
        <f>IFERROR(__xludf.DUMMYFUNCTION("""COMPUTED_VALUE"""),"Tessa Campbell")</f>
        <v>Tessa Campbell</v>
      </c>
      <c r="I84" s="3" t="str">
        <f>IFERROR(__xludf.DUMMYFUNCTION("""COMPUTED_VALUE"""),"Hannah Rossin")</f>
        <v>Hannah Rossin</v>
      </c>
      <c r="J84" s="3" t="str">
        <f>IFERROR(__xludf.DUMMYFUNCTION("""COMPUTED_VALUE"""),"Bridgette Pearson")</f>
        <v>Bridgette Pearson</v>
      </c>
      <c r="K84" s="3" t="str">
        <f>IFERROR(__xludf.DUMMYFUNCTION("""COMPUTED_VALUE"""),"Anna Watson")</f>
        <v>Anna Watson</v>
      </c>
      <c r="L84" s="3" t="str">
        <f>IFERROR(__xludf.DUMMYFUNCTION("""COMPUTED_VALUE"""),"Jenna Kapp")</f>
        <v>Jenna Kapp</v>
      </c>
      <c r="M84" s="3" t="str">
        <f>IFERROR(__xludf.DUMMYFUNCTION("""COMPUTED_VALUE"""),"Britney Denny")</f>
        <v>Britney Denny</v>
      </c>
      <c r="N84" s="3" t="str">
        <f>IFERROR(__xludf.DUMMYFUNCTION("""COMPUTED_VALUE"""),"Jenna Kapp")</f>
        <v>Jenna Kapp</v>
      </c>
      <c r="W84" s="3" t="str">
        <f>IFERROR(__xludf.DUMMYFUNCTION("""COMPUTED_VALUE"""),"Cecilia Cortez")</f>
        <v>Cecilia Cortez</v>
      </c>
    </row>
    <row r="85">
      <c r="B85" s="3" t="str">
        <f>IFERROR(__xludf.DUMMYFUNCTION("""COMPUTED_VALUE"""),"Raea Farquharson")</f>
        <v>Raea Farquharson</v>
      </c>
      <c r="C85" s="3" t="str">
        <f>IFERROR(__xludf.DUMMYFUNCTION("""COMPUTED_VALUE"""),"Anna Watson")</f>
        <v>Anna Watson</v>
      </c>
      <c r="D85" s="3" t="str">
        <f>IFERROR(__xludf.DUMMYFUNCTION("""COMPUTED_VALUE"""),"Anna Slominski")</f>
        <v>Anna Slominski</v>
      </c>
      <c r="E85" s="3" t="str">
        <f>IFERROR(__xludf.DUMMYFUNCTION("""COMPUTED_VALUE"""),"Caroline Shockley")</f>
        <v>Caroline Shockley</v>
      </c>
      <c r="G85" s="3" t="str">
        <f>IFERROR(__xludf.DUMMYFUNCTION("""COMPUTED_VALUE"""),"Maddie Andrews")</f>
        <v>Maddie Andrews</v>
      </c>
      <c r="H85" s="3" t="str">
        <f>IFERROR(__xludf.DUMMYFUNCTION("""COMPUTED_VALUE"""),"Allison Langenburg")</f>
        <v>Allison Langenburg</v>
      </c>
      <c r="I85" s="3" t="str">
        <f>IFERROR(__xludf.DUMMYFUNCTION("""COMPUTED_VALUE"""),"Grey Davis")</f>
        <v>Grey Davis</v>
      </c>
      <c r="J85" s="3" t="str">
        <f>IFERROR(__xludf.DUMMYFUNCTION("""COMPUTED_VALUE"""),"Katelyn Vieni")</f>
        <v>Katelyn Vieni</v>
      </c>
      <c r="K85" s="3" t="str">
        <f>IFERROR(__xludf.DUMMYFUNCTION("""COMPUTED_VALUE"""),"Alexis Roberts")</f>
        <v>Alexis Roberts</v>
      </c>
      <c r="L85" s="3" t="str">
        <f>IFERROR(__xludf.DUMMYFUNCTION("""COMPUTED_VALUE"""),"Sophie O'Donnell")</f>
        <v>Sophie O'Donnell</v>
      </c>
      <c r="M85" s="3" t="str">
        <f>IFERROR(__xludf.DUMMYFUNCTION("""COMPUTED_VALUE"""),"Pearl Kluger")</f>
        <v>Pearl Kluger</v>
      </c>
      <c r="N85" s="3" t="str">
        <f>IFERROR(__xludf.DUMMYFUNCTION("""COMPUTED_VALUE"""),"Laney VanLenten")</f>
        <v>Laney VanLenten</v>
      </c>
      <c r="W85" s="3" t="str">
        <f>IFERROR(__xludf.DUMMYFUNCTION("""COMPUTED_VALUE"""),"Jenni Ryniewicz")</f>
        <v>Jenni Ryniewicz</v>
      </c>
    </row>
    <row r="86">
      <c r="B86" s="3" t="str">
        <f>IFERROR(__xludf.DUMMYFUNCTION("""COMPUTED_VALUE"""),"Maggie Ivie")</f>
        <v>Maggie Ivie</v>
      </c>
      <c r="C86" s="3" t="str">
        <f>IFERROR(__xludf.DUMMYFUNCTION("""COMPUTED_VALUE"""),"Maggie Ivie")</f>
        <v>Maggie Ivie</v>
      </c>
      <c r="D86" s="3" t="str">
        <f>IFERROR(__xludf.DUMMYFUNCTION("""COMPUTED_VALUE"""),"Maggie Dominick")</f>
        <v>Maggie Dominick</v>
      </c>
      <c r="E86" s="3" t="str">
        <f>IFERROR(__xludf.DUMMYFUNCTION("""COMPUTED_VALUE"""),"Molly Shand")</f>
        <v>Molly Shand</v>
      </c>
      <c r="G86" s="3" t="str">
        <f>IFERROR(__xludf.DUMMYFUNCTION("""COMPUTED_VALUE"""),"Alexandra Browne")</f>
        <v>Alexandra Browne</v>
      </c>
      <c r="H86" s="3" t="str">
        <f>IFERROR(__xludf.DUMMYFUNCTION("""COMPUTED_VALUE"""),"Olivia Hutton")</f>
        <v>Olivia Hutton</v>
      </c>
      <c r="I86" s="3" t="str">
        <f>IFERROR(__xludf.DUMMYFUNCTION("""COMPUTED_VALUE"""),"Emma Fuhs")</f>
        <v>Emma Fuhs</v>
      </c>
      <c r="J86" s="3" t="str">
        <f>IFERROR(__xludf.DUMMYFUNCTION("""COMPUTED_VALUE"""),"Paige Simko")</f>
        <v>Paige Simko</v>
      </c>
      <c r="K86" s="3" t="str">
        <f>IFERROR(__xludf.DUMMYFUNCTION("""COMPUTED_VALUE"""),"Jean Graham")</f>
        <v>Jean Graham</v>
      </c>
      <c r="L86" s="3" t="str">
        <f>IFERROR(__xludf.DUMMYFUNCTION("""COMPUTED_VALUE"""),"Natalia Perdomo")</f>
        <v>Natalia Perdomo</v>
      </c>
      <c r="M86" s="3" t="str">
        <f>IFERROR(__xludf.DUMMYFUNCTION("""COMPUTED_VALUE"""),"Anna Watson")</f>
        <v>Anna Watson</v>
      </c>
      <c r="N86" s="3" t="str">
        <f>IFERROR(__xludf.DUMMYFUNCTION("""COMPUTED_VALUE"""),"Isabella Caballero")</f>
        <v>Isabella Caballero</v>
      </c>
      <c r="W86" s="3" t="str">
        <f>IFERROR(__xludf.DUMMYFUNCTION("""COMPUTED_VALUE"""),"Taylor Branch")</f>
        <v>Taylor Branch</v>
      </c>
    </row>
    <row r="87">
      <c r="B87" s="3" t="str">
        <f>IFERROR(__xludf.DUMMYFUNCTION("""COMPUTED_VALUE"""),"Hallie Wilson")</f>
        <v>Hallie Wilson</v>
      </c>
      <c r="C87" s="3" t="str">
        <f>IFERROR(__xludf.DUMMYFUNCTION("""COMPUTED_VALUE"""),"Selby Heyman")</f>
        <v>Selby Heyman</v>
      </c>
      <c r="D87" s="3" t="str">
        <f>IFERROR(__xludf.DUMMYFUNCTION("""COMPUTED_VALUE"""),"Melina Christou")</f>
        <v>Melina Christou</v>
      </c>
      <c r="E87" s="3" t="str">
        <f>IFERROR(__xludf.DUMMYFUNCTION("""COMPUTED_VALUE"""),"Maialen Sudupe")</f>
        <v>Maialen Sudupe</v>
      </c>
      <c r="G87" s="3" t="str">
        <f>IFERROR(__xludf.DUMMYFUNCTION("""COMPUTED_VALUE"""),"Kinsey Brooks")</f>
        <v>Kinsey Brooks</v>
      </c>
      <c r="H87" s="3" t="str">
        <f>IFERROR(__xludf.DUMMYFUNCTION("""COMPUTED_VALUE"""),"Bella Kimbel")</f>
        <v>Bella Kimbel</v>
      </c>
      <c r="I87" s="3" t="str">
        <f>IFERROR(__xludf.DUMMYFUNCTION("""COMPUTED_VALUE"""),"Lexi Osleger")</f>
        <v>Lexi Osleger</v>
      </c>
      <c r="J87" s="3" t="str">
        <f>IFERROR(__xludf.DUMMYFUNCTION("""COMPUTED_VALUE"""),"Jordan MacIsaac")</f>
        <v>Jordan MacIsaac</v>
      </c>
      <c r="K87" s="3" t="str">
        <f>IFERROR(__xludf.DUMMYFUNCTION("""COMPUTED_VALUE"""),"Ellie Webb")</f>
        <v>Ellie Webb</v>
      </c>
      <c r="L87" s="3" t="str">
        <f>IFERROR(__xludf.DUMMYFUNCTION("""COMPUTED_VALUE"""),"Anna Watson")</f>
        <v>Anna Watson</v>
      </c>
      <c r="M87" s="3" t="str">
        <f>IFERROR(__xludf.DUMMYFUNCTION("""COMPUTED_VALUE"""),"Zorey Sargent")</f>
        <v>Zorey Sargent</v>
      </c>
      <c r="N87" s="3" t="str">
        <f>IFERROR(__xludf.DUMMYFUNCTION("""COMPUTED_VALUE"""),"Kassy McCoy")</f>
        <v>Kassy McCoy</v>
      </c>
      <c r="W87" s="3" t="str">
        <f>IFERROR(__xludf.DUMMYFUNCTION("""COMPUTED_VALUE"""),"Sarah Arnold")</f>
        <v>Sarah Arnold</v>
      </c>
    </row>
    <row r="88">
      <c r="B88" s="3" t="str">
        <f>IFERROR(__xludf.DUMMYFUNCTION("""COMPUTED_VALUE"""),"Tess Deyerle")</f>
        <v>Tess Deyerle</v>
      </c>
      <c r="C88" s="3" t="str">
        <f>IFERROR(__xludf.DUMMYFUNCTION("""COMPUTED_VALUE"""),"Kylie Thompson")</f>
        <v>Kylie Thompson</v>
      </c>
      <c r="D88" s="3" t="str">
        <f>IFERROR(__xludf.DUMMYFUNCTION("""COMPUTED_VALUE"""),"Emma De Jong")</f>
        <v>Emma De Jong</v>
      </c>
      <c r="G88" s="3" t="str">
        <f>IFERROR(__xludf.DUMMYFUNCTION("""COMPUTED_VALUE"""),"Laney VanLenten")</f>
        <v>Laney VanLenten</v>
      </c>
      <c r="H88" s="3" t="str">
        <f>IFERROR(__xludf.DUMMYFUNCTION("""COMPUTED_VALUE"""),"Lauren Shoemaker")</f>
        <v>Lauren Shoemaker</v>
      </c>
      <c r="I88" s="3" t="str">
        <f>IFERROR(__xludf.DUMMYFUNCTION("""COMPUTED_VALUE"""),"Katelyn Vieni")</f>
        <v>Katelyn Vieni</v>
      </c>
      <c r="J88" s="3" t="str">
        <f>IFERROR(__xludf.DUMMYFUNCTION("""COMPUTED_VALUE"""),"Elizabette Macias")</f>
        <v>Elizabette Macias</v>
      </c>
      <c r="K88" s="3" t="str">
        <f>IFERROR(__xludf.DUMMYFUNCTION("""COMPUTED_VALUE"""),"Jillian Haig")</f>
        <v>Jillian Haig</v>
      </c>
      <c r="L88" s="3" t="str">
        <f>IFERROR(__xludf.DUMMYFUNCTION("""COMPUTED_VALUE"""),"Pearl Kluger")</f>
        <v>Pearl Kluger</v>
      </c>
      <c r="M88" s="3" t="str">
        <f>IFERROR(__xludf.DUMMYFUNCTION("""COMPUTED_VALUE"""),"Shea Buirski")</f>
        <v>Shea Buirski</v>
      </c>
      <c r="N88" s="3" t="str">
        <f>IFERROR(__xludf.DUMMYFUNCTION("""COMPUTED_VALUE"""),"Sarah Vencil")</f>
        <v>Sarah Vencil</v>
      </c>
      <c r="W88" s="3" t="str">
        <f>IFERROR(__xludf.DUMMYFUNCTION("""COMPUTED_VALUE"""),"Anna Watson")</f>
        <v>Anna Watson</v>
      </c>
    </row>
    <row r="89">
      <c r="B89" s="3" t="str">
        <f>IFERROR(__xludf.DUMMYFUNCTION("""COMPUTED_VALUE"""),"Anna Slominski")</f>
        <v>Anna Slominski</v>
      </c>
      <c r="C89" s="3" t="str">
        <f>IFERROR(__xludf.DUMMYFUNCTION("""COMPUTED_VALUE"""),"Athena Vanyo")</f>
        <v>Athena Vanyo</v>
      </c>
      <c r="D89" s="3" t="str">
        <f>IFERROR(__xludf.DUMMYFUNCTION("""COMPUTED_VALUE"""),"Meagan Baxley")</f>
        <v>Meagan Baxley</v>
      </c>
      <c r="G89" s="3" t="str">
        <f>IFERROR(__xludf.DUMMYFUNCTION("""COMPUTED_VALUE"""),"Anna Sheng")</f>
        <v>Anna Sheng</v>
      </c>
      <c r="H89" s="3" t="str">
        <f>IFERROR(__xludf.DUMMYFUNCTION("""COMPUTED_VALUE"""),"Brooke-Lynn Clark")</f>
        <v>Brooke-Lynn Clark</v>
      </c>
      <c r="I89" s="3" t="str">
        <f>IFERROR(__xludf.DUMMYFUNCTION("""COMPUTED_VALUE"""),"Sydney McCallie")</f>
        <v>Sydney McCallie</v>
      </c>
      <c r="J89" s="3" t="str">
        <f>IFERROR(__xludf.DUMMYFUNCTION("""COMPUTED_VALUE"""),"Isabella Caballero")</f>
        <v>Isabella Caballero</v>
      </c>
      <c r="K89" s="3" t="str">
        <f>IFERROR(__xludf.DUMMYFUNCTION("""COMPUTED_VALUE"""),"Paige Rooks")</f>
        <v>Paige Rooks</v>
      </c>
      <c r="L89" s="3" t="str">
        <f>IFERROR(__xludf.DUMMYFUNCTION("""COMPUTED_VALUE"""),"Bridget Wilson")</f>
        <v>Bridget Wilson</v>
      </c>
      <c r="M89" s="3" t="str">
        <f>IFERROR(__xludf.DUMMYFUNCTION("""COMPUTED_VALUE"""),"Calli McEvoy")</f>
        <v>Calli McEvoy</v>
      </c>
      <c r="N89" s="3" t="str">
        <f>IFERROR(__xludf.DUMMYFUNCTION("""COMPUTED_VALUE"""),"Lauren Masters")</f>
        <v>Lauren Masters</v>
      </c>
      <c r="W89" s="3" t="str">
        <f>IFERROR(__xludf.DUMMYFUNCTION("""COMPUTED_VALUE"""),"Macy Wilcox")</f>
        <v>Macy Wilcox</v>
      </c>
    </row>
    <row r="90">
      <c r="B90" s="3" t="str">
        <f>IFERROR(__xludf.DUMMYFUNCTION("""COMPUTED_VALUE"""),"Kylie Thompson")</f>
        <v>Kylie Thompson</v>
      </c>
      <c r="C90" s="3" t="str">
        <f>IFERROR(__xludf.DUMMYFUNCTION("""COMPUTED_VALUE"""),"Christa Jones")</f>
        <v>Christa Jones</v>
      </c>
      <c r="D90" s="3" t="str">
        <f>IFERROR(__xludf.DUMMYFUNCTION("""COMPUTED_VALUE"""),"Allie Pickels")</f>
        <v>Allie Pickels</v>
      </c>
      <c r="G90" s="3" t="str">
        <f>IFERROR(__xludf.DUMMYFUNCTION("""COMPUTED_VALUE"""),"Calli McEvoy")</f>
        <v>Calli McEvoy</v>
      </c>
      <c r="H90" s="3" t="str">
        <f>IFERROR(__xludf.DUMMYFUNCTION("""COMPUTED_VALUE"""),"Blythe Brenner")</f>
        <v>Blythe Brenner</v>
      </c>
      <c r="I90" s="3" t="str">
        <f>IFERROR(__xludf.DUMMYFUNCTION("""COMPUTED_VALUE"""),"Paige Simko")</f>
        <v>Paige Simko</v>
      </c>
      <c r="J90" s="3" t="str">
        <f>IFERROR(__xludf.DUMMYFUNCTION("""COMPUTED_VALUE"""),"Mia Constantin")</f>
        <v>Mia Constantin</v>
      </c>
      <c r="K90" s="3" t="str">
        <f>IFERROR(__xludf.DUMMYFUNCTION("""COMPUTED_VALUE"""),"Maya Chatterson")</f>
        <v>Maya Chatterson</v>
      </c>
      <c r="L90" s="3" t="str">
        <f>IFERROR(__xludf.DUMMYFUNCTION("""COMPUTED_VALUE"""),"Kimberly Large")</f>
        <v>Kimberly Large</v>
      </c>
      <c r="M90" s="3" t="str">
        <f>IFERROR(__xludf.DUMMYFUNCTION("""COMPUTED_VALUE"""),"Melina Christou")</f>
        <v>Melina Christou</v>
      </c>
      <c r="N90" s="3" t="str">
        <f>IFERROR(__xludf.DUMMYFUNCTION("""COMPUTED_VALUE"""),"Alyssa Teller")</f>
        <v>Alyssa Teller</v>
      </c>
      <c r="W90" s="3" t="str">
        <f>IFERROR(__xludf.DUMMYFUNCTION("""COMPUTED_VALUE"""),"Abby Frey")</f>
        <v>Abby Frey</v>
      </c>
    </row>
    <row r="91">
      <c r="B91" s="3" t="str">
        <f>IFERROR(__xludf.DUMMYFUNCTION("""COMPUTED_VALUE"""),"Leah Riley")</f>
        <v>Leah Riley</v>
      </c>
      <c r="C91" s="3" t="str">
        <f>IFERROR(__xludf.DUMMYFUNCTION("""COMPUTED_VALUE"""),"Sophie O'Donnell")</f>
        <v>Sophie O'Donnell</v>
      </c>
      <c r="D91" s="3" t="str">
        <f>IFERROR(__xludf.DUMMYFUNCTION("""COMPUTED_VALUE"""),"Bella Kimbel")</f>
        <v>Bella Kimbel</v>
      </c>
      <c r="G91" s="3" t="str">
        <f>IFERROR(__xludf.DUMMYFUNCTION("""COMPUTED_VALUE"""),"Emma De Jong")</f>
        <v>Emma De Jong</v>
      </c>
      <c r="H91" s="3" t="str">
        <f>IFERROR(__xludf.DUMMYFUNCTION("""COMPUTED_VALUE"""),"Jane Lawing")</f>
        <v>Jane Lawing</v>
      </c>
      <c r="I91" s="3" t="str">
        <f>IFERROR(__xludf.DUMMYFUNCTION("""COMPUTED_VALUE"""),"Sophia Yu")</f>
        <v>Sophia Yu</v>
      </c>
      <c r="J91" s="3" t="str">
        <f>IFERROR(__xludf.DUMMYFUNCTION("""COMPUTED_VALUE"""),"Abby Fuller")</f>
        <v>Abby Fuller</v>
      </c>
      <c r="K91" s="3" t="str">
        <f>IFERROR(__xludf.DUMMYFUNCTION("""COMPUTED_VALUE"""),"Tamara Wheater")</f>
        <v>Tamara Wheater</v>
      </c>
      <c r="L91" s="3" t="str">
        <f>IFERROR(__xludf.DUMMYFUNCTION("""COMPUTED_VALUE"""),"Sydnee Blackburn")</f>
        <v>Sydnee Blackburn</v>
      </c>
      <c r="M91" s="3" t="str">
        <f>IFERROR(__xludf.DUMMYFUNCTION("""COMPUTED_VALUE"""),"Sydney McCallie")</f>
        <v>Sydney McCallie</v>
      </c>
      <c r="N91" s="3" t="str">
        <f>IFERROR(__xludf.DUMMYFUNCTION("""COMPUTED_VALUE"""),"Korina Davis")</f>
        <v>Korina Davis</v>
      </c>
      <c r="W91" s="3" t="str">
        <f>IFERROR(__xludf.DUMMYFUNCTION("""COMPUTED_VALUE"""),"Kaila Hewitt")</f>
        <v>Kaila Hewitt</v>
      </c>
    </row>
    <row r="92">
      <c r="B92" s="3" t="str">
        <f>IFERROR(__xludf.DUMMYFUNCTION("""COMPUTED_VALUE"""),"Christa Jones")</f>
        <v>Christa Jones</v>
      </c>
      <c r="C92" s="3" t="str">
        <f>IFERROR(__xludf.DUMMYFUNCTION("""COMPUTED_VALUE"""),"Casey Fusco")</f>
        <v>Casey Fusco</v>
      </c>
      <c r="D92" s="3" t="str">
        <f>IFERROR(__xludf.DUMMYFUNCTION("""COMPUTED_VALUE"""),"Abby Frey")</f>
        <v>Abby Frey</v>
      </c>
      <c r="G92" s="3" t="str">
        <f>IFERROR(__xludf.DUMMYFUNCTION("""COMPUTED_VALUE"""),"Zorey Sargent")</f>
        <v>Zorey Sargent</v>
      </c>
      <c r="H92" s="3" t="str">
        <f>IFERROR(__xludf.DUMMYFUNCTION("""COMPUTED_VALUE"""),"angela ritchie")</f>
        <v>angela ritchie</v>
      </c>
      <c r="I92" s="3" t="str">
        <f>IFERROR(__xludf.DUMMYFUNCTION("""COMPUTED_VALUE"""),"Caroline Marotta")</f>
        <v>Caroline Marotta</v>
      </c>
      <c r="J92" s="3" t="str">
        <f>IFERROR(__xludf.DUMMYFUNCTION("""COMPUTED_VALUE"""),"Peyton Geiszler")</f>
        <v>Peyton Geiszler</v>
      </c>
      <c r="K92" s="3" t="str">
        <f>IFERROR(__xludf.DUMMYFUNCTION("""COMPUTED_VALUE"""),"Macy Wilcox")</f>
        <v>Macy Wilcox</v>
      </c>
      <c r="L92" s="3" t="str">
        <f>IFERROR(__xludf.DUMMYFUNCTION("""COMPUTED_VALUE"""),"Julia May")</f>
        <v>Julia May</v>
      </c>
      <c r="M92" s="3" t="str">
        <f>IFERROR(__xludf.DUMMYFUNCTION("""COMPUTED_VALUE"""),"Abbey Murtaugh")</f>
        <v>Abbey Murtaugh</v>
      </c>
      <c r="N92" s="3" t="str">
        <f>IFERROR(__xludf.DUMMYFUNCTION("""COMPUTED_VALUE"""),"Ally Kiger")</f>
        <v>Ally Kiger</v>
      </c>
      <c r="W92" s="3" t="str">
        <f>IFERROR(__xludf.DUMMYFUNCTION("""COMPUTED_VALUE"""),"Delaney Younger")</f>
        <v>Delaney Younger</v>
      </c>
    </row>
    <row r="93">
      <c r="B93" s="3" t="str">
        <f>IFERROR(__xludf.DUMMYFUNCTION("""COMPUTED_VALUE"""),"Sophia Yu")</f>
        <v>Sophia Yu</v>
      </c>
      <c r="C93" s="3" t="str">
        <f>IFERROR(__xludf.DUMMYFUNCTION("""COMPUTED_VALUE"""),"Kristen Wagner")</f>
        <v>Kristen Wagner</v>
      </c>
      <c r="D93" s="3" t="str">
        <f>IFERROR(__xludf.DUMMYFUNCTION("""COMPUTED_VALUE"""),"Jane Lawing")</f>
        <v>Jane Lawing</v>
      </c>
      <c r="G93" s="3" t="str">
        <f>IFERROR(__xludf.DUMMYFUNCTION("""COMPUTED_VALUE"""),"Abbey Murtaugh")</f>
        <v>Abbey Murtaugh</v>
      </c>
      <c r="H93" s="3" t="str">
        <f>IFERROR(__xludf.DUMMYFUNCTION("""COMPUTED_VALUE"""),"Ellie Ahmed")</f>
        <v>Ellie Ahmed</v>
      </c>
      <c r="I93" s="3" t="str">
        <f>IFERROR(__xludf.DUMMYFUNCTION("""COMPUTED_VALUE"""),"Isabel Born")</f>
        <v>Isabel Born</v>
      </c>
      <c r="J93" s="3" t="str">
        <f>IFERROR(__xludf.DUMMYFUNCTION("""COMPUTED_VALUE"""),"Hannah Rossin")</f>
        <v>Hannah Rossin</v>
      </c>
      <c r="K93" s="3" t="str">
        <f>IFERROR(__xludf.DUMMYFUNCTION("""COMPUTED_VALUE"""),"Abbey Murtaugh")</f>
        <v>Abbey Murtaugh</v>
      </c>
      <c r="L93" s="3" t="str">
        <f>IFERROR(__xludf.DUMMYFUNCTION("""COMPUTED_VALUE"""),"Maggie Baham")</f>
        <v>Maggie Baham</v>
      </c>
      <c r="M93" s="3" t="str">
        <f>IFERROR(__xludf.DUMMYFUNCTION("""COMPUTED_VALUE"""),"Emma De Jong")</f>
        <v>Emma De Jong</v>
      </c>
      <c r="N93" s="3" t="str">
        <f>IFERROR(__xludf.DUMMYFUNCTION("""COMPUTED_VALUE"""),"Maddie Spangler")</f>
        <v>Maddie Spangler</v>
      </c>
      <c r="W93" s="3" t="str">
        <f>IFERROR(__xludf.DUMMYFUNCTION("""COMPUTED_VALUE"""),"Korina Davis")</f>
        <v>Korina Davis</v>
      </c>
    </row>
    <row r="94">
      <c r="B94" s="3" t="str">
        <f>IFERROR(__xludf.DUMMYFUNCTION("""COMPUTED_VALUE"""),"Natalie Hidrobo")</f>
        <v>Natalie Hidrobo</v>
      </c>
      <c r="C94" s="3" t="str">
        <f>IFERROR(__xludf.DUMMYFUNCTION("""COMPUTED_VALUE"""),"Allie Pickels")</f>
        <v>Allie Pickels</v>
      </c>
      <c r="D94" s="3" t="str">
        <f>IFERROR(__xludf.DUMMYFUNCTION("""COMPUTED_VALUE"""),"Kaitlyn Sullivan")</f>
        <v>Kaitlyn Sullivan</v>
      </c>
      <c r="G94" s="3" t="str">
        <f>IFERROR(__xludf.DUMMYFUNCTION("""COMPUTED_VALUE"""),"Kylie Johnson")</f>
        <v>Kylie Johnson</v>
      </c>
      <c r="H94" s="3" t="str">
        <f>IFERROR(__xludf.DUMMYFUNCTION("""COMPUTED_VALUE"""),"Jenna Kapp")</f>
        <v>Jenna Kapp</v>
      </c>
      <c r="I94" s="3" t="str">
        <f>IFERROR(__xludf.DUMMYFUNCTION("""COMPUTED_VALUE"""),"Varin Schefte")</f>
        <v>Varin Schefte</v>
      </c>
      <c r="J94" s="3" t="str">
        <f>IFERROR(__xludf.DUMMYFUNCTION("""COMPUTED_VALUE"""),"Jane Fomuso")</f>
        <v>Jane Fomuso</v>
      </c>
      <c r="K94" s="3" t="str">
        <f>IFERROR(__xludf.DUMMYFUNCTION("""COMPUTED_VALUE"""),"Calli McEvoy")</f>
        <v>Calli McEvoy</v>
      </c>
      <c r="L94" s="3" t="str">
        <f>IFERROR(__xludf.DUMMYFUNCTION("""COMPUTED_VALUE"""),"Laney VanLenten")</f>
        <v>Laney VanLenten</v>
      </c>
      <c r="M94" s="3" t="str">
        <f>IFERROR(__xludf.DUMMYFUNCTION("""COMPUTED_VALUE"""),"Julie Anderson")</f>
        <v>Julie Anderson</v>
      </c>
      <c r="N94" s="3" t="str">
        <f>IFERROR(__xludf.DUMMYFUNCTION("""COMPUTED_VALUE"""),"Mary Cornett")</f>
        <v>Mary Cornett</v>
      </c>
      <c r="W94" s="3" t="str">
        <f>IFERROR(__xludf.DUMMYFUNCTION("""COMPUTED_VALUE"""),"Gina Lynch")</f>
        <v>Gina Lynch</v>
      </c>
    </row>
    <row r="95">
      <c r="B95" s="3" t="str">
        <f>IFERROR(__xludf.DUMMYFUNCTION("""COMPUTED_VALUE"""),"Grace Clemens")</f>
        <v>Grace Clemens</v>
      </c>
      <c r="C95" s="3" t="str">
        <f>IFERROR(__xludf.DUMMYFUNCTION("""COMPUTED_VALUE"""),"Emma De Jong")</f>
        <v>Emma De Jong</v>
      </c>
      <c r="D95" s="3" t="str">
        <f>IFERROR(__xludf.DUMMYFUNCTION("""COMPUTED_VALUE"""),"Alexandra Browne")</f>
        <v>Alexandra Browne</v>
      </c>
      <c r="G95" s="3" t="str">
        <f>IFERROR(__xludf.DUMMYFUNCTION("""COMPUTED_VALUE"""),"Olivia Hutton")</f>
        <v>Olivia Hutton</v>
      </c>
      <c r="H95" s="3" t="str">
        <f>IFERROR(__xludf.DUMMYFUNCTION("""COMPUTED_VALUE"""),"Olivia Tillett")</f>
        <v>Olivia Tillett</v>
      </c>
      <c r="I95" s="3" t="str">
        <f>IFERROR(__xludf.DUMMYFUNCTION("""COMPUTED_VALUE"""),"Lexi Nussbaum")</f>
        <v>Lexi Nussbaum</v>
      </c>
      <c r="J95" s="3" t="str">
        <f>IFERROR(__xludf.DUMMYFUNCTION("""COMPUTED_VALUE"""),"Katelyn Lough")</f>
        <v>Katelyn Lough</v>
      </c>
      <c r="K95" s="3" t="str">
        <f>IFERROR(__xludf.DUMMYFUNCTION("""COMPUTED_VALUE"""),"Abby Frey")</f>
        <v>Abby Frey</v>
      </c>
      <c r="L95" s="3" t="str">
        <f>IFERROR(__xludf.DUMMYFUNCTION("""COMPUTED_VALUE"""),"Molly Rouzie")</f>
        <v>Molly Rouzie</v>
      </c>
      <c r="M95" s="3" t="str">
        <f>IFERROR(__xludf.DUMMYFUNCTION("""COMPUTED_VALUE"""),"Jenna Kapp")</f>
        <v>Jenna Kapp</v>
      </c>
      <c r="N95" s="3" t="str">
        <f>IFERROR(__xludf.DUMMYFUNCTION("""COMPUTED_VALUE"""),"Anka Whelan")</f>
        <v>Anka Whelan</v>
      </c>
      <c r="W95" s="3" t="str">
        <f>IFERROR(__xludf.DUMMYFUNCTION("""COMPUTED_VALUE"""),"Carson Yoder")</f>
        <v>Carson Yoder</v>
      </c>
    </row>
    <row r="96">
      <c r="B96" s="3" t="str">
        <f>IFERROR(__xludf.DUMMYFUNCTION("""COMPUTED_VALUE"""),"Isabelle Bauer")</f>
        <v>Isabelle Bauer</v>
      </c>
      <c r="C96" s="3" t="str">
        <f>IFERROR(__xludf.DUMMYFUNCTION("""COMPUTED_VALUE"""),"Kylie Johnson")</f>
        <v>Kylie Johnson</v>
      </c>
      <c r="D96" s="3" t="str">
        <f>IFERROR(__xludf.DUMMYFUNCTION("""COMPUTED_VALUE"""),"Selby Heyman")</f>
        <v>Selby Heyman</v>
      </c>
      <c r="G96" s="3" t="str">
        <f>IFERROR(__xludf.DUMMYFUNCTION("""COMPUTED_VALUE"""),"Jenna Kapp")</f>
        <v>Jenna Kapp</v>
      </c>
      <c r="H96" s="3" t="str">
        <f>IFERROR(__xludf.DUMMYFUNCTION("""COMPUTED_VALUE"""),"Tess Deyerle")</f>
        <v>Tess Deyerle</v>
      </c>
      <c r="I96" s="3" t="str">
        <f>IFERROR(__xludf.DUMMYFUNCTION("""COMPUTED_VALUE"""),"Caitlyn Verastek")</f>
        <v>Caitlyn Verastek</v>
      </c>
      <c r="J96" s="3" t="str">
        <f>IFERROR(__xludf.DUMMYFUNCTION("""COMPUTED_VALUE"""),"Sara Lindsay")</f>
        <v>Sara Lindsay</v>
      </c>
      <c r="K96" s="3" t="str">
        <f>IFERROR(__xludf.DUMMYFUNCTION("""COMPUTED_VALUE"""),"Rose McMullen")</f>
        <v>Rose McMullen</v>
      </c>
      <c r="L96" s="3" t="str">
        <f>IFERROR(__xludf.DUMMYFUNCTION("""COMPUTED_VALUE"""),"Jenna Lancey")</f>
        <v>Jenna Lancey</v>
      </c>
      <c r="M96" s="3" t="str">
        <f>IFERROR(__xludf.DUMMYFUNCTION("""COMPUTED_VALUE"""),"Kat Burr")</f>
        <v>Kat Burr</v>
      </c>
      <c r="N96" s="3" t="str">
        <f>IFERROR(__xludf.DUMMYFUNCTION("""COMPUTED_VALUE"""),"Lauren Underwood")</f>
        <v>Lauren Underwood</v>
      </c>
      <c r="W96" s="3" t="str">
        <f>IFERROR(__xludf.DUMMYFUNCTION("""COMPUTED_VALUE"""),"Sydney Branch")</f>
        <v>Sydney Branch</v>
      </c>
    </row>
    <row r="97">
      <c r="B97" s="3" t="str">
        <f>IFERROR(__xludf.DUMMYFUNCTION("""COMPUTED_VALUE"""),"Hannah Jirsa")</f>
        <v>Hannah Jirsa</v>
      </c>
      <c r="C97" s="3" t="str">
        <f>IFERROR(__xludf.DUMMYFUNCTION("""COMPUTED_VALUE"""),"Alison Harvey")</f>
        <v>Alison Harvey</v>
      </c>
      <c r="D97" s="3" t="str">
        <f>IFERROR(__xludf.DUMMYFUNCTION("""COMPUTED_VALUE"""),"Kylie Thompson")</f>
        <v>Kylie Thompson</v>
      </c>
      <c r="G97" s="3" t="str">
        <f>IFERROR(__xludf.DUMMYFUNCTION("""COMPUTED_VALUE"""),"Anka Whelan")</f>
        <v>Anka Whelan</v>
      </c>
      <c r="H97" s="3" t="str">
        <f>IFERROR(__xludf.DUMMYFUNCTION("""COMPUTED_VALUE"""),"Grey Davis")</f>
        <v>Grey Davis</v>
      </c>
      <c r="I97" s="3" t="str">
        <f>IFERROR(__xludf.DUMMYFUNCTION("""COMPUTED_VALUE"""),"Caroline Inskeep")</f>
        <v>Caroline Inskeep</v>
      </c>
      <c r="J97" s="3" t="str">
        <f>IFERROR(__xludf.DUMMYFUNCTION("""COMPUTED_VALUE"""),"Allie Pickels")</f>
        <v>Allie Pickels</v>
      </c>
      <c r="K97" s="3" t="str">
        <f>IFERROR(__xludf.DUMMYFUNCTION("""COMPUTED_VALUE"""),"Casey Phillips")</f>
        <v>Casey Phillips</v>
      </c>
      <c r="L97" s="3" t="str">
        <f>IFERROR(__xludf.DUMMYFUNCTION("""COMPUTED_VALUE"""),"Sara Lindsay")</f>
        <v>Sara Lindsay</v>
      </c>
      <c r="M97" s="3" t="str">
        <f>IFERROR(__xludf.DUMMYFUNCTION("""COMPUTED_VALUE"""),"Korina Davis")</f>
        <v>Korina Davis</v>
      </c>
      <c r="N97" s="3" t="str">
        <f>IFERROR(__xludf.DUMMYFUNCTION("""COMPUTED_VALUE"""),"Sophie O'Donnell")</f>
        <v>Sophie O'Donnell</v>
      </c>
      <c r="W97" s="3" t="str">
        <f>IFERROR(__xludf.DUMMYFUNCTION("""COMPUTED_VALUE"""),"Hannah Rossin")</f>
        <v>Hannah Rossin</v>
      </c>
    </row>
    <row r="98">
      <c r="B98" s="3" t="str">
        <f>IFERROR(__xludf.DUMMYFUNCTION("""COMPUTED_VALUE"""),"Anka Whelan")</f>
        <v>Anka Whelan</v>
      </c>
      <c r="C98" s="3" t="str">
        <f>IFERROR(__xludf.DUMMYFUNCTION("""COMPUTED_VALUE"""),"Jane Lawing")</f>
        <v>Jane Lawing</v>
      </c>
      <c r="D98" s="3" t="str">
        <f>IFERROR(__xludf.DUMMYFUNCTION("""COMPUTED_VALUE"""),"Gracie Mueller")</f>
        <v>Gracie Mueller</v>
      </c>
      <c r="G98" s="3" t="str">
        <f>IFERROR(__xludf.DUMMYFUNCTION("""COMPUTED_VALUE"""),"Alexis Roberts")</f>
        <v>Alexis Roberts</v>
      </c>
      <c r="H98" s="3" t="str">
        <f>IFERROR(__xludf.DUMMYFUNCTION("""COMPUTED_VALUE"""),"Sarah Vencil")</f>
        <v>Sarah Vencil</v>
      </c>
      <c r="I98" s="3" t="str">
        <f>IFERROR(__xludf.DUMMYFUNCTION("""COMPUTED_VALUE"""),"Isabella Caballero")</f>
        <v>Isabella Caballero</v>
      </c>
      <c r="J98" s="3" t="str">
        <f>IFERROR(__xludf.DUMMYFUNCTION("""COMPUTED_VALUE"""),"Annika Luce")</f>
        <v>Annika Luce</v>
      </c>
      <c r="K98" s="3" t="str">
        <f>IFERROR(__xludf.DUMMYFUNCTION("""COMPUTED_VALUE"""),"Meagan Baxley")</f>
        <v>Meagan Baxley</v>
      </c>
      <c r="L98" s="3" t="str">
        <f>IFERROR(__xludf.DUMMYFUNCTION("""COMPUTED_VALUE"""),"Molly Shand")</f>
        <v>Molly Shand</v>
      </c>
      <c r="M98" s="3" t="str">
        <f>IFERROR(__xludf.DUMMYFUNCTION("""COMPUTED_VALUE"""),"Kimberly Warnagiris")</f>
        <v>Kimberly Warnagiris</v>
      </c>
      <c r="N98" s="3" t="str">
        <f>IFERROR(__xludf.DUMMYFUNCTION("""COMPUTED_VALUE"""),"Chloe Jepson")</f>
        <v>Chloe Jepson</v>
      </c>
      <c r="W98" s="3" t="str">
        <f>IFERROR(__xludf.DUMMYFUNCTION("""COMPUTED_VALUE"""),"Jordan MacIsaac")</f>
        <v>Jordan MacIsaac</v>
      </c>
    </row>
    <row r="99">
      <c r="B99" s="3" t="str">
        <f>IFERROR(__xludf.DUMMYFUNCTION("""COMPUTED_VALUE"""),"Elizabette Macias")</f>
        <v>Elizabette Macias</v>
      </c>
      <c r="C99" s="3" t="str">
        <f>IFERROR(__xludf.DUMMYFUNCTION("""COMPUTED_VALUE"""),"angela ritchie")</f>
        <v>angela ritchie</v>
      </c>
      <c r="D99" s="3" t="str">
        <f>IFERROR(__xludf.DUMMYFUNCTION("""COMPUTED_VALUE"""),"Olivia Tillett")</f>
        <v>Olivia Tillett</v>
      </c>
      <c r="G99" s="3" t="str">
        <f>IFERROR(__xludf.DUMMYFUNCTION("""COMPUTED_VALUE"""),"Varin Schefte")</f>
        <v>Varin Schefte</v>
      </c>
      <c r="H99" s="3" t="str">
        <f>IFERROR(__xludf.DUMMYFUNCTION("""COMPUTED_VALUE"""),"Gracie Mueller")</f>
        <v>Gracie Mueller</v>
      </c>
      <c r="I99" s="3" t="str">
        <f>IFERROR(__xludf.DUMMYFUNCTION("""COMPUTED_VALUE"""),"Kelsey Peel")</f>
        <v>Kelsey Peel</v>
      </c>
      <c r="J99" s="3" t="str">
        <f>IFERROR(__xludf.DUMMYFUNCTION("""COMPUTED_VALUE"""),"Anne Bowles")</f>
        <v>Anne Bowles</v>
      </c>
      <c r="K99" s="3" t="str">
        <f>IFERROR(__xludf.DUMMYFUNCTION("""COMPUTED_VALUE"""),"Allie Pickels")</f>
        <v>Allie Pickels</v>
      </c>
      <c r="L99" s="3" t="str">
        <f>IFERROR(__xludf.DUMMYFUNCTION("""COMPUTED_VALUE"""),"Analiese Hargreaves")</f>
        <v>Analiese Hargreaves</v>
      </c>
      <c r="M99" s="3" t="str">
        <f>IFERROR(__xludf.DUMMYFUNCTION("""COMPUTED_VALUE"""),"Izzy Bradley")</f>
        <v>Izzy Bradley</v>
      </c>
      <c r="N99" s="3" t="str">
        <f>IFERROR(__xludf.DUMMYFUNCTION("""COMPUTED_VALUE"""),"Lexi Osleger")</f>
        <v>Lexi Osleger</v>
      </c>
      <c r="W99" s="3" t="str">
        <f>IFERROR(__xludf.DUMMYFUNCTION("""COMPUTED_VALUE"""),"Clara Rodriguez")</f>
        <v>Clara Rodriguez</v>
      </c>
    </row>
    <row r="100">
      <c r="B100" s="3" t="str">
        <f>IFERROR(__xludf.DUMMYFUNCTION("""COMPUTED_VALUE"""),"Lindsey Hair")</f>
        <v>Lindsey Hair</v>
      </c>
      <c r="C100" s="3" t="str">
        <f>IFERROR(__xludf.DUMMYFUNCTION("""COMPUTED_VALUE"""),"Maya Chatterson")</f>
        <v>Maya Chatterson</v>
      </c>
      <c r="D100" s="3" t="str">
        <f>IFERROR(__xludf.DUMMYFUNCTION("""COMPUTED_VALUE"""),"Livvie Cohn")</f>
        <v>Livvie Cohn</v>
      </c>
      <c r="G100" s="3" t="str">
        <f>IFERROR(__xludf.DUMMYFUNCTION("""COMPUTED_VALUE"""),"Moira Euker")</f>
        <v>Moira Euker</v>
      </c>
      <c r="H100" s="3" t="str">
        <f>IFERROR(__xludf.DUMMYFUNCTION("""COMPUTED_VALUE"""),"Anna Sheng")</f>
        <v>Anna Sheng</v>
      </c>
      <c r="I100" s="3" t="str">
        <f>IFERROR(__xludf.DUMMYFUNCTION("""COMPUTED_VALUE"""),"Jacquelyn Maly")</f>
        <v>Jacquelyn Maly</v>
      </c>
      <c r="J100" s="3" t="str">
        <f>IFERROR(__xludf.DUMMYFUNCTION("""COMPUTED_VALUE"""),"Carson Yoder")</f>
        <v>Carson Yoder</v>
      </c>
      <c r="K100" s="3" t="str">
        <f>IFERROR(__xludf.DUMMYFUNCTION("""COMPUTED_VALUE"""),"Lexi Plogger")</f>
        <v>Lexi Plogger</v>
      </c>
      <c r="L100" s="3" t="str">
        <f>IFERROR(__xludf.DUMMYFUNCTION("""COMPUTED_VALUE"""),"Cristal Perdomo")</f>
        <v>Cristal Perdomo</v>
      </c>
      <c r="M100" s="3" t="str">
        <f>IFERROR(__xludf.DUMMYFUNCTION("""COMPUTED_VALUE"""),"Brooke Simila")</f>
        <v>Brooke Simila</v>
      </c>
      <c r="W100" s="3" t="str">
        <f>IFERROR(__xludf.DUMMYFUNCTION("""COMPUTED_VALUE"""),"Sophie Haise")</f>
        <v>Sophie Haise</v>
      </c>
    </row>
    <row r="101">
      <c r="B101" s="3" t="str">
        <f>IFERROR(__xludf.DUMMYFUNCTION("""COMPUTED_VALUE"""),"Lauren Masters")</f>
        <v>Lauren Masters</v>
      </c>
      <c r="C101" s="3" t="str">
        <f>IFERROR(__xludf.DUMMYFUNCTION("""COMPUTED_VALUE"""),"Elizabette Macias")</f>
        <v>Elizabette Macias</v>
      </c>
      <c r="D101" s="3" t="str">
        <f>IFERROR(__xludf.DUMMYFUNCTION("""COMPUTED_VALUE"""),"Anne-Elaine Tiller")</f>
        <v>Anne-Elaine Tiller</v>
      </c>
      <c r="G101" s="3" t="str">
        <f>IFERROR(__xludf.DUMMYFUNCTION("""COMPUTED_VALUE"""),"Anne-Elaine Tiller")</f>
        <v>Anne-Elaine Tiller</v>
      </c>
      <c r="H101" s="3" t="str">
        <f>IFERROR(__xludf.DUMMYFUNCTION("""COMPUTED_VALUE"""),"Julie Anderson")</f>
        <v>Julie Anderson</v>
      </c>
      <c r="I101" s="3" t="str">
        <f>IFERROR(__xludf.DUMMYFUNCTION("""COMPUTED_VALUE"""),"Paige Rooks")</f>
        <v>Paige Rooks</v>
      </c>
      <c r="J101" s="3" t="str">
        <f>IFERROR(__xludf.DUMMYFUNCTION("""COMPUTED_VALUE"""),"Alli Lovell")</f>
        <v>Alli Lovell</v>
      </c>
      <c r="K101" s="3" t="str">
        <f>IFERROR(__xludf.DUMMYFUNCTION("""COMPUTED_VALUE"""),"Shea Buirski")</f>
        <v>Shea Buirski</v>
      </c>
      <c r="L101" s="3" t="str">
        <f>IFERROR(__xludf.DUMMYFUNCTION("""COMPUTED_VALUE"""),"Harper Sensiba")</f>
        <v>Harper Sensiba</v>
      </c>
      <c r="M101" s="3" t="str">
        <f>IFERROR(__xludf.DUMMYFUNCTION("""COMPUTED_VALUE"""),"Kassy McCoy")</f>
        <v>Kassy McCoy</v>
      </c>
      <c r="W101" s="3" t="str">
        <f>IFERROR(__xludf.DUMMYFUNCTION("""COMPUTED_VALUE"""),"Moira Euker")</f>
        <v>Moira Euker</v>
      </c>
    </row>
    <row r="102">
      <c r="B102" s="3" t="str">
        <f>IFERROR(__xludf.DUMMYFUNCTION("""COMPUTED_VALUE"""),"Olivia Tillett")</f>
        <v>Olivia Tillett</v>
      </c>
      <c r="C102" s="3" t="str">
        <f>IFERROR(__xludf.DUMMYFUNCTION("""COMPUTED_VALUE"""),"Grey Davis")</f>
        <v>Grey Davis</v>
      </c>
      <c r="D102" s="3" t="str">
        <f>IFERROR(__xludf.DUMMYFUNCTION("""COMPUTED_VALUE"""),"Grace Morgan")</f>
        <v>Grace Morgan</v>
      </c>
      <c r="G102" s="3" t="str">
        <f>IFERROR(__xludf.DUMMYFUNCTION("""COMPUTED_VALUE"""),"Meagan Baxley")</f>
        <v>Meagan Baxley</v>
      </c>
      <c r="H102" s="3" t="str">
        <f>IFERROR(__xludf.DUMMYFUNCTION("""COMPUTED_VALUE"""),"Andrea Leng")</f>
        <v>Andrea Leng</v>
      </c>
      <c r="I102" s="3" t="str">
        <f>IFERROR(__xludf.DUMMYFUNCTION("""COMPUTED_VALUE"""),"Isabelle Bauer")</f>
        <v>Isabelle Bauer</v>
      </c>
      <c r="J102" s="3" t="str">
        <f>IFERROR(__xludf.DUMMYFUNCTION("""COMPUTED_VALUE"""),"Anna Watson")</f>
        <v>Anna Watson</v>
      </c>
      <c r="K102" s="3" t="str">
        <f>IFERROR(__xludf.DUMMYFUNCTION("""COMPUTED_VALUE"""),"Christa Jones")</f>
        <v>Christa Jones</v>
      </c>
      <c r="L102" s="3" t="str">
        <f>IFERROR(__xludf.DUMMYFUNCTION("""COMPUTED_VALUE"""),"Ella Tarabocchia")</f>
        <v>Ella Tarabocchia</v>
      </c>
      <c r="M102" s="3" t="str">
        <f>IFERROR(__xludf.DUMMYFUNCTION("""COMPUTED_VALUE"""),"Claire Henniker")</f>
        <v>Claire Henniker</v>
      </c>
      <c r="W102" s="3" t="str">
        <f>IFERROR(__xludf.DUMMYFUNCTION("""COMPUTED_VALUE"""),"Abby Cook")</f>
        <v>Abby Cook</v>
      </c>
    </row>
    <row r="103">
      <c r="B103" s="3" t="str">
        <f>IFERROR(__xludf.DUMMYFUNCTION("""COMPUTED_VALUE"""),"Paige Simko")</f>
        <v>Paige Simko</v>
      </c>
      <c r="C103" s="3" t="str">
        <f>IFERROR(__xludf.DUMMYFUNCTION("""COMPUTED_VALUE"""),"Korina Davis")</f>
        <v>Korina Davis</v>
      </c>
      <c r="D103" s="3" t="str">
        <f>IFERROR(__xludf.DUMMYFUNCTION("""COMPUTED_VALUE"""),"Moira Euker")</f>
        <v>Moira Euker</v>
      </c>
      <c r="G103" s="3" t="str">
        <f>IFERROR(__xludf.DUMMYFUNCTION("""COMPUTED_VALUE"""),"Sarah Vencil")</f>
        <v>Sarah Vencil</v>
      </c>
      <c r="H103" s="3" t="str">
        <f>IFERROR(__xludf.DUMMYFUNCTION("""COMPUTED_VALUE"""),"Alexis Roberts")</f>
        <v>Alexis Roberts</v>
      </c>
      <c r="I103" s="3" t="str">
        <f>IFERROR(__xludf.DUMMYFUNCTION("""COMPUTED_VALUE"""),"Kassy McCoy")</f>
        <v>Kassy McCoy</v>
      </c>
      <c r="J103" s="3" t="str">
        <f>IFERROR(__xludf.DUMMYFUNCTION("""COMPUTED_VALUE"""),"Maialen Sudupe")</f>
        <v>Maialen Sudupe</v>
      </c>
      <c r="K103" s="3" t="str">
        <f>IFERROR(__xludf.DUMMYFUNCTION("""COMPUTED_VALUE"""),"Maggie Ivie")</f>
        <v>Maggie Ivie</v>
      </c>
      <c r="L103" s="3" t="str">
        <f>IFERROR(__xludf.DUMMYFUNCTION("""COMPUTED_VALUE"""),"Morgan Graves")</f>
        <v>Morgan Graves</v>
      </c>
      <c r="M103" s="3" t="str">
        <f>IFERROR(__xludf.DUMMYFUNCTION("""COMPUTED_VALUE"""),"Rylee Woelk")</f>
        <v>Rylee Woelk</v>
      </c>
      <c r="W103" s="3" t="str">
        <f>IFERROR(__xludf.DUMMYFUNCTION("""COMPUTED_VALUE"""),"Allison Masterson")</f>
        <v>Allison Masterson</v>
      </c>
    </row>
    <row r="104">
      <c r="B104" s="3" t="str">
        <f>IFERROR(__xludf.DUMMYFUNCTION("""COMPUTED_VALUE"""),"Maya Chatterson")</f>
        <v>Maya Chatterson</v>
      </c>
      <c r="C104" s="3" t="str">
        <f>IFERROR(__xludf.DUMMYFUNCTION("""COMPUTED_VALUE"""),"Olivia Tillett")</f>
        <v>Olivia Tillett</v>
      </c>
      <c r="D104" s="3" t="str">
        <f>IFERROR(__xludf.DUMMYFUNCTION("""COMPUTED_VALUE"""),"Lauren Meyer")</f>
        <v>Lauren Meyer</v>
      </c>
      <c r="G104" s="3" t="str">
        <f>IFERROR(__xludf.DUMMYFUNCTION("""COMPUTED_VALUE"""),"Isabelle Bauer")</f>
        <v>Isabelle Bauer</v>
      </c>
      <c r="H104" s="3" t="str">
        <f>IFERROR(__xludf.DUMMYFUNCTION("""COMPUTED_VALUE"""),"Claire Rude")</f>
        <v>Claire Rude</v>
      </c>
      <c r="I104" s="3" t="str">
        <f>IFERROR(__xludf.DUMMYFUNCTION("""COMPUTED_VALUE"""),"Mia Constantin")</f>
        <v>Mia Constantin</v>
      </c>
      <c r="J104" s="3" t="str">
        <f>IFERROR(__xludf.DUMMYFUNCTION("""COMPUTED_VALUE"""),"Ainsley Juhlin")</f>
        <v>Ainsley Juhlin</v>
      </c>
      <c r="K104" s="3" t="str">
        <f>IFERROR(__xludf.DUMMYFUNCTION("""COMPUTED_VALUE"""),"Lindsey Hair")</f>
        <v>Lindsey Hair</v>
      </c>
      <c r="L104" s="3" t="str">
        <f>IFERROR(__xludf.DUMMYFUNCTION("""COMPUTED_VALUE"""),"Riley Johnson")</f>
        <v>Riley Johnson</v>
      </c>
      <c r="M104" s="3" t="str">
        <f>IFERROR(__xludf.DUMMYFUNCTION("""COMPUTED_VALUE"""),"Kelsey Peel")</f>
        <v>Kelsey Peel</v>
      </c>
      <c r="W104" s="3" t="str">
        <f>IFERROR(__xludf.DUMMYFUNCTION("""COMPUTED_VALUE"""),"Varin Schefte")</f>
        <v>Varin Schefte</v>
      </c>
    </row>
    <row r="105">
      <c r="B105" s="3" t="str">
        <f>IFERROR(__xludf.DUMMYFUNCTION("""COMPUTED_VALUE"""),"Kimberly Warnagiris")</f>
        <v>Kimberly Warnagiris</v>
      </c>
      <c r="C105" s="3" t="str">
        <f>IFERROR(__xludf.DUMMYFUNCTION("""COMPUTED_VALUE"""),"Sara Gaston")</f>
        <v>Sara Gaston</v>
      </c>
      <c r="D105" s="3" t="str">
        <f>IFERROR(__xludf.DUMMYFUNCTION("""COMPUTED_VALUE"""),"Anna Sheng")</f>
        <v>Anna Sheng</v>
      </c>
      <c r="G105" s="3" t="str">
        <f>IFERROR(__xludf.DUMMYFUNCTION("""COMPUTED_VALUE"""),"Tess Deyerle")</f>
        <v>Tess Deyerle</v>
      </c>
      <c r="H105" s="3" t="str">
        <f>IFERROR(__xludf.DUMMYFUNCTION("""COMPUTED_VALUE"""),"Katelyn Vieni")</f>
        <v>Katelyn Vieni</v>
      </c>
      <c r="I105" s="3" t="str">
        <f>IFERROR(__xludf.DUMMYFUNCTION("""COMPUTED_VALUE"""),"Maggie Dominick")</f>
        <v>Maggie Dominick</v>
      </c>
      <c r="J105" s="3" t="str">
        <f>IFERROR(__xludf.DUMMYFUNCTION("""COMPUTED_VALUE"""),"Alyssa Teller")</f>
        <v>Alyssa Teller</v>
      </c>
      <c r="K105" s="3" t="str">
        <f>IFERROR(__xludf.DUMMYFUNCTION("""COMPUTED_VALUE"""),"Sally Ennis")</f>
        <v>Sally Ennis</v>
      </c>
      <c r="L105" s="3" t="str">
        <f>IFERROR(__xludf.DUMMYFUNCTION("""COMPUTED_VALUE"""),"Kassy McCoy")</f>
        <v>Kassy McCoy</v>
      </c>
      <c r="M105" s="3" t="str">
        <f>IFERROR(__xludf.DUMMYFUNCTION("""COMPUTED_VALUE"""),"Cassidy Doyle")</f>
        <v>Cassidy Doyle</v>
      </c>
      <c r="W105" s="3" t="str">
        <f>IFERROR(__xludf.DUMMYFUNCTION("""COMPUTED_VALUE"""),"Bridgette Pearson")</f>
        <v>Bridgette Pearson</v>
      </c>
    </row>
    <row r="106">
      <c r="B106" s="3" t="str">
        <f>IFERROR(__xludf.DUMMYFUNCTION("""COMPUTED_VALUE"""),"Selby Heyman")</f>
        <v>Selby Heyman</v>
      </c>
      <c r="C106" s="3" t="str">
        <f>IFERROR(__xludf.DUMMYFUNCTION("""COMPUTED_VALUE"""),"Claire Henniker")</f>
        <v>Claire Henniker</v>
      </c>
      <c r="D106" s="3" t="str">
        <f>IFERROR(__xludf.DUMMYFUNCTION("""COMPUTED_VALUE"""),"Tillie Lewis")</f>
        <v>Tillie Lewis</v>
      </c>
      <c r="G106" s="3" t="str">
        <f>IFERROR(__xludf.DUMMYFUNCTION("""COMPUTED_VALUE"""),"Kylie Thompson")</f>
        <v>Kylie Thompson</v>
      </c>
      <c r="H106" s="3" t="str">
        <f>IFERROR(__xludf.DUMMYFUNCTION("""COMPUTED_VALUE"""),"Carter Wasser")</f>
        <v>Carter Wasser</v>
      </c>
      <c r="I106" s="3" t="str">
        <f>IFERROR(__xludf.DUMMYFUNCTION("""COMPUTED_VALUE"""),"Alli Lovell")</f>
        <v>Alli Lovell</v>
      </c>
      <c r="J106" s="3" t="str">
        <f>IFERROR(__xludf.DUMMYFUNCTION("""COMPUTED_VALUE"""),"Claire Hebertson")</f>
        <v>Claire Hebertson</v>
      </c>
      <c r="K106" s="3" t="str">
        <f>IFERROR(__xludf.DUMMYFUNCTION("""COMPUTED_VALUE"""),"Bridget Wilson")</f>
        <v>Bridget Wilson</v>
      </c>
      <c r="L106" s="3" t="str">
        <f>IFERROR(__xludf.DUMMYFUNCTION("""COMPUTED_VALUE"""),"Jordan Mumford")</f>
        <v>Jordan Mumford</v>
      </c>
      <c r="M106" s="3" t="str">
        <f>IFERROR(__xludf.DUMMYFUNCTION("""COMPUTED_VALUE"""),"Amelia Macholz")</f>
        <v>Amelia Macholz</v>
      </c>
      <c r="W106" s="3" t="str">
        <f>IFERROR(__xludf.DUMMYFUNCTION("""COMPUTED_VALUE"""),"Annika Luce")</f>
        <v>Annika Luce</v>
      </c>
    </row>
    <row r="107">
      <c r="B107" s="3" t="str">
        <f>IFERROR(__xludf.DUMMYFUNCTION("""COMPUTED_VALUE"""),"Chloe Schmitz")</f>
        <v>Chloe Schmitz</v>
      </c>
      <c r="C107" s="3" t="str">
        <f>IFERROR(__xludf.DUMMYFUNCTION("""COMPUTED_VALUE"""),"Zorey Sargent")</f>
        <v>Zorey Sargent</v>
      </c>
      <c r="D107" s="3" t="str">
        <f>IFERROR(__xludf.DUMMYFUNCTION("""COMPUTED_VALUE"""),"Pearl Kluger")</f>
        <v>Pearl Kluger</v>
      </c>
      <c r="G107" s="3" t="str">
        <f>IFERROR(__xludf.DUMMYFUNCTION("""COMPUTED_VALUE"""),"Kate Steenkamer")</f>
        <v>Kate Steenkamer</v>
      </c>
      <c r="H107" s="3" t="str">
        <f>IFERROR(__xludf.DUMMYFUNCTION("""COMPUTED_VALUE"""),"Kylie Johnson")</f>
        <v>Kylie Johnson</v>
      </c>
      <c r="I107" s="3" t="str">
        <f>IFERROR(__xludf.DUMMYFUNCTION("""COMPUTED_VALUE"""),"Shannah Dillman")</f>
        <v>Shannah Dillman</v>
      </c>
      <c r="J107" s="3" t="str">
        <f>IFERROR(__xludf.DUMMYFUNCTION("""COMPUTED_VALUE"""),"Claire Evko")</f>
        <v>Claire Evko</v>
      </c>
      <c r="K107" s="3" t="str">
        <f>IFERROR(__xludf.DUMMYFUNCTION("""COMPUTED_VALUE"""),"Molly Shand")</f>
        <v>Molly Shand</v>
      </c>
      <c r="L107" s="3" t="str">
        <f>IFERROR(__xludf.DUMMYFUNCTION("""COMPUTED_VALUE"""),"Ellie Webb")</f>
        <v>Ellie Webb</v>
      </c>
      <c r="M107" s="3" t="str">
        <f>IFERROR(__xludf.DUMMYFUNCTION("""COMPUTED_VALUE"""),"Olivia Hutton")</f>
        <v>Olivia Hutton</v>
      </c>
      <c r="W107" s="3" t="str">
        <f>IFERROR(__xludf.DUMMYFUNCTION("""COMPUTED_VALUE"""),"Claire Henniker")</f>
        <v>Claire Henniker</v>
      </c>
    </row>
    <row r="108">
      <c r="B108" s="3" t="str">
        <f>IFERROR(__xludf.DUMMYFUNCTION("""COMPUTED_VALUE"""),"Sydney Hall")</f>
        <v>Sydney Hall</v>
      </c>
      <c r="C108" s="3" t="str">
        <f>IFERROR(__xludf.DUMMYFUNCTION("""COMPUTED_VALUE"""),"Lindsey Hair")</f>
        <v>Lindsey Hair</v>
      </c>
      <c r="D108" s="3" t="str">
        <f>IFERROR(__xludf.DUMMYFUNCTION("""COMPUTED_VALUE"""),"Rose McMullen")</f>
        <v>Rose McMullen</v>
      </c>
      <c r="G108" s="3" t="str">
        <f>IFERROR(__xludf.DUMMYFUNCTION("""COMPUTED_VALUE"""),"Gina Lynch")</f>
        <v>Gina Lynch</v>
      </c>
      <c r="H108" s="3" t="str">
        <f>IFERROR(__xludf.DUMMYFUNCTION("""COMPUTED_VALUE"""),"Bella Triolet")</f>
        <v>Bella Triolet</v>
      </c>
      <c r="I108" s="3" t="str">
        <f>IFERROR(__xludf.DUMMYFUNCTION("""COMPUTED_VALUE"""),"Savanneh Salmon")</f>
        <v>Savanneh Salmon</v>
      </c>
      <c r="J108" s="3" t="str">
        <f>IFERROR(__xludf.DUMMYFUNCTION("""COMPUTED_VALUE"""),"Kassy McCoy")</f>
        <v>Kassy McCoy</v>
      </c>
      <c r="K108" s="3" t="str">
        <f>IFERROR(__xludf.DUMMYFUNCTION("""COMPUTED_VALUE"""),"Cristal Perdomo")</f>
        <v>Cristal Perdomo</v>
      </c>
      <c r="L108" s="3" t="str">
        <f>IFERROR(__xludf.DUMMYFUNCTION("""COMPUTED_VALUE"""),"Mia Tan")</f>
        <v>Mia Tan</v>
      </c>
      <c r="M108" s="3" t="str">
        <f>IFERROR(__xludf.DUMMYFUNCTION("""COMPUTED_VALUE"""),"Hannah Rossin")</f>
        <v>Hannah Rossin</v>
      </c>
      <c r="W108" s="3" t="str">
        <f>IFERROR(__xludf.DUMMYFUNCTION("""COMPUTED_VALUE"""),"Virginia Smith")</f>
        <v>Virginia Smith</v>
      </c>
    </row>
    <row r="109">
      <c r="B109" s="3" t="str">
        <f>IFERROR(__xludf.DUMMYFUNCTION("""COMPUTED_VALUE"""),"Jane Lawing")</f>
        <v>Jane Lawing</v>
      </c>
      <c r="C109" s="3" t="str">
        <f>IFERROR(__xludf.DUMMYFUNCTION("""COMPUTED_VALUE"""),"Kimberly Warnagiris")</f>
        <v>Kimberly Warnagiris</v>
      </c>
      <c r="D109" s="3" t="str">
        <f>IFERROR(__xludf.DUMMYFUNCTION("""COMPUTED_VALUE"""),"Raea Farquharson")</f>
        <v>Raea Farquharson</v>
      </c>
      <c r="G109" s="3" t="str">
        <f>IFERROR(__xludf.DUMMYFUNCTION("""COMPUTED_VALUE"""),"Bella Triolet")</f>
        <v>Bella Triolet</v>
      </c>
      <c r="H109" s="3" t="str">
        <f>IFERROR(__xludf.DUMMYFUNCTION("""COMPUTED_VALUE"""),"Katie Nunez")</f>
        <v>Katie Nunez</v>
      </c>
      <c r="I109" s="3" t="str">
        <f>IFERROR(__xludf.DUMMYFUNCTION("""COMPUTED_VALUE"""),"Emily Joseph")</f>
        <v>Emily Joseph</v>
      </c>
      <c r="J109" s="3" t="str">
        <f>IFERROR(__xludf.DUMMYFUNCTION("""COMPUTED_VALUE"""),"Ally Kiger")</f>
        <v>Ally Kiger</v>
      </c>
      <c r="K109" s="3" t="str">
        <f>IFERROR(__xludf.DUMMYFUNCTION("""COMPUTED_VALUE"""),"Gina Lynch")</f>
        <v>Gina Lynch</v>
      </c>
      <c r="M109" s="3" t="str">
        <f>IFERROR(__xludf.DUMMYFUNCTION("""COMPUTED_VALUE"""),"Sophie O'Donnell")</f>
        <v>Sophie O'Donnell</v>
      </c>
      <c r="W109" s="3" t="str">
        <f>IFERROR(__xludf.DUMMYFUNCTION("""COMPUTED_VALUE"""),"Faith Sconing")</f>
        <v>Faith Sconing</v>
      </c>
    </row>
    <row r="110">
      <c r="B110" s="3" t="str">
        <f>IFERROR(__xludf.DUMMYFUNCTION("""COMPUTED_VALUE"""),"Maggie McClintock")</f>
        <v>Maggie McClintock</v>
      </c>
      <c r="C110" s="3" t="str">
        <f>IFERROR(__xludf.DUMMYFUNCTION("""COMPUTED_VALUE"""),"Sally Ennis")</f>
        <v>Sally Ennis</v>
      </c>
      <c r="D110" s="3" t="str">
        <f>IFERROR(__xludf.DUMMYFUNCTION("""COMPUTED_VALUE"""),"Abby Fuller")</f>
        <v>Abby Fuller</v>
      </c>
      <c r="G110" s="3" t="str">
        <f>IFERROR(__xludf.DUMMYFUNCTION("""COMPUTED_VALUE"""),"Hannah Jirsa")</f>
        <v>Hannah Jirsa</v>
      </c>
      <c r="H110" s="3" t="str">
        <f>IFERROR(__xludf.DUMMYFUNCTION("""COMPUTED_VALUE"""),"Kayleigh Jumper")</f>
        <v>Kayleigh Jumper</v>
      </c>
      <c r="I110" s="3" t="str">
        <f>IFERROR(__xludf.DUMMYFUNCTION("""COMPUTED_VALUE"""),"Sara Lindsay")</f>
        <v>Sara Lindsay</v>
      </c>
      <c r="J110" s="3" t="str">
        <f>IFERROR(__xludf.DUMMYFUNCTION("""COMPUTED_VALUE"""),"Julia Oliver")</f>
        <v>Julia Oliver</v>
      </c>
      <c r="K110" s="3" t="str">
        <f>IFERROR(__xludf.DUMMYFUNCTION("""COMPUTED_VALUE"""),"Kylie Thompson")</f>
        <v>Kylie Thompson</v>
      </c>
      <c r="M110" s="3" t="str">
        <f>IFERROR(__xludf.DUMMYFUNCTION("""COMPUTED_VALUE"""),"Alexandra Browne")</f>
        <v>Alexandra Browne</v>
      </c>
      <c r="W110" s="3" t="str">
        <f>IFERROR(__xludf.DUMMYFUNCTION("""COMPUTED_VALUE"""),"Luci Hanstedt")</f>
        <v>Luci Hanstedt</v>
      </c>
    </row>
    <row r="111">
      <c r="B111" s="3" t="str">
        <f>IFERROR(__xludf.DUMMYFUNCTION("""COMPUTED_VALUE"""),"Sally Ennis")</f>
        <v>Sally Ennis</v>
      </c>
      <c r="C111" s="3" t="str">
        <f>IFERROR(__xludf.DUMMYFUNCTION("""COMPUTED_VALUE"""),"Anna Keniston")</f>
        <v>Anna Keniston</v>
      </c>
      <c r="D111" s="3" t="str">
        <f>IFERROR(__xludf.DUMMYFUNCTION("""COMPUTED_VALUE"""),"Chloe Schmitz")</f>
        <v>Chloe Schmitz</v>
      </c>
      <c r="G111" s="3" t="str">
        <f>IFERROR(__xludf.DUMMYFUNCTION("""COMPUTED_VALUE"""),"Natalie Hidrobo")</f>
        <v>Natalie Hidrobo</v>
      </c>
      <c r="H111" s="3" t="str">
        <f>IFERROR(__xludf.DUMMYFUNCTION("""COMPUTED_VALUE"""),"Isabella Caballero")</f>
        <v>Isabella Caballero</v>
      </c>
      <c r="I111" s="3" t="str">
        <f>IFERROR(__xludf.DUMMYFUNCTION("""COMPUTED_VALUE"""),"Claire Hebertson")</f>
        <v>Claire Hebertson</v>
      </c>
      <c r="J111" s="3" t="str">
        <f>IFERROR(__xludf.DUMMYFUNCTION("""COMPUTED_VALUE"""),"Alexa Heiry")</f>
        <v>Alexa Heiry</v>
      </c>
      <c r="K111" s="3" t="str">
        <f>IFERROR(__xludf.DUMMYFUNCTION("""COMPUTED_VALUE"""),"Varin Schefte")</f>
        <v>Varin Schefte</v>
      </c>
      <c r="M111" s="3" t="str">
        <f>IFERROR(__xludf.DUMMYFUNCTION("""COMPUTED_VALUE"""),"Alexis Roberts")</f>
        <v>Alexis Roberts</v>
      </c>
      <c r="W111" s="3" t="str">
        <f>IFERROR(__xludf.DUMMYFUNCTION("""COMPUTED_VALUE"""),"Paige Strycker")</f>
        <v>Paige Strycker</v>
      </c>
    </row>
    <row r="112">
      <c r="B112" s="3" t="str">
        <f>IFERROR(__xludf.DUMMYFUNCTION("""COMPUTED_VALUE"""),"Lainey Flanagan")</f>
        <v>Lainey Flanagan</v>
      </c>
      <c r="C112" s="3" t="str">
        <f>IFERROR(__xludf.DUMMYFUNCTION("""COMPUTED_VALUE"""),"Livvie Cohn")</f>
        <v>Livvie Cohn</v>
      </c>
      <c r="D112" s="3" t="str">
        <f>IFERROR(__xludf.DUMMYFUNCTION("""COMPUTED_VALUE"""),"Alexis Roberts")</f>
        <v>Alexis Roberts</v>
      </c>
      <c r="G112" s="3" t="str">
        <f>IFERROR(__xludf.DUMMYFUNCTION("""COMPUTED_VALUE"""),"Haley Butcher")</f>
        <v>Haley Butcher</v>
      </c>
      <c r="H112" s="3" t="str">
        <f>IFERROR(__xludf.DUMMYFUNCTION("""COMPUTED_VALUE"""),"Haley Butcher")</f>
        <v>Haley Butcher</v>
      </c>
      <c r="I112" s="3" t="str">
        <f>IFERROR(__xludf.DUMMYFUNCTION("""COMPUTED_VALUE"""),"Maialen Sudupe")</f>
        <v>Maialen Sudupe</v>
      </c>
      <c r="J112" s="3" t="str">
        <f>IFERROR(__xludf.DUMMYFUNCTION("""COMPUTED_VALUE"""),"Lexi Nussbaum")</f>
        <v>Lexi Nussbaum</v>
      </c>
      <c r="K112" s="3" t="str">
        <f>IFERROR(__xludf.DUMMYFUNCTION("""COMPUTED_VALUE"""),"Kristen Wagner")</f>
        <v>Kristen Wagner</v>
      </c>
      <c r="M112" s="3" t="str">
        <f>IFERROR(__xludf.DUMMYFUNCTION("""COMPUTED_VALUE"""),"Paige Rooks")</f>
        <v>Paige Rooks</v>
      </c>
      <c r="W112" s="3" t="str">
        <f>IFERROR(__xludf.DUMMYFUNCTION("""COMPUTED_VALUE"""),"Alexis Roberts")</f>
        <v>Alexis Roberts</v>
      </c>
    </row>
    <row r="113">
      <c r="B113" s="3" t="str">
        <f>IFERROR(__xludf.DUMMYFUNCTION("""COMPUTED_VALUE"""),"Kim Schooneman")</f>
        <v>Kim Schooneman</v>
      </c>
      <c r="C113" s="3" t="str">
        <f>IFERROR(__xludf.DUMMYFUNCTION("""COMPUTED_VALUE"""),"Clara Rodriguez")</f>
        <v>Clara Rodriguez</v>
      </c>
      <c r="D113" s="3" t="str">
        <f>IFERROR(__xludf.DUMMYFUNCTION("""COMPUTED_VALUE"""),"Alexa Heiry")</f>
        <v>Alexa Heiry</v>
      </c>
      <c r="G113" s="3" t="str">
        <f>IFERROR(__xludf.DUMMYFUNCTION("""COMPUTED_VALUE"""),"Bella Kimbel")</f>
        <v>Bella Kimbel</v>
      </c>
      <c r="H113" s="3" t="str">
        <f>IFERROR(__xludf.DUMMYFUNCTION("""COMPUTED_VALUE"""),"Varin Schefte")</f>
        <v>Varin Schefte</v>
      </c>
      <c r="I113" s="3" t="str">
        <f>IFERROR(__xludf.DUMMYFUNCTION("""COMPUTED_VALUE"""),"Katelyn Lough")</f>
        <v>Katelyn Lough</v>
      </c>
      <c r="J113" s="3" t="str">
        <f>IFERROR(__xludf.DUMMYFUNCTION("""COMPUTED_VALUE"""),"Allison Masterson")</f>
        <v>Allison Masterson</v>
      </c>
      <c r="K113" s="3" t="str">
        <f>IFERROR(__xludf.DUMMYFUNCTION("""COMPUTED_VALUE"""),"Peyton Geiszler")</f>
        <v>Peyton Geiszler</v>
      </c>
      <c r="M113" s="3" t="str">
        <f>IFERROR(__xludf.DUMMYFUNCTION("""COMPUTED_VALUE"""),"Jean Graham")</f>
        <v>Jean Graham</v>
      </c>
      <c r="W113" s="3" t="str">
        <f>IFERROR(__xludf.DUMMYFUNCTION("""COMPUTED_VALUE"""),"Arianna Perez")</f>
        <v>Arianna Perez</v>
      </c>
    </row>
    <row r="114">
      <c r="B114" s="3" t="str">
        <f>IFERROR(__xludf.DUMMYFUNCTION("""COMPUTED_VALUE"""),"Anna Sheng")</f>
        <v>Anna Sheng</v>
      </c>
      <c r="C114" s="3" t="str">
        <f>IFERROR(__xludf.DUMMYFUNCTION("""COMPUTED_VALUE"""),"Paige Simko")</f>
        <v>Paige Simko</v>
      </c>
      <c r="D114" s="3" t="str">
        <f>IFERROR(__xludf.DUMMYFUNCTION("""COMPUTED_VALUE"""),"Paige Simko")</f>
        <v>Paige Simko</v>
      </c>
      <c r="G114" s="3" t="str">
        <f>IFERROR(__xludf.DUMMYFUNCTION("""COMPUTED_VALUE"""),"Julia May")</f>
        <v>Julia May</v>
      </c>
      <c r="H114" s="3" t="str">
        <f>IFERROR(__xludf.DUMMYFUNCTION("""COMPUTED_VALUE"""),"Amelia Macholz")</f>
        <v>Amelia Macholz</v>
      </c>
      <c r="I114" s="3" t="str">
        <f>IFERROR(__xludf.DUMMYFUNCTION("""COMPUTED_VALUE"""),"Sarah Born")</f>
        <v>Sarah Born</v>
      </c>
      <c r="J114" s="3" t="str">
        <f>IFERROR(__xludf.DUMMYFUNCTION("""COMPUTED_VALUE"""),"Ginnie Hester")</f>
        <v>Ginnie Hester</v>
      </c>
      <c r="K114" s="3" t="str">
        <f>IFERROR(__xludf.DUMMYFUNCTION("""COMPUTED_VALUE"""),"Maggie Baham")</f>
        <v>Maggie Baham</v>
      </c>
      <c r="M114" s="3" t="str">
        <f>IFERROR(__xludf.DUMMYFUNCTION("""COMPUTED_VALUE"""),"Tessa Campbell")</f>
        <v>Tessa Campbell</v>
      </c>
      <c r="W114" s="3" t="str">
        <f>IFERROR(__xludf.DUMMYFUNCTION("""COMPUTED_VALUE"""),"Lexi Plogger")</f>
        <v>Lexi Plogger</v>
      </c>
    </row>
    <row r="115">
      <c r="B115" s="3" t="str">
        <f>IFERROR(__xludf.DUMMYFUNCTION("""COMPUTED_VALUE"""),"Emmaline Woodworth")</f>
        <v>Emmaline Woodworth</v>
      </c>
      <c r="C115" s="3" t="str">
        <f>IFERROR(__xludf.DUMMYFUNCTION("""COMPUTED_VALUE"""),"Blythe Brenner")</f>
        <v>Blythe Brenner</v>
      </c>
      <c r="D115" s="3" t="str">
        <f>IFERROR(__xludf.DUMMYFUNCTION("""COMPUTED_VALUE"""),"Kate Steenkamer")</f>
        <v>Kate Steenkamer</v>
      </c>
      <c r="G115" s="3" t="str">
        <f>IFERROR(__xludf.DUMMYFUNCTION("""COMPUTED_VALUE"""),"Lauren Prescott")</f>
        <v>Lauren Prescott</v>
      </c>
      <c r="H115" s="3" t="str">
        <f>IFERROR(__xludf.DUMMYFUNCTION("""COMPUTED_VALUE"""),"Selby Heyman")</f>
        <v>Selby Heyman</v>
      </c>
      <c r="I115" s="3" t="str">
        <f>IFERROR(__xludf.DUMMYFUNCTION("""COMPUTED_VALUE"""),"Peyton Geiszler")</f>
        <v>Peyton Geiszler</v>
      </c>
      <c r="J115" s="3" t="str">
        <f>IFERROR(__xludf.DUMMYFUNCTION("""COMPUTED_VALUE"""),"Caroline Marotta")</f>
        <v>Caroline Marotta</v>
      </c>
      <c r="K115" s="3" t="str">
        <f>IFERROR(__xludf.DUMMYFUNCTION("""COMPUTED_VALUE"""),"Sarah Vencil")</f>
        <v>Sarah Vencil</v>
      </c>
      <c r="M115" s="3" t="str">
        <f>IFERROR(__xludf.DUMMYFUNCTION("""COMPUTED_VALUE"""),"Claire Moody")</f>
        <v>Claire Moody</v>
      </c>
      <c r="W115" s="3" t="str">
        <f>IFERROR(__xludf.DUMMYFUNCTION("""COMPUTED_VALUE"""),"Alli Lovell")</f>
        <v>Alli Lovell</v>
      </c>
    </row>
    <row r="116">
      <c r="B116" s="3" t="str">
        <f>IFERROR(__xludf.DUMMYFUNCTION("""COMPUTED_VALUE"""),"Cecilia Cortez")</f>
        <v>Cecilia Cortez</v>
      </c>
      <c r="C116" s="3" t="str">
        <f>IFERROR(__xludf.DUMMYFUNCTION("""COMPUTED_VALUE"""),"Paige Rooks")</f>
        <v>Paige Rooks</v>
      </c>
      <c r="D116" s="3" t="str">
        <f>IFERROR(__xludf.DUMMYFUNCTION("""COMPUTED_VALUE"""),"Isabelle Bauer")</f>
        <v>Isabelle Bauer</v>
      </c>
      <c r="G116" s="3" t="str">
        <f>IFERROR(__xludf.DUMMYFUNCTION("""COMPUTED_VALUE"""),"Carter Wasser")</f>
        <v>Carter Wasser</v>
      </c>
      <c r="H116" s="3" t="str">
        <f>IFERROR(__xludf.DUMMYFUNCTION("""COMPUTED_VALUE"""),"Jackie Scheneman")</f>
        <v>Jackie Scheneman</v>
      </c>
      <c r="I116" s="3" t="str">
        <f>IFERROR(__xludf.DUMMYFUNCTION("""COMPUTED_VALUE"""),"Taylor Branch")</f>
        <v>Taylor Branch</v>
      </c>
      <c r="J116" s="3" t="str">
        <f>IFERROR(__xludf.DUMMYFUNCTION("""COMPUTED_VALUE"""),"Cate Gleim")</f>
        <v>Cate Gleim</v>
      </c>
      <c r="K116" s="3" t="str">
        <f>IFERROR(__xludf.DUMMYFUNCTION("""COMPUTED_VALUE"""),"Anne-Elaine Tiller")</f>
        <v>Anne-Elaine Tiller</v>
      </c>
      <c r="M116" s="3" t="str">
        <f>IFERROR(__xludf.DUMMYFUNCTION("""COMPUTED_VALUE"""),"Blythe Brenner")</f>
        <v>Blythe Brenner</v>
      </c>
      <c r="W116" s="3" t="str">
        <f>IFERROR(__xludf.DUMMYFUNCTION("""COMPUTED_VALUE"""),"Jacquelyn Maly")</f>
        <v>Jacquelyn Maly</v>
      </c>
    </row>
    <row r="117">
      <c r="B117" s="3" t="str">
        <f>IFERROR(__xludf.DUMMYFUNCTION("""COMPUTED_VALUE"""),"Jenni Ryniewicz")</f>
        <v>Jenni Ryniewicz</v>
      </c>
      <c r="C117" s="3" t="str">
        <f>IFERROR(__xludf.DUMMYFUNCTION("""COMPUTED_VALUE"""),"Sarah Arnold")</f>
        <v>Sarah Arnold</v>
      </c>
      <c r="D117" s="3" t="str">
        <f>IFERROR(__xludf.DUMMYFUNCTION("""COMPUTED_VALUE"""),"Cristal Perdomo")</f>
        <v>Cristal Perdomo</v>
      </c>
      <c r="G117" s="3" t="str">
        <f>IFERROR(__xludf.DUMMYFUNCTION("""COMPUTED_VALUE"""),"Olivia Tillett")</f>
        <v>Olivia Tillett</v>
      </c>
      <c r="H117" s="3" t="str">
        <f>IFERROR(__xludf.DUMMYFUNCTION("""COMPUTED_VALUE"""),"Ella Tarabocchia")</f>
        <v>Ella Tarabocchia</v>
      </c>
      <c r="I117" s="3" t="str">
        <f>IFERROR(__xludf.DUMMYFUNCTION("""COMPUTED_VALUE"""),"Alyssa Teller")</f>
        <v>Alyssa Teller</v>
      </c>
      <c r="J117" s="3" t="str">
        <f>IFERROR(__xludf.DUMMYFUNCTION("""COMPUTED_VALUE"""),"Juliana Bleecker")</f>
        <v>Juliana Bleecker</v>
      </c>
      <c r="K117" s="3" t="str">
        <f>IFERROR(__xludf.DUMMYFUNCTION("""COMPUTED_VALUE"""),"Riley Johnson")</f>
        <v>Riley Johnson</v>
      </c>
      <c r="M117" s="3" t="str">
        <f>IFERROR(__xludf.DUMMYFUNCTION("""COMPUTED_VALUE"""),"Sydney Branch")</f>
        <v>Sydney Branch</v>
      </c>
      <c r="W117" s="3" t="str">
        <f>IFERROR(__xludf.DUMMYFUNCTION("""COMPUTED_VALUE"""),"Haley Butcher")</f>
        <v>Haley Butcher</v>
      </c>
    </row>
    <row r="118">
      <c r="B118" s="3" t="str">
        <f>IFERROR(__xludf.DUMMYFUNCTION("""COMPUTED_VALUE"""),"Taylor Branch")</f>
        <v>Taylor Branch</v>
      </c>
      <c r="C118" s="3" t="str">
        <f>IFERROR(__xludf.DUMMYFUNCTION("""COMPUTED_VALUE"""),"Jillian Haig")</f>
        <v>Jillian Haig</v>
      </c>
      <c r="D118" s="3" t="str">
        <f>IFERROR(__xludf.DUMMYFUNCTION("""COMPUTED_VALUE"""),"Maggie Baham")</f>
        <v>Maggie Baham</v>
      </c>
      <c r="G118" s="3" t="str">
        <f>IFERROR(__xludf.DUMMYFUNCTION("""COMPUTED_VALUE"""),"Lainey Flanagan")</f>
        <v>Lainey Flanagan</v>
      </c>
      <c r="H118" s="3" t="str">
        <f>IFERROR(__xludf.DUMMYFUNCTION("""COMPUTED_VALUE"""),"Rose McMullen")</f>
        <v>Rose McMullen</v>
      </c>
      <c r="I118" s="3" t="str">
        <f>IFERROR(__xludf.DUMMYFUNCTION("""COMPUTED_VALUE"""),"Claire Evko")</f>
        <v>Claire Evko</v>
      </c>
      <c r="J118" s="3" t="str">
        <f>IFERROR(__xludf.DUMMYFUNCTION("""COMPUTED_VALUE"""),"Quinn Keatley")</f>
        <v>Quinn Keatley</v>
      </c>
      <c r="K118" s="3" t="str">
        <f>IFERROR(__xludf.DUMMYFUNCTION("""COMPUTED_VALUE"""),"Ella Tarabocchia")</f>
        <v>Ella Tarabocchia</v>
      </c>
      <c r="M118" s="3" t="str">
        <f>IFERROR(__xludf.DUMMYFUNCTION("""COMPUTED_VALUE"""),"Emma Fuhs")</f>
        <v>Emma Fuhs</v>
      </c>
      <c r="W118" s="3" t="str">
        <f>IFERROR(__xludf.DUMMYFUNCTION("""COMPUTED_VALUE"""),"Maggie Baham")</f>
        <v>Maggie Baham</v>
      </c>
    </row>
    <row r="119">
      <c r="B119" s="3" t="str">
        <f>IFERROR(__xludf.DUMMYFUNCTION("""COMPUTED_VALUE"""),"Sarah Arnold")</f>
        <v>Sarah Arnold</v>
      </c>
      <c r="C119" s="3" t="str">
        <f>IFERROR(__xludf.DUMMYFUNCTION("""COMPUTED_VALUE"""),"Gina Lynch")</f>
        <v>Gina Lynch</v>
      </c>
      <c r="D119" s="3" t="str">
        <f>IFERROR(__xludf.DUMMYFUNCTION("""COMPUTED_VALUE"""),"Kennedy Darensbourg")</f>
        <v>Kennedy Darensbourg</v>
      </c>
      <c r="G119" s="3" t="str">
        <f>IFERROR(__xludf.DUMMYFUNCTION("""COMPUTED_VALUE"""),"Cassidy Doyle")</f>
        <v>Cassidy Doyle</v>
      </c>
      <c r="H119" s="3" t="str">
        <f>IFERROR(__xludf.DUMMYFUNCTION("""COMPUTED_VALUE"""),"Gabby Thompson")</f>
        <v>Gabby Thompson</v>
      </c>
      <c r="I119" s="3" t="str">
        <f>IFERROR(__xludf.DUMMYFUNCTION("""COMPUTED_VALUE"""),"Ally Kiger")</f>
        <v>Ally Kiger</v>
      </c>
      <c r="J119" s="3" t="str">
        <f>IFERROR(__xludf.DUMMYFUNCTION("""COMPUTED_VALUE"""),"Andi Fox")</f>
        <v>Andi Fox</v>
      </c>
      <c r="K119" s="3" t="str">
        <f>IFERROR(__xludf.DUMMYFUNCTION("""COMPUTED_VALUE"""),"Stephanie Miller")</f>
        <v>Stephanie Miller</v>
      </c>
      <c r="M119" s="3" t="str">
        <f>IFERROR(__xludf.DUMMYFUNCTION("""COMPUTED_VALUE"""),"Chloe Jepson")</f>
        <v>Chloe Jepson</v>
      </c>
      <c r="W119" s="3" t="str">
        <f>IFERROR(__xludf.DUMMYFUNCTION("""COMPUTED_VALUE"""),"Paige Chenoweth")</f>
        <v>Paige Chenoweth</v>
      </c>
    </row>
    <row r="120">
      <c r="B120" s="3" t="str">
        <f>IFERROR(__xludf.DUMMYFUNCTION("""COMPUTED_VALUE"""),"Anna Watson")</f>
        <v>Anna Watson</v>
      </c>
      <c r="C120" s="3" t="str">
        <f>IFERROR(__xludf.DUMMYFUNCTION("""COMPUTED_VALUE"""),"Chloe Schmitz")</f>
        <v>Chloe Schmitz</v>
      </c>
      <c r="D120" s="3" t="str">
        <f>IFERROR(__xludf.DUMMYFUNCTION("""COMPUTED_VALUE"""),"Tamara Wheater")</f>
        <v>Tamara Wheater</v>
      </c>
      <c r="G120" s="3" t="str">
        <f>IFERROR(__xludf.DUMMYFUNCTION("""COMPUTED_VALUE"""),"Katelyn Vieni")</f>
        <v>Katelyn Vieni</v>
      </c>
      <c r="H120" s="3" t="str">
        <f>IFERROR(__xludf.DUMMYFUNCTION("""COMPUTED_VALUE"""),"Raea Farquharson")</f>
        <v>Raea Farquharson</v>
      </c>
      <c r="I120" s="3" t="str">
        <f>IFERROR(__xludf.DUMMYFUNCTION("""COMPUTED_VALUE"""),"Sydney Branch")</f>
        <v>Sydney Branch</v>
      </c>
      <c r="J120" s="3" t="str">
        <f>IFERROR(__xludf.DUMMYFUNCTION("""COMPUTED_VALUE"""),"Sarah Born")</f>
        <v>Sarah Born</v>
      </c>
      <c r="K120" s="3" t="str">
        <f>IFERROR(__xludf.DUMMYFUNCTION("""COMPUTED_VALUE"""),"Ava Settle")</f>
        <v>Ava Settle</v>
      </c>
      <c r="M120" s="3" t="str">
        <f>IFERROR(__xludf.DUMMYFUNCTION("""COMPUTED_VALUE"""),"Jillian Haig")</f>
        <v>Jillian Haig</v>
      </c>
      <c r="W120" s="3" t="str">
        <f>IFERROR(__xludf.DUMMYFUNCTION("""COMPUTED_VALUE"""),"Lauren Barakey")</f>
        <v>Lauren Barakey</v>
      </c>
    </row>
    <row r="121">
      <c r="B121" s="3" t="str">
        <f>IFERROR(__xludf.DUMMYFUNCTION("""COMPUTED_VALUE"""),"Macy Wilcox")</f>
        <v>Macy Wilcox</v>
      </c>
      <c r="C121" s="3" t="str">
        <f>IFERROR(__xludf.DUMMYFUNCTION("""COMPUTED_VALUE"""),"Rylee Woelk")</f>
        <v>Rylee Woelk</v>
      </c>
      <c r="D121" s="3" t="str">
        <f>IFERROR(__xludf.DUMMYFUNCTION("""COMPUTED_VALUE"""),"Julia May")</f>
        <v>Julia May</v>
      </c>
      <c r="G121" s="3" t="str">
        <f>IFERROR(__xludf.DUMMYFUNCTION("""COMPUTED_VALUE"""),"Ella Tarabocchia")</f>
        <v>Ella Tarabocchia</v>
      </c>
      <c r="H121" s="3" t="str">
        <f>IFERROR(__xludf.DUMMYFUNCTION("""COMPUTED_VALUE"""),"Dagny Hudgins")</f>
        <v>Dagny Hudgins</v>
      </c>
      <c r="I121" s="3" t="str">
        <f>IFERROR(__xludf.DUMMYFUNCTION("""COMPUTED_VALUE"""),"Lainey Flanagan")</f>
        <v>Lainey Flanagan</v>
      </c>
      <c r="J121" s="3" t="str">
        <f>IFERROR(__xludf.DUMMYFUNCTION("""COMPUTED_VALUE"""),"Sophie Gere")</f>
        <v>Sophie Gere</v>
      </c>
      <c r="K121" s="3" t="str">
        <f>IFERROR(__xludf.DUMMYFUNCTION("""COMPUTED_VALUE"""),"Beth Ann Cortright")</f>
        <v>Beth Ann Cortright</v>
      </c>
      <c r="M121" s="3" t="str">
        <f>IFERROR(__xludf.DUMMYFUNCTION("""COMPUTED_VALUE"""),"Lexi Plogger")</f>
        <v>Lexi Plogger</v>
      </c>
      <c r="W121" s="3" t="str">
        <f>IFERROR(__xludf.DUMMYFUNCTION("""COMPUTED_VALUE"""),"Abbey Murtaugh")</f>
        <v>Abbey Murtaugh</v>
      </c>
    </row>
    <row r="122">
      <c r="B122" s="3" t="str">
        <f>IFERROR(__xludf.DUMMYFUNCTION("""COMPUTED_VALUE"""),"Abby Frey")</f>
        <v>Abby Frey</v>
      </c>
      <c r="C122" s="3" t="str">
        <f>IFERROR(__xludf.DUMMYFUNCTION("""COMPUTED_VALUE"""),"Sydney Branch")</f>
        <v>Sydney Branch</v>
      </c>
      <c r="D122" s="3" t="str">
        <f>IFERROR(__xludf.DUMMYFUNCTION("""COMPUTED_VALUE"""),"Anna Keniston")</f>
        <v>Anna Keniston</v>
      </c>
      <c r="G122" s="3" t="str">
        <f>IFERROR(__xludf.DUMMYFUNCTION("""COMPUTED_VALUE"""),"Amelia Macholz")</f>
        <v>Amelia Macholz</v>
      </c>
      <c r="H122" s="3" t="str">
        <f>IFERROR(__xludf.DUMMYFUNCTION("""COMPUTED_VALUE"""),"Maddie Andrews")</f>
        <v>Maddie Andrews</v>
      </c>
      <c r="I122" s="3" t="str">
        <f>IFERROR(__xludf.DUMMYFUNCTION("""COMPUTED_VALUE"""),"Kaila Hewitt")</f>
        <v>Kaila Hewitt</v>
      </c>
      <c r="J122" s="3" t="str">
        <f>IFERROR(__xludf.DUMMYFUNCTION("""COMPUTED_VALUE"""),"Molly Rouzie")</f>
        <v>Molly Rouzie</v>
      </c>
      <c r="K122" s="3" t="str">
        <f>IFERROR(__xludf.DUMMYFUNCTION("""COMPUTED_VALUE"""),"Jordan MacIsaac")</f>
        <v>Jordan MacIsaac</v>
      </c>
      <c r="M122" s="3" t="str">
        <f>IFERROR(__xludf.DUMMYFUNCTION("""COMPUTED_VALUE"""),"Abby Fuller")</f>
        <v>Abby Fuller</v>
      </c>
      <c r="W122" s="3" t="str">
        <f>IFERROR(__xludf.DUMMYFUNCTION("""COMPUTED_VALUE"""),"Kaitlyn Niesent")</f>
        <v>Kaitlyn Niesent</v>
      </c>
    </row>
    <row r="123">
      <c r="B123" s="3" t="str">
        <f>IFERROR(__xludf.DUMMYFUNCTION("""COMPUTED_VALUE"""),"Kaila Hewitt")</f>
        <v>Kaila Hewitt</v>
      </c>
      <c r="C123" s="3" t="str">
        <f>IFERROR(__xludf.DUMMYFUNCTION("""COMPUTED_VALUE"""),"Julia May")</f>
        <v>Julia May</v>
      </c>
      <c r="D123" s="3" t="str">
        <f>IFERROR(__xludf.DUMMYFUNCTION("""COMPUTED_VALUE"""),"Harper Sensiba")</f>
        <v>Harper Sensiba</v>
      </c>
      <c r="G123" s="3" t="str">
        <f>IFERROR(__xludf.DUMMYFUNCTION("""COMPUTED_VALUE"""),"Becca Wigboldy")</f>
        <v>Becca Wigboldy</v>
      </c>
      <c r="H123" s="3" t="str">
        <f>IFERROR(__xludf.DUMMYFUNCTION("""COMPUTED_VALUE"""),"Cassidy Doyle")</f>
        <v>Cassidy Doyle</v>
      </c>
      <c r="I123" s="3" t="str">
        <f>IFERROR(__xludf.DUMMYFUNCTION("""COMPUTED_VALUE"""),"Julia Springer")</f>
        <v>Julia Springer</v>
      </c>
      <c r="J123" s="3" t="str">
        <f>IFERROR(__xludf.DUMMYFUNCTION("""COMPUTED_VALUE"""),"Jacquelyn Maly")</f>
        <v>Jacquelyn Maly</v>
      </c>
      <c r="K123" s="3" t="str">
        <f>IFERROR(__xludf.DUMMYFUNCTION("""COMPUTED_VALUE"""),"Charlotte Denecke")</f>
        <v>Charlotte Denecke</v>
      </c>
      <c r="M123" s="3" t="str">
        <f>IFERROR(__xludf.DUMMYFUNCTION("""COMPUTED_VALUE"""),"Katelyn Vieni")</f>
        <v>Katelyn Vieni</v>
      </c>
      <c r="W123" s="3" t="str">
        <f>IFERROR(__xludf.DUMMYFUNCTION("""COMPUTED_VALUE"""),"Meredith Flattum")</f>
        <v>Meredith Flattum</v>
      </c>
    </row>
    <row r="124">
      <c r="B124" s="3" t="str">
        <f>IFERROR(__xludf.DUMMYFUNCTION("""COMPUTED_VALUE"""),"Delaney Younger")</f>
        <v>Delaney Younger</v>
      </c>
      <c r="C124" s="3" t="str">
        <f>IFERROR(__xludf.DUMMYFUNCTION("""COMPUTED_VALUE"""),"Lauren Meyer")</f>
        <v>Lauren Meyer</v>
      </c>
      <c r="D124" s="3" t="str">
        <f>IFERROR(__xludf.DUMMYFUNCTION("""COMPUTED_VALUE"""),"Haley Butcher")</f>
        <v>Haley Butcher</v>
      </c>
      <c r="G124" s="3" t="str">
        <f>IFERROR(__xludf.DUMMYFUNCTION("""COMPUTED_VALUE"""),"Selby Heyman")</f>
        <v>Selby Heyman</v>
      </c>
      <c r="H124" s="3" t="str">
        <f>IFERROR(__xludf.DUMMYFUNCTION("""COMPUTED_VALUE"""),"Anna Keniston")</f>
        <v>Anna Keniston</v>
      </c>
      <c r="I124" s="3" t="str">
        <f>IFERROR(__xludf.DUMMYFUNCTION("""COMPUTED_VALUE"""),"Ashley Dyer")</f>
        <v>Ashley Dyer</v>
      </c>
      <c r="J124" s="3" t="str">
        <f>IFERROR(__xludf.DUMMYFUNCTION("""COMPUTED_VALUE"""),"Mia Tan")</f>
        <v>Mia Tan</v>
      </c>
      <c r="K124" s="3" t="str">
        <f>IFERROR(__xludf.DUMMYFUNCTION("""COMPUTED_VALUE"""),"Sydney Hall")</f>
        <v>Sydney Hall</v>
      </c>
      <c r="M124" s="3" t="str">
        <f>IFERROR(__xludf.DUMMYFUNCTION("""COMPUTED_VALUE"""),"Bella Triolet")</f>
        <v>Bella Triolet</v>
      </c>
      <c r="W124" s="3" t="str">
        <f>IFERROR(__xludf.DUMMYFUNCTION("""COMPUTED_VALUE"""),"Lena Steckler")</f>
        <v>Lena Steckler</v>
      </c>
    </row>
    <row r="125">
      <c r="B125" s="3" t="str">
        <f>IFERROR(__xludf.DUMMYFUNCTION("""COMPUTED_VALUE"""),"Korina Davis")</f>
        <v>Korina Davis</v>
      </c>
      <c r="C125" s="3" t="str">
        <f>IFERROR(__xludf.DUMMYFUNCTION("""COMPUTED_VALUE"""),"Delaney Younger")</f>
        <v>Delaney Younger</v>
      </c>
      <c r="D125" s="3" t="str">
        <f>IFERROR(__xludf.DUMMYFUNCTION("""COMPUTED_VALUE"""),"Jenna Lancey")</f>
        <v>Jenna Lancey</v>
      </c>
      <c r="G125" s="3" t="str">
        <f>IFERROR(__xludf.DUMMYFUNCTION("""COMPUTED_VALUE"""),"Anna Keniston")</f>
        <v>Anna Keniston</v>
      </c>
      <c r="H125" s="3" t="str">
        <f>IFERROR(__xludf.DUMMYFUNCTION("""COMPUTED_VALUE"""),"Lauren Prescott")</f>
        <v>Lauren Prescott</v>
      </c>
      <c r="I125" s="3" t="str">
        <f>IFERROR(__xludf.DUMMYFUNCTION("""COMPUTED_VALUE"""),"Elizabeth Showers")</f>
        <v>Elizabeth Showers</v>
      </c>
      <c r="K125" s="3" t="str">
        <f>IFERROR(__xludf.DUMMYFUNCTION("""COMPUTED_VALUE"""),"Molly Rouzie")</f>
        <v>Molly Rouzie</v>
      </c>
      <c r="M125" s="3" t="str">
        <f>IFERROR(__xludf.DUMMYFUNCTION("""COMPUTED_VALUE"""),"Bridgette Pearson")</f>
        <v>Bridgette Pearson</v>
      </c>
      <c r="W125" s="3" t="str">
        <f>IFERROR(__xludf.DUMMYFUNCTION("""COMPUTED_VALUE"""),"Anna Keniston")</f>
        <v>Anna Keniston</v>
      </c>
    </row>
    <row r="126">
      <c r="B126" s="3" t="str">
        <f>IFERROR(__xludf.DUMMYFUNCTION("""COMPUTED_VALUE"""),"Gina Lynch")</f>
        <v>Gina Lynch</v>
      </c>
      <c r="C126" s="3" t="str">
        <f>IFERROR(__xludf.DUMMYFUNCTION("""COMPUTED_VALUE"""),"Lainey Flanagan")</f>
        <v>Lainey Flanagan</v>
      </c>
      <c r="D126" s="3" t="str">
        <f>IFERROR(__xludf.DUMMYFUNCTION("""COMPUTED_VALUE"""),"Ashley Dyer")</f>
        <v>Ashley Dyer</v>
      </c>
      <c r="G126" s="3" t="str">
        <f>IFERROR(__xludf.DUMMYFUNCTION("""COMPUTED_VALUE"""),"Isabella Caballero")</f>
        <v>Isabella Caballero</v>
      </c>
      <c r="H126" s="3" t="str">
        <f>IFERROR(__xludf.DUMMYFUNCTION("""COMPUTED_VALUE"""),"Abby Reilly")</f>
        <v>Abby Reilly</v>
      </c>
      <c r="I126" s="3" t="str">
        <f>IFERROR(__xludf.DUMMYFUNCTION("""COMPUTED_VALUE"""),"Meredith Flattum")</f>
        <v>Meredith Flattum</v>
      </c>
      <c r="K126" s="3" t="str">
        <f>IFERROR(__xludf.DUMMYFUNCTION("""COMPUTED_VALUE"""),"Jenna Lancey")</f>
        <v>Jenna Lancey</v>
      </c>
      <c r="M126" s="3" t="str">
        <f>IFERROR(__xludf.DUMMYFUNCTION("""COMPUTED_VALUE"""),"Ava Settle")</f>
        <v>Ava Settle</v>
      </c>
      <c r="W126" s="3" t="str">
        <f>IFERROR(__xludf.DUMMYFUNCTION("""COMPUTED_VALUE"""),"Sarah Vencil")</f>
        <v>Sarah Vencil</v>
      </c>
    </row>
    <row r="127">
      <c r="B127" s="3" t="str">
        <f>IFERROR(__xludf.DUMMYFUNCTION("""COMPUTED_VALUE"""),"Carson Yoder")</f>
        <v>Carson Yoder</v>
      </c>
      <c r="C127" s="3" t="str">
        <f>IFERROR(__xludf.DUMMYFUNCTION("""COMPUTED_VALUE"""),"Haley Butcher")</f>
        <v>Haley Butcher</v>
      </c>
      <c r="D127" s="3" t="str">
        <f>IFERROR(__xludf.DUMMYFUNCTION("""COMPUTED_VALUE"""),"Caroline Shockley")</f>
        <v>Caroline Shockley</v>
      </c>
      <c r="G127" s="3" t="str">
        <f>IFERROR(__xludf.DUMMYFUNCTION("""COMPUTED_VALUE"""),"Ainsley Juhlin")</f>
        <v>Ainsley Juhlin</v>
      </c>
      <c r="H127" s="3" t="str">
        <f>IFERROR(__xludf.DUMMYFUNCTION("""COMPUTED_VALUE"""),"Kylie Thompson")</f>
        <v>Kylie Thompson</v>
      </c>
      <c r="I127" s="3" t="str">
        <f>IFERROR(__xludf.DUMMYFUNCTION("""COMPUTED_VALUE"""),"Sophie Gere")</f>
        <v>Sophie Gere</v>
      </c>
      <c r="K127" s="3" t="str">
        <f>IFERROR(__xludf.DUMMYFUNCTION("""COMPUTED_VALUE"""),"Sara Lindsay")</f>
        <v>Sara Lindsay</v>
      </c>
      <c r="M127" s="3" t="str">
        <f>IFERROR(__xludf.DUMMYFUNCTION("""COMPUTED_VALUE"""),"Alli Lovell")</f>
        <v>Alli Lovell</v>
      </c>
      <c r="W127" s="3" t="str">
        <f>IFERROR(__xludf.DUMMYFUNCTION("""COMPUTED_VALUE"""),"Adah MacDonald")</f>
        <v>Adah MacDonald</v>
      </c>
    </row>
    <row r="128">
      <c r="B128" s="3" t="str">
        <f>IFERROR(__xludf.DUMMYFUNCTION("""COMPUTED_VALUE"""),"Sydney Branch")</f>
        <v>Sydney Branch</v>
      </c>
      <c r="C128" s="3" t="str">
        <f>IFERROR(__xludf.DUMMYFUNCTION("""COMPUTED_VALUE"""),"Taylor Branch")</f>
        <v>Taylor Branch</v>
      </c>
      <c r="D128" s="3" t="str">
        <f>IFERROR(__xludf.DUMMYFUNCTION("""COMPUTED_VALUE"""),"Elyse Cram")</f>
        <v>Elyse Cram</v>
      </c>
      <c r="G128" s="3" t="str">
        <f>IFERROR(__xludf.DUMMYFUNCTION("""COMPUTED_VALUE"""),"Allison Masterson")</f>
        <v>Allison Masterson</v>
      </c>
      <c r="H128" s="3" t="str">
        <f>IFERROR(__xludf.DUMMYFUNCTION("""COMPUTED_VALUE"""),"Emmaline Woodworth")</f>
        <v>Emmaline Woodworth</v>
      </c>
      <c r="I128" s="3" t="str">
        <f>IFERROR(__xludf.DUMMYFUNCTION("""COMPUTED_VALUE"""),"Alexa Heiry")</f>
        <v>Alexa Heiry</v>
      </c>
      <c r="K128" s="3" t="str">
        <f>IFERROR(__xludf.DUMMYFUNCTION("""COMPUTED_VALUE"""),"Niamh Kastner")</f>
        <v>Niamh Kastner</v>
      </c>
      <c r="M128" s="3" t="str">
        <f>IFERROR(__xludf.DUMMYFUNCTION("""COMPUTED_VALUE"""),"Caitlyn Verastek")</f>
        <v>Caitlyn Verastek</v>
      </c>
      <c r="W128" s="3" t="str">
        <f>IFERROR(__xludf.DUMMYFUNCTION("""COMPUTED_VALUE"""),"Jackie Scheneman")</f>
        <v>Jackie Scheneman</v>
      </c>
    </row>
    <row r="129">
      <c r="B129" s="3" t="str">
        <f>IFERROR(__xludf.DUMMYFUNCTION("""COMPUTED_VALUE"""),"Hannah Rossin")</f>
        <v>Hannah Rossin</v>
      </c>
      <c r="C129" s="3" t="str">
        <f>IFERROR(__xludf.DUMMYFUNCTION("""COMPUTED_VALUE"""),"Paige Strycker")</f>
        <v>Paige Strycker</v>
      </c>
      <c r="D129" s="3" t="str">
        <f>IFERROR(__xludf.DUMMYFUNCTION("""COMPUTED_VALUE"""),"Emily Joseph")</f>
        <v>Emily Joseph</v>
      </c>
      <c r="G129" s="3" t="str">
        <f>IFERROR(__xludf.DUMMYFUNCTION("""COMPUTED_VALUE"""),"Abby Reilly")</f>
        <v>Abby Reilly</v>
      </c>
      <c r="H129" s="3" t="str">
        <f>IFERROR(__xludf.DUMMYFUNCTION("""COMPUTED_VALUE"""),"Cristal Perdomo")</f>
        <v>Cristal Perdomo</v>
      </c>
      <c r="I129" s="3" t="str">
        <f>IFERROR(__xludf.DUMMYFUNCTION("""COMPUTED_VALUE"""),"Molly Rouzie")</f>
        <v>Molly Rouzie</v>
      </c>
      <c r="K129" s="3" t="str">
        <f>IFERROR(__xludf.DUMMYFUNCTION("""COMPUTED_VALUE"""),"Laney VanLenten")</f>
        <v>Laney VanLenten</v>
      </c>
      <c r="M129" s="3" t="str">
        <f>IFERROR(__xludf.DUMMYFUNCTION("""COMPUTED_VALUE"""),"Sydney Hall")</f>
        <v>Sydney Hall</v>
      </c>
      <c r="W129" s="3" t="str">
        <f>IFERROR(__xludf.DUMMYFUNCTION("""COMPUTED_VALUE"""),"Erin Wojtkowski")</f>
        <v>Erin Wojtkowski</v>
      </c>
    </row>
    <row r="130">
      <c r="B130" s="3" t="str">
        <f>IFERROR(__xludf.DUMMYFUNCTION("""COMPUTED_VALUE"""),"Jordan MacIsaac")</f>
        <v>Jordan MacIsaac</v>
      </c>
      <c r="C130" s="3" t="str">
        <f>IFERROR(__xludf.DUMMYFUNCTION("""COMPUTED_VALUE"""),"Macy Wilcox")</f>
        <v>Macy Wilcox</v>
      </c>
      <c r="D130" s="3" t="str">
        <f>IFERROR(__xludf.DUMMYFUNCTION("""COMPUTED_VALUE"""),"Ellie Ahmed")</f>
        <v>Ellie Ahmed</v>
      </c>
      <c r="G130" s="3" t="str">
        <f>IFERROR(__xludf.DUMMYFUNCTION("""COMPUTED_VALUE"""),"Ava Settle")</f>
        <v>Ava Settle</v>
      </c>
      <c r="H130" s="3" t="str">
        <f>IFERROR(__xludf.DUMMYFUNCTION("""COMPUTED_VALUE"""),"Cate Gleim")</f>
        <v>Cate Gleim</v>
      </c>
      <c r="I130" s="3" t="str">
        <f>IFERROR(__xludf.DUMMYFUNCTION("""COMPUTED_VALUE"""),"Andi Fox")</f>
        <v>Andi Fox</v>
      </c>
      <c r="K130" s="3" t="str">
        <f>IFERROR(__xludf.DUMMYFUNCTION("""COMPUTED_VALUE"""),"Jackie Scheneman")</f>
        <v>Jackie Scheneman</v>
      </c>
      <c r="M130" s="3" t="str">
        <f>IFERROR(__xludf.DUMMYFUNCTION("""COMPUTED_VALUE"""),"Selby Heyman")</f>
        <v>Selby Heyman</v>
      </c>
      <c r="W130" s="3" t="str">
        <f>IFERROR(__xludf.DUMMYFUNCTION("""COMPUTED_VALUE"""),"Chloe Jepson")</f>
        <v>Chloe Jepson</v>
      </c>
    </row>
    <row r="131">
      <c r="B131" s="3" t="str">
        <f>IFERROR(__xludf.DUMMYFUNCTION("""COMPUTED_VALUE"""),"Clara Rodriguez")</f>
        <v>Clara Rodriguez</v>
      </c>
      <c r="C131" s="3" t="str">
        <f>IFERROR(__xludf.DUMMYFUNCTION("""COMPUTED_VALUE"""),"Ashley Dyer")</f>
        <v>Ashley Dyer</v>
      </c>
      <c r="D131" s="3" t="str">
        <f>IFERROR(__xludf.DUMMYFUNCTION("""COMPUTED_VALUE"""),"Lena Steckler")</f>
        <v>Lena Steckler</v>
      </c>
      <c r="G131" s="3" t="str">
        <f>IFERROR(__xludf.DUMMYFUNCTION("""COMPUTED_VALUE"""),"Grace Clemens")</f>
        <v>Grace Clemens</v>
      </c>
      <c r="H131" s="3" t="str">
        <f>IFERROR(__xludf.DUMMYFUNCTION("""COMPUTED_VALUE"""),"Natalie Hidrobo")</f>
        <v>Natalie Hidrobo</v>
      </c>
      <c r="I131" s="3" t="str">
        <f>IFERROR(__xludf.DUMMYFUNCTION("""COMPUTED_VALUE"""),"Aleena De Sir")</f>
        <v>Aleena De Sir</v>
      </c>
      <c r="K131" s="3" t="str">
        <f>IFERROR(__xludf.DUMMYFUNCTION("""COMPUTED_VALUE"""),"Harper Sensiba")</f>
        <v>Harper Sensiba</v>
      </c>
      <c r="M131" s="3" t="str">
        <f>IFERROR(__xludf.DUMMYFUNCTION("""COMPUTED_VALUE"""),"Ally Kiger")</f>
        <v>Ally Kiger</v>
      </c>
      <c r="W131" s="3" t="str">
        <f>IFERROR(__xludf.DUMMYFUNCTION("""COMPUTED_VALUE"""),"Corrinn Ford")</f>
        <v>Corrinn Ford</v>
      </c>
    </row>
    <row r="132">
      <c r="B132" s="3" t="str">
        <f>IFERROR(__xludf.DUMMYFUNCTION("""COMPUTED_VALUE"""),"Sophie Haise")</f>
        <v>Sophie Haise</v>
      </c>
      <c r="C132" s="3" t="str">
        <f>IFERROR(__xludf.DUMMYFUNCTION("""COMPUTED_VALUE"""),"Andrea Leng")</f>
        <v>Andrea Leng</v>
      </c>
      <c r="D132" s="3" t="str">
        <f>IFERROR(__xludf.DUMMYFUNCTION("""COMPUTED_VALUE"""),"Lauren Masters")</f>
        <v>Lauren Masters</v>
      </c>
      <c r="G132" s="3" t="str">
        <f>IFERROR(__xludf.DUMMYFUNCTION("""COMPUTED_VALUE"""),"Chloe Schmitz")</f>
        <v>Chloe Schmitz</v>
      </c>
      <c r="H132" s="3" t="str">
        <f>IFERROR(__xludf.DUMMYFUNCTION("""COMPUTED_VALUE"""),"Maddie Spangler")</f>
        <v>Maddie Spangler</v>
      </c>
      <c r="I132" s="3" t="str">
        <f>IFERROR(__xludf.DUMMYFUNCTION("""COMPUTED_VALUE"""),"Livvie Cohn")</f>
        <v>Livvie Cohn</v>
      </c>
      <c r="K132" s="3" t="str">
        <f>IFERROR(__xludf.DUMMYFUNCTION("""COMPUTED_VALUE"""),"Morgan Bowman")</f>
        <v>Morgan Bowman</v>
      </c>
      <c r="M132" s="3" t="str">
        <f>IFERROR(__xludf.DUMMYFUNCTION("""COMPUTED_VALUE"""),"Marissa Ross")</f>
        <v>Marissa Ross</v>
      </c>
      <c r="W132" s="3" t="str">
        <f>IFERROR(__xludf.DUMMYFUNCTION("""COMPUTED_VALUE"""),"Ainsley Juhlin")</f>
        <v>Ainsley Juhlin</v>
      </c>
    </row>
    <row r="133">
      <c r="B133" s="3" t="str">
        <f>IFERROR(__xludf.DUMMYFUNCTION("""COMPUTED_VALUE"""),"Moira Euker")</f>
        <v>Moira Euker</v>
      </c>
      <c r="C133" s="3" t="str">
        <f>IFERROR(__xludf.DUMMYFUNCTION("""COMPUTED_VALUE"""),"Kaila Hewitt")</f>
        <v>Kaila Hewitt</v>
      </c>
      <c r="D133" s="3" t="str">
        <f>IFERROR(__xludf.DUMMYFUNCTION("""COMPUTED_VALUE"""),"Julia Oliver")</f>
        <v>Julia Oliver</v>
      </c>
      <c r="G133" s="3" t="str">
        <f>IFERROR(__xludf.DUMMYFUNCTION("""COMPUTED_VALUE"""),"Claire Rude")</f>
        <v>Claire Rude</v>
      </c>
      <c r="H133" s="3" t="str">
        <f>IFERROR(__xludf.DUMMYFUNCTION("""COMPUTED_VALUE"""),"Elizabeth Showers")</f>
        <v>Elizabeth Showers</v>
      </c>
      <c r="I133" s="3" t="str">
        <f>IFERROR(__xludf.DUMMYFUNCTION("""COMPUTED_VALUE"""),"Sarah Arnold")</f>
        <v>Sarah Arnold</v>
      </c>
      <c r="K133" s="3" t="str">
        <f>IFERROR(__xludf.DUMMYFUNCTION("""COMPUTED_VALUE"""),"Bridgette Pearson")</f>
        <v>Bridgette Pearson</v>
      </c>
      <c r="M133" s="3" t="str">
        <f>IFERROR(__xludf.DUMMYFUNCTION("""COMPUTED_VALUE"""),"Julia Oliver")</f>
        <v>Julia Oliver</v>
      </c>
      <c r="W133" s="3" t="str">
        <f>IFERROR(__xludf.DUMMYFUNCTION("""COMPUTED_VALUE"""),"Caitlyn Verastek")</f>
        <v>Caitlyn Verastek</v>
      </c>
    </row>
    <row r="134">
      <c r="B134" s="3" t="str">
        <f>IFERROR(__xludf.DUMMYFUNCTION("""COMPUTED_VALUE"""),"Abby Cook")</f>
        <v>Abby Cook</v>
      </c>
      <c r="C134" s="3" t="str">
        <f>IFERROR(__xludf.DUMMYFUNCTION("""COMPUTED_VALUE"""),"Shannah Dillman")</f>
        <v>Shannah Dillman</v>
      </c>
      <c r="D134" s="3" t="str">
        <f>IFERROR(__xludf.DUMMYFUNCTION("""COMPUTED_VALUE"""),"Aleena De Sir")</f>
        <v>Aleena De Sir</v>
      </c>
      <c r="G134" s="3" t="str">
        <f>IFERROR(__xludf.DUMMYFUNCTION("""COMPUTED_VALUE"""),"Molly Shand")</f>
        <v>Molly Shand</v>
      </c>
      <c r="H134" s="3" t="str">
        <f>IFERROR(__xludf.DUMMYFUNCTION("""COMPUTED_VALUE"""),"Molly Shand")</f>
        <v>Molly Shand</v>
      </c>
      <c r="I134" s="3" t="str">
        <f>IFERROR(__xludf.DUMMYFUNCTION("""COMPUTED_VALUE"""),"Rylee Woelk")</f>
        <v>Rylee Woelk</v>
      </c>
      <c r="K134" s="3" t="str">
        <f>IFERROR(__xludf.DUMMYFUNCTION("""COMPUTED_VALUE"""),"Corrinn Ford")</f>
        <v>Corrinn Ford</v>
      </c>
      <c r="M134" s="3" t="str">
        <f>IFERROR(__xludf.DUMMYFUNCTION("""COMPUTED_VALUE"""),"Alyssa Teller")</f>
        <v>Alyssa Teller</v>
      </c>
      <c r="W134" s="3" t="str">
        <f>IFERROR(__xludf.DUMMYFUNCTION("""COMPUTED_VALUE"""),"Elizabeth Showers")</f>
        <v>Elizabeth Showers</v>
      </c>
    </row>
    <row r="135">
      <c r="B135" s="3" t="str">
        <f>IFERROR(__xludf.DUMMYFUNCTION("""COMPUTED_VALUE"""),"Allison Masterson")</f>
        <v>Allison Masterson</v>
      </c>
      <c r="C135" s="3" t="str">
        <f>IFERROR(__xludf.DUMMYFUNCTION("""COMPUTED_VALUE"""),"Moira Euker")</f>
        <v>Moira Euker</v>
      </c>
      <c r="D135" s="3" t="str">
        <f>IFERROR(__xludf.DUMMYFUNCTION("""COMPUTED_VALUE"""),"Virginia Smith")</f>
        <v>Virginia Smith</v>
      </c>
      <c r="G135" s="3" t="str">
        <f>IFERROR(__xludf.DUMMYFUNCTION("""COMPUTED_VALUE"""),"Abby Cook")</f>
        <v>Abby Cook</v>
      </c>
      <c r="H135" s="3" t="str">
        <f>IFERROR(__xludf.DUMMYFUNCTION("""COMPUTED_VALUE"""),"Moira Euker")</f>
        <v>Moira Euker</v>
      </c>
      <c r="I135" s="3" t="str">
        <f>IFERROR(__xludf.DUMMYFUNCTION("""COMPUTED_VALUE"""),"Corinne Whisenant")</f>
        <v>Corinne Whisenant</v>
      </c>
      <c r="K135" s="3" t="str">
        <f>IFERROR(__xludf.DUMMYFUNCTION("""COMPUTED_VALUE"""),"Taylor Branch")</f>
        <v>Taylor Branch</v>
      </c>
      <c r="M135" s="3" t="str">
        <f>IFERROR(__xludf.DUMMYFUNCTION("""COMPUTED_VALUE"""),"Molly Rouzie")</f>
        <v>Molly Rouzie</v>
      </c>
      <c r="W135" s="3" t="str">
        <f>IFERROR(__xludf.DUMMYFUNCTION("""COMPUTED_VALUE"""),"Bella Triolet")</f>
        <v>Bella Triolet</v>
      </c>
    </row>
    <row r="136">
      <c r="B136" s="3" t="str">
        <f>IFERROR(__xludf.DUMMYFUNCTION("""COMPUTED_VALUE"""),"Varin Schefte")</f>
        <v>Varin Schefte</v>
      </c>
      <c r="C136" s="3" t="str">
        <f>IFERROR(__xludf.DUMMYFUNCTION("""COMPUTED_VALUE"""),"Natalie Hidrobo")</f>
        <v>Natalie Hidrobo</v>
      </c>
      <c r="D136" s="3" t="str">
        <f>IFERROR(__xludf.DUMMYFUNCTION("""COMPUTED_VALUE"""),"Maddie Spangler")</f>
        <v>Maddie Spangler</v>
      </c>
      <c r="G136" s="3" t="str">
        <f>IFERROR(__xludf.DUMMYFUNCTION("""COMPUTED_VALUE"""),"Cristal Perdomo")</f>
        <v>Cristal Perdomo</v>
      </c>
      <c r="H136" s="3" t="str">
        <f>IFERROR(__xludf.DUMMYFUNCTION("""COMPUTED_VALUE"""),"Becca Wigboldy")</f>
        <v>Becca Wigboldy</v>
      </c>
      <c r="I136" s="3" t="str">
        <f>IFERROR(__xludf.DUMMYFUNCTION("""COMPUTED_VALUE"""),"Mia Tan")</f>
        <v>Mia Tan</v>
      </c>
      <c r="K136" s="3" t="str">
        <f>IFERROR(__xludf.DUMMYFUNCTION("""COMPUTED_VALUE"""),"Anna Keniston")</f>
        <v>Anna Keniston</v>
      </c>
      <c r="M136" s="3" t="str">
        <f>IFERROR(__xludf.DUMMYFUNCTION("""COMPUTED_VALUE"""),"Quinn Keatley")</f>
        <v>Quinn Keatley</v>
      </c>
      <c r="W136" s="3" t="str">
        <f>IFERROR(__xludf.DUMMYFUNCTION("""COMPUTED_VALUE"""),"Savanneh Salmon")</f>
        <v>Savanneh Salmon</v>
      </c>
    </row>
    <row r="137">
      <c r="B137" s="3" t="str">
        <f>IFERROR(__xludf.DUMMYFUNCTION("""COMPUTED_VALUE"""),"Bridgette Pearson")</f>
        <v>Bridgette Pearson</v>
      </c>
      <c r="C137" s="3" t="str">
        <f>IFERROR(__xludf.DUMMYFUNCTION("""COMPUTED_VALUE"""),"Luci Hanstedt")</f>
        <v>Luci Hanstedt</v>
      </c>
      <c r="D137" s="3" t="str">
        <f>IFERROR(__xludf.DUMMYFUNCTION("""COMPUTED_VALUE"""),"Macy Wilcox")</f>
        <v>Macy Wilcox</v>
      </c>
      <c r="G137" s="3" t="str">
        <f>IFERROR(__xludf.DUMMYFUNCTION("""COMPUTED_VALUE"""),"Caroline Shockley")</f>
        <v>Caroline Shockley</v>
      </c>
      <c r="H137" s="3" t="str">
        <f>IFERROR(__xludf.DUMMYFUNCTION("""COMPUTED_VALUE"""),"Elizabeth LaPrade")</f>
        <v>Elizabeth LaPrade</v>
      </c>
      <c r="I137" s="3" t="str">
        <f>IFERROR(__xludf.DUMMYFUNCTION("""COMPUTED_VALUE"""),"Caroline Gray")</f>
        <v>Caroline Gray</v>
      </c>
      <c r="K137" s="3" t="str">
        <f>IFERROR(__xludf.DUMMYFUNCTION("""COMPUTED_VALUE"""),"Jordan Mumford")</f>
        <v>Jordan Mumford</v>
      </c>
      <c r="M137" s="3" t="str">
        <f>IFERROR(__xludf.DUMMYFUNCTION("""COMPUTED_VALUE"""),"Lauren Masters")</f>
        <v>Lauren Masters</v>
      </c>
      <c r="W137" s="3" t="str">
        <f>IFERROR(__xludf.DUMMYFUNCTION("""COMPUTED_VALUE"""),"Ava Settle")</f>
        <v>Ava Settle</v>
      </c>
    </row>
    <row r="138">
      <c r="B138" s="3" t="str">
        <f>IFERROR(__xludf.DUMMYFUNCTION("""COMPUTED_VALUE"""),"Annika Luce")</f>
        <v>Annika Luce</v>
      </c>
      <c r="C138" s="3" t="str">
        <f>IFERROR(__xludf.DUMMYFUNCTION("""COMPUTED_VALUE"""),"Shea Buirski")</f>
        <v>Shea Buirski</v>
      </c>
      <c r="D138" s="3" t="str">
        <f>IFERROR(__xludf.DUMMYFUNCTION("""COMPUTED_VALUE"""),"Maddie McCay")</f>
        <v>Maddie McCay</v>
      </c>
      <c r="G138" s="3" t="str">
        <f>IFERROR(__xludf.DUMMYFUNCTION("""COMPUTED_VALUE"""),"Jenni Ryniewicz")</f>
        <v>Jenni Ryniewicz</v>
      </c>
      <c r="H138" s="3" t="str">
        <f>IFERROR(__xludf.DUMMYFUNCTION("""COMPUTED_VALUE"""),"Lainey Flanagan")</f>
        <v>Lainey Flanagan</v>
      </c>
      <c r="K138" s="3" t="str">
        <f>IFERROR(__xludf.DUMMYFUNCTION("""COMPUTED_VALUE"""),"Ally Kiger")</f>
        <v>Ally Kiger</v>
      </c>
      <c r="M138" s="3" t="str">
        <f>IFERROR(__xludf.DUMMYFUNCTION("""COMPUTED_VALUE"""),"Isabella Caballero")</f>
        <v>Isabella Caballero</v>
      </c>
      <c r="W138" s="3" t="str">
        <f>IFERROR(__xludf.DUMMYFUNCTION("""COMPUTED_VALUE"""),"Paige Rooks")</f>
        <v>Paige Rooks</v>
      </c>
    </row>
    <row r="139">
      <c r="B139" s="3" t="str">
        <f>IFERROR(__xludf.DUMMYFUNCTION("""COMPUTED_VALUE"""),"Claire Henniker")</f>
        <v>Claire Henniker</v>
      </c>
      <c r="C139" s="3" t="str">
        <f>IFERROR(__xludf.DUMMYFUNCTION("""COMPUTED_VALUE"""),"Jenni Ryniewicz")</f>
        <v>Jenni Ryniewicz</v>
      </c>
      <c r="D139" s="3" t="str">
        <f>IFERROR(__xludf.DUMMYFUNCTION("""COMPUTED_VALUE"""),"Caroline Gray")</f>
        <v>Caroline Gray</v>
      </c>
      <c r="G139" s="3" t="str">
        <f>IFERROR(__xludf.DUMMYFUNCTION("""COMPUTED_VALUE"""),"Dagny Hudgins")</f>
        <v>Dagny Hudgins</v>
      </c>
      <c r="H139" s="3" t="str">
        <f>IFERROR(__xludf.DUMMYFUNCTION("""COMPUTED_VALUE"""),"Grace Clemens")</f>
        <v>Grace Clemens</v>
      </c>
      <c r="K139" s="3" t="str">
        <f>IFERROR(__xludf.DUMMYFUNCTION("""COMPUTED_VALUE"""),"Emily Joseph")</f>
        <v>Emily Joseph</v>
      </c>
      <c r="M139" s="3" t="str">
        <f>IFERROR(__xludf.DUMMYFUNCTION("""COMPUTED_VALUE"""),"Beth Ann Cortright")</f>
        <v>Beth Ann Cortright</v>
      </c>
      <c r="W139" s="3" t="str">
        <f>IFERROR(__xludf.DUMMYFUNCTION("""COMPUTED_VALUE"""),"Grace Morgan")</f>
        <v>Grace Morgan</v>
      </c>
    </row>
    <row r="140">
      <c r="B140" s="3" t="str">
        <f>IFERROR(__xludf.DUMMYFUNCTION("""COMPUTED_VALUE"""),"Virginia Smith")</f>
        <v>Virginia Smith</v>
      </c>
      <c r="C140" s="3" t="str">
        <f>IFERROR(__xludf.DUMMYFUNCTION("""COMPUTED_VALUE"""),"Maggie Baham")</f>
        <v>Maggie Baham</v>
      </c>
      <c r="G140" s="3" t="str">
        <f>IFERROR(__xludf.DUMMYFUNCTION("""COMPUTED_VALUE"""),"Emmaline Woodworth")</f>
        <v>Emmaline Woodworth</v>
      </c>
      <c r="H140" s="3" t="str">
        <f>IFERROR(__xludf.DUMMYFUNCTION("""COMPUTED_VALUE"""),"Bridgette Pearson")</f>
        <v>Bridgette Pearson</v>
      </c>
      <c r="K140" s="3" t="str">
        <f>IFERROR(__xludf.DUMMYFUNCTION("""COMPUTED_VALUE"""),"Andi Fox")</f>
        <v>Andi Fox</v>
      </c>
      <c r="M140" s="3" t="str">
        <f>IFERROR(__xludf.DUMMYFUNCTION("""COMPUTED_VALUE"""),"Emily Joseph")</f>
        <v>Emily Joseph</v>
      </c>
      <c r="W140" s="3" t="str">
        <f>IFERROR(__xludf.DUMMYFUNCTION("""COMPUTED_VALUE"""),"Cara McDuffie")</f>
        <v>Cara McDuffie</v>
      </c>
    </row>
    <row r="141">
      <c r="B141" s="3" t="str">
        <f>IFERROR(__xludf.DUMMYFUNCTION("""COMPUTED_VALUE"""),"Faith Sconing")</f>
        <v>Faith Sconing</v>
      </c>
      <c r="C141" s="3" t="str">
        <f>IFERROR(__xludf.DUMMYFUNCTION("""COMPUTED_VALUE"""),"Emily Joseph")</f>
        <v>Emily Joseph</v>
      </c>
      <c r="G141" s="3" t="str">
        <f>IFERROR(__xludf.DUMMYFUNCTION("""COMPUTED_VALUE"""),"Kim Schooneman")</f>
        <v>Kim Schooneman</v>
      </c>
      <c r="H141" s="3" t="str">
        <f>IFERROR(__xludf.DUMMYFUNCTION("""COMPUTED_VALUE"""),"Carrington Bowles")</f>
        <v>Carrington Bowles</v>
      </c>
      <c r="K141" s="3" t="str">
        <f>IFERROR(__xludf.DUMMYFUNCTION("""COMPUTED_VALUE"""),"Kimberly Large")</f>
        <v>Kimberly Large</v>
      </c>
      <c r="M141" s="3" t="str">
        <f>IFERROR(__xludf.DUMMYFUNCTION("""COMPUTED_VALUE"""),"Erin Langenburg")</f>
        <v>Erin Langenburg</v>
      </c>
      <c r="W141" s="3" t="str">
        <f>IFERROR(__xludf.DUMMYFUNCTION("""COMPUTED_VALUE"""),"Emily Joseph")</f>
        <v>Emily Joseph</v>
      </c>
    </row>
    <row r="142">
      <c r="B142" s="3" t="str">
        <f>IFERROR(__xludf.DUMMYFUNCTION("""COMPUTED_VALUE"""),"Luci Hanstedt")</f>
        <v>Luci Hanstedt</v>
      </c>
      <c r="C142" s="3" t="str">
        <f>IFERROR(__xludf.DUMMYFUNCTION("""COMPUTED_VALUE"""),"Chelie Plaster")</f>
        <v>Chelie Plaster</v>
      </c>
      <c r="G142" s="3" t="str">
        <f>IFERROR(__xludf.DUMMYFUNCTION("""COMPUTED_VALUE"""),"Tessa Campbell")</f>
        <v>Tessa Campbell</v>
      </c>
      <c r="H142" s="3" t="str">
        <f>IFERROR(__xludf.DUMMYFUNCTION("""COMPUTED_VALUE"""),"Leah Ashby")</f>
        <v>Leah Ashby</v>
      </c>
      <c r="K142" s="3" t="str">
        <f>IFERROR(__xludf.DUMMYFUNCTION("""COMPUTED_VALUE"""),"Mia Tan")</f>
        <v>Mia Tan</v>
      </c>
      <c r="M142" s="3" t="str">
        <f>IFERROR(__xludf.DUMMYFUNCTION("""COMPUTED_VALUE"""),"Jacquelyn Maly")</f>
        <v>Jacquelyn Maly</v>
      </c>
      <c r="W142" s="3" t="str">
        <f>IFERROR(__xludf.DUMMYFUNCTION("""COMPUTED_VALUE"""),"Caroline Inskeep")</f>
        <v>Caroline Inskeep</v>
      </c>
    </row>
    <row r="143">
      <c r="B143" s="3" t="str">
        <f>IFERROR(__xludf.DUMMYFUNCTION("""COMPUTED_VALUE"""),"Paige Strycker")</f>
        <v>Paige Strycker</v>
      </c>
      <c r="C143" s="3" t="str">
        <f>IFERROR(__xludf.DUMMYFUNCTION("""COMPUTED_VALUE"""),"Sydney Hall")</f>
        <v>Sydney Hall</v>
      </c>
      <c r="G143" s="3" t="str">
        <f>IFERROR(__xludf.DUMMYFUNCTION("""COMPUTED_VALUE"""),"Elizabeth Showers")</f>
        <v>Elizabeth Showers</v>
      </c>
      <c r="H143" s="3" t="str">
        <f>IFERROR(__xludf.DUMMYFUNCTION("""COMPUTED_VALUE"""),"Paige Chenoweth")</f>
        <v>Paige Chenoweth</v>
      </c>
      <c r="K143" s="3" t="str">
        <f>IFERROR(__xludf.DUMMYFUNCTION("""COMPUTED_VALUE"""),"Jacquelyn Maly")</f>
        <v>Jacquelyn Maly</v>
      </c>
      <c r="M143" s="3" t="str">
        <f>IFERROR(__xludf.DUMMYFUNCTION("""COMPUTED_VALUE"""),"Allie Pickels")</f>
        <v>Allie Pickels</v>
      </c>
      <c r="W143" s="3" t="str">
        <f>IFERROR(__xludf.DUMMYFUNCTION("""COMPUTED_VALUE"""),"Leah Ashby")</f>
        <v>Leah Ashby</v>
      </c>
    </row>
    <row r="144">
      <c r="B144" s="3" t="str">
        <f>IFERROR(__xludf.DUMMYFUNCTION("""COMPUTED_VALUE"""),"Alexis Roberts")</f>
        <v>Alexis Roberts</v>
      </c>
      <c r="C144" s="3" t="str">
        <f>IFERROR(__xludf.DUMMYFUNCTION("""COMPUTED_VALUE"""),"Skylar Dacey")</f>
        <v>Skylar Dacey</v>
      </c>
      <c r="G144" s="3" t="str">
        <f>IFERROR(__xludf.DUMMYFUNCTION("""COMPUTED_VALUE"""),"Leah Ashby")</f>
        <v>Leah Ashby</v>
      </c>
      <c r="H144" s="3" t="str">
        <f>IFERROR(__xludf.DUMMYFUNCTION("""COMPUTED_VALUE"""),"Erin Langenburg")</f>
        <v>Erin Langenburg</v>
      </c>
      <c r="M144" s="3" t="str">
        <f>IFERROR(__xludf.DUMMYFUNCTION("""COMPUTED_VALUE"""),"Alexa Heiry")</f>
        <v>Alexa Heiry</v>
      </c>
      <c r="W144" s="3" t="str">
        <f>IFERROR(__xludf.DUMMYFUNCTION("""COMPUTED_VALUE"""),"Katelyn Vieni")</f>
        <v>Katelyn Vieni</v>
      </c>
    </row>
    <row r="145">
      <c r="B145" s="3" t="str">
        <f>IFERROR(__xludf.DUMMYFUNCTION("""COMPUTED_VALUE"""),"Arianna Perez")</f>
        <v>Arianna Perez</v>
      </c>
      <c r="C145" s="3" t="str">
        <f>IFERROR(__xludf.DUMMYFUNCTION("""COMPUTED_VALUE"""),"Sophie Haise")</f>
        <v>Sophie Haise</v>
      </c>
      <c r="G145" s="3" t="str">
        <f>IFERROR(__xludf.DUMMYFUNCTION("""COMPUTED_VALUE"""),"Marissa Ross")</f>
        <v>Marissa Ross</v>
      </c>
      <c r="H145" s="3" t="str">
        <f>IFERROR(__xludf.DUMMYFUNCTION("""COMPUTED_VALUE"""),"Caroline Turner")</f>
        <v>Caroline Turner</v>
      </c>
      <c r="M145" s="3" t="str">
        <f>IFERROR(__xludf.DUMMYFUNCTION("""COMPUTED_VALUE"""),"Mia Tan")</f>
        <v>Mia Tan</v>
      </c>
      <c r="W145" s="3" t="str">
        <f>IFERROR(__xludf.DUMMYFUNCTION("""COMPUTED_VALUE"""),"Caroline Shockley")</f>
        <v>Caroline Shockley</v>
      </c>
    </row>
    <row r="146">
      <c r="B146" s="3" t="str">
        <f>IFERROR(__xludf.DUMMYFUNCTION("""COMPUTED_VALUE"""),"Lexi Plogger")</f>
        <v>Lexi Plogger</v>
      </c>
      <c r="C146" s="3" t="str">
        <f>IFERROR(__xludf.DUMMYFUNCTION("""COMPUTED_VALUE"""),"Lexi Plogger")</f>
        <v>Lexi Plogger</v>
      </c>
      <c r="G146" s="3" t="str">
        <f>IFERROR(__xludf.DUMMYFUNCTION("""COMPUTED_VALUE"""),"Alexa Heiry")</f>
        <v>Alexa Heiry</v>
      </c>
      <c r="H146" s="3" t="str">
        <f>IFERROR(__xludf.DUMMYFUNCTION("""COMPUTED_VALUE"""),"Isabelle Bauer")</f>
        <v>Isabelle Bauer</v>
      </c>
      <c r="M146" s="3" t="str">
        <f>IFERROR(__xludf.DUMMYFUNCTION("""COMPUTED_VALUE"""),"Caroline Gray")</f>
        <v>Caroline Gray</v>
      </c>
      <c r="W146" s="3" t="str">
        <f>IFERROR(__xludf.DUMMYFUNCTION("""COMPUTED_VALUE"""),"Julianna Jackson")</f>
        <v>Julianna Jackson</v>
      </c>
    </row>
    <row r="147">
      <c r="B147" s="3" t="str">
        <f>IFERROR(__xludf.DUMMYFUNCTION("""COMPUTED_VALUE"""),"Alli Lovell")</f>
        <v>Alli Lovell</v>
      </c>
      <c r="C147" s="3" t="str">
        <f>IFERROR(__xludf.DUMMYFUNCTION("""COMPUTED_VALUE"""),"Julia Oliver")</f>
        <v>Julia Oliver</v>
      </c>
      <c r="G147" s="3" t="str">
        <f>IFERROR(__xludf.DUMMYFUNCTION("""COMPUTED_VALUE"""),"Taylor Walker")</f>
        <v>Taylor Walker</v>
      </c>
      <c r="H147" s="3" t="str">
        <f>IFERROR(__xludf.DUMMYFUNCTION("""COMPUTED_VALUE"""),"Maddie Bowles")</f>
        <v>Maddie Bowles</v>
      </c>
      <c r="W147" s="3" t="str">
        <f>IFERROR(__xludf.DUMMYFUNCTION("""COMPUTED_VALUE"""),"Madelyn Foreman")</f>
        <v>Madelyn Foreman</v>
      </c>
    </row>
    <row r="148">
      <c r="B148" s="3" t="str">
        <f>IFERROR(__xludf.DUMMYFUNCTION("""COMPUTED_VALUE"""),"Jacquelyn Maly")</f>
        <v>Jacquelyn Maly</v>
      </c>
      <c r="C148" s="3" t="str">
        <f>IFERROR(__xludf.DUMMYFUNCTION("""COMPUTED_VALUE"""),"Varin Schefte")</f>
        <v>Varin Schefte</v>
      </c>
      <c r="G148" s="3" t="str">
        <f>IFERROR(__xludf.DUMMYFUNCTION("""COMPUTED_VALUE"""),"Julia Springer")</f>
        <v>Julia Springer</v>
      </c>
      <c r="H148" s="3" t="str">
        <f>IFERROR(__xludf.DUMMYFUNCTION("""COMPUTED_VALUE"""),"Taylor Walker")</f>
        <v>Taylor Walker</v>
      </c>
      <c r="W148" s="3" t="str">
        <f>IFERROR(__xludf.DUMMYFUNCTION("""COMPUTED_VALUE"""),"Taylor Walker")</f>
        <v>Taylor Walker</v>
      </c>
    </row>
    <row r="149">
      <c r="B149" s="3" t="str">
        <f>IFERROR(__xludf.DUMMYFUNCTION("""COMPUTED_VALUE"""),"Haley Butcher")</f>
        <v>Haley Butcher</v>
      </c>
      <c r="C149" s="3" t="str">
        <f>IFERROR(__xludf.DUMMYFUNCTION("""COMPUTED_VALUE"""),"Elyse Cram")</f>
        <v>Elyse Cram</v>
      </c>
      <c r="G149" s="3" t="str">
        <f>IFERROR(__xludf.DUMMYFUNCTION("""COMPUTED_VALUE"""),"Maddie Spangler")</f>
        <v>Maddie Spangler</v>
      </c>
      <c r="H149" s="3" t="str">
        <f>IFERROR(__xludf.DUMMYFUNCTION("""COMPUTED_VALUE"""),"Kate Steenkamer")</f>
        <v>Kate Steenkamer</v>
      </c>
      <c r="W149" s="3" t="str">
        <f>IFERROR(__xludf.DUMMYFUNCTION("""COMPUTED_VALUE"""),"Charlotte Denecke")</f>
        <v>Charlotte Denecke</v>
      </c>
    </row>
    <row r="150">
      <c r="B150" s="3" t="str">
        <f>IFERROR(__xludf.DUMMYFUNCTION("""COMPUTED_VALUE"""),"Maggie Baham")</f>
        <v>Maggie Baham</v>
      </c>
      <c r="C150" s="3" t="str">
        <f>IFERROR(__xludf.DUMMYFUNCTION("""COMPUTED_VALUE"""),"Jenna Lancey")</f>
        <v>Jenna Lancey</v>
      </c>
      <c r="G150" s="3" t="str">
        <f>IFERROR(__xludf.DUMMYFUNCTION("""COMPUTED_VALUE"""),"Olivia Bray")</f>
        <v>Olivia Bray</v>
      </c>
      <c r="W150" s="3"/>
    </row>
    <row r="151">
      <c r="B151" s="3" t="str">
        <f>IFERROR(__xludf.DUMMYFUNCTION("""COMPUTED_VALUE"""),"Paige Chenoweth")</f>
        <v>Paige Chenoweth</v>
      </c>
      <c r="C151" s="3" t="str">
        <f>IFERROR(__xludf.DUMMYFUNCTION("""COMPUTED_VALUE"""),"Grace Clemens")</f>
        <v>Grace Clemens</v>
      </c>
      <c r="G151" s="3" t="str">
        <f>IFERROR(__xludf.DUMMYFUNCTION("""COMPUTED_VALUE"""),"Mia Tan")</f>
        <v>Mia Tan</v>
      </c>
      <c r="W151" s="3" t="str">
        <f>IFERROR(__xludf.DUMMYFUNCTION("""COMPUTED_VALUE"""),"Morgan Burton")</f>
        <v>Morgan Burton</v>
      </c>
    </row>
    <row r="152">
      <c r="B152" s="3" t="str">
        <f>IFERROR(__xludf.DUMMYFUNCTION("""COMPUTED_VALUE"""),"Lauren Barakey")</f>
        <v>Lauren Barakey</v>
      </c>
      <c r="C152" s="3" t="str">
        <f>IFERROR(__xludf.DUMMYFUNCTION("""COMPUTED_VALUE"""),"Alexa Heiry")</f>
        <v>Alexa Heiry</v>
      </c>
      <c r="G152" s="3" t="str">
        <f>IFERROR(__xludf.DUMMYFUNCTION("""COMPUTED_VALUE"""),"Charlotte Denecke")</f>
        <v>Charlotte Denecke</v>
      </c>
      <c r="W152" s="3" t="str">
        <f>IFERROR(__xludf.DUMMYFUNCTION("""COMPUTED_VALUE"""),"Ally Kopal")</f>
        <v>Ally Kopal</v>
      </c>
    </row>
    <row r="153">
      <c r="B153" s="3" t="str">
        <f>IFERROR(__xludf.DUMMYFUNCTION("""COMPUTED_VALUE"""),"Abbey Murtaugh")</f>
        <v>Abbey Murtaugh</v>
      </c>
      <c r="C153" s="3" t="str">
        <f>IFERROR(__xludf.DUMMYFUNCTION("""COMPUTED_VALUE"""),"Maggie McClintock")</f>
        <v>Maggie McClintock</v>
      </c>
      <c r="G153" s="3" t="str">
        <f>IFERROR(__xludf.DUMMYFUNCTION("""COMPUTED_VALUE"""),"Maddie Bowles")</f>
        <v>Maddie Bowles</v>
      </c>
      <c r="W153" s="3" t="str">
        <f>IFERROR(__xludf.DUMMYFUNCTION("""COMPUTED_VALUE"""),"Avery Rogers")</f>
        <v>Avery Rogers</v>
      </c>
    </row>
    <row r="154">
      <c r="B154" s="3" t="str">
        <f>IFERROR(__xludf.DUMMYFUNCTION("""COMPUTED_VALUE"""),"Kaitlyn Niesent")</f>
        <v>Kaitlyn Niesent</v>
      </c>
      <c r="C154" s="3" t="str">
        <f>IFERROR(__xludf.DUMMYFUNCTION("""COMPUTED_VALUE"""),"Faith Sconing")</f>
        <v>Faith Sconing</v>
      </c>
      <c r="G154" s="3" t="str">
        <f>IFERROR(__xludf.DUMMYFUNCTION("""COMPUTED_VALUE"""),"Kat Vanbourgondien")</f>
        <v>Kat Vanbourgondien</v>
      </c>
      <c r="W154" s="3" t="str">
        <f>IFERROR(__xludf.DUMMYFUNCTION("""COMPUTED_VALUE"""),"Claire Moody")</f>
        <v>Claire Moody</v>
      </c>
    </row>
    <row r="155">
      <c r="B155" s="3" t="str">
        <f>IFERROR(__xludf.DUMMYFUNCTION("""COMPUTED_VALUE"""),"Meredith Flattum")</f>
        <v>Meredith Flattum</v>
      </c>
      <c r="C155" s="3" t="str">
        <f>IFERROR(__xludf.DUMMYFUNCTION("""COMPUTED_VALUE"""),"Cristal Perdomo")</f>
        <v>Cristal Perdomo</v>
      </c>
      <c r="W155" s="3" t="str">
        <f>IFERROR(__xludf.DUMMYFUNCTION("""COMPUTED_VALUE"""),"Maggie Shepard")</f>
        <v>Maggie Shepard</v>
      </c>
    </row>
    <row r="156">
      <c r="B156" s="3" t="str">
        <f>IFERROR(__xludf.DUMMYFUNCTION("""COMPUTED_VALUE"""),"Lena Steckler")</f>
        <v>Lena Steckler</v>
      </c>
      <c r="C156" s="3" t="str">
        <f>IFERROR(__xludf.DUMMYFUNCTION("""COMPUTED_VALUE"""),"Niamh Kastner")</f>
        <v>Niamh Kastner</v>
      </c>
      <c r="W156" s="3" t="str">
        <f>IFERROR(__xludf.DUMMYFUNCTION("""COMPUTED_VALUE"""),"Izzy Bradley")</f>
        <v>Izzy Bradley</v>
      </c>
    </row>
    <row r="157">
      <c r="B157" s="3" t="str">
        <f>IFERROR(__xludf.DUMMYFUNCTION("""COMPUTED_VALUE"""),"Anna Keniston")</f>
        <v>Anna Keniston</v>
      </c>
      <c r="C157" s="3" t="str">
        <f>IFERROR(__xludf.DUMMYFUNCTION("""COMPUTED_VALUE"""),"Kaitlyn Niesent")</f>
        <v>Kaitlyn Niesent</v>
      </c>
      <c r="W157" s="3" t="str">
        <f>IFERROR(__xludf.DUMMYFUNCTION("""COMPUTED_VALUE"""),"Caroline Storen")</f>
        <v>Caroline Storen</v>
      </c>
    </row>
    <row r="158">
      <c r="B158" s="3" t="str">
        <f>IFERROR(__xludf.DUMMYFUNCTION("""COMPUTED_VALUE"""),"Sarah Vencil")</f>
        <v>Sarah Vencil</v>
      </c>
      <c r="C158" s="3" t="str">
        <f>IFERROR(__xludf.DUMMYFUNCTION("""COMPUTED_VALUE"""),"Paige Chenoweth")</f>
        <v>Paige Chenoweth</v>
      </c>
      <c r="W158" s="3" t="str">
        <f>IFERROR(__xludf.DUMMYFUNCTION("""COMPUTED_VALUE"""),"Lauren Shoemaker")</f>
        <v>Lauren Shoemaker</v>
      </c>
    </row>
    <row r="159">
      <c r="B159" s="3" t="str">
        <f>IFERROR(__xludf.DUMMYFUNCTION("""COMPUTED_VALUE"""),"Adah MacDonald")</f>
        <v>Adah MacDonald</v>
      </c>
      <c r="C159" s="3" t="str">
        <f>IFERROR(__xludf.DUMMYFUNCTION("""COMPUTED_VALUE"""),"Ava Settle")</f>
        <v>Ava Settle</v>
      </c>
      <c r="W159" s="3" t="str">
        <f>IFERROR(__xludf.DUMMYFUNCTION("""COMPUTED_VALUE"""),"Sophie Knepper")</f>
        <v>Sophie Knepper</v>
      </c>
    </row>
    <row r="160">
      <c r="B160" s="3" t="str">
        <f>IFERROR(__xludf.DUMMYFUNCTION("""COMPUTED_VALUE"""),"Jackie Scheneman")</f>
        <v>Jackie Scheneman</v>
      </c>
      <c r="C160" s="3" t="str">
        <f>IFERROR(__xludf.DUMMYFUNCTION("""COMPUTED_VALUE"""),"Caroline Inskeep")</f>
        <v>Caroline Inskeep</v>
      </c>
      <c r="W160" s="3" t="str">
        <f>IFERROR(__xludf.DUMMYFUNCTION("""COMPUTED_VALUE"""),"Athena Vanyo")</f>
        <v>Athena Vanyo</v>
      </c>
    </row>
    <row r="161">
      <c r="B161" s="3" t="str">
        <f>IFERROR(__xludf.DUMMYFUNCTION("""COMPUTED_VALUE"""),"Erin Wojtkowski")</f>
        <v>Erin Wojtkowski</v>
      </c>
      <c r="C161" s="3" t="str">
        <f>IFERROR(__xludf.DUMMYFUNCTION("""COMPUTED_VALUE"""),"Erin Wojtkowski")</f>
        <v>Erin Wojtkowski</v>
      </c>
      <c r="W161" s="3" t="str">
        <f>IFERROR(__xludf.DUMMYFUNCTION("""COMPUTED_VALUE"""),"Sophie O'Donnell")</f>
        <v>Sophie O'Donnell</v>
      </c>
    </row>
    <row r="162">
      <c r="B162" s="3" t="str">
        <f>IFERROR(__xludf.DUMMYFUNCTION("""COMPUTED_VALUE"""),"Chloe Jepson")</f>
        <v>Chloe Jepson</v>
      </c>
      <c r="C162" s="3" t="str">
        <f>IFERROR(__xludf.DUMMYFUNCTION("""COMPUTED_VALUE"""),"Ginnie Hester")</f>
        <v>Ginnie Hester</v>
      </c>
      <c r="W162" s="3" t="str">
        <f>IFERROR(__xludf.DUMMYFUNCTION("""COMPUTED_VALUE"""),"Emma De Jong")</f>
        <v>Emma De Jong</v>
      </c>
    </row>
    <row r="163">
      <c r="B163" s="3" t="str">
        <f>IFERROR(__xludf.DUMMYFUNCTION("""COMPUTED_VALUE"""),"Corrinn Ford")</f>
        <v>Corrinn Ford</v>
      </c>
      <c r="C163" s="3" t="str">
        <f>IFERROR(__xludf.DUMMYFUNCTION("""COMPUTED_VALUE"""),"Bella Triolet")</f>
        <v>Bella Triolet</v>
      </c>
      <c r="W163" s="3" t="str">
        <f>IFERROR(__xludf.DUMMYFUNCTION("""COMPUTED_VALUE"""),"Kylie Johnson")</f>
        <v>Kylie Johnson</v>
      </c>
    </row>
    <row r="164">
      <c r="B164" s="3" t="str">
        <f>IFERROR(__xludf.DUMMYFUNCTION("""COMPUTED_VALUE"""),"Ainsley Juhlin")</f>
        <v>Ainsley Juhlin</v>
      </c>
      <c r="C164" s="3" t="str">
        <f>IFERROR(__xludf.DUMMYFUNCTION("""COMPUTED_VALUE"""),"Lena Steckler")</f>
        <v>Lena Steckler</v>
      </c>
      <c r="W164" s="3" t="str">
        <f>IFERROR(__xludf.DUMMYFUNCTION("""COMPUTED_VALUE"""),"Alison Harvey")</f>
        <v>Alison Harvey</v>
      </c>
    </row>
    <row r="165">
      <c r="B165" s="3" t="str">
        <f>IFERROR(__xludf.DUMMYFUNCTION("""COMPUTED_VALUE"""),"Caitlyn Verastek")</f>
        <v>Caitlyn Verastek</v>
      </c>
      <c r="C165" s="3" t="str">
        <f>IFERROR(__xludf.DUMMYFUNCTION("""COMPUTED_VALUE"""),"Carson Yoder")</f>
        <v>Carson Yoder</v>
      </c>
      <c r="W165" s="3" t="str">
        <f>IFERROR(__xludf.DUMMYFUNCTION("""COMPUTED_VALUE"""),"angela ritchie")</f>
        <v>angela ritchie</v>
      </c>
    </row>
    <row r="166">
      <c r="B166" s="3" t="str">
        <f>IFERROR(__xludf.DUMMYFUNCTION("""COMPUTED_VALUE"""),"Elizabeth Showers")</f>
        <v>Elizabeth Showers</v>
      </c>
      <c r="C166" s="3" t="str">
        <f>IFERROR(__xludf.DUMMYFUNCTION("""COMPUTED_VALUE"""),"Jordan MacIsaac")</f>
        <v>Jordan MacIsaac</v>
      </c>
      <c r="W166" s="3" t="str">
        <f>IFERROR(__xludf.DUMMYFUNCTION("""COMPUTED_VALUE"""),"Grey Davis")</f>
        <v>Grey Davis</v>
      </c>
    </row>
    <row r="167">
      <c r="B167" s="3" t="str">
        <f>IFERROR(__xludf.DUMMYFUNCTION("""COMPUTED_VALUE"""),"Bella Triolet")</f>
        <v>Bella Triolet</v>
      </c>
      <c r="C167" s="3" t="str">
        <f>IFERROR(__xludf.DUMMYFUNCTION("""COMPUTED_VALUE"""),"Allison Masterson")</f>
        <v>Allison Masterson</v>
      </c>
      <c r="W167" s="3" t="str">
        <f>IFERROR(__xludf.DUMMYFUNCTION("""COMPUTED_VALUE"""),"Zorey Sargent")</f>
        <v>Zorey Sargent</v>
      </c>
    </row>
    <row r="168">
      <c r="B168" s="3" t="str">
        <f>IFERROR(__xludf.DUMMYFUNCTION("""COMPUTED_VALUE"""),"Savanneh Salmon")</f>
        <v>Savanneh Salmon</v>
      </c>
      <c r="C168" s="3" t="str">
        <f>IFERROR(__xludf.DUMMYFUNCTION("""COMPUTED_VALUE"""),"Molly Rouzie")</f>
        <v>Molly Rouzie</v>
      </c>
      <c r="W168" s="3" t="str">
        <f>IFERROR(__xludf.DUMMYFUNCTION("""COMPUTED_VALUE"""),"Livvie Cohn")</f>
        <v>Livvie Cohn</v>
      </c>
    </row>
    <row r="169">
      <c r="B169" s="3" t="str">
        <f>IFERROR(__xludf.DUMMYFUNCTION("""COMPUTED_VALUE"""),"Ava Settle")</f>
        <v>Ava Settle</v>
      </c>
      <c r="C169" s="3" t="str">
        <f>IFERROR(__xludf.DUMMYFUNCTION("""COMPUTED_VALUE"""),"Isabelle Bauer")</f>
        <v>Isabelle Bauer</v>
      </c>
      <c r="W169" s="3" t="str">
        <f>IFERROR(__xludf.DUMMYFUNCTION("""COMPUTED_VALUE"""),"Jillian Haig")</f>
        <v>Jillian Haig</v>
      </c>
    </row>
    <row r="170">
      <c r="B170" s="3" t="str">
        <f>IFERROR(__xludf.DUMMYFUNCTION("""COMPUTED_VALUE"""),"Paige Rooks")</f>
        <v>Paige Rooks</v>
      </c>
      <c r="C170" s="3" t="str">
        <f>IFERROR(__xludf.DUMMYFUNCTION("""COMPUTED_VALUE"""),"Maddie Bowles")</f>
        <v>Maddie Bowles</v>
      </c>
      <c r="W170" s="3" t="str">
        <f>IFERROR(__xludf.DUMMYFUNCTION("""COMPUTED_VALUE"""),"Rylee Woelk")</f>
        <v>Rylee Woelk</v>
      </c>
    </row>
    <row r="171">
      <c r="B171" s="3" t="str">
        <f>IFERROR(__xludf.DUMMYFUNCTION("""COMPUTED_VALUE"""),"Grace Morgan")</f>
        <v>Grace Morgan</v>
      </c>
      <c r="C171" s="3" t="str">
        <f>IFERROR(__xludf.DUMMYFUNCTION("""COMPUTED_VALUE"""),"Cara McDuffie")</f>
        <v>Cara McDuffie</v>
      </c>
      <c r="W171" s="3" t="str">
        <f>IFERROR(__xludf.DUMMYFUNCTION("""COMPUTED_VALUE"""),"Julia May")</f>
        <v>Julia May</v>
      </c>
    </row>
    <row r="172">
      <c r="B172" s="3" t="str">
        <f>IFERROR(__xludf.DUMMYFUNCTION("""COMPUTED_VALUE"""),"Cara McDuffie")</f>
        <v>Cara McDuffie</v>
      </c>
      <c r="C172" s="3" t="str">
        <f>IFERROR(__xludf.DUMMYFUNCTION("""COMPUTED_VALUE"""),"Taylor Walker")</f>
        <v>Taylor Walker</v>
      </c>
      <c r="W172" s="3" t="str">
        <f>IFERROR(__xludf.DUMMYFUNCTION("""COMPUTED_VALUE"""),"Lauren Meyer")</f>
        <v>Lauren Meyer</v>
      </c>
    </row>
    <row r="173">
      <c r="B173" s="3" t="str">
        <f>IFERROR(__xludf.DUMMYFUNCTION("""COMPUTED_VALUE"""),"Emily Joseph")</f>
        <v>Emily Joseph</v>
      </c>
      <c r="C173" s="3" t="str">
        <f>IFERROR(__xludf.DUMMYFUNCTION("""COMPUTED_VALUE"""),"Caroline Gray")</f>
        <v>Caroline Gray</v>
      </c>
      <c r="W173" s="3" t="str">
        <f>IFERROR(__xludf.DUMMYFUNCTION("""COMPUTED_VALUE"""),"Ashley Dyer")</f>
        <v>Ashley Dyer</v>
      </c>
    </row>
    <row r="174">
      <c r="B174" s="3" t="str">
        <f>IFERROR(__xludf.DUMMYFUNCTION("""COMPUTED_VALUE"""),"Caroline Inskeep")</f>
        <v>Caroline Inskeep</v>
      </c>
      <c r="C174" s="3" t="str">
        <f>IFERROR(__xludf.DUMMYFUNCTION("""COMPUTED_VALUE"""),"Charlotte Denecke")</f>
        <v>Charlotte Denecke</v>
      </c>
      <c r="W174" s="3" t="str">
        <f>IFERROR(__xludf.DUMMYFUNCTION("""COMPUTED_VALUE"""),"Shannah Dillman")</f>
        <v>Shannah Dillman</v>
      </c>
    </row>
    <row r="175">
      <c r="B175" s="3" t="str">
        <f>IFERROR(__xludf.DUMMYFUNCTION("""COMPUTED_VALUE"""),"Leah Ashby")</f>
        <v>Leah Ashby</v>
      </c>
      <c r="W175" s="3" t="str">
        <f>IFERROR(__xludf.DUMMYFUNCTION("""COMPUTED_VALUE"""),"Shea Buirski")</f>
        <v>Shea Buirski</v>
      </c>
    </row>
    <row r="176">
      <c r="B176" s="3" t="str">
        <f>IFERROR(__xludf.DUMMYFUNCTION("""COMPUTED_VALUE"""),"Katelyn Vieni")</f>
        <v>Katelyn Vieni</v>
      </c>
      <c r="W176" s="3" t="str">
        <f>IFERROR(__xludf.DUMMYFUNCTION("""COMPUTED_VALUE"""),"Chelie Plaster")</f>
        <v>Chelie Plaster</v>
      </c>
    </row>
    <row r="177">
      <c r="B177" s="3" t="str">
        <f>IFERROR(__xludf.DUMMYFUNCTION("""COMPUTED_VALUE"""),"Caroline Shockley")</f>
        <v>Caroline Shockley</v>
      </c>
      <c r="W177" s="3" t="str">
        <f>IFERROR(__xludf.DUMMYFUNCTION("""COMPUTED_VALUE"""),"Skylar Dacey")</f>
        <v>Skylar Dacey</v>
      </c>
    </row>
    <row r="178">
      <c r="B178" s="3" t="str">
        <f>IFERROR(__xludf.DUMMYFUNCTION("""COMPUTED_VALUE"""),"Julianna Jackson")</f>
        <v>Julianna Jackson</v>
      </c>
      <c r="W178" s="3" t="str">
        <f>IFERROR(__xludf.DUMMYFUNCTION("""COMPUTED_VALUE"""),"Julia Oliver")</f>
        <v>Julia Oliver</v>
      </c>
    </row>
    <row r="179">
      <c r="B179" s="3" t="str">
        <f>IFERROR(__xludf.DUMMYFUNCTION("""COMPUTED_VALUE"""),"Madelyn Foreman")</f>
        <v>Madelyn Foreman</v>
      </c>
      <c r="W179" s="3" t="str">
        <f>IFERROR(__xludf.DUMMYFUNCTION("""COMPUTED_VALUE"""),"Elyse Cram")</f>
        <v>Elyse Cram</v>
      </c>
    </row>
    <row r="180">
      <c r="B180" s="3" t="str">
        <f>IFERROR(__xludf.DUMMYFUNCTION("""COMPUTED_VALUE"""),"Taylor Walker")</f>
        <v>Taylor Walker</v>
      </c>
      <c r="W180" s="3" t="str">
        <f>IFERROR(__xludf.DUMMYFUNCTION("""COMPUTED_VALUE"""),"Jenna Lancey")</f>
        <v>Jenna Lancey</v>
      </c>
    </row>
    <row r="181">
      <c r="B181" s="3" t="str">
        <f>IFERROR(__xludf.DUMMYFUNCTION("""COMPUTED_VALUE"""),"Charlotte Denecke")</f>
        <v>Charlotte Denecke</v>
      </c>
      <c r="W181" s="3" t="str">
        <f>IFERROR(__xludf.DUMMYFUNCTION("""COMPUTED_VALUE"""),"Alexa Heiry")</f>
        <v>Alexa Heiry</v>
      </c>
    </row>
    <row r="182">
      <c r="W182" s="3" t="str">
        <f>IFERROR(__xludf.DUMMYFUNCTION("""COMPUTED_VALUE"""),"Cristal Perdomo")</f>
        <v>Cristal Perdomo</v>
      </c>
    </row>
    <row r="183">
      <c r="W183" s="3" t="str">
        <f>IFERROR(__xludf.DUMMYFUNCTION("""COMPUTED_VALUE"""),"Niamh Kastner")</f>
        <v>Niamh Kastner</v>
      </c>
    </row>
    <row r="184">
      <c r="W184" s="3" t="str">
        <f>IFERROR(__xludf.DUMMYFUNCTION("""COMPUTED_VALUE"""),"Ginnie Hester")</f>
        <v>Ginnie Hester</v>
      </c>
    </row>
    <row r="185">
      <c r="W185" s="3" t="str">
        <f>IFERROR(__xludf.DUMMYFUNCTION("""COMPUTED_VALUE"""),"Molly Rouzie")</f>
        <v>Molly Rouzie</v>
      </c>
    </row>
    <row r="186">
      <c r="W186" s="3" t="str">
        <f>IFERROR(__xludf.DUMMYFUNCTION("""COMPUTED_VALUE"""),"Maddie Bowles")</f>
        <v>Maddie Bowles</v>
      </c>
    </row>
    <row r="187">
      <c r="W187" s="3" t="str">
        <f>IFERROR(__xludf.DUMMYFUNCTION("""COMPUTED_VALUE"""),"Caroline Gray")</f>
        <v>Caroline Gray</v>
      </c>
    </row>
    <row r="188">
      <c r="W188" s="3" t="str">
        <f>IFERROR(__xludf.DUMMYFUNCTION("""COMPUTED_VALUE"""),"Morgan Miller")</f>
        <v>Morgan Miller</v>
      </c>
    </row>
    <row r="189">
      <c r="W189" s="3" t="str">
        <f>IFERROR(__xludf.DUMMYFUNCTION("""COMPUTED_VALUE"""),"Abby Reardon")</f>
        <v>Abby Reardon</v>
      </c>
    </row>
    <row r="190">
      <c r="W190" s="3" t="str">
        <f>IFERROR(__xludf.DUMMYFUNCTION("""COMPUTED_VALUE"""),"Laura Gaffney")</f>
        <v>Laura Gaffney</v>
      </c>
    </row>
    <row r="191">
      <c r="W191" s="3" t="str">
        <f>IFERROR(__xludf.DUMMYFUNCTION("""COMPUTED_VALUE"""),"Charlie Burt")</f>
        <v>Charlie Burt</v>
      </c>
    </row>
    <row r="192">
      <c r="W192" s="3" t="str">
        <f>IFERROR(__xludf.DUMMYFUNCTION("""COMPUTED_VALUE"""),"Hannah Garner")</f>
        <v>Hannah Garner</v>
      </c>
    </row>
    <row r="193">
      <c r="W193" s="3" t="str">
        <f>IFERROR(__xludf.DUMMYFUNCTION("""COMPUTED_VALUE"""),"Erin Langenburg")</f>
        <v>Erin Langenburg</v>
      </c>
    </row>
    <row r="194">
      <c r="W194" s="3" t="str">
        <f>IFERROR(__xludf.DUMMYFUNCTION("""COMPUTED_VALUE"""),"Ellie Eckert")</f>
        <v>Ellie Eckert</v>
      </c>
    </row>
    <row r="195">
      <c r="W195" s="3" t="str">
        <f>IFERROR(__xludf.DUMMYFUNCTION("""COMPUTED_VALUE"""),"Alexa Owen")</f>
        <v>Alexa Owen</v>
      </c>
    </row>
    <row r="196">
      <c r="W196" s="3" t="str">
        <f>IFERROR(__xludf.DUMMYFUNCTION("""COMPUTED_VALUE"""),"Allison Langenburg")</f>
        <v>Allison Langenburg</v>
      </c>
    </row>
    <row r="197">
      <c r="W197" s="3" t="str">
        <f>IFERROR(__xludf.DUMMYFUNCTION("""COMPUTED_VALUE"""),"Maddie Wallin")</f>
        <v>Maddie Wallin</v>
      </c>
    </row>
    <row r="198">
      <c r="W198" s="3" t="str">
        <f>IFERROR(__xludf.DUMMYFUNCTION("""COMPUTED_VALUE"""),"Brieanna Romney")</f>
        <v>Brieanna Romney</v>
      </c>
    </row>
    <row r="199">
      <c r="W199" s="3" t="str">
        <f>IFERROR(__xludf.DUMMYFUNCTION("""COMPUTED_VALUE"""),"Abby Russell")</f>
        <v>Abby Russell</v>
      </c>
    </row>
    <row r="200">
      <c r="W200" s="3" t="str">
        <f>IFERROR(__xludf.DUMMYFUNCTION("""COMPUTED_VALUE"""),"Megan Gaffney")</f>
        <v>Megan Gaffney</v>
      </c>
    </row>
    <row r="201">
      <c r="W201" s="3" t="str">
        <f>IFERROR(__xludf.DUMMYFUNCTION("""COMPUTED_VALUE"""),"Sanna Peterson")</f>
        <v>Sanna Peterson</v>
      </c>
    </row>
    <row r="202">
      <c r="W202" s="3" t="str">
        <f>IFERROR(__xludf.DUMMYFUNCTION("""COMPUTED_VALUE"""),"Maggie Dominick")</f>
        <v>Maggie Dominick</v>
      </c>
    </row>
    <row r="203">
      <c r="W203" s="3" t="str">
        <f>IFERROR(__xludf.DUMMYFUNCTION("""COMPUTED_VALUE"""),"Melina Christou")</f>
        <v>Melina Christou</v>
      </c>
    </row>
    <row r="204">
      <c r="W204" s="3" t="str">
        <f>IFERROR(__xludf.DUMMYFUNCTION("""COMPUTED_VALUE"""),"Meagan Baxley")</f>
        <v>Meagan Baxley</v>
      </c>
    </row>
    <row r="205">
      <c r="W205" s="3" t="str">
        <f>IFERROR(__xludf.DUMMYFUNCTION("""COMPUTED_VALUE"""),"Bella Kimbel")</f>
        <v>Bella Kimbel</v>
      </c>
    </row>
    <row r="206">
      <c r="W206" s="3" t="str">
        <f>IFERROR(__xludf.DUMMYFUNCTION("""COMPUTED_VALUE"""),"Gracie Mueller")</f>
        <v>Gracie Mueller</v>
      </c>
    </row>
    <row r="207">
      <c r="W207" s="3" t="str">
        <f>IFERROR(__xludf.DUMMYFUNCTION("""COMPUTED_VALUE"""),"Anne-Elaine Tiller")</f>
        <v>Anne-Elaine Tiller</v>
      </c>
    </row>
    <row r="208">
      <c r="W208" s="3" t="str">
        <f>IFERROR(__xludf.DUMMYFUNCTION("""COMPUTED_VALUE"""),"Tillie Lewis")</f>
        <v>Tillie Lewis</v>
      </c>
    </row>
    <row r="209">
      <c r="W209" s="3" t="str">
        <f>IFERROR(__xludf.DUMMYFUNCTION("""COMPUTED_VALUE"""),"Pearl Kluger")</f>
        <v>Pearl Kluger</v>
      </c>
    </row>
    <row r="210">
      <c r="W210" s="3" t="str">
        <f>IFERROR(__xludf.DUMMYFUNCTION("""COMPUTED_VALUE"""),"Rose McMullen")</f>
        <v>Rose McMullen</v>
      </c>
    </row>
    <row r="211">
      <c r="W211" s="3" t="str">
        <f>IFERROR(__xludf.DUMMYFUNCTION("""COMPUTED_VALUE"""),"Kate Steenkamer")</f>
        <v>Kate Steenkamer</v>
      </c>
    </row>
    <row r="212">
      <c r="W212" s="3" t="str">
        <f>IFERROR(__xludf.DUMMYFUNCTION("""COMPUTED_VALUE"""),"Kennedy Darensbourg")</f>
        <v>Kennedy Darensbourg</v>
      </c>
    </row>
    <row r="213">
      <c r="W213" s="3" t="str">
        <f>IFERROR(__xludf.DUMMYFUNCTION("""COMPUTED_VALUE"""),"Harper Sensiba")</f>
        <v>Harper Sensiba</v>
      </c>
    </row>
    <row r="214">
      <c r="W214" s="3" t="str">
        <f>IFERROR(__xludf.DUMMYFUNCTION("""COMPUTED_VALUE"""),"Maddie Spangler")</f>
        <v>Maddie Spangler</v>
      </c>
    </row>
    <row r="215">
      <c r="W215" s="3" t="str">
        <f>IFERROR(__xludf.DUMMYFUNCTION("""COMPUTED_VALUE"""),"Maddie McCay")</f>
        <v>Maddie McCay</v>
      </c>
    </row>
    <row r="216">
      <c r="W216" s="3" t="str">
        <f>IFERROR(__xludf.DUMMYFUNCTION("""COMPUTED_VALUE"""),"Grace Sheble")</f>
        <v>Grace Sheble</v>
      </c>
    </row>
    <row r="217">
      <c r="W217" s="3" t="str">
        <f>IFERROR(__xludf.DUMMYFUNCTION("""COMPUTED_VALUE"""),"Caroline Sheble")</f>
        <v>Caroline Sheble</v>
      </c>
    </row>
    <row r="218">
      <c r="W218" s="3" t="str">
        <f>IFERROR(__xludf.DUMMYFUNCTION("""COMPUTED_VALUE"""),"Annabelle Young")</f>
        <v>Annabelle Young</v>
      </c>
    </row>
    <row r="219">
      <c r="W219" s="3" t="str">
        <f>IFERROR(__xludf.DUMMYFUNCTION("""COMPUTED_VALUE"""),"Lizzie Danforth")</f>
        <v>Lizzie Danforth</v>
      </c>
    </row>
    <row r="220">
      <c r="W220" s="3" t="str">
        <f>IFERROR(__xludf.DUMMYFUNCTION("""COMPUTED_VALUE"""),"Peyton Proffitt")</f>
        <v>Peyton Proffitt</v>
      </c>
    </row>
    <row r="221">
      <c r="W221" s="3" t="str">
        <f>IFERROR(__xludf.DUMMYFUNCTION("""COMPUTED_VALUE"""),"Kathryn Burrows")</f>
        <v>Kathryn Burrows</v>
      </c>
    </row>
    <row r="222">
      <c r="W222" s="3" t="str">
        <f>IFERROR(__xludf.DUMMYFUNCTION("""COMPUTED_VALUE"""),"Michaela Sizemore")</f>
        <v>Michaela Sizemore</v>
      </c>
    </row>
    <row r="223">
      <c r="W223" s="3" t="str">
        <f>IFERROR(__xludf.DUMMYFUNCTION("""COMPUTED_VALUE"""),"Julie Anderson")</f>
        <v>Julie Anderson</v>
      </c>
    </row>
    <row r="224">
      <c r="W224" s="3" t="str">
        <f>IFERROR(__xludf.DUMMYFUNCTION("""COMPUTED_VALUE"""),"Kayla Sprincis")</f>
        <v>Kayla Sprincis</v>
      </c>
    </row>
    <row r="225">
      <c r="W225" s="3" t="str">
        <f>IFERROR(__xludf.DUMMYFUNCTION("""COMPUTED_VALUE"""),"Sydney McCallie")</f>
        <v>Sydney McCallie</v>
      </c>
    </row>
    <row r="226">
      <c r="W226" s="3" t="str">
        <f>IFERROR(__xludf.DUMMYFUNCTION("""COMPUTED_VALUE"""),"Summer Sampson")</f>
        <v>Summer Sampson</v>
      </c>
    </row>
    <row r="227">
      <c r="W227" s="3" t="str">
        <f>IFERROR(__xludf.DUMMYFUNCTION("""COMPUTED_VALUE"""),"Molly Shand")</f>
        <v>Molly Shand</v>
      </c>
    </row>
    <row r="228">
      <c r="W228" s="3" t="str">
        <f>IFERROR(__xludf.DUMMYFUNCTION("""COMPUTED_VALUE"""),"Maialen Sudupe")</f>
        <v>Maialen Sudupe</v>
      </c>
    </row>
    <row r="229">
      <c r="W229" s="3" t="str">
        <f>IFERROR(__xludf.DUMMYFUNCTION("""COMPUTED_VALUE"""),"Britney Denny")</f>
        <v>Britney Denny</v>
      </c>
    </row>
    <row r="230">
      <c r="W230" s="3" t="str">
        <f>IFERROR(__xludf.DUMMYFUNCTION("""COMPUTED_VALUE"""),"Kassy McCoy")</f>
        <v>Kassy McCoy</v>
      </c>
    </row>
    <row r="231">
      <c r="W231" s="3" t="str">
        <f>IFERROR(__xludf.DUMMYFUNCTION("""COMPUTED_VALUE"""),"Peyton Geiszler")</f>
        <v>Peyton Geiszler</v>
      </c>
    </row>
    <row r="232">
      <c r="W232" s="3" t="str">
        <f>IFERROR(__xludf.DUMMYFUNCTION("""COMPUTED_VALUE"""),"Trinity Luxeder")</f>
        <v>Trinity Luxeder</v>
      </c>
    </row>
    <row r="233">
      <c r="W233" s="3" t="str">
        <f>IFERROR(__xludf.DUMMYFUNCTION("""COMPUTED_VALUE"""),"Beth Ann Cortright")</f>
        <v>Beth Ann Cortright</v>
      </c>
    </row>
    <row r="234">
      <c r="W234" s="3" t="str">
        <f>IFERROR(__xludf.DUMMYFUNCTION("""COMPUTED_VALUE"""),"Carrington Bowles")</f>
        <v>Carrington Bowles</v>
      </c>
    </row>
    <row r="235">
      <c r="W235" s="3" t="str">
        <f>IFERROR(__xludf.DUMMYFUNCTION("""COMPUTED_VALUE"""),"Alyssa Reilly")</f>
        <v>Alyssa Reilly</v>
      </c>
    </row>
    <row r="236">
      <c r="W236" s="3" t="str">
        <f>IFERROR(__xludf.DUMMYFUNCTION("""COMPUTED_VALUE"""),"Kayleigh Jumper")</f>
        <v>Kayleigh Jumper</v>
      </c>
    </row>
    <row r="237">
      <c r="W237" s="3" t="str">
        <f>IFERROR(__xludf.DUMMYFUNCTION("""COMPUTED_VALUE"""),"Maddie Andrews")</f>
        <v>Maddie Andrews</v>
      </c>
    </row>
    <row r="238">
      <c r="W238" s="3" t="str">
        <f>IFERROR(__xludf.DUMMYFUNCTION("""COMPUTED_VALUE"""),"Laney VanLenten")</f>
        <v>Laney VanLenten</v>
      </c>
    </row>
    <row r="239">
      <c r="W239" s="3" t="str">
        <f>IFERROR(__xludf.DUMMYFUNCTION("""COMPUTED_VALUE"""),"Calli McEvoy")</f>
        <v>Calli McEvoy</v>
      </c>
    </row>
    <row r="240">
      <c r="W240" s="3" t="str">
        <f>IFERROR(__xludf.DUMMYFUNCTION("""COMPUTED_VALUE"""),"Olivia Hutton")</f>
        <v>Olivia Hutton</v>
      </c>
    </row>
    <row r="241">
      <c r="W241" s="3" t="str">
        <f>IFERROR(__xludf.DUMMYFUNCTION("""COMPUTED_VALUE"""),"Jenna Kapp")</f>
        <v>Jenna Kapp</v>
      </c>
    </row>
    <row r="242">
      <c r="W242" s="3" t="str">
        <f>IFERROR(__xludf.DUMMYFUNCTION("""COMPUTED_VALUE"""),"Lauren Prescott")</f>
        <v>Lauren Prescott</v>
      </c>
    </row>
    <row r="243">
      <c r="W243" s="3" t="str">
        <f>IFERROR(__xludf.DUMMYFUNCTION("""COMPUTED_VALUE"""),"Carter Wasser")</f>
        <v>Carter Wasser</v>
      </c>
    </row>
    <row r="244">
      <c r="W244" s="3" t="str">
        <f>IFERROR(__xludf.DUMMYFUNCTION("""COMPUTED_VALUE"""),"Cassidy Doyle")</f>
        <v>Cassidy Doyle</v>
      </c>
    </row>
    <row r="245">
      <c r="W245" s="3" t="str">
        <f>IFERROR(__xludf.DUMMYFUNCTION("""COMPUTED_VALUE"""),"Ella Tarabocchia")</f>
        <v>Ella Tarabocchia</v>
      </c>
    </row>
    <row r="246">
      <c r="W246" s="3" t="str">
        <f>IFERROR(__xludf.DUMMYFUNCTION("""COMPUTED_VALUE"""),"Amelia Macholz")</f>
        <v>Amelia Macholz</v>
      </c>
    </row>
    <row r="247">
      <c r="W247" s="3" t="str">
        <f>IFERROR(__xludf.DUMMYFUNCTION("""COMPUTED_VALUE"""),"Becca Wigboldy")</f>
        <v>Becca Wigboldy</v>
      </c>
    </row>
    <row r="248">
      <c r="W248" s="3" t="str">
        <f>IFERROR(__xludf.DUMMYFUNCTION("""COMPUTED_VALUE"""),"Isabella Caballero")</f>
        <v>Isabella Caballero</v>
      </c>
    </row>
    <row r="249">
      <c r="W249" s="3" t="str">
        <f>IFERROR(__xludf.DUMMYFUNCTION("""COMPUTED_VALUE"""),"Abby Reilly")</f>
        <v>Abby Reilly</v>
      </c>
    </row>
    <row r="250">
      <c r="W250" s="3" t="str">
        <f>IFERROR(__xludf.DUMMYFUNCTION("""COMPUTED_VALUE"""),"Claire Rude")</f>
        <v>Claire Rude</v>
      </c>
    </row>
    <row r="251">
      <c r="W251" s="3" t="str">
        <f>IFERROR(__xludf.DUMMYFUNCTION("""COMPUTED_VALUE"""),"Dagny Hudgins")</f>
        <v>Dagny Hudgins</v>
      </c>
    </row>
    <row r="252">
      <c r="W252" s="3" t="str">
        <f>IFERROR(__xludf.DUMMYFUNCTION("""COMPUTED_VALUE"""),"Tessa Campbell")</f>
        <v>Tessa Campbell</v>
      </c>
    </row>
    <row r="253">
      <c r="W253" s="3" t="str">
        <f>IFERROR(__xludf.DUMMYFUNCTION("""COMPUTED_VALUE"""),"Julia Springer")</f>
        <v>Julia Springer</v>
      </c>
    </row>
    <row r="254">
      <c r="W254" s="3" t="str">
        <f>IFERROR(__xludf.DUMMYFUNCTION("""COMPUTED_VALUE"""),"Mia Tan")</f>
        <v>Mia Tan</v>
      </c>
    </row>
    <row r="255">
      <c r="W255" s="3" t="str">
        <f>IFERROR(__xludf.DUMMYFUNCTION("""COMPUTED_VALUE"""),"Lauren Underwood")</f>
        <v>Lauren Underwood</v>
      </c>
    </row>
    <row r="256">
      <c r="W256" s="3" t="str">
        <f>IFERROR(__xludf.DUMMYFUNCTION("""COMPUTED_VALUE"""),"Brooke-Lynn Clark")</f>
        <v>Brooke-Lynn Clark</v>
      </c>
    </row>
    <row r="257">
      <c r="W257" s="3" t="str">
        <f>IFERROR(__xludf.DUMMYFUNCTION("""COMPUTED_VALUE"""),"Gabby Thompson")</f>
        <v>Gabby Thompson</v>
      </c>
    </row>
    <row r="258">
      <c r="W258" s="3" t="str">
        <f>IFERROR(__xludf.DUMMYFUNCTION("""COMPUTED_VALUE"""),"Cate Gleim")</f>
        <v>Cate Gleim</v>
      </c>
    </row>
    <row r="259">
      <c r="W259" s="3" t="str">
        <f>IFERROR(__xludf.DUMMYFUNCTION("""COMPUTED_VALUE"""),"Elizabeth LaPrade")</f>
        <v>Elizabeth LaPrade</v>
      </c>
    </row>
    <row r="260">
      <c r="W260" s="3" t="str">
        <f>IFERROR(__xludf.DUMMYFUNCTION("""COMPUTED_VALUE"""),"Caroline Turner")</f>
        <v>Caroline Turner</v>
      </c>
    </row>
    <row r="261">
      <c r="W261" s="3" t="str">
        <f>IFERROR(__xludf.DUMMYFUNCTION("""COMPUTED_VALUE"""),"Charlotte Wishnack")</f>
        <v>Charlotte Wishnack</v>
      </c>
    </row>
    <row r="262">
      <c r="W262" s="3" t="str">
        <f>IFERROR(__xludf.DUMMYFUNCTION("""COMPUTED_VALUE"""),"Kristina Zachary")</f>
        <v>Kristina Zachary</v>
      </c>
    </row>
    <row r="263">
      <c r="W263" s="3" t="str">
        <f>IFERROR(__xludf.DUMMYFUNCTION("""COMPUTED_VALUE"""),"Anne Bowles")</f>
        <v>Anne Bowles</v>
      </c>
    </row>
    <row r="264">
      <c r="W264" s="3" t="str">
        <f>IFERROR(__xludf.DUMMYFUNCTION("""COMPUTED_VALUE"""),"Brooke Simila")</f>
        <v>Brooke Simila</v>
      </c>
    </row>
    <row r="265">
      <c r="W265" s="3" t="str">
        <f>IFERROR(__xludf.DUMMYFUNCTION("""COMPUTED_VALUE"""),"Tatum Robinson")</f>
        <v>Tatum Robinson</v>
      </c>
    </row>
    <row r="266">
      <c r="W266" s="3" t="str">
        <f>IFERROR(__xludf.DUMMYFUNCTION("""COMPUTED_VALUE"""),"Emma Fuhs")</f>
        <v>Emma Fuhs</v>
      </c>
    </row>
    <row r="267">
      <c r="W267" s="3" t="str">
        <f>IFERROR(__xludf.DUMMYFUNCTION("""COMPUTED_VALUE"""),"Lexi Osleger")</f>
        <v>Lexi Osleger</v>
      </c>
    </row>
    <row r="268">
      <c r="W268" s="3" t="str">
        <f>IFERROR(__xludf.DUMMYFUNCTION("""COMPUTED_VALUE"""),"Caroline Marotta")</f>
        <v>Caroline Marotta</v>
      </c>
    </row>
    <row r="269">
      <c r="W269" s="3" t="str">
        <f>IFERROR(__xludf.DUMMYFUNCTION("""COMPUTED_VALUE"""),"Isabel Born")</f>
        <v>Isabel Born</v>
      </c>
    </row>
    <row r="270">
      <c r="W270" s="3" t="str">
        <f>IFERROR(__xludf.DUMMYFUNCTION("""COMPUTED_VALUE"""),"Lexi Nussbaum")</f>
        <v>Lexi Nussbaum</v>
      </c>
    </row>
    <row r="271">
      <c r="W271" s="3" t="str">
        <f>IFERROR(__xludf.DUMMYFUNCTION("""COMPUTED_VALUE"""),"Mia Constantin")</f>
        <v>Mia Constantin</v>
      </c>
    </row>
    <row r="272">
      <c r="W272" s="3" t="str">
        <f>IFERROR(__xludf.DUMMYFUNCTION("""COMPUTED_VALUE"""),"Sara Lindsay")</f>
        <v>Sara Lindsay</v>
      </c>
    </row>
    <row r="273">
      <c r="W273" s="3" t="str">
        <f>IFERROR(__xludf.DUMMYFUNCTION("""COMPUTED_VALUE"""),"Claire Hebertson")</f>
        <v>Claire Hebertson</v>
      </c>
    </row>
    <row r="274">
      <c r="W274" s="3" t="str">
        <f>IFERROR(__xludf.DUMMYFUNCTION("""COMPUTED_VALUE"""),"Katelyn Lough")</f>
        <v>Katelyn Lough</v>
      </c>
    </row>
    <row r="275">
      <c r="W275" s="3" t="str">
        <f>IFERROR(__xludf.DUMMYFUNCTION("""COMPUTED_VALUE"""),"Sarah Born")</f>
        <v>Sarah Born</v>
      </c>
    </row>
    <row r="276">
      <c r="W276" s="3" t="str">
        <f>IFERROR(__xludf.DUMMYFUNCTION("""COMPUTED_VALUE"""),"Alyssa Teller")</f>
        <v>Alyssa Teller</v>
      </c>
    </row>
    <row r="277">
      <c r="W277" s="3" t="str">
        <f>IFERROR(__xludf.DUMMYFUNCTION("""COMPUTED_VALUE"""),"Claire Evko")</f>
        <v>Claire Evko</v>
      </c>
    </row>
    <row r="278">
      <c r="W278" s="3" t="str">
        <f>IFERROR(__xludf.DUMMYFUNCTION("""COMPUTED_VALUE"""),"Ally Kiger")</f>
        <v>Ally Kiger</v>
      </c>
    </row>
    <row r="279">
      <c r="W279" s="3" t="str">
        <f>IFERROR(__xludf.DUMMYFUNCTION("""COMPUTED_VALUE"""),"Sophie Gere")</f>
        <v>Sophie Gere</v>
      </c>
    </row>
    <row r="280">
      <c r="W280" s="3" t="str">
        <f>IFERROR(__xludf.DUMMYFUNCTION("""COMPUTED_VALUE"""),"Andi Fox")</f>
        <v>Andi Fox</v>
      </c>
    </row>
    <row r="281">
      <c r="W281" s="3" t="str">
        <f>IFERROR(__xludf.DUMMYFUNCTION("""COMPUTED_VALUE"""),"Jane Fomuso")</f>
        <v>Jane Fomuso</v>
      </c>
    </row>
    <row r="282">
      <c r="W282" s="3" t="str">
        <f>IFERROR(__xludf.DUMMYFUNCTION("""COMPUTED_VALUE"""),"Juliana Bleecker")</f>
        <v>Juliana Bleecker</v>
      </c>
    </row>
    <row r="283">
      <c r="W283" s="3" t="str">
        <f>IFERROR(__xludf.DUMMYFUNCTION("""COMPUTED_VALUE"""),"Quinn Keatley")</f>
        <v>Quinn Keatley</v>
      </c>
    </row>
    <row r="284">
      <c r="W284" s="3" t="str">
        <f>IFERROR(__xludf.DUMMYFUNCTION("""COMPUTED_VALUE"""),"Casey Phillips")</f>
        <v>Casey Phillips</v>
      </c>
    </row>
    <row r="285">
      <c r="W285" s="3" t="str">
        <f>IFERROR(__xludf.DUMMYFUNCTION("""COMPUTED_VALUE"""),"Bridget Wilson")</f>
        <v>Bridget Wilson</v>
      </c>
    </row>
    <row r="286">
      <c r="W286" s="3" t="str">
        <f>IFERROR(__xludf.DUMMYFUNCTION("""COMPUTED_VALUE"""),"Riley Johnson")</f>
        <v>Riley Johnson</v>
      </c>
    </row>
    <row r="287">
      <c r="W287" s="3" t="str">
        <f>IFERROR(__xludf.DUMMYFUNCTION("""COMPUTED_VALUE"""),"Stephanie Miller")</f>
        <v>Stephanie Miller</v>
      </c>
    </row>
    <row r="288">
      <c r="W288" s="3" t="str">
        <f>IFERROR(__xludf.DUMMYFUNCTION("""COMPUTED_VALUE"""),"Morgan Bowman")</f>
        <v>Morgan Bowman</v>
      </c>
    </row>
    <row r="289">
      <c r="W289" s="3" t="str">
        <f>IFERROR(__xludf.DUMMYFUNCTION("""COMPUTED_VALUE"""),"Jordan Mumford")</f>
        <v>Jordan Mumford</v>
      </c>
    </row>
    <row r="290">
      <c r="W290" s="3" t="str">
        <f>IFERROR(__xludf.DUMMYFUNCTION("""COMPUTED_VALUE"""),"Natalia Perdomo")</f>
        <v>Natalia Perdomo</v>
      </c>
    </row>
    <row r="291">
      <c r="W291" s="3" t="str">
        <f>IFERROR(__xludf.DUMMYFUNCTION("""COMPUTED_VALUE"""),"Sydnee Blackburn")</f>
        <v>Sydnee Blackburn</v>
      </c>
    </row>
    <row r="292">
      <c r="W292" s="3" t="str">
        <f>IFERROR(__xludf.DUMMYFUNCTION("""COMPUTED_VALUE"""),"Analiese Hargreaves")</f>
        <v>Analiese Hargreaves</v>
      </c>
    </row>
    <row r="293">
      <c r="W293" s="3" t="str">
        <f>IFERROR(__xludf.DUMMYFUNCTION("""COMPUTED_VALUE"""),"Morgan Graves")</f>
        <v>Morgan Graves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7" t="s">
        <v>30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W2" s="7" t="s">
        <v>31</v>
      </c>
    </row>
    <row r="3">
      <c r="A3" s="3" t="str">
        <f t="array" ref="A3:A1000">'Mens Lineup'!W3:W1000</f>
        <v>Cason Wilburn</v>
      </c>
      <c r="B3" s="3" t="str">
        <f>IF($A3="","",IF(countif('Mens Lineup'!B$3:B1000,CONCATENATE("=",$A3))=0,"",B$2))</f>
        <v>50 Free</v>
      </c>
      <c r="C3" s="3" t="str">
        <f>IF($A3="","",IF(countif('Mens Lineup'!C$3:C1000,CONCATENATE("=",$A3))=0,"",C$2))</f>
        <v>100 Free</v>
      </c>
      <c r="D3" s="3" t="str">
        <f>IF($A3="","",IF(countif('Mens Lineup'!D$3:D1000,CONCATENATE("=",$A3))=0,"",D$2))</f>
        <v>200 Free</v>
      </c>
      <c r="E3" s="3" t="str">
        <f>IF($A3="","",IF(countif('Mens Lineup'!E$3:E1000,CONCATENATE("=",$A3))=0,"",E$2))</f>
        <v>500 Free</v>
      </c>
      <c r="F3" s="3" t="str">
        <f>IF($A3="","",IF(countif('Mens Lineup'!F$3:F1000,CONCATENATE("=",$A3))=0,"",F$2))</f>
        <v/>
      </c>
      <c r="G3" s="3" t="str">
        <f>IF($A3="","",IF(countif('Mens Lineup'!G$3:G1000,CONCATENATE("=",$A3))=0,"",G$2))</f>
        <v/>
      </c>
      <c r="H3" s="3" t="str">
        <f>IF($A3="","",IF(countif('Mens Lineup'!H$3:H1000,CONCATENATE("=",$A3))=0,"",H$2))</f>
        <v/>
      </c>
      <c r="I3" s="3" t="str">
        <f>IF($A3="","",IF(countif('Mens Lineup'!I$3:I1000,CONCATENATE("=",$A3))=0,"",I$2))</f>
        <v/>
      </c>
      <c r="J3" s="3" t="str">
        <f>IF($A3="","",IF(countif('Mens Lineup'!J$3:J1000,CONCATENATE("=",$A3))=0,"",J$2))</f>
        <v/>
      </c>
      <c r="K3" s="3" t="str">
        <f>IF($A3="","",IF(countif('Mens Lineup'!K$3:K1000,CONCATENATE("=",$A3))=0,"",K$2))</f>
        <v>100 Fly</v>
      </c>
      <c r="L3" s="3" t="str">
        <f>IF($A3="","",IF(countif('Mens Lineup'!L$3:L1000,CONCATENATE("=",$A3))=0,"",L$2))</f>
        <v/>
      </c>
      <c r="M3" s="3" t="str">
        <f>IF($A3="","",IF(countif('Mens Lineup'!M$3:M1000,CONCATENATE("=",$A3))=0,"",M$2))</f>
        <v>200 IM</v>
      </c>
      <c r="N3" s="3" t="str">
        <f>IF($A3="","",IF(countif('Mens Lineup'!N$3:N1000,CONCATENATE("=",$A3))=0,"",N$2))</f>
        <v/>
      </c>
      <c r="O3" s="3" t="str">
        <f>IF($A3="","",IF(countif('Mens Lineup'!O$3:O1000,CONCATENATE("=",$A3))=0,"",O$2))</f>
        <v/>
      </c>
      <c r="P3" s="3" t="str">
        <f>IF($A3="","",IF(countif('Mens Lineup'!P$3:P1000,CONCATENATE("=",$A3))=0,"",P$2))</f>
        <v/>
      </c>
      <c r="Q3" s="3" t="str">
        <f>IF($A3="","",IF(countif('Mens Lineup'!Q$3:Q1000,CONCATENATE("=",$A3))=0,"",Q$2))</f>
        <v/>
      </c>
      <c r="R3" s="3" t="str">
        <f>IF($A3="","",IF(countif('Mens Lineup'!R$3:R1000,CONCATENATE("=",$A3))=0,"",R$2))</f>
        <v/>
      </c>
      <c r="S3" s="3" t="str">
        <f>IF($A3="","",IF(countif('Mens Lineup'!S$3:S1000,CONCATENATE("=",$A3))=0,"",S$2))</f>
        <v/>
      </c>
      <c r="W3" s="3" t="str">
        <f>IFERROR(__xludf.DUMMYFUNCTION("JOIN("","",FILTER(B3:S3,B3:S3&lt;&gt;""""))"),"50 Free,100 Free,200 Free,500 Free,100 Fly,200 IM")</f>
        <v>50 Free,100 Free,200 Free,500 Free,100 Fly,200 IM</v>
      </c>
    </row>
    <row r="4">
      <c r="A4" s="3" t="s">
        <v>32</v>
      </c>
      <c r="B4" s="3" t="str">
        <f>IF($A4="","",IF(countif('Mens Lineup'!B$3:B1000,CONCATENATE("=",$A4))=0,"",B$2))</f>
        <v>50 Free</v>
      </c>
      <c r="C4" s="3" t="str">
        <f>IF($A4="","",IF(countif('Mens Lineup'!C$3:C1000,CONCATENATE("=",$A4))=0,"",C$2))</f>
        <v>100 Free</v>
      </c>
      <c r="D4" s="3" t="str">
        <f>IF($A4="","",IF(countif('Mens Lineup'!D$3:D1000,CONCATENATE("=",$A4))=0,"",D$2))</f>
        <v>200 Free</v>
      </c>
      <c r="E4" s="3" t="str">
        <f>IF($A4="","",IF(countif('Mens Lineup'!E$3:E1000,CONCATENATE("=",$A4))=0,"",E$2))</f>
        <v/>
      </c>
      <c r="F4" s="3" t="str">
        <f>IF($A4="","",IF(countif('Mens Lineup'!F$3:F1000,CONCATENATE("=",$A4))=0,"",F$2))</f>
        <v/>
      </c>
      <c r="G4" s="3" t="str">
        <f>IF($A4="","",IF(countif('Mens Lineup'!G$3:G1000,CONCATENATE("=",$A4))=0,"",G$2))</f>
        <v/>
      </c>
      <c r="H4" s="3" t="str">
        <f>IF($A4="","",IF(countif('Mens Lineup'!H$3:H1000,CONCATENATE("=",$A4))=0,"",H$2))</f>
        <v/>
      </c>
      <c r="I4" s="3" t="str">
        <f>IF($A4="","",IF(countif('Mens Lineup'!I$3:I1000,CONCATENATE("=",$A4))=0,"",I$2))</f>
        <v/>
      </c>
      <c r="J4" s="3" t="str">
        <f>IF($A4="","",IF(countif('Mens Lineup'!J$3:J1000,CONCATENATE("=",$A4))=0,"",J$2))</f>
        <v/>
      </c>
      <c r="K4" s="3" t="str">
        <f>IF($A4="","",IF(countif('Mens Lineup'!K$3:K1000,CONCATENATE("=",$A4))=0,"",K$2))</f>
        <v>100 Fly</v>
      </c>
      <c r="L4" s="3" t="str">
        <f>IF($A4="","",IF(countif('Mens Lineup'!L$3:L1000,CONCATENATE("=",$A4))=0,"",L$2))</f>
        <v/>
      </c>
      <c r="M4" s="3" t="str">
        <f>IF($A4="","",IF(countif('Mens Lineup'!M$3:M1000,CONCATENATE("=",$A4))=0,"",M$2))</f>
        <v/>
      </c>
      <c r="N4" s="3" t="str">
        <f>IF($A4="","",IF(countif('Mens Lineup'!N$3:N1000,CONCATENATE("=",$A4))=0,"",N$2))</f>
        <v/>
      </c>
      <c r="O4" s="3" t="str">
        <f>IF($A4="","",IF(countif('Mens Lineup'!O$3:O1000,CONCATENATE("=",$A4))=0,"",O$2))</f>
        <v/>
      </c>
      <c r="P4" s="3" t="str">
        <f>IF($A4="","",IF(countif('Mens Lineup'!P$3:P1000,CONCATENATE("=",$A4))=0,"",P$2))</f>
        <v/>
      </c>
      <c r="Q4" s="3" t="str">
        <f>IF($A4="","",IF(countif('Mens Lineup'!Q$3:Q1000,CONCATENATE("=",$A4))=0,"",Q$2))</f>
        <v/>
      </c>
      <c r="R4" s="3" t="str">
        <f>IF($A4="","",IF(countif('Mens Lineup'!R$3:R1000,CONCATENATE("=",$A4))=0,"",R$2))</f>
        <v/>
      </c>
      <c r="S4" s="3" t="str">
        <f>IF($A4="","",IF(countif('Mens Lineup'!S$3:S1000,CONCATENATE("=",$A4))=0,"",S$2))</f>
        <v/>
      </c>
      <c r="W4" s="3" t="str">
        <f>IFERROR(__xludf.DUMMYFUNCTION("JOIN("","",FILTER(B4:S4,B4:S4&lt;&gt;""""))"),"50 Free,100 Free,200 Free,100 Fly")</f>
        <v>50 Free,100 Free,200 Free,100 Fly</v>
      </c>
    </row>
    <row r="5">
      <c r="A5" s="3" t="s">
        <v>33</v>
      </c>
      <c r="B5" s="3" t="str">
        <f>IF($A5="","",IF(countif('Mens Lineup'!B$3:B1000,CONCATENATE("=",$A5))=0,"",B$2))</f>
        <v>50 Free</v>
      </c>
      <c r="C5" s="3" t="str">
        <f>IF($A5="","",IF(countif('Mens Lineup'!C$3:C1000,CONCATENATE("=",$A5))=0,"",C$2))</f>
        <v>100 Free</v>
      </c>
      <c r="D5" s="3" t="str">
        <f>IF($A5="","",IF(countif('Mens Lineup'!D$3:D1000,CONCATENATE("=",$A5))=0,"",D$2))</f>
        <v>200 Free</v>
      </c>
      <c r="E5" s="3" t="str">
        <f>IF($A5="","",IF(countif('Mens Lineup'!E$3:E1000,CONCATENATE("=",$A5))=0,"",E$2))</f>
        <v>500 Free</v>
      </c>
      <c r="F5" s="3" t="str">
        <f>IF($A5="","",IF(countif('Mens Lineup'!F$3:F1000,CONCATENATE("=",$A5))=0,"",F$2))</f>
        <v/>
      </c>
      <c r="G5" s="3" t="str">
        <f>IF($A5="","",IF(countif('Mens Lineup'!G$3:G1000,CONCATENATE("=",$A5))=0,"",G$2))</f>
        <v/>
      </c>
      <c r="H5" s="3" t="str">
        <f>IF($A5="","",IF(countif('Mens Lineup'!H$3:H1000,CONCATENATE("=",$A5))=0,"",H$2))</f>
        <v>200 Back</v>
      </c>
      <c r="I5" s="3" t="str">
        <f>IF($A5="","",IF(countif('Mens Lineup'!I$3:I1000,CONCATENATE("=",$A5))=0,"",I$2))</f>
        <v/>
      </c>
      <c r="J5" s="3" t="str">
        <f>IF($A5="","",IF(countif('Mens Lineup'!J$3:J1000,CONCATENATE("=",$A5))=0,"",J$2))</f>
        <v/>
      </c>
      <c r="K5" s="3" t="str">
        <f>IF($A5="","",IF(countif('Mens Lineup'!K$3:K1000,CONCATENATE("=",$A5))=0,"",K$2))</f>
        <v/>
      </c>
      <c r="L5" s="3" t="str">
        <f>IF($A5="","",IF(countif('Mens Lineup'!L$3:L1000,CONCATENATE("=",$A5))=0,"",L$2))</f>
        <v/>
      </c>
      <c r="M5" s="3" t="str">
        <f>IF($A5="","",IF(countif('Mens Lineup'!M$3:M1000,CONCATENATE("=",$A5))=0,"",M$2))</f>
        <v/>
      </c>
      <c r="N5" s="3" t="str">
        <f>IF($A5="","",IF(countif('Mens Lineup'!N$3:N1000,CONCATENATE("=",$A5))=0,"",N$2))</f>
        <v>400 IM</v>
      </c>
      <c r="O5" s="3" t="str">
        <f>IF($A5="","",IF(countif('Mens Lineup'!O$3:O1000,CONCATENATE("=",$A5))=0,"",O$2))</f>
        <v/>
      </c>
      <c r="P5" s="3" t="str">
        <f>IF($A5="","",IF(countif('Mens Lineup'!P$3:P1000,CONCATENATE("=",$A5))=0,"",P$2))</f>
        <v/>
      </c>
      <c r="Q5" s="3" t="str">
        <f>IF($A5="","",IF(countif('Mens Lineup'!Q$3:Q1000,CONCATENATE("=",$A5))=0,"",Q$2))</f>
        <v/>
      </c>
      <c r="R5" s="3" t="str">
        <f>IF($A5="","",IF(countif('Mens Lineup'!R$3:R1000,CONCATENATE("=",$A5))=0,"",R$2))</f>
        <v/>
      </c>
      <c r="S5" s="3" t="str">
        <f>IF($A5="","",IF(countif('Mens Lineup'!S$3:S1000,CONCATENATE("=",$A5))=0,"",S$2))</f>
        <v/>
      </c>
      <c r="W5" s="3" t="str">
        <f>IFERROR(__xludf.DUMMYFUNCTION("JOIN("","",FILTER(B5:S5,B5:S5&lt;&gt;""""))"),"50 Free,100 Free,200 Free,500 Free,200 Back,400 IM")</f>
        <v>50 Free,100 Free,200 Free,500 Free,200 Back,400 IM</v>
      </c>
    </row>
    <row r="6">
      <c r="A6" s="3" t="s">
        <v>34</v>
      </c>
      <c r="B6" s="3" t="str">
        <f>IF($A6="","",IF(countif('Mens Lineup'!B$3:B1000,CONCATENATE("=",$A6))=0,"",B$2))</f>
        <v>50 Free</v>
      </c>
      <c r="C6" s="3" t="str">
        <f>IF($A6="","",IF(countif('Mens Lineup'!C$3:C1000,CONCATENATE("=",$A6))=0,"",C$2))</f>
        <v>100 Free</v>
      </c>
      <c r="D6" s="3" t="str">
        <f>IF($A6="","",IF(countif('Mens Lineup'!D$3:D1000,CONCATENATE("=",$A6))=0,"",D$2))</f>
        <v/>
      </c>
      <c r="E6" s="3" t="str">
        <f>IF($A6="","",IF(countif('Mens Lineup'!E$3:E1000,CONCATENATE("=",$A6))=0,"",E$2))</f>
        <v/>
      </c>
      <c r="F6" s="3" t="str">
        <f>IF($A6="","",IF(countif('Mens Lineup'!F$3:F1000,CONCATENATE("=",$A6))=0,"",F$2))</f>
        <v/>
      </c>
      <c r="G6" s="3" t="str">
        <f>IF($A6="","",IF(countif('Mens Lineup'!G$3:G1000,CONCATENATE("=",$A6))=0,"",G$2))</f>
        <v/>
      </c>
      <c r="H6" s="3" t="str">
        <f>IF($A6="","",IF(countif('Mens Lineup'!H$3:H1000,CONCATENATE("=",$A6))=0,"",H$2))</f>
        <v/>
      </c>
      <c r="I6" s="3" t="str">
        <f>IF($A6="","",IF(countif('Mens Lineup'!I$3:I1000,CONCATENATE("=",$A6))=0,"",I$2))</f>
        <v>100 Breast</v>
      </c>
      <c r="J6" s="3" t="str">
        <f>IF($A6="","",IF(countif('Mens Lineup'!J$3:J1000,CONCATENATE("=",$A6))=0,"",J$2))</f>
        <v>200 Breast</v>
      </c>
      <c r="K6" s="3" t="str">
        <f>IF($A6="","",IF(countif('Mens Lineup'!K$3:K1000,CONCATENATE("=",$A6))=0,"",K$2))</f>
        <v/>
      </c>
      <c r="L6" s="3" t="str">
        <f>IF($A6="","",IF(countif('Mens Lineup'!L$3:L1000,CONCATENATE("=",$A6))=0,"",L$2))</f>
        <v/>
      </c>
      <c r="M6" s="3" t="str">
        <f>IF($A6="","",IF(countif('Mens Lineup'!M$3:M1000,CONCATENATE("=",$A6))=0,"",M$2))</f>
        <v>200 IM</v>
      </c>
      <c r="N6" s="3" t="str">
        <f>IF($A6="","",IF(countif('Mens Lineup'!N$3:N1000,CONCATENATE("=",$A6))=0,"",N$2))</f>
        <v/>
      </c>
      <c r="O6" s="3" t="str">
        <f>IF($A6="","",IF(countif('Mens Lineup'!O$3:O1000,CONCATENATE("=",$A6))=0,"",O$2))</f>
        <v/>
      </c>
      <c r="P6" s="3" t="str">
        <f>IF($A6="","",IF(countif('Mens Lineup'!P$3:P1000,CONCATENATE("=",$A6))=0,"",P$2))</f>
        <v/>
      </c>
      <c r="Q6" s="3" t="str">
        <f>IF($A6="","",IF(countif('Mens Lineup'!Q$3:Q1000,CONCATENATE("=",$A6))=0,"",Q$2))</f>
        <v/>
      </c>
      <c r="R6" s="3" t="str">
        <f>IF($A6="","",IF(countif('Mens Lineup'!R$3:R1000,CONCATENATE("=",$A6))=0,"",R$2))</f>
        <v/>
      </c>
      <c r="S6" s="3" t="str">
        <f>IF($A6="","",IF(countif('Mens Lineup'!S$3:S1000,CONCATENATE("=",$A6))=0,"",S$2))</f>
        <v/>
      </c>
      <c r="W6" s="3" t="str">
        <f>IFERROR(__xludf.DUMMYFUNCTION("JOIN("","",FILTER(B6:S6,B6:S6&lt;&gt;""""))"),"50 Free,100 Free,100 Breast,200 Breast,200 IM")</f>
        <v>50 Free,100 Free,100 Breast,200 Breast,200 IM</v>
      </c>
    </row>
    <row r="7">
      <c r="A7" s="3" t="s">
        <v>35</v>
      </c>
      <c r="B7" s="3" t="str">
        <f>IF($A7="","",IF(countif('Mens Lineup'!B$3:B1000,CONCATENATE("=",$A7))=0,"",B$2))</f>
        <v>50 Free</v>
      </c>
      <c r="C7" s="3" t="str">
        <f>IF($A7="","",IF(countif('Mens Lineup'!C$3:C1000,CONCATENATE("=",$A7))=0,"",C$2))</f>
        <v>100 Free</v>
      </c>
      <c r="D7" s="3" t="str">
        <f>IF($A7="","",IF(countif('Mens Lineup'!D$3:D1000,CONCATENATE("=",$A7))=0,"",D$2))</f>
        <v>200 Free</v>
      </c>
      <c r="E7" s="3" t="str">
        <f>IF($A7="","",IF(countif('Mens Lineup'!E$3:E1000,CONCATENATE("=",$A7))=0,"",E$2))</f>
        <v/>
      </c>
      <c r="F7" s="3" t="str">
        <f>IF($A7="","",IF(countif('Mens Lineup'!F$3:F1000,CONCATENATE("=",$A7))=0,"",F$2))</f>
        <v/>
      </c>
      <c r="G7" s="3" t="str">
        <f>IF($A7="","",IF(countif('Mens Lineup'!G$3:G1000,CONCATENATE("=",$A7))=0,"",G$2))</f>
        <v>100 Back</v>
      </c>
      <c r="H7" s="3" t="str">
        <f>IF($A7="","",IF(countif('Mens Lineup'!H$3:H1000,CONCATENATE("=",$A7))=0,"",H$2))</f>
        <v>200 Back</v>
      </c>
      <c r="I7" s="3" t="str">
        <f>IF($A7="","",IF(countif('Mens Lineup'!I$3:I1000,CONCATENATE("=",$A7))=0,"",I$2))</f>
        <v/>
      </c>
      <c r="J7" s="3" t="str">
        <f>IF($A7="","",IF(countif('Mens Lineup'!J$3:J1000,CONCATENATE("=",$A7))=0,"",J$2))</f>
        <v/>
      </c>
      <c r="K7" s="3" t="str">
        <f>IF($A7="","",IF(countif('Mens Lineup'!K$3:K1000,CONCATENATE("=",$A7))=0,"",K$2))</f>
        <v>100 Fly</v>
      </c>
      <c r="L7" s="3" t="str">
        <f>IF($A7="","",IF(countif('Mens Lineup'!L$3:L1000,CONCATENATE("=",$A7))=0,"",L$2))</f>
        <v/>
      </c>
      <c r="M7" s="3" t="str">
        <f>IF($A7="","",IF(countif('Mens Lineup'!M$3:M1000,CONCATENATE("=",$A7))=0,"",M$2))</f>
        <v/>
      </c>
      <c r="N7" s="3" t="str">
        <f>IF($A7="","",IF(countif('Mens Lineup'!N$3:N1000,CONCATENATE("=",$A7))=0,"",N$2))</f>
        <v/>
      </c>
      <c r="O7" s="3" t="str">
        <f>IF($A7="","",IF(countif('Mens Lineup'!O$3:O1000,CONCATENATE("=",$A7))=0,"",O$2))</f>
        <v/>
      </c>
      <c r="P7" s="3" t="str">
        <f>IF($A7="","",IF(countif('Mens Lineup'!P$3:P1000,CONCATENATE("=",$A7))=0,"",P$2))</f>
        <v/>
      </c>
      <c r="Q7" s="3" t="str">
        <f>IF($A7="","",IF(countif('Mens Lineup'!Q$3:Q1000,CONCATENATE("=",$A7))=0,"",Q$2))</f>
        <v/>
      </c>
      <c r="R7" s="3" t="str">
        <f>IF($A7="","",IF(countif('Mens Lineup'!R$3:R1000,CONCATENATE("=",$A7))=0,"",R$2))</f>
        <v/>
      </c>
      <c r="S7" s="3" t="str">
        <f>IF($A7="","",IF(countif('Mens Lineup'!S$3:S1000,CONCATENATE("=",$A7))=0,"",S$2))</f>
        <v/>
      </c>
      <c r="W7" s="3" t="str">
        <f>IFERROR(__xludf.DUMMYFUNCTION("JOIN("","",FILTER(B7:S7,B7:S7&lt;&gt;""""))"),"50 Free,100 Free,200 Free,100 Back,200 Back,100 Fly")</f>
        <v>50 Free,100 Free,200 Free,100 Back,200 Back,100 Fly</v>
      </c>
    </row>
    <row r="8">
      <c r="A8" s="3" t="s">
        <v>36</v>
      </c>
      <c r="B8" s="3" t="str">
        <f>IF($A8="","",IF(countif('Mens Lineup'!B$3:B1000,CONCATENATE("=",$A8))=0,"",B$2))</f>
        <v>50 Free</v>
      </c>
      <c r="C8" s="3" t="str">
        <f>IF($A8="","",IF(countif('Mens Lineup'!C$3:C1000,CONCATENATE("=",$A8))=0,"",C$2))</f>
        <v>100 Free</v>
      </c>
      <c r="D8" s="3" t="str">
        <f>IF($A8="","",IF(countif('Mens Lineup'!D$3:D1000,CONCATENATE("=",$A8))=0,"",D$2))</f>
        <v>200 Free</v>
      </c>
      <c r="E8" s="3" t="str">
        <f>IF($A8="","",IF(countif('Mens Lineup'!E$3:E1000,CONCATENATE("=",$A8))=0,"",E$2))</f>
        <v>500 Free</v>
      </c>
      <c r="F8" s="3" t="str">
        <f>IF($A8="","",IF(countif('Mens Lineup'!F$3:F1000,CONCATENATE("=",$A8))=0,"",F$2))</f>
        <v>1650 Free</v>
      </c>
      <c r="G8" s="3" t="str">
        <f>IF($A8="","",IF(countif('Mens Lineup'!G$3:G1000,CONCATENATE("=",$A8))=0,"",G$2))</f>
        <v/>
      </c>
      <c r="H8" s="3" t="str">
        <f>IF($A8="","",IF(countif('Mens Lineup'!H$3:H1000,CONCATENATE("=",$A8))=0,"",H$2))</f>
        <v>200 Back</v>
      </c>
      <c r="I8" s="3" t="str">
        <f>IF($A8="","",IF(countif('Mens Lineup'!I$3:I1000,CONCATENATE("=",$A8))=0,"",I$2))</f>
        <v/>
      </c>
      <c r="J8" s="3" t="str">
        <f>IF($A8="","",IF(countif('Mens Lineup'!J$3:J1000,CONCATENATE("=",$A8))=0,"",J$2))</f>
        <v/>
      </c>
      <c r="K8" s="3" t="str">
        <f>IF($A8="","",IF(countif('Mens Lineup'!K$3:K1000,CONCATENATE("=",$A8))=0,"",K$2))</f>
        <v/>
      </c>
      <c r="L8" s="3" t="str">
        <f>IF($A8="","",IF(countif('Mens Lineup'!L$3:L1000,CONCATENATE("=",$A8))=0,"",L$2))</f>
        <v/>
      </c>
      <c r="M8" s="3" t="str">
        <f>IF($A8="","",IF(countif('Mens Lineup'!M$3:M1000,CONCATENATE("=",$A8))=0,"",M$2))</f>
        <v/>
      </c>
      <c r="N8" s="3" t="str">
        <f>IF($A8="","",IF(countif('Mens Lineup'!N$3:N1000,CONCATENATE("=",$A8))=0,"",N$2))</f>
        <v/>
      </c>
      <c r="O8" s="3" t="str">
        <f>IF($A8="","",IF(countif('Mens Lineup'!O$3:O1000,CONCATENATE("=",$A8))=0,"",O$2))</f>
        <v/>
      </c>
      <c r="P8" s="3" t="str">
        <f>IF($A8="","",IF(countif('Mens Lineup'!P$3:P1000,CONCATENATE("=",$A8))=0,"",P$2))</f>
        <v/>
      </c>
      <c r="Q8" s="3" t="str">
        <f>IF($A8="","",IF(countif('Mens Lineup'!Q$3:Q1000,CONCATENATE("=",$A8))=0,"",Q$2))</f>
        <v/>
      </c>
      <c r="R8" s="3" t="str">
        <f>IF($A8="","",IF(countif('Mens Lineup'!R$3:R1000,CONCATENATE("=",$A8))=0,"",R$2))</f>
        <v/>
      </c>
      <c r="S8" s="3" t="str">
        <f>IF($A8="","",IF(countif('Mens Lineup'!S$3:S1000,CONCATENATE("=",$A8))=0,"",S$2))</f>
        <v/>
      </c>
      <c r="W8" s="3" t="str">
        <f>IFERROR(__xludf.DUMMYFUNCTION("JOIN("","",FILTER(B8:S8,B8:S8&lt;&gt;""""))"),"50 Free,100 Free,200 Free,500 Free,1650 Free,200 Back")</f>
        <v>50 Free,100 Free,200 Free,500 Free,1650 Free,200 Back</v>
      </c>
    </row>
    <row r="9">
      <c r="A9" s="3" t="s">
        <v>37</v>
      </c>
      <c r="B9" s="3" t="str">
        <f>IF($A9="","",IF(countif('Mens Lineup'!B$3:B1000,CONCATENATE("=",$A9))=0,"",B$2))</f>
        <v>50 Free</v>
      </c>
      <c r="C9" s="3" t="str">
        <f>IF($A9="","",IF(countif('Mens Lineup'!C$3:C1000,CONCATENATE("=",$A9))=0,"",C$2))</f>
        <v>100 Free</v>
      </c>
      <c r="D9" s="3" t="str">
        <f>IF($A9="","",IF(countif('Mens Lineup'!D$3:D1000,CONCATENATE("=",$A9))=0,"",D$2))</f>
        <v>200 Free</v>
      </c>
      <c r="E9" s="3" t="str">
        <f>IF($A9="","",IF(countif('Mens Lineup'!E$3:E1000,CONCATENATE("=",$A9))=0,"",E$2))</f>
        <v/>
      </c>
      <c r="F9" s="3" t="str">
        <f>IF($A9="","",IF(countif('Mens Lineup'!F$3:F1000,CONCATENATE("=",$A9))=0,"",F$2))</f>
        <v/>
      </c>
      <c r="G9" s="3" t="str">
        <f>IF($A9="","",IF(countif('Mens Lineup'!G$3:G1000,CONCATENATE("=",$A9))=0,"",G$2))</f>
        <v>100 Back</v>
      </c>
      <c r="H9" s="3" t="str">
        <f>IF($A9="","",IF(countif('Mens Lineup'!H$3:H1000,CONCATENATE("=",$A9))=0,"",H$2))</f>
        <v/>
      </c>
      <c r="I9" s="3" t="str">
        <f>IF($A9="","",IF(countif('Mens Lineup'!I$3:I1000,CONCATENATE("=",$A9))=0,"",I$2))</f>
        <v/>
      </c>
      <c r="J9" s="3" t="str">
        <f>IF($A9="","",IF(countif('Mens Lineup'!J$3:J1000,CONCATENATE("=",$A9))=0,"",J$2))</f>
        <v/>
      </c>
      <c r="K9" s="3" t="str">
        <f>IF($A9="","",IF(countif('Mens Lineup'!K$3:K1000,CONCATENATE("=",$A9))=0,"",K$2))</f>
        <v>100 Fly</v>
      </c>
      <c r="L9" s="3" t="str">
        <f>IF($A9="","",IF(countif('Mens Lineup'!L$3:L1000,CONCATENATE("=",$A9))=0,"",L$2))</f>
        <v/>
      </c>
      <c r="M9" s="3" t="str">
        <f>IF($A9="","",IF(countif('Mens Lineup'!M$3:M1000,CONCATENATE("=",$A9))=0,"",M$2))</f>
        <v/>
      </c>
      <c r="N9" s="3" t="str">
        <f>IF($A9="","",IF(countif('Mens Lineup'!N$3:N1000,CONCATENATE("=",$A9))=0,"",N$2))</f>
        <v/>
      </c>
      <c r="O9" s="3" t="str">
        <f>IF($A9="","",IF(countif('Mens Lineup'!O$3:O1000,CONCATENATE("=",$A9))=0,"",O$2))</f>
        <v/>
      </c>
      <c r="P9" s="3" t="str">
        <f>IF($A9="","",IF(countif('Mens Lineup'!P$3:P1000,CONCATENATE("=",$A9))=0,"",P$2))</f>
        <v/>
      </c>
      <c r="Q9" s="3" t="str">
        <f>IF($A9="","",IF(countif('Mens Lineup'!Q$3:Q1000,CONCATENATE("=",$A9))=0,"",Q$2))</f>
        <v/>
      </c>
      <c r="R9" s="3" t="str">
        <f>IF($A9="","",IF(countif('Mens Lineup'!R$3:R1000,CONCATENATE("=",$A9))=0,"",R$2))</f>
        <v/>
      </c>
      <c r="S9" s="3" t="str">
        <f>IF($A9="","",IF(countif('Mens Lineup'!S$3:S1000,CONCATENATE("=",$A9))=0,"",S$2))</f>
        <v/>
      </c>
      <c r="W9" s="3" t="str">
        <f>IFERROR(__xludf.DUMMYFUNCTION("JOIN("","",FILTER(B9:S9,B9:S9&lt;&gt;""""))"),"50 Free,100 Free,200 Free,100 Back,100 Fly")</f>
        <v>50 Free,100 Free,200 Free,100 Back,100 Fly</v>
      </c>
    </row>
    <row r="10">
      <c r="A10" s="3" t="s">
        <v>38</v>
      </c>
      <c r="B10" s="3" t="str">
        <f>IF($A10="","",IF(countif('Mens Lineup'!B$3:B1000,CONCATENATE("=",$A10))=0,"",B$2))</f>
        <v>50 Free</v>
      </c>
      <c r="C10" s="3" t="str">
        <f>IF($A10="","",IF(countif('Mens Lineup'!C$3:C1000,CONCATENATE("=",$A10))=0,"",C$2))</f>
        <v>100 Free</v>
      </c>
      <c r="D10" s="3" t="str">
        <f>IF($A10="","",IF(countif('Mens Lineup'!D$3:D1000,CONCATENATE("=",$A10))=0,"",D$2))</f>
        <v>200 Free</v>
      </c>
      <c r="E10" s="3" t="str">
        <f>IF($A10="","",IF(countif('Mens Lineup'!E$3:E1000,CONCATENATE("=",$A10))=0,"",E$2))</f>
        <v/>
      </c>
      <c r="F10" s="3" t="str">
        <f>IF($A10="","",IF(countif('Mens Lineup'!F$3:F1000,CONCATENATE("=",$A10))=0,"",F$2))</f>
        <v/>
      </c>
      <c r="G10" s="3" t="str">
        <f>IF($A10="","",IF(countif('Mens Lineup'!G$3:G1000,CONCATENATE("=",$A10))=0,"",G$2))</f>
        <v>100 Back</v>
      </c>
      <c r="H10" s="3" t="str">
        <f>IF($A10="","",IF(countif('Mens Lineup'!H$3:H1000,CONCATENATE("=",$A10))=0,"",H$2))</f>
        <v>200 Back</v>
      </c>
      <c r="I10" s="3" t="str">
        <f>IF($A10="","",IF(countif('Mens Lineup'!I$3:I1000,CONCATENATE("=",$A10))=0,"",I$2))</f>
        <v/>
      </c>
      <c r="J10" s="3" t="str">
        <f>IF($A10="","",IF(countif('Mens Lineup'!J$3:J1000,CONCATENATE("=",$A10))=0,"",J$2))</f>
        <v/>
      </c>
      <c r="K10" s="3" t="str">
        <f>IF($A10="","",IF(countif('Mens Lineup'!K$3:K1000,CONCATENATE("=",$A10))=0,"",K$2))</f>
        <v>100 Fly</v>
      </c>
      <c r="L10" s="3" t="str">
        <f>IF($A10="","",IF(countif('Mens Lineup'!L$3:L1000,CONCATENATE("=",$A10))=0,"",L$2))</f>
        <v/>
      </c>
      <c r="M10" s="3" t="str">
        <f>IF($A10="","",IF(countif('Mens Lineup'!M$3:M1000,CONCATENATE("=",$A10))=0,"",M$2))</f>
        <v/>
      </c>
      <c r="N10" s="3" t="str">
        <f>IF($A10="","",IF(countif('Mens Lineup'!N$3:N1000,CONCATENATE("=",$A10))=0,"",N$2))</f>
        <v/>
      </c>
      <c r="O10" s="3" t="str">
        <f>IF($A10="","",IF(countif('Mens Lineup'!O$3:O1000,CONCATENATE("=",$A10))=0,"",O$2))</f>
        <v/>
      </c>
      <c r="P10" s="3" t="str">
        <f>IF($A10="","",IF(countif('Mens Lineup'!P$3:P1000,CONCATENATE("=",$A10))=0,"",P$2))</f>
        <v/>
      </c>
      <c r="Q10" s="3" t="str">
        <f>IF($A10="","",IF(countif('Mens Lineup'!Q$3:Q1000,CONCATENATE("=",$A10))=0,"",Q$2))</f>
        <v/>
      </c>
      <c r="R10" s="3" t="str">
        <f>IF($A10="","",IF(countif('Mens Lineup'!R$3:R1000,CONCATENATE("=",$A10))=0,"",R$2))</f>
        <v/>
      </c>
      <c r="S10" s="3" t="str">
        <f>IF($A10="","",IF(countif('Mens Lineup'!S$3:S1000,CONCATENATE("=",$A10))=0,"",S$2))</f>
        <v/>
      </c>
      <c r="W10" s="3" t="str">
        <f>IFERROR(__xludf.DUMMYFUNCTION("JOIN("","",FILTER(B10:S10,B10:S10&lt;&gt;""""))"),"50 Free,100 Free,200 Free,100 Back,200 Back,100 Fly")</f>
        <v>50 Free,100 Free,200 Free,100 Back,200 Back,100 Fly</v>
      </c>
    </row>
    <row r="11">
      <c r="A11" s="3" t="s">
        <v>39</v>
      </c>
      <c r="B11" s="3" t="str">
        <f>IF($A11="","",IF(countif('Mens Lineup'!B$3:B1000,CONCATENATE("=",$A11))=0,"",B$2))</f>
        <v>50 Free</v>
      </c>
      <c r="C11" s="3" t="str">
        <f>IF($A11="","",IF(countif('Mens Lineup'!C$3:C1000,CONCATENATE("=",$A11))=0,"",C$2))</f>
        <v>100 Free</v>
      </c>
      <c r="D11" s="3" t="str">
        <f>IF($A11="","",IF(countif('Mens Lineup'!D$3:D1000,CONCATENATE("=",$A11))=0,"",D$2))</f>
        <v/>
      </c>
      <c r="E11" s="3" t="str">
        <f>IF($A11="","",IF(countif('Mens Lineup'!E$3:E1000,CONCATENATE("=",$A11))=0,"",E$2))</f>
        <v/>
      </c>
      <c r="F11" s="3" t="str">
        <f>IF($A11="","",IF(countif('Mens Lineup'!F$3:F1000,CONCATENATE("=",$A11))=0,"",F$2))</f>
        <v/>
      </c>
      <c r="G11" s="3" t="str">
        <f>IF($A11="","",IF(countif('Mens Lineup'!G$3:G1000,CONCATENATE("=",$A11))=0,"",G$2))</f>
        <v/>
      </c>
      <c r="H11" s="3" t="str">
        <f>IF($A11="","",IF(countif('Mens Lineup'!H$3:H1000,CONCATENATE("=",$A11))=0,"",H$2))</f>
        <v/>
      </c>
      <c r="I11" s="3" t="str">
        <f>IF($A11="","",IF(countif('Mens Lineup'!I$3:I1000,CONCATENATE("=",$A11))=0,"",I$2))</f>
        <v>100 Breast</v>
      </c>
      <c r="J11" s="3" t="str">
        <f>IF($A11="","",IF(countif('Mens Lineup'!J$3:J1000,CONCATENATE("=",$A11))=0,"",J$2))</f>
        <v/>
      </c>
      <c r="K11" s="3" t="str">
        <f>IF($A11="","",IF(countif('Mens Lineup'!K$3:K1000,CONCATENATE("=",$A11))=0,"",K$2))</f>
        <v>100 Fly</v>
      </c>
      <c r="L11" s="3" t="str">
        <f>IF($A11="","",IF(countif('Mens Lineup'!L$3:L1000,CONCATENATE("=",$A11))=0,"",L$2))</f>
        <v/>
      </c>
      <c r="M11" s="3" t="str">
        <f>IF($A11="","",IF(countif('Mens Lineup'!M$3:M1000,CONCATENATE("=",$A11))=0,"",M$2))</f>
        <v>200 IM</v>
      </c>
      <c r="N11" s="3" t="str">
        <f>IF($A11="","",IF(countif('Mens Lineup'!N$3:N1000,CONCATENATE("=",$A11))=0,"",N$2))</f>
        <v/>
      </c>
      <c r="O11" s="3" t="str">
        <f>IF($A11="","",IF(countif('Mens Lineup'!O$3:O1000,CONCATENATE("=",$A11))=0,"",O$2))</f>
        <v/>
      </c>
      <c r="P11" s="3" t="str">
        <f>IF($A11="","",IF(countif('Mens Lineup'!P$3:P1000,CONCATENATE("=",$A11))=0,"",P$2))</f>
        <v/>
      </c>
      <c r="Q11" s="3" t="str">
        <f>IF($A11="","",IF(countif('Mens Lineup'!Q$3:Q1000,CONCATENATE("=",$A11))=0,"",Q$2))</f>
        <v/>
      </c>
      <c r="R11" s="3" t="str">
        <f>IF($A11="","",IF(countif('Mens Lineup'!R$3:R1000,CONCATENATE("=",$A11))=0,"",R$2))</f>
        <v/>
      </c>
      <c r="S11" s="3" t="str">
        <f>IF($A11="","",IF(countif('Mens Lineup'!S$3:S1000,CONCATENATE("=",$A11))=0,"",S$2))</f>
        <v/>
      </c>
      <c r="W11" s="3" t="str">
        <f>IFERROR(__xludf.DUMMYFUNCTION("JOIN("","",FILTER(B11:S11,B11:S11&lt;&gt;""""))"),"50 Free,100 Free,100 Breast,100 Fly,200 IM")</f>
        <v>50 Free,100 Free,100 Breast,100 Fly,200 IM</v>
      </c>
    </row>
    <row r="12">
      <c r="A12" s="3" t="s">
        <v>40</v>
      </c>
      <c r="B12" s="3" t="str">
        <f>IF($A12="","",IF(countif('Mens Lineup'!B$3:B1000,CONCATENATE("=",$A12))=0,"",B$2))</f>
        <v>50 Free</v>
      </c>
      <c r="C12" s="3" t="str">
        <f>IF($A12="","",IF(countif('Mens Lineup'!C$3:C1000,CONCATENATE("=",$A12))=0,"",C$2))</f>
        <v>100 Free</v>
      </c>
      <c r="D12" s="3" t="str">
        <f>IF($A12="","",IF(countif('Mens Lineup'!D$3:D1000,CONCATENATE("=",$A12))=0,"",D$2))</f>
        <v/>
      </c>
      <c r="E12" s="3" t="str">
        <f>IF($A12="","",IF(countif('Mens Lineup'!E$3:E1000,CONCATENATE("=",$A12))=0,"",E$2))</f>
        <v/>
      </c>
      <c r="F12" s="3" t="str">
        <f>IF($A12="","",IF(countif('Mens Lineup'!F$3:F1000,CONCATENATE("=",$A12))=0,"",F$2))</f>
        <v/>
      </c>
      <c r="G12" s="3" t="str">
        <f>IF($A12="","",IF(countif('Mens Lineup'!G$3:G1000,CONCATENATE("=",$A12))=0,"",G$2))</f>
        <v>100 Back</v>
      </c>
      <c r="H12" s="3" t="str">
        <f>IF($A12="","",IF(countif('Mens Lineup'!H$3:H1000,CONCATENATE("=",$A12))=0,"",H$2))</f>
        <v>200 Back</v>
      </c>
      <c r="I12" s="3" t="str">
        <f>IF($A12="","",IF(countif('Mens Lineup'!I$3:I1000,CONCATENATE("=",$A12))=0,"",I$2))</f>
        <v/>
      </c>
      <c r="J12" s="3" t="str">
        <f>IF($A12="","",IF(countif('Mens Lineup'!J$3:J1000,CONCATENATE("=",$A12))=0,"",J$2))</f>
        <v/>
      </c>
      <c r="K12" s="3" t="str">
        <f>IF($A12="","",IF(countif('Mens Lineup'!K$3:K1000,CONCATENATE("=",$A12))=0,"",K$2))</f>
        <v>100 Fly</v>
      </c>
      <c r="L12" s="3" t="str">
        <f>IF($A12="","",IF(countif('Mens Lineup'!L$3:L1000,CONCATENATE("=",$A12))=0,"",L$2))</f>
        <v/>
      </c>
      <c r="M12" s="3" t="str">
        <f>IF($A12="","",IF(countif('Mens Lineup'!M$3:M1000,CONCATENATE("=",$A12))=0,"",M$2))</f>
        <v>200 IM</v>
      </c>
      <c r="N12" s="3" t="str">
        <f>IF($A12="","",IF(countif('Mens Lineup'!N$3:N1000,CONCATENATE("=",$A12))=0,"",N$2))</f>
        <v/>
      </c>
      <c r="O12" s="3" t="str">
        <f>IF($A12="","",IF(countif('Mens Lineup'!O$3:O1000,CONCATENATE("=",$A12))=0,"",O$2))</f>
        <v/>
      </c>
      <c r="P12" s="3" t="str">
        <f>IF($A12="","",IF(countif('Mens Lineup'!P$3:P1000,CONCATENATE("=",$A12))=0,"",P$2))</f>
        <v/>
      </c>
      <c r="Q12" s="3" t="str">
        <f>IF($A12="","",IF(countif('Mens Lineup'!Q$3:Q1000,CONCATENATE("=",$A12))=0,"",Q$2))</f>
        <v/>
      </c>
      <c r="R12" s="3" t="str">
        <f>IF($A12="","",IF(countif('Mens Lineup'!R$3:R1000,CONCATENATE("=",$A12))=0,"",R$2))</f>
        <v/>
      </c>
      <c r="S12" s="3" t="str">
        <f>IF($A12="","",IF(countif('Mens Lineup'!S$3:S1000,CONCATENATE("=",$A12))=0,"",S$2))</f>
        <v/>
      </c>
      <c r="W12" s="3" t="str">
        <f>IFERROR(__xludf.DUMMYFUNCTION("JOIN("","",FILTER(B12:S12,B12:S12&lt;&gt;""""))"),"50 Free,100 Free,100 Back,200 Back,100 Fly,200 IM")</f>
        <v>50 Free,100 Free,100 Back,200 Back,100 Fly,200 IM</v>
      </c>
    </row>
    <row r="13">
      <c r="A13" s="3" t="s">
        <v>41</v>
      </c>
      <c r="B13" s="3" t="str">
        <f>IF($A13="","",IF(countif('Mens Lineup'!B$3:B1000,CONCATENATE("=",$A13))=0,"",B$2))</f>
        <v>50 Free</v>
      </c>
      <c r="C13" s="3" t="str">
        <f>IF($A13="","",IF(countif('Mens Lineup'!C$3:C1000,CONCATENATE("=",$A13))=0,"",C$2))</f>
        <v>100 Free</v>
      </c>
      <c r="D13" s="3" t="str">
        <f>IF($A13="","",IF(countif('Mens Lineup'!D$3:D1000,CONCATENATE("=",$A13))=0,"",D$2))</f>
        <v>200 Free</v>
      </c>
      <c r="E13" s="3" t="str">
        <f>IF($A13="","",IF(countif('Mens Lineup'!E$3:E1000,CONCATENATE("=",$A13))=0,"",E$2))</f>
        <v>500 Free</v>
      </c>
      <c r="F13" s="3" t="str">
        <f>IF($A13="","",IF(countif('Mens Lineup'!F$3:F1000,CONCATENATE("=",$A13))=0,"",F$2))</f>
        <v/>
      </c>
      <c r="G13" s="3" t="str">
        <f>IF($A13="","",IF(countif('Mens Lineup'!G$3:G1000,CONCATENATE("=",$A13))=0,"",G$2))</f>
        <v/>
      </c>
      <c r="H13" s="3" t="str">
        <f>IF($A13="","",IF(countif('Mens Lineup'!H$3:H1000,CONCATENATE("=",$A13))=0,"",H$2))</f>
        <v/>
      </c>
      <c r="I13" s="3" t="str">
        <f>IF($A13="","",IF(countif('Mens Lineup'!I$3:I1000,CONCATENATE("=",$A13))=0,"",I$2))</f>
        <v/>
      </c>
      <c r="J13" s="3" t="str">
        <f>IF($A13="","",IF(countif('Mens Lineup'!J$3:J1000,CONCATENATE("=",$A13))=0,"",J$2))</f>
        <v/>
      </c>
      <c r="K13" s="3" t="str">
        <f>IF($A13="","",IF(countif('Mens Lineup'!K$3:K1000,CONCATENATE("=",$A13))=0,"",K$2))</f>
        <v/>
      </c>
      <c r="L13" s="3" t="str">
        <f>IF($A13="","",IF(countif('Mens Lineup'!L$3:L1000,CONCATENATE("=",$A13))=0,"",L$2))</f>
        <v/>
      </c>
      <c r="M13" s="3" t="str">
        <f>IF($A13="","",IF(countif('Mens Lineup'!M$3:M1000,CONCATENATE("=",$A13))=0,"",M$2))</f>
        <v>200 IM</v>
      </c>
      <c r="N13" s="3" t="str">
        <f>IF($A13="","",IF(countif('Mens Lineup'!N$3:N1000,CONCATENATE("=",$A13))=0,"",N$2))</f>
        <v>400 IM</v>
      </c>
      <c r="O13" s="3" t="str">
        <f>IF($A13="","",IF(countif('Mens Lineup'!O$3:O1000,CONCATENATE("=",$A13))=0,"",O$2))</f>
        <v/>
      </c>
      <c r="P13" s="3" t="str">
        <f>IF($A13="","",IF(countif('Mens Lineup'!P$3:P1000,CONCATENATE("=",$A13))=0,"",P$2))</f>
        <v/>
      </c>
      <c r="Q13" s="3" t="str">
        <f>IF($A13="","",IF(countif('Mens Lineup'!Q$3:Q1000,CONCATENATE("=",$A13))=0,"",Q$2))</f>
        <v/>
      </c>
      <c r="R13" s="3" t="str">
        <f>IF($A13="","",IF(countif('Mens Lineup'!R$3:R1000,CONCATENATE("=",$A13))=0,"",R$2))</f>
        <v/>
      </c>
      <c r="S13" s="3" t="str">
        <f>IF($A13="","",IF(countif('Mens Lineup'!S$3:S1000,CONCATENATE("=",$A13))=0,"",S$2))</f>
        <v/>
      </c>
      <c r="W13" s="3" t="str">
        <f>IFERROR(__xludf.DUMMYFUNCTION("JOIN("","",FILTER(B13:S13,B13:S13&lt;&gt;""""))"),"50 Free,100 Free,200 Free,500 Free,200 IM,400 IM")</f>
        <v>50 Free,100 Free,200 Free,500 Free,200 IM,400 IM</v>
      </c>
    </row>
    <row r="14">
      <c r="A14" s="3" t="s">
        <v>42</v>
      </c>
      <c r="B14" s="3" t="str">
        <f>IF($A14="","",IF(countif('Mens Lineup'!B$3:B1000,CONCATENATE("=",$A14))=0,"",B$2))</f>
        <v>50 Free</v>
      </c>
      <c r="C14" s="3" t="str">
        <f>IF($A14="","",IF(countif('Mens Lineup'!C$3:C1000,CONCATENATE("=",$A14))=0,"",C$2))</f>
        <v>100 Free</v>
      </c>
      <c r="D14" s="3" t="str">
        <f>IF($A14="","",IF(countif('Mens Lineup'!D$3:D1000,CONCATENATE("=",$A14))=0,"",D$2))</f>
        <v>200 Free</v>
      </c>
      <c r="E14" s="3" t="str">
        <f>IF($A14="","",IF(countif('Mens Lineup'!E$3:E1000,CONCATENATE("=",$A14))=0,"",E$2))</f>
        <v/>
      </c>
      <c r="F14" s="3" t="str">
        <f>IF($A14="","",IF(countif('Mens Lineup'!F$3:F1000,CONCATENATE("=",$A14))=0,"",F$2))</f>
        <v/>
      </c>
      <c r="G14" s="3" t="str">
        <f>IF($A14="","",IF(countif('Mens Lineup'!G$3:G1000,CONCATENATE("=",$A14))=0,"",G$2))</f>
        <v>100 Back</v>
      </c>
      <c r="H14" s="3" t="str">
        <f>IF($A14="","",IF(countif('Mens Lineup'!H$3:H1000,CONCATENATE("=",$A14))=0,"",H$2))</f>
        <v/>
      </c>
      <c r="I14" s="3" t="str">
        <f>IF($A14="","",IF(countif('Mens Lineup'!I$3:I1000,CONCATENATE("=",$A14))=0,"",I$2))</f>
        <v/>
      </c>
      <c r="J14" s="3" t="str">
        <f>IF($A14="","",IF(countif('Mens Lineup'!J$3:J1000,CONCATENATE("=",$A14))=0,"",J$2))</f>
        <v/>
      </c>
      <c r="K14" s="3" t="str">
        <f>IF($A14="","",IF(countif('Mens Lineup'!K$3:K1000,CONCATENATE("=",$A14))=0,"",K$2))</f>
        <v>100 Fly</v>
      </c>
      <c r="L14" s="3" t="str">
        <f>IF($A14="","",IF(countif('Mens Lineup'!L$3:L1000,CONCATENATE("=",$A14))=0,"",L$2))</f>
        <v/>
      </c>
      <c r="M14" s="3" t="str">
        <f>IF($A14="","",IF(countif('Mens Lineup'!M$3:M1000,CONCATENATE("=",$A14))=0,"",M$2))</f>
        <v/>
      </c>
      <c r="N14" s="3" t="str">
        <f>IF($A14="","",IF(countif('Mens Lineup'!N$3:N1000,CONCATENATE("=",$A14))=0,"",N$2))</f>
        <v/>
      </c>
      <c r="O14" s="3" t="str">
        <f>IF($A14="","",IF(countif('Mens Lineup'!O$3:O1000,CONCATENATE("=",$A14))=0,"",O$2))</f>
        <v/>
      </c>
      <c r="P14" s="3" t="str">
        <f>IF($A14="","",IF(countif('Mens Lineup'!P$3:P1000,CONCATENATE("=",$A14))=0,"",P$2))</f>
        <v/>
      </c>
      <c r="Q14" s="3" t="str">
        <f>IF($A14="","",IF(countif('Mens Lineup'!Q$3:Q1000,CONCATENATE("=",$A14))=0,"",Q$2))</f>
        <v/>
      </c>
      <c r="R14" s="3" t="str">
        <f>IF($A14="","",IF(countif('Mens Lineup'!R$3:R1000,CONCATENATE("=",$A14))=0,"",R$2))</f>
        <v/>
      </c>
      <c r="S14" s="3" t="str">
        <f>IF($A14="","",IF(countif('Mens Lineup'!S$3:S1000,CONCATENATE("=",$A14))=0,"",S$2))</f>
        <v/>
      </c>
      <c r="W14" s="3" t="str">
        <f>IFERROR(__xludf.DUMMYFUNCTION("JOIN("","",FILTER(B14:S14,B14:S14&lt;&gt;""""))"),"50 Free,100 Free,200 Free,100 Back,100 Fly")</f>
        <v>50 Free,100 Free,200 Free,100 Back,100 Fly</v>
      </c>
    </row>
    <row r="15">
      <c r="A15" s="3" t="s">
        <v>43</v>
      </c>
      <c r="B15" s="3" t="str">
        <f>IF($A15="","",IF(countif('Mens Lineup'!B$3:B1000,CONCATENATE("=",$A15))=0,"",B$2))</f>
        <v>50 Free</v>
      </c>
      <c r="C15" s="3" t="str">
        <f>IF($A15="","",IF(countif('Mens Lineup'!C$3:C1000,CONCATENATE("=",$A15))=0,"",C$2))</f>
        <v/>
      </c>
      <c r="D15" s="3" t="str">
        <f>IF($A15="","",IF(countif('Mens Lineup'!D$3:D1000,CONCATENATE("=",$A15))=0,"",D$2))</f>
        <v/>
      </c>
      <c r="E15" s="3" t="str">
        <f>IF($A15="","",IF(countif('Mens Lineup'!E$3:E1000,CONCATENATE("=",$A15))=0,"",E$2))</f>
        <v/>
      </c>
      <c r="F15" s="3" t="str">
        <f>IF($A15="","",IF(countif('Mens Lineup'!F$3:F1000,CONCATENATE("=",$A15))=0,"",F$2))</f>
        <v/>
      </c>
      <c r="G15" s="3" t="str">
        <f>IF($A15="","",IF(countif('Mens Lineup'!G$3:G1000,CONCATENATE("=",$A15))=0,"",G$2))</f>
        <v/>
      </c>
      <c r="H15" s="3" t="str">
        <f>IF($A15="","",IF(countif('Mens Lineup'!H$3:H1000,CONCATENATE("=",$A15))=0,"",H$2))</f>
        <v/>
      </c>
      <c r="I15" s="3" t="str">
        <f>IF($A15="","",IF(countif('Mens Lineup'!I$3:I1000,CONCATENATE("=",$A15))=0,"",I$2))</f>
        <v>100 Breast</v>
      </c>
      <c r="J15" s="3" t="str">
        <f>IF($A15="","",IF(countif('Mens Lineup'!J$3:J1000,CONCATENATE("=",$A15))=0,"",J$2))</f>
        <v/>
      </c>
      <c r="K15" s="3" t="str">
        <f>IF($A15="","",IF(countif('Mens Lineup'!K$3:K1000,CONCATENATE("=",$A15))=0,"",K$2))</f>
        <v>100 Fly</v>
      </c>
      <c r="L15" s="3" t="str">
        <f>IF($A15="","",IF(countif('Mens Lineup'!L$3:L1000,CONCATENATE("=",$A15))=0,"",L$2))</f>
        <v>200 Fly</v>
      </c>
      <c r="M15" s="3" t="str">
        <f>IF($A15="","",IF(countif('Mens Lineup'!M$3:M1000,CONCATENATE("=",$A15))=0,"",M$2))</f>
        <v>200 IM</v>
      </c>
      <c r="N15" s="3" t="str">
        <f>IF($A15="","",IF(countif('Mens Lineup'!N$3:N1000,CONCATENATE("=",$A15))=0,"",N$2))</f>
        <v/>
      </c>
      <c r="O15" s="3" t="str">
        <f>IF($A15="","",IF(countif('Mens Lineup'!O$3:O1000,CONCATENATE("=",$A15))=0,"",O$2))</f>
        <v/>
      </c>
      <c r="P15" s="3" t="str">
        <f>IF($A15="","",IF(countif('Mens Lineup'!P$3:P1000,CONCATENATE("=",$A15))=0,"",P$2))</f>
        <v/>
      </c>
      <c r="Q15" s="3" t="str">
        <f>IF($A15="","",IF(countif('Mens Lineup'!Q$3:Q1000,CONCATENATE("=",$A15))=0,"",Q$2))</f>
        <v/>
      </c>
      <c r="R15" s="3" t="str">
        <f>IF($A15="","",IF(countif('Mens Lineup'!R$3:R1000,CONCATENATE("=",$A15))=0,"",R$2))</f>
        <v/>
      </c>
      <c r="S15" s="3" t="str">
        <f>IF($A15="","",IF(countif('Mens Lineup'!S$3:S1000,CONCATENATE("=",$A15))=0,"",S$2))</f>
        <v/>
      </c>
      <c r="W15" s="3" t="str">
        <f>IFERROR(__xludf.DUMMYFUNCTION("JOIN("","",FILTER(B15:S15,B15:S15&lt;&gt;""""))"),"50 Free,100 Breast,100 Fly,200 Fly,200 IM")</f>
        <v>50 Free,100 Breast,100 Fly,200 Fly,200 IM</v>
      </c>
    </row>
    <row r="16">
      <c r="A16" s="3" t="s">
        <v>44</v>
      </c>
      <c r="B16" s="3" t="str">
        <f>IF($A16="","",IF(countif('Mens Lineup'!B$3:B1000,CONCATENATE("=",$A16))=0,"",B$2))</f>
        <v>50 Free</v>
      </c>
      <c r="C16" s="3" t="str">
        <f>IF($A16="","",IF(countif('Mens Lineup'!C$3:C1000,CONCATENATE("=",$A16))=0,"",C$2))</f>
        <v>100 Free</v>
      </c>
      <c r="D16" s="3" t="str">
        <f>IF($A16="","",IF(countif('Mens Lineup'!D$3:D1000,CONCATENATE("=",$A16))=0,"",D$2))</f>
        <v/>
      </c>
      <c r="E16" s="3" t="str">
        <f>IF($A16="","",IF(countif('Mens Lineup'!E$3:E1000,CONCATENATE("=",$A16))=0,"",E$2))</f>
        <v/>
      </c>
      <c r="F16" s="3" t="str">
        <f>IF($A16="","",IF(countif('Mens Lineup'!F$3:F1000,CONCATENATE("=",$A16))=0,"",F$2))</f>
        <v/>
      </c>
      <c r="G16" s="3" t="str">
        <f>IF($A16="","",IF(countif('Mens Lineup'!G$3:G1000,CONCATENATE("=",$A16))=0,"",G$2))</f>
        <v>100 Back</v>
      </c>
      <c r="H16" s="3" t="str">
        <f>IF($A16="","",IF(countif('Mens Lineup'!H$3:H1000,CONCATENATE("=",$A16))=0,"",H$2))</f>
        <v/>
      </c>
      <c r="I16" s="3" t="str">
        <f>IF($A16="","",IF(countif('Mens Lineup'!I$3:I1000,CONCATENATE("=",$A16))=0,"",I$2))</f>
        <v/>
      </c>
      <c r="J16" s="3" t="str">
        <f>IF($A16="","",IF(countif('Mens Lineup'!J$3:J1000,CONCATENATE("=",$A16))=0,"",J$2))</f>
        <v>200 Breast</v>
      </c>
      <c r="K16" s="3" t="str">
        <f>IF($A16="","",IF(countif('Mens Lineup'!K$3:K1000,CONCATENATE("=",$A16))=0,"",K$2))</f>
        <v/>
      </c>
      <c r="L16" s="3" t="str">
        <f>IF($A16="","",IF(countif('Mens Lineup'!L$3:L1000,CONCATENATE("=",$A16))=0,"",L$2))</f>
        <v/>
      </c>
      <c r="M16" s="3" t="str">
        <f>IF($A16="","",IF(countif('Mens Lineup'!M$3:M1000,CONCATENATE("=",$A16))=0,"",M$2))</f>
        <v>200 IM</v>
      </c>
      <c r="N16" s="3" t="str">
        <f>IF($A16="","",IF(countif('Mens Lineup'!N$3:N1000,CONCATENATE("=",$A16))=0,"",N$2))</f>
        <v/>
      </c>
      <c r="O16" s="3" t="str">
        <f>IF($A16="","",IF(countif('Mens Lineup'!O$3:O1000,CONCATENATE("=",$A16))=0,"",O$2))</f>
        <v/>
      </c>
      <c r="P16" s="3" t="str">
        <f>IF($A16="","",IF(countif('Mens Lineup'!P$3:P1000,CONCATENATE("=",$A16))=0,"",P$2))</f>
        <v/>
      </c>
      <c r="Q16" s="3" t="str">
        <f>IF($A16="","",IF(countif('Mens Lineup'!Q$3:Q1000,CONCATENATE("=",$A16))=0,"",Q$2))</f>
        <v/>
      </c>
      <c r="R16" s="3" t="str">
        <f>IF($A16="","",IF(countif('Mens Lineup'!R$3:R1000,CONCATENATE("=",$A16))=0,"",R$2))</f>
        <v/>
      </c>
      <c r="S16" s="3" t="str">
        <f>IF($A16="","",IF(countif('Mens Lineup'!S$3:S1000,CONCATENATE("=",$A16))=0,"",S$2))</f>
        <v/>
      </c>
      <c r="W16" s="3" t="str">
        <f>IFERROR(__xludf.DUMMYFUNCTION("JOIN("","",FILTER(B16:S16,B16:S16&lt;&gt;""""))"),"50 Free,100 Free,100 Back,200 Breast,200 IM")</f>
        <v>50 Free,100 Free,100 Back,200 Breast,200 IM</v>
      </c>
    </row>
    <row r="17">
      <c r="A17" s="3" t="s">
        <v>45</v>
      </c>
      <c r="B17" s="3" t="str">
        <f>IF($A17="","",IF(countif('Mens Lineup'!B$3:B1000,CONCATENATE("=",$A17))=0,"",B$2))</f>
        <v>50 Free</v>
      </c>
      <c r="C17" s="3" t="str">
        <f>IF($A17="","",IF(countif('Mens Lineup'!C$3:C1000,CONCATENATE("=",$A17))=0,"",C$2))</f>
        <v/>
      </c>
      <c r="D17" s="3" t="str">
        <f>IF($A17="","",IF(countif('Mens Lineup'!D$3:D1000,CONCATENATE("=",$A17))=0,"",D$2))</f>
        <v/>
      </c>
      <c r="E17" s="3" t="str">
        <f>IF($A17="","",IF(countif('Mens Lineup'!E$3:E1000,CONCATENATE("=",$A17))=0,"",E$2))</f>
        <v/>
      </c>
      <c r="F17" s="3" t="str">
        <f>IF($A17="","",IF(countif('Mens Lineup'!F$3:F1000,CONCATENATE("=",$A17))=0,"",F$2))</f>
        <v/>
      </c>
      <c r="G17" s="3" t="str">
        <f>IF($A17="","",IF(countif('Mens Lineup'!G$3:G1000,CONCATENATE("=",$A17))=0,"",G$2))</f>
        <v>100 Back</v>
      </c>
      <c r="H17" s="3" t="str">
        <f>IF($A17="","",IF(countif('Mens Lineup'!H$3:H1000,CONCATENATE("=",$A17))=0,"",H$2))</f>
        <v/>
      </c>
      <c r="I17" s="3" t="str">
        <f>IF($A17="","",IF(countif('Mens Lineup'!I$3:I1000,CONCATENATE("=",$A17))=0,"",I$2))</f>
        <v/>
      </c>
      <c r="J17" s="3" t="str">
        <f>IF($A17="","",IF(countif('Mens Lineup'!J$3:J1000,CONCATENATE("=",$A17))=0,"",J$2))</f>
        <v/>
      </c>
      <c r="K17" s="3" t="str">
        <f>IF($A17="","",IF(countif('Mens Lineup'!K$3:K1000,CONCATENATE("=",$A17))=0,"",K$2))</f>
        <v/>
      </c>
      <c r="L17" s="3" t="str">
        <f>IF($A17="","",IF(countif('Mens Lineup'!L$3:L1000,CONCATENATE("=",$A17))=0,"",L$2))</f>
        <v/>
      </c>
      <c r="M17" s="3" t="str">
        <f>IF($A17="","",IF(countif('Mens Lineup'!M$3:M1000,CONCATENATE("=",$A17))=0,"",M$2))</f>
        <v/>
      </c>
      <c r="N17" s="3" t="str">
        <f>IF($A17="","",IF(countif('Mens Lineup'!N$3:N1000,CONCATENATE("=",$A17))=0,"",N$2))</f>
        <v/>
      </c>
      <c r="O17" s="3" t="str">
        <f>IF($A17="","",IF(countif('Mens Lineup'!O$3:O1000,CONCATENATE("=",$A17))=0,"",O$2))</f>
        <v/>
      </c>
      <c r="P17" s="3" t="str">
        <f>IF($A17="","",IF(countif('Mens Lineup'!P$3:P1000,CONCATENATE("=",$A17))=0,"",P$2))</f>
        <v/>
      </c>
      <c r="Q17" s="3" t="str">
        <f>IF($A17="","",IF(countif('Mens Lineup'!Q$3:Q1000,CONCATENATE("=",$A17))=0,"",Q$2))</f>
        <v/>
      </c>
      <c r="R17" s="3" t="str">
        <f>IF($A17="","",IF(countif('Mens Lineup'!R$3:R1000,CONCATENATE("=",$A17))=0,"",R$2))</f>
        <v/>
      </c>
      <c r="S17" s="3" t="str">
        <f>IF($A17="","",IF(countif('Mens Lineup'!S$3:S1000,CONCATENATE("=",$A17))=0,"",S$2))</f>
        <v/>
      </c>
      <c r="W17" s="3" t="str">
        <f>IFERROR(__xludf.DUMMYFUNCTION("JOIN("","",FILTER(B17:S17,B17:S17&lt;&gt;""""))"),"50 Free,100 Back")</f>
        <v>50 Free,100 Back</v>
      </c>
    </row>
    <row r="18">
      <c r="A18" s="3" t="s">
        <v>46</v>
      </c>
      <c r="B18" s="3" t="str">
        <f>IF($A18="","",IF(countif('Mens Lineup'!B$3:B1000,CONCATENATE("=",$A18))=0,"",B$2))</f>
        <v>50 Free</v>
      </c>
      <c r="C18" s="3" t="str">
        <f>IF($A18="","",IF(countif('Mens Lineup'!C$3:C1000,CONCATENATE("=",$A18))=0,"",C$2))</f>
        <v>100 Free</v>
      </c>
      <c r="D18" s="3" t="str">
        <f>IF($A18="","",IF(countif('Mens Lineup'!D$3:D1000,CONCATENATE("=",$A18))=0,"",D$2))</f>
        <v/>
      </c>
      <c r="E18" s="3" t="str">
        <f>IF($A18="","",IF(countif('Mens Lineup'!E$3:E1000,CONCATENATE("=",$A18))=0,"",E$2))</f>
        <v/>
      </c>
      <c r="F18" s="3" t="str">
        <f>IF($A18="","",IF(countif('Mens Lineup'!F$3:F1000,CONCATENATE("=",$A18))=0,"",F$2))</f>
        <v/>
      </c>
      <c r="G18" s="3" t="str">
        <f>IF($A18="","",IF(countif('Mens Lineup'!G$3:G1000,CONCATENATE("=",$A18))=0,"",G$2))</f>
        <v/>
      </c>
      <c r="H18" s="3" t="str">
        <f>IF($A18="","",IF(countif('Mens Lineup'!H$3:H1000,CONCATENATE("=",$A18))=0,"",H$2))</f>
        <v/>
      </c>
      <c r="I18" s="3" t="str">
        <f>IF($A18="","",IF(countif('Mens Lineup'!I$3:I1000,CONCATENATE("=",$A18))=0,"",I$2))</f>
        <v/>
      </c>
      <c r="J18" s="3" t="str">
        <f>IF($A18="","",IF(countif('Mens Lineup'!J$3:J1000,CONCATENATE("=",$A18))=0,"",J$2))</f>
        <v/>
      </c>
      <c r="K18" s="3" t="str">
        <f>IF($A18="","",IF(countif('Mens Lineup'!K$3:K1000,CONCATENATE("=",$A18))=0,"",K$2))</f>
        <v/>
      </c>
      <c r="L18" s="3" t="str">
        <f>IF($A18="","",IF(countif('Mens Lineup'!L$3:L1000,CONCATENATE("=",$A18))=0,"",L$2))</f>
        <v/>
      </c>
      <c r="M18" s="3" t="str">
        <f>IF($A18="","",IF(countif('Mens Lineup'!M$3:M1000,CONCATENATE("=",$A18))=0,"",M$2))</f>
        <v/>
      </c>
      <c r="N18" s="3" t="str">
        <f>IF($A18="","",IF(countif('Mens Lineup'!N$3:N1000,CONCATENATE("=",$A18))=0,"",N$2))</f>
        <v/>
      </c>
      <c r="O18" s="3" t="str">
        <f>IF($A18="","",IF(countif('Mens Lineup'!O$3:O1000,CONCATENATE("=",$A18))=0,"",O$2))</f>
        <v/>
      </c>
      <c r="P18" s="3" t="str">
        <f>IF($A18="","",IF(countif('Mens Lineup'!P$3:P1000,CONCATENATE("=",$A18))=0,"",P$2))</f>
        <v/>
      </c>
      <c r="Q18" s="3" t="str">
        <f>IF($A18="","",IF(countif('Mens Lineup'!Q$3:Q1000,CONCATENATE("=",$A18))=0,"",Q$2))</f>
        <v/>
      </c>
      <c r="R18" s="3" t="str">
        <f>IF($A18="","",IF(countif('Mens Lineup'!R$3:R1000,CONCATENATE("=",$A18))=0,"",R$2))</f>
        <v/>
      </c>
      <c r="S18" s="3" t="str">
        <f>IF($A18="","",IF(countif('Mens Lineup'!S$3:S1000,CONCATENATE("=",$A18))=0,"",S$2))</f>
        <v/>
      </c>
      <c r="W18" s="3" t="str">
        <f>IFERROR(__xludf.DUMMYFUNCTION("JOIN("","",FILTER(B18:S18,B18:S18&lt;&gt;""""))"),"50 Free,100 Free")</f>
        <v>50 Free,100 Free</v>
      </c>
    </row>
    <row r="19">
      <c r="A19" s="3" t="s">
        <v>47</v>
      </c>
      <c r="B19" s="3" t="str">
        <f>IF($A19="","",IF(countif('Mens Lineup'!B$3:B1000,CONCATENATE("=",$A19))=0,"",B$2))</f>
        <v>50 Free</v>
      </c>
      <c r="C19" s="3" t="str">
        <f>IF($A19="","",IF(countif('Mens Lineup'!C$3:C1000,CONCATENATE("=",$A19))=0,"",C$2))</f>
        <v>100 Free</v>
      </c>
      <c r="D19" s="3" t="str">
        <f>IF($A19="","",IF(countif('Mens Lineup'!D$3:D1000,CONCATENATE("=",$A19))=0,"",D$2))</f>
        <v/>
      </c>
      <c r="E19" s="3" t="str">
        <f>IF($A19="","",IF(countif('Mens Lineup'!E$3:E1000,CONCATENATE("=",$A19))=0,"",E$2))</f>
        <v/>
      </c>
      <c r="F19" s="3" t="str">
        <f>IF($A19="","",IF(countif('Mens Lineup'!F$3:F1000,CONCATENATE("=",$A19))=0,"",F$2))</f>
        <v/>
      </c>
      <c r="G19" s="3" t="str">
        <f>IF($A19="","",IF(countif('Mens Lineup'!G$3:G1000,CONCATENATE("=",$A19))=0,"",G$2))</f>
        <v/>
      </c>
      <c r="H19" s="3" t="str">
        <f>IF($A19="","",IF(countif('Mens Lineup'!H$3:H1000,CONCATENATE("=",$A19))=0,"",H$2))</f>
        <v/>
      </c>
      <c r="I19" s="3" t="str">
        <f>IF($A19="","",IF(countif('Mens Lineup'!I$3:I1000,CONCATENATE("=",$A19))=0,"",I$2))</f>
        <v>100 Breast</v>
      </c>
      <c r="J19" s="3" t="str">
        <f>IF($A19="","",IF(countif('Mens Lineup'!J$3:J1000,CONCATENATE("=",$A19))=0,"",J$2))</f>
        <v/>
      </c>
      <c r="K19" s="3" t="str">
        <f>IF($A19="","",IF(countif('Mens Lineup'!K$3:K1000,CONCATENATE("=",$A19))=0,"",K$2))</f>
        <v/>
      </c>
      <c r="L19" s="3" t="str">
        <f>IF($A19="","",IF(countif('Mens Lineup'!L$3:L1000,CONCATENATE("=",$A19))=0,"",L$2))</f>
        <v/>
      </c>
      <c r="M19" s="3" t="str">
        <f>IF($A19="","",IF(countif('Mens Lineup'!M$3:M1000,CONCATENATE("=",$A19))=0,"",M$2))</f>
        <v/>
      </c>
      <c r="N19" s="3" t="str">
        <f>IF($A19="","",IF(countif('Mens Lineup'!N$3:N1000,CONCATENATE("=",$A19))=0,"",N$2))</f>
        <v/>
      </c>
      <c r="O19" s="3" t="str">
        <f>IF($A19="","",IF(countif('Mens Lineup'!O$3:O1000,CONCATENATE("=",$A19))=0,"",O$2))</f>
        <v/>
      </c>
      <c r="P19" s="3" t="str">
        <f>IF($A19="","",IF(countif('Mens Lineup'!P$3:P1000,CONCATENATE("=",$A19))=0,"",P$2))</f>
        <v/>
      </c>
      <c r="Q19" s="3" t="str">
        <f>IF($A19="","",IF(countif('Mens Lineup'!Q$3:Q1000,CONCATENATE("=",$A19))=0,"",Q$2))</f>
        <v/>
      </c>
      <c r="R19" s="3" t="str">
        <f>IF($A19="","",IF(countif('Mens Lineup'!R$3:R1000,CONCATENATE("=",$A19))=0,"",R$2))</f>
        <v/>
      </c>
      <c r="S19" s="3" t="str">
        <f>IF($A19="","",IF(countif('Mens Lineup'!S$3:S1000,CONCATENATE("=",$A19))=0,"",S$2))</f>
        <v/>
      </c>
      <c r="W19" s="3" t="str">
        <f>IFERROR(__xludf.DUMMYFUNCTION("JOIN("","",FILTER(B19:S19,B19:S19&lt;&gt;""""))"),"50 Free,100 Free,100 Breast")</f>
        <v>50 Free,100 Free,100 Breast</v>
      </c>
    </row>
    <row r="20">
      <c r="A20" s="3" t="s">
        <v>48</v>
      </c>
      <c r="B20" s="3" t="str">
        <f>IF($A20="","",IF(countif('Mens Lineup'!B$3:B1000,CONCATENATE("=",$A20))=0,"",B$2))</f>
        <v>50 Free</v>
      </c>
      <c r="C20" s="3" t="str">
        <f>IF($A20="","",IF(countif('Mens Lineup'!C$3:C1000,CONCATENATE("=",$A20))=0,"",C$2))</f>
        <v>100 Free</v>
      </c>
      <c r="D20" s="3" t="str">
        <f>IF($A20="","",IF(countif('Mens Lineup'!D$3:D1000,CONCATENATE("=",$A20))=0,"",D$2))</f>
        <v>200 Free</v>
      </c>
      <c r="E20" s="3" t="str">
        <f>IF($A20="","",IF(countif('Mens Lineup'!E$3:E1000,CONCATENATE("=",$A20))=0,"",E$2))</f>
        <v>500 Free</v>
      </c>
      <c r="F20" s="3" t="str">
        <f>IF($A20="","",IF(countif('Mens Lineup'!F$3:F1000,CONCATENATE("=",$A20))=0,"",F$2))</f>
        <v/>
      </c>
      <c r="G20" s="3" t="str">
        <f>IF($A20="","",IF(countif('Mens Lineup'!G$3:G1000,CONCATENATE("=",$A20))=0,"",G$2))</f>
        <v/>
      </c>
      <c r="H20" s="3" t="str">
        <f>IF($A20="","",IF(countif('Mens Lineup'!H$3:H1000,CONCATENATE("=",$A20))=0,"",H$2))</f>
        <v/>
      </c>
      <c r="I20" s="3" t="str">
        <f>IF($A20="","",IF(countif('Mens Lineup'!I$3:I1000,CONCATENATE("=",$A20))=0,"",I$2))</f>
        <v/>
      </c>
      <c r="J20" s="3" t="str">
        <f>IF($A20="","",IF(countif('Mens Lineup'!J$3:J1000,CONCATENATE("=",$A20))=0,"",J$2))</f>
        <v/>
      </c>
      <c r="K20" s="3" t="str">
        <f>IF($A20="","",IF(countif('Mens Lineup'!K$3:K1000,CONCATENATE("=",$A20))=0,"",K$2))</f>
        <v>100 Fly</v>
      </c>
      <c r="L20" s="3" t="str">
        <f>IF($A20="","",IF(countif('Mens Lineup'!L$3:L1000,CONCATENATE("=",$A20))=0,"",L$2))</f>
        <v/>
      </c>
      <c r="M20" s="3" t="str">
        <f>IF($A20="","",IF(countif('Mens Lineup'!M$3:M1000,CONCATENATE("=",$A20))=0,"",M$2))</f>
        <v>200 IM</v>
      </c>
      <c r="N20" s="3" t="str">
        <f>IF($A20="","",IF(countif('Mens Lineup'!N$3:N1000,CONCATENATE("=",$A20))=0,"",N$2))</f>
        <v/>
      </c>
      <c r="O20" s="3" t="str">
        <f>IF($A20="","",IF(countif('Mens Lineup'!O$3:O1000,CONCATENATE("=",$A20))=0,"",O$2))</f>
        <v/>
      </c>
      <c r="P20" s="3" t="str">
        <f>IF($A20="","",IF(countif('Mens Lineup'!P$3:P1000,CONCATENATE("=",$A20))=0,"",P$2))</f>
        <v/>
      </c>
      <c r="Q20" s="3" t="str">
        <f>IF($A20="","",IF(countif('Mens Lineup'!Q$3:Q1000,CONCATENATE("=",$A20))=0,"",Q$2))</f>
        <v/>
      </c>
      <c r="R20" s="3" t="str">
        <f>IF($A20="","",IF(countif('Mens Lineup'!R$3:R1000,CONCATENATE("=",$A20))=0,"",R$2))</f>
        <v/>
      </c>
      <c r="S20" s="3" t="str">
        <f>IF($A20="","",IF(countif('Mens Lineup'!S$3:S1000,CONCATENATE("=",$A20))=0,"",S$2))</f>
        <v/>
      </c>
      <c r="W20" s="3" t="str">
        <f>IFERROR(__xludf.DUMMYFUNCTION("JOIN("","",FILTER(B20:S20,B20:S20&lt;&gt;""""))"),"50 Free,100 Free,200 Free,500 Free,100 Fly,200 IM")</f>
        <v>50 Free,100 Free,200 Free,500 Free,100 Fly,200 IM</v>
      </c>
    </row>
    <row r="21">
      <c r="A21" s="3" t="s">
        <v>49</v>
      </c>
      <c r="B21" s="3" t="str">
        <f>IF($A21="","",IF(countif('Mens Lineup'!B$3:B1000,CONCATENATE("=",$A21))=0,"",B$2))</f>
        <v>50 Free</v>
      </c>
      <c r="C21" s="3" t="str">
        <f>IF($A21="","",IF(countif('Mens Lineup'!C$3:C1000,CONCATENATE("=",$A21))=0,"",C$2))</f>
        <v>100 Free</v>
      </c>
      <c r="D21" s="3" t="str">
        <f>IF($A21="","",IF(countif('Mens Lineup'!D$3:D1000,CONCATENATE("=",$A21))=0,"",D$2))</f>
        <v/>
      </c>
      <c r="E21" s="3" t="str">
        <f>IF($A21="","",IF(countif('Mens Lineup'!E$3:E1000,CONCATENATE("=",$A21))=0,"",E$2))</f>
        <v>500 Free</v>
      </c>
      <c r="F21" s="3" t="str">
        <f>IF($A21="","",IF(countif('Mens Lineup'!F$3:F1000,CONCATENATE("=",$A21))=0,"",F$2))</f>
        <v/>
      </c>
      <c r="G21" s="3" t="str">
        <f>IF($A21="","",IF(countif('Mens Lineup'!G$3:G1000,CONCATENATE("=",$A21))=0,"",G$2))</f>
        <v/>
      </c>
      <c r="H21" s="3" t="str">
        <f>IF($A21="","",IF(countif('Mens Lineup'!H$3:H1000,CONCATENATE("=",$A21))=0,"",H$2))</f>
        <v>200 Back</v>
      </c>
      <c r="I21" s="3" t="str">
        <f>IF($A21="","",IF(countif('Mens Lineup'!I$3:I1000,CONCATENATE("=",$A21))=0,"",I$2))</f>
        <v/>
      </c>
      <c r="J21" s="3" t="str">
        <f>IF($A21="","",IF(countif('Mens Lineup'!J$3:J1000,CONCATENATE("=",$A21))=0,"",J$2))</f>
        <v/>
      </c>
      <c r="K21" s="3" t="str">
        <f>IF($A21="","",IF(countif('Mens Lineup'!K$3:K1000,CONCATENATE("=",$A21))=0,"",K$2))</f>
        <v/>
      </c>
      <c r="L21" s="3" t="str">
        <f>IF($A21="","",IF(countif('Mens Lineup'!L$3:L1000,CONCATENATE("=",$A21))=0,"",L$2))</f>
        <v>200 Fly</v>
      </c>
      <c r="M21" s="3" t="str">
        <f>IF($A21="","",IF(countif('Mens Lineup'!M$3:M1000,CONCATENATE("=",$A21))=0,"",M$2))</f>
        <v/>
      </c>
      <c r="N21" s="3" t="str">
        <f>IF($A21="","",IF(countif('Mens Lineup'!N$3:N1000,CONCATENATE("=",$A21))=0,"",N$2))</f>
        <v/>
      </c>
      <c r="O21" s="3" t="str">
        <f>IF($A21="","",IF(countif('Mens Lineup'!O$3:O1000,CONCATENATE("=",$A21))=0,"",O$2))</f>
        <v/>
      </c>
      <c r="P21" s="3" t="str">
        <f>IF($A21="","",IF(countif('Mens Lineup'!P$3:P1000,CONCATENATE("=",$A21))=0,"",P$2))</f>
        <v/>
      </c>
      <c r="Q21" s="3" t="str">
        <f>IF($A21="","",IF(countif('Mens Lineup'!Q$3:Q1000,CONCATENATE("=",$A21))=0,"",Q$2))</f>
        <v/>
      </c>
      <c r="R21" s="3" t="str">
        <f>IF($A21="","",IF(countif('Mens Lineup'!R$3:R1000,CONCATENATE("=",$A21))=0,"",R$2))</f>
        <v/>
      </c>
      <c r="S21" s="3" t="str">
        <f>IF($A21="","",IF(countif('Mens Lineup'!S$3:S1000,CONCATENATE("=",$A21))=0,"",S$2))</f>
        <v/>
      </c>
      <c r="W21" s="3" t="str">
        <f>IFERROR(__xludf.DUMMYFUNCTION("JOIN("","",FILTER(B21:S21,B21:S21&lt;&gt;""""))"),"50 Free,100 Free,500 Free,200 Back,200 Fly")</f>
        <v>50 Free,100 Free,500 Free,200 Back,200 Fly</v>
      </c>
    </row>
    <row r="22">
      <c r="A22" s="3" t="s">
        <v>50</v>
      </c>
      <c r="B22" s="3" t="str">
        <f>IF($A22="","",IF(countif('Mens Lineup'!B$3:B1000,CONCATENATE("=",$A22))=0,"",B$2))</f>
        <v>50 Free</v>
      </c>
      <c r="C22" s="3" t="str">
        <f>IF($A22="","",IF(countif('Mens Lineup'!C$3:C1000,CONCATENATE("=",$A22))=0,"",C$2))</f>
        <v>100 Free</v>
      </c>
      <c r="D22" s="3" t="str">
        <f>IF($A22="","",IF(countif('Mens Lineup'!D$3:D1000,CONCATENATE("=",$A22))=0,"",D$2))</f>
        <v/>
      </c>
      <c r="E22" s="3" t="str">
        <f>IF($A22="","",IF(countif('Mens Lineup'!E$3:E1000,CONCATENATE("=",$A22))=0,"",E$2))</f>
        <v/>
      </c>
      <c r="F22" s="3" t="str">
        <f>IF($A22="","",IF(countif('Mens Lineup'!F$3:F1000,CONCATENATE("=",$A22))=0,"",F$2))</f>
        <v/>
      </c>
      <c r="G22" s="3" t="str">
        <f>IF($A22="","",IF(countif('Mens Lineup'!G$3:G1000,CONCATENATE("=",$A22))=0,"",G$2))</f>
        <v>100 Back</v>
      </c>
      <c r="H22" s="3" t="str">
        <f>IF($A22="","",IF(countif('Mens Lineup'!H$3:H1000,CONCATENATE("=",$A22))=0,"",H$2))</f>
        <v/>
      </c>
      <c r="I22" s="3" t="str">
        <f>IF($A22="","",IF(countif('Mens Lineup'!I$3:I1000,CONCATENATE("=",$A22))=0,"",I$2))</f>
        <v/>
      </c>
      <c r="J22" s="3" t="str">
        <f>IF($A22="","",IF(countif('Mens Lineup'!J$3:J1000,CONCATENATE("=",$A22))=0,"",J$2))</f>
        <v/>
      </c>
      <c r="K22" s="3" t="str">
        <f>IF($A22="","",IF(countif('Mens Lineup'!K$3:K1000,CONCATENATE("=",$A22))=0,"",K$2))</f>
        <v/>
      </c>
      <c r="L22" s="3" t="str">
        <f>IF($A22="","",IF(countif('Mens Lineup'!L$3:L1000,CONCATENATE("=",$A22))=0,"",L$2))</f>
        <v/>
      </c>
      <c r="M22" s="3" t="str">
        <f>IF($A22="","",IF(countif('Mens Lineup'!M$3:M1000,CONCATENATE("=",$A22))=0,"",M$2))</f>
        <v/>
      </c>
      <c r="N22" s="3" t="str">
        <f>IF($A22="","",IF(countif('Mens Lineup'!N$3:N1000,CONCATENATE("=",$A22))=0,"",N$2))</f>
        <v/>
      </c>
      <c r="O22" s="3" t="str">
        <f>IF($A22="","",IF(countif('Mens Lineup'!O$3:O1000,CONCATENATE("=",$A22))=0,"",O$2))</f>
        <v/>
      </c>
      <c r="P22" s="3" t="str">
        <f>IF($A22="","",IF(countif('Mens Lineup'!P$3:P1000,CONCATENATE("=",$A22))=0,"",P$2))</f>
        <v/>
      </c>
      <c r="Q22" s="3" t="str">
        <f>IF($A22="","",IF(countif('Mens Lineup'!Q$3:Q1000,CONCATENATE("=",$A22))=0,"",Q$2))</f>
        <v/>
      </c>
      <c r="R22" s="3" t="str">
        <f>IF($A22="","",IF(countif('Mens Lineup'!R$3:R1000,CONCATENATE("=",$A22))=0,"",R$2))</f>
        <v/>
      </c>
      <c r="S22" s="3" t="str">
        <f>IF($A22="","",IF(countif('Mens Lineup'!S$3:S1000,CONCATENATE("=",$A22))=0,"",S$2))</f>
        <v/>
      </c>
      <c r="W22" s="3" t="str">
        <f>IFERROR(__xludf.DUMMYFUNCTION("JOIN("","",FILTER(B22:S22,B22:S22&lt;&gt;""""))"),"50 Free,100 Free,100 Back")</f>
        <v>50 Free,100 Free,100 Back</v>
      </c>
    </row>
    <row r="23">
      <c r="A23" s="3" t="s">
        <v>51</v>
      </c>
      <c r="B23" s="3" t="str">
        <f>IF($A23="","",IF(countif('Mens Lineup'!B$3:B1000,CONCATENATE("=",$A23))=0,"",B$2))</f>
        <v>50 Free</v>
      </c>
      <c r="C23" s="3" t="str">
        <f>IF($A23="","",IF(countif('Mens Lineup'!C$3:C1000,CONCATENATE("=",$A23))=0,"",C$2))</f>
        <v>100 Free</v>
      </c>
      <c r="D23" s="3" t="str">
        <f>IF($A23="","",IF(countif('Mens Lineup'!D$3:D1000,CONCATENATE("=",$A23))=0,"",D$2))</f>
        <v>200 Free</v>
      </c>
      <c r="E23" s="3" t="str">
        <f>IF($A23="","",IF(countif('Mens Lineup'!E$3:E1000,CONCATENATE("=",$A23))=0,"",E$2))</f>
        <v/>
      </c>
      <c r="F23" s="3" t="str">
        <f>IF($A23="","",IF(countif('Mens Lineup'!F$3:F1000,CONCATENATE("=",$A23))=0,"",F$2))</f>
        <v/>
      </c>
      <c r="G23" s="3" t="str">
        <f>IF($A23="","",IF(countif('Mens Lineup'!G$3:G1000,CONCATENATE("=",$A23))=0,"",G$2))</f>
        <v/>
      </c>
      <c r="H23" s="3" t="str">
        <f>IF($A23="","",IF(countif('Mens Lineup'!H$3:H1000,CONCATENATE("=",$A23))=0,"",H$2))</f>
        <v/>
      </c>
      <c r="I23" s="3" t="str">
        <f>IF($A23="","",IF(countif('Mens Lineup'!I$3:I1000,CONCATENATE("=",$A23))=0,"",I$2))</f>
        <v>100 Breast</v>
      </c>
      <c r="J23" s="3" t="str">
        <f>IF($A23="","",IF(countif('Mens Lineup'!J$3:J1000,CONCATENATE("=",$A23))=0,"",J$2))</f>
        <v>200 Breast</v>
      </c>
      <c r="K23" s="3" t="str">
        <f>IF($A23="","",IF(countif('Mens Lineup'!K$3:K1000,CONCATENATE("=",$A23))=0,"",K$2))</f>
        <v/>
      </c>
      <c r="L23" s="3" t="str">
        <f>IF($A23="","",IF(countif('Mens Lineup'!L$3:L1000,CONCATENATE("=",$A23))=0,"",L$2))</f>
        <v/>
      </c>
      <c r="M23" s="3" t="str">
        <f>IF($A23="","",IF(countif('Mens Lineup'!M$3:M1000,CONCATENATE("=",$A23))=0,"",M$2))</f>
        <v>200 IM</v>
      </c>
      <c r="N23" s="3" t="str">
        <f>IF($A23="","",IF(countif('Mens Lineup'!N$3:N1000,CONCATENATE("=",$A23))=0,"",N$2))</f>
        <v/>
      </c>
      <c r="O23" s="3" t="str">
        <f>IF($A23="","",IF(countif('Mens Lineup'!O$3:O1000,CONCATENATE("=",$A23))=0,"",O$2))</f>
        <v/>
      </c>
      <c r="P23" s="3" t="str">
        <f>IF($A23="","",IF(countif('Mens Lineup'!P$3:P1000,CONCATENATE("=",$A23))=0,"",P$2))</f>
        <v/>
      </c>
      <c r="Q23" s="3" t="str">
        <f>IF($A23="","",IF(countif('Mens Lineup'!Q$3:Q1000,CONCATENATE("=",$A23))=0,"",Q$2))</f>
        <v/>
      </c>
      <c r="R23" s="3" t="str">
        <f>IF($A23="","",IF(countif('Mens Lineup'!R$3:R1000,CONCATENATE("=",$A23))=0,"",R$2))</f>
        <v/>
      </c>
      <c r="S23" s="3" t="str">
        <f>IF($A23="","",IF(countif('Mens Lineup'!S$3:S1000,CONCATENATE("=",$A23))=0,"",S$2))</f>
        <v/>
      </c>
      <c r="W23" s="3" t="str">
        <f>IFERROR(__xludf.DUMMYFUNCTION("JOIN("","",FILTER(B23:S23,B23:S23&lt;&gt;""""))"),"50 Free,100 Free,200 Free,100 Breast,200 Breast,200 IM")</f>
        <v>50 Free,100 Free,200 Free,100 Breast,200 Breast,200 IM</v>
      </c>
    </row>
    <row r="24">
      <c r="A24" s="3" t="s">
        <v>52</v>
      </c>
      <c r="B24" s="3" t="str">
        <f>IF($A24="","",IF(countif('Mens Lineup'!B$3:B1000,CONCATENATE("=",$A24))=0,"",B$2))</f>
        <v>50 Free</v>
      </c>
      <c r="C24" s="3" t="str">
        <f>IF($A24="","",IF(countif('Mens Lineup'!C$3:C1000,CONCATENATE("=",$A24))=0,"",C$2))</f>
        <v>100 Free</v>
      </c>
      <c r="D24" s="3" t="str">
        <f>IF($A24="","",IF(countif('Mens Lineup'!D$3:D1000,CONCATENATE("=",$A24))=0,"",D$2))</f>
        <v/>
      </c>
      <c r="E24" s="3" t="str">
        <f>IF($A24="","",IF(countif('Mens Lineup'!E$3:E1000,CONCATENATE("=",$A24))=0,"",E$2))</f>
        <v/>
      </c>
      <c r="F24" s="3" t="str">
        <f>IF($A24="","",IF(countif('Mens Lineup'!F$3:F1000,CONCATENATE("=",$A24))=0,"",F$2))</f>
        <v/>
      </c>
      <c r="G24" s="3" t="str">
        <f>IF($A24="","",IF(countif('Mens Lineup'!G$3:G1000,CONCATENATE("=",$A24))=0,"",G$2))</f>
        <v>100 Back</v>
      </c>
      <c r="H24" s="3" t="str">
        <f>IF($A24="","",IF(countif('Mens Lineup'!H$3:H1000,CONCATENATE("=",$A24))=0,"",H$2))</f>
        <v/>
      </c>
      <c r="I24" s="3" t="str">
        <f>IF($A24="","",IF(countif('Mens Lineup'!I$3:I1000,CONCATENATE("=",$A24))=0,"",I$2))</f>
        <v/>
      </c>
      <c r="J24" s="3" t="str">
        <f>IF($A24="","",IF(countif('Mens Lineup'!J$3:J1000,CONCATENATE("=",$A24))=0,"",J$2))</f>
        <v/>
      </c>
      <c r="K24" s="3" t="str">
        <f>IF($A24="","",IF(countif('Mens Lineup'!K$3:K1000,CONCATENATE("=",$A24))=0,"",K$2))</f>
        <v/>
      </c>
      <c r="L24" s="3" t="str">
        <f>IF($A24="","",IF(countif('Mens Lineup'!L$3:L1000,CONCATENATE("=",$A24))=0,"",L$2))</f>
        <v/>
      </c>
      <c r="M24" s="3" t="str">
        <f>IF($A24="","",IF(countif('Mens Lineup'!M$3:M1000,CONCATENATE("=",$A24))=0,"",M$2))</f>
        <v>200 IM</v>
      </c>
      <c r="N24" s="3" t="str">
        <f>IF($A24="","",IF(countif('Mens Lineup'!N$3:N1000,CONCATENATE("=",$A24))=0,"",N$2))</f>
        <v/>
      </c>
      <c r="O24" s="3" t="str">
        <f>IF($A24="","",IF(countif('Mens Lineup'!O$3:O1000,CONCATENATE("=",$A24))=0,"",O$2))</f>
        <v/>
      </c>
      <c r="P24" s="3" t="str">
        <f>IF($A24="","",IF(countif('Mens Lineup'!P$3:P1000,CONCATENATE("=",$A24))=0,"",P$2))</f>
        <v/>
      </c>
      <c r="Q24" s="3" t="str">
        <f>IF($A24="","",IF(countif('Mens Lineup'!Q$3:Q1000,CONCATENATE("=",$A24))=0,"",Q$2))</f>
        <v/>
      </c>
      <c r="R24" s="3" t="str">
        <f>IF($A24="","",IF(countif('Mens Lineup'!R$3:R1000,CONCATENATE("=",$A24))=0,"",R$2))</f>
        <v/>
      </c>
      <c r="S24" s="3" t="str">
        <f>IF($A24="","",IF(countif('Mens Lineup'!S$3:S1000,CONCATENATE("=",$A24))=0,"",S$2))</f>
        <v/>
      </c>
      <c r="W24" s="3" t="str">
        <f>IFERROR(__xludf.DUMMYFUNCTION("JOIN("","",FILTER(B24:S24,B24:S24&lt;&gt;""""))"),"50 Free,100 Free,100 Back,200 IM")</f>
        <v>50 Free,100 Free,100 Back,200 IM</v>
      </c>
    </row>
    <row r="25">
      <c r="A25" s="3" t="s">
        <v>53</v>
      </c>
      <c r="B25" s="3" t="str">
        <f>IF($A25="","",IF(countif('Mens Lineup'!B$3:B1000,CONCATENATE("=",$A25))=0,"",B$2))</f>
        <v>50 Free</v>
      </c>
      <c r="C25" s="3" t="str">
        <f>IF($A25="","",IF(countif('Mens Lineup'!C$3:C1000,CONCATENATE("=",$A25))=0,"",C$2))</f>
        <v>100 Free</v>
      </c>
      <c r="D25" s="3" t="str">
        <f>IF($A25="","",IF(countif('Mens Lineup'!D$3:D1000,CONCATENATE("=",$A25))=0,"",D$2))</f>
        <v/>
      </c>
      <c r="E25" s="3" t="str">
        <f>IF($A25="","",IF(countif('Mens Lineup'!E$3:E1000,CONCATENATE("=",$A25))=0,"",E$2))</f>
        <v/>
      </c>
      <c r="F25" s="3" t="str">
        <f>IF($A25="","",IF(countif('Mens Lineup'!F$3:F1000,CONCATENATE("=",$A25))=0,"",F$2))</f>
        <v/>
      </c>
      <c r="G25" s="3" t="str">
        <f>IF($A25="","",IF(countif('Mens Lineup'!G$3:G1000,CONCATENATE("=",$A25))=0,"",G$2))</f>
        <v/>
      </c>
      <c r="H25" s="3" t="str">
        <f>IF($A25="","",IF(countif('Mens Lineup'!H$3:H1000,CONCATENATE("=",$A25))=0,"",H$2))</f>
        <v/>
      </c>
      <c r="I25" s="3" t="str">
        <f>IF($A25="","",IF(countif('Mens Lineup'!I$3:I1000,CONCATENATE("=",$A25))=0,"",I$2))</f>
        <v/>
      </c>
      <c r="J25" s="3" t="str">
        <f>IF($A25="","",IF(countif('Mens Lineup'!J$3:J1000,CONCATENATE("=",$A25))=0,"",J$2))</f>
        <v/>
      </c>
      <c r="K25" s="3" t="str">
        <f>IF($A25="","",IF(countif('Mens Lineup'!K$3:K1000,CONCATENATE("=",$A25))=0,"",K$2))</f>
        <v/>
      </c>
      <c r="L25" s="3" t="str">
        <f>IF($A25="","",IF(countif('Mens Lineup'!L$3:L1000,CONCATENATE("=",$A25))=0,"",L$2))</f>
        <v/>
      </c>
      <c r="M25" s="3" t="str">
        <f>IF($A25="","",IF(countif('Mens Lineup'!M$3:M1000,CONCATENATE("=",$A25))=0,"",M$2))</f>
        <v>200 IM</v>
      </c>
      <c r="N25" s="3" t="str">
        <f>IF($A25="","",IF(countif('Mens Lineup'!N$3:N1000,CONCATENATE("=",$A25))=0,"",N$2))</f>
        <v/>
      </c>
      <c r="O25" s="3" t="str">
        <f>IF($A25="","",IF(countif('Mens Lineup'!O$3:O1000,CONCATENATE("=",$A25))=0,"",O$2))</f>
        <v/>
      </c>
      <c r="P25" s="3" t="str">
        <f>IF($A25="","",IF(countif('Mens Lineup'!P$3:P1000,CONCATENATE("=",$A25))=0,"",P$2))</f>
        <v/>
      </c>
      <c r="Q25" s="3" t="str">
        <f>IF($A25="","",IF(countif('Mens Lineup'!Q$3:Q1000,CONCATENATE("=",$A25))=0,"",Q$2))</f>
        <v/>
      </c>
      <c r="R25" s="3" t="str">
        <f>IF($A25="","",IF(countif('Mens Lineup'!R$3:R1000,CONCATENATE("=",$A25))=0,"",R$2))</f>
        <v/>
      </c>
      <c r="S25" s="3" t="str">
        <f>IF($A25="","",IF(countif('Mens Lineup'!S$3:S1000,CONCATENATE("=",$A25))=0,"",S$2))</f>
        <v/>
      </c>
      <c r="W25" s="3" t="str">
        <f>IFERROR(__xludf.DUMMYFUNCTION("JOIN("","",FILTER(B25:S25,B25:S25&lt;&gt;""""))"),"50 Free,100 Free,200 IM")</f>
        <v>50 Free,100 Free,200 IM</v>
      </c>
    </row>
    <row r="26">
      <c r="A26" s="3" t="s">
        <v>54</v>
      </c>
      <c r="B26" s="3" t="str">
        <f>IF($A26="","",IF(countif('Mens Lineup'!B$3:B1000,CONCATENATE("=",$A26))=0,"",B$2))</f>
        <v>50 Free</v>
      </c>
      <c r="C26" s="3" t="str">
        <f>IF($A26="","",IF(countif('Mens Lineup'!C$3:C1000,CONCATENATE("=",$A26))=0,"",C$2))</f>
        <v>100 Free</v>
      </c>
      <c r="D26" s="3" t="str">
        <f>IF($A26="","",IF(countif('Mens Lineup'!D$3:D1000,CONCATENATE("=",$A26))=0,"",D$2))</f>
        <v>200 Free</v>
      </c>
      <c r="E26" s="3" t="str">
        <f>IF($A26="","",IF(countif('Mens Lineup'!E$3:E1000,CONCATENATE("=",$A26))=0,"",E$2))</f>
        <v/>
      </c>
      <c r="F26" s="3" t="str">
        <f>IF($A26="","",IF(countif('Mens Lineup'!F$3:F1000,CONCATENATE("=",$A26))=0,"",F$2))</f>
        <v/>
      </c>
      <c r="G26" s="3" t="str">
        <f>IF($A26="","",IF(countif('Mens Lineup'!G$3:G1000,CONCATENATE("=",$A26))=0,"",G$2))</f>
        <v>100 Back</v>
      </c>
      <c r="H26" s="3" t="str">
        <f>IF($A26="","",IF(countif('Mens Lineup'!H$3:H1000,CONCATENATE("=",$A26))=0,"",H$2))</f>
        <v>200 Back</v>
      </c>
      <c r="I26" s="3" t="str">
        <f>IF($A26="","",IF(countif('Mens Lineup'!I$3:I1000,CONCATENATE("=",$A26))=0,"",I$2))</f>
        <v/>
      </c>
      <c r="J26" s="3" t="str">
        <f>IF($A26="","",IF(countif('Mens Lineup'!J$3:J1000,CONCATENATE("=",$A26))=0,"",J$2))</f>
        <v/>
      </c>
      <c r="K26" s="3" t="str">
        <f>IF($A26="","",IF(countif('Mens Lineup'!K$3:K1000,CONCATENATE("=",$A26))=0,"",K$2))</f>
        <v/>
      </c>
      <c r="L26" s="3" t="str">
        <f>IF($A26="","",IF(countif('Mens Lineup'!L$3:L1000,CONCATENATE("=",$A26))=0,"",L$2))</f>
        <v/>
      </c>
      <c r="M26" s="3" t="str">
        <f>IF($A26="","",IF(countif('Mens Lineup'!M$3:M1000,CONCATENATE("=",$A26))=0,"",M$2))</f>
        <v>200 IM</v>
      </c>
      <c r="N26" s="3" t="str">
        <f>IF($A26="","",IF(countif('Mens Lineup'!N$3:N1000,CONCATENATE("=",$A26))=0,"",N$2))</f>
        <v/>
      </c>
      <c r="O26" s="3" t="str">
        <f>IF($A26="","",IF(countif('Mens Lineup'!O$3:O1000,CONCATENATE("=",$A26))=0,"",O$2))</f>
        <v/>
      </c>
      <c r="P26" s="3" t="str">
        <f>IF($A26="","",IF(countif('Mens Lineup'!P$3:P1000,CONCATENATE("=",$A26))=0,"",P$2))</f>
        <v/>
      </c>
      <c r="Q26" s="3" t="str">
        <f>IF($A26="","",IF(countif('Mens Lineup'!Q$3:Q1000,CONCATENATE("=",$A26))=0,"",Q$2))</f>
        <v/>
      </c>
      <c r="R26" s="3" t="str">
        <f>IF($A26="","",IF(countif('Mens Lineup'!R$3:R1000,CONCATENATE("=",$A26))=0,"",R$2))</f>
        <v/>
      </c>
      <c r="S26" s="3" t="str">
        <f>IF($A26="","",IF(countif('Mens Lineup'!S$3:S1000,CONCATENATE("=",$A26))=0,"",S$2))</f>
        <v/>
      </c>
      <c r="W26" s="3" t="str">
        <f>IFERROR(__xludf.DUMMYFUNCTION("JOIN("","",FILTER(B26:S26,B26:S26&lt;&gt;""""))"),"50 Free,100 Free,200 Free,100 Back,200 Back,200 IM")</f>
        <v>50 Free,100 Free,200 Free,100 Back,200 Back,200 IM</v>
      </c>
    </row>
    <row r="27">
      <c r="A27" s="3" t="s">
        <v>55</v>
      </c>
      <c r="B27" s="3" t="str">
        <f>IF($A27="","",IF(countif('Mens Lineup'!B$3:B1000,CONCATENATE("=",$A27))=0,"",B$2))</f>
        <v>50 Free</v>
      </c>
      <c r="C27" s="3" t="str">
        <f>IF($A27="","",IF(countif('Mens Lineup'!C$3:C1000,CONCATENATE("=",$A27))=0,"",C$2))</f>
        <v>100 Free</v>
      </c>
      <c r="D27" s="3" t="str">
        <f>IF($A27="","",IF(countif('Mens Lineup'!D$3:D1000,CONCATENATE("=",$A27))=0,"",D$2))</f>
        <v>200 Free</v>
      </c>
      <c r="E27" s="3" t="str">
        <f>IF($A27="","",IF(countif('Mens Lineup'!E$3:E1000,CONCATENATE("=",$A27))=0,"",E$2))</f>
        <v>500 Free</v>
      </c>
      <c r="F27" s="3" t="str">
        <f>IF($A27="","",IF(countif('Mens Lineup'!F$3:F1000,CONCATENATE("=",$A27))=0,"",F$2))</f>
        <v/>
      </c>
      <c r="G27" s="3" t="str">
        <f>IF($A27="","",IF(countif('Mens Lineup'!G$3:G1000,CONCATENATE("=",$A27))=0,"",G$2))</f>
        <v/>
      </c>
      <c r="H27" s="3" t="str">
        <f>IF($A27="","",IF(countif('Mens Lineup'!H$3:H1000,CONCATENATE("=",$A27))=0,"",H$2))</f>
        <v/>
      </c>
      <c r="I27" s="3" t="str">
        <f>IF($A27="","",IF(countif('Mens Lineup'!I$3:I1000,CONCATENATE("=",$A27))=0,"",I$2))</f>
        <v/>
      </c>
      <c r="J27" s="3" t="str">
        <f>IF($A27="","",IF(countif('Mens Lineup'!J$3:J1000,CONCATENATE("=",$A27))=0,"",J$2))</f>
        <v/>
      </c>
      <c r="K27" s="3" t="str">
        <f>IF($A27="","",IF(countif('Mens Lineup'!K$3:K1000,CONCATENATE("=",$A27))=0,"",K$2))</f>
        <v>100 Fly</v>
      </c>
      <c r="L27" s="3" t="str">
        <f>IF($A27="","",IF(countif('Mens Lineup'!L$3:L1000,CONCATENATE("=",$A27))=0,"",L$2))</f>
        <v>200 Fly</v>
      </c>
      <c r="M27" s="3" t="str">
        <f>IF($A27="","",IF(countif('Mens Lineup'!M$3:M1000,CONCATENATE("=",$A27))=0,"",M$2))</f>
        <v/>
      </c>
      <c r="N27" s="3" t="str">
        <f>IF($A27="","",IF(countif('Mens Lineup'!N$3:N1000,CONCATENATE("=",$A27))=0,"",N$2))</f>
        <v/>
      </c>
      <c r="O27" s="3" t="str">
        <f>IF($A27="","",IF(countif('Mens Lineup'!O$3:O1000,CONCATENATE("=",$A27))=0,"",O$2))</f>
        <v/>
      </c>
      <c r="P27" s="3" t="str">
        <f>IF($A27="","",IF(countif('Mens Lineup'!P$3:P1000,CONCATENATE("=",$A27))=0,"",P$2))</f>
        <v/>
      </c>
      <c r="Q27" s="3" t="str">
        <f>IF($A27="","",IF(countif('Mens Lineup'!Q$3:Q1000,CONCATENATE("=",$A27))=0,"",Q$2))</f>
        <v/>
      </c>
      <c r="R27" s="3" t="str">
        <f>IF($A27="","",IF(countif('Mens Lineup'!R$3:R1000,CONCATENATE("=",$A27))=0,"",R$2))</f>
        <v/>
      </c>
      <c r="S27" s="3" t="str">
        <f>IF($A27="","",IF(countif('Mens Lineup'!S$3:S1000,CONCATENATE("=",$A27))=0,"",S$2))</f>
        <v/>
      </c>
      <c r="W27" s="3" t="str">
        <f>IFERROR(__xludf.DUMMYFUNCTION("JOIN("","",FILTER(B27:S27,B27:S27&lt;&gt;""""))"),"50 Free,100 Free,200 Free,500 Free,100 Fly,200 Fly")</f>
        <v>50 Free,100 Free,200 Free,500 Free,100 Fly,200 Fly</v>
      </c>
    </row>
    <row r="28">
      <c r="A28" s="3" t="s">
        <v>56</v>
      </c>
      <c r="B28" s="3" t="str">
        <f>IF($A28="","",IF(countif('Mens Lineup'!B$3:B1000,CONCATENATE("=",$A28))=0,"",B$2))</f>
        <v>50 Free</v>
      </c>
      <c r="C28" s="3" t="str">
        <f>IF($A28="","",IF(countif('Mens Lineup'!C$3:C1000,CONCATENATE("=",$A28))=0,"",C$2))</f>
        <v>100 Free</v>
      </c>
      <c r="D28" s="3" t="str">
        <f>IF($A28="","",IF(countif('Mens Lineup'!D$3:D1000,CONCATENATE("=",$A28))=0,"",D$2))</f>
        <v>200 Free</v>
      </c>
      <c r="E28" s="3" t="str">
        <f>IF($A28="","",IF(countif('Mens Lineup'!E$3:E1000,CONCATENATE("=",$A28))=0,"",E$2))</f>
        <v/>
      </c>
      <c r="F28" s="3" t="str">
        <f>IF($A28="","",IF(countif('Mens Lineup'!F$3:F1000,CONCATENATE("=",$A28))=0,"",F$2))</f>
        <v/>
      </c>
      <c r="G28" s="3" t="str">
        <f>IF($A28="","",IF(countif('Mens Lineup'!G$3:G1000,CONCATENATE("=",$A28))=0,"",G$2))</f>
        <v/>
      </c>
      <c r="H28" s="3" t="str">
        <f>IF($A28="","",IF(countif('Mens Lineup'!H$3:H1000,CONCATENATE("=",$A28))=0,"",H$2))</f>
        <v/>
      </c>
      <c r="I28" s="3" t="str">
        <f>IF($A28="","",IF(countif('Mens Lineup'!I$3:I1000,CONCATENATE("=",$A28))=0,"",I$2))</f>
        <v/>
      </c>
      <c r="J28" s="3" t="str">
        <f>IF($A28="","",IF(countif('Mens Lineup'!J$3:J1000,CONCATENATE("=",$A28))=0,"",J$2))</f>
        <v/>
      </c>
      <c r="K28" s="3" t="str">
        <f>IF($A28="","",IF(countif('Mens Lineup'!K$3:K1000,CONCATENATE("=",$A28))=0,"",K$2))</f>
        <v>100 Fly</v>
      </c>
      <c r="L28" s="3" t="str">
        <f>IF($A28="","",IF(countif('Mens Lineup'!L$3:L1000,CONCATENATE("=",$A28))=0,"",L$2))</f>
        <v>200 Fly</v>
      </c>
      <c r="M28" s="3" t="str">
        <f>IF($A28="","",IF(countif('Mens Lineup'!M$3:M1000,CONCATENATE("=",$A28))=0,"",M$2))</f>
        <v>200 IM</v>
      </c>
      <c r="N28" s="3" t="str">
        <f>IF($A28="","",IF(countif('Mens Lineup'!N$3:N1000,CONCATENATE("=",$A28))=0,"",N$2))</f>
        <v/>
      </c>
      <c r="O28" s="3" t="str">
        <f>IF($A28="","",IF(countif('Mens Lineup'!O$3:O1000,CONCATENATE("=",$A28))=0,"",O$2))</f>
        <v/>
      </c>
      <c r="P28" s="3" t="str">
        <f>IF($A28="","",IF(countif('Mens Lineup'!P$3:P1000,CONCATENATE("=",$A28))=0,"",P$2))</f>
        <v/>
      </c>
      <c r="Q28" s="3" t="str">
        <f>IF($A28="","",IF(countif('Mens Lineup'!Q$3:Q1000,CONCATENATE("=",$A28))=0,"",Q$2))</f>
        <v/>
      </c>
      <c r="R28" s="3" t="str">
        <f>IF($A28="","",IF(countif('Mens Lineup'!R$3:R1000,CONCATENATE("=",$A28))=0,"",R$2))</f>
        <v/>
      </c>
      <c r="S28" s="3" t="str">
        <f>IF($A28="","",IF(countif('Mens Lineup'!S$3:S1000,CONCATENATE("=",$A28))=0,"",S$2))</f>
        <v/>
      </c>
      <c r="W28" s="3" t="str">
        <f>IFERROR(__xludf.DUMMYFUNCTION("JOIN("","",FILTER(B28:S28,B28:S28&lt;&gt;""""))"),"50 Free,100 Free,200 Free,100 Fly,200 Fly,200 IM")</f>
        <v>50 Free,100 Free,200 Free,100 Fly,200 Fly,200 IM</v>
      </c>
    </row>
    <row r="29">
      <c r="A29" s="3" t="s">
        <v>57</v>
      </c>
      <c r="B29" s="3" t="str">
        <f>IF($A29="","",IF(countif('Mens Lineup'!B$3:B1000,CONCATENATE("=",$A29))=0,"",B$2))</f>
        <v>50 Free</v>
      </c>
      <c r="C29" s="3" t="str">
        <f>IF($A29="","",IF(countif('Mens Lineup'!C$3:C1000,CONCATENATE("=",$A29))=0,"",C$2))</f>
        <v>100 Free</v>
      </c>
      <c r="D29" s="3" t="str">
        <f>IF($A29="","",IF(countif('Mens Lineup'!D$3:D1000,CONCATENATE("=",$A29))=0,"",D$2))</f>
        <v>200 Free</v>
      </c>
      <c r="E29" s="3" t="str">
        <f>IF($A29="","",IF(countif('Mens Lineup'!E$3:E1000,CONCATENATE("=",$A29))=0,"",E$2))</f>
        <v/>
      </c>
      <c r="F29" s="3" t="str">
        <f>IF($A29="","",IF(countif('Mens Lineup'!F$3:F1000,CONCATENATE("=",$A29))=0,"",F$2))</f>
        <v/>
      </c>
      <c r="G29" s="3" t="str">
        <f>IF($A29="","",IF(countif('Mens Lineup'!G$3:G1000,CONCATENATE("=",$A29))=0,"",G$2))</f>
        <v>100 Back</v>
      </c>
      <c r="H29" s="3" t="str">
        <f>IF($A29="","",IF(countif('Mens Lineup'!H$3:H1000,CONCATENATE("=",$A29))=0,"",H$2))</f>
        <v/>
      </c>
      <c r="I29" s="3" t="str">
        <f>IF($A29="","",IF(countif('Mens Lineup'!I$3:I1000,CONCATENATE("=",$A29))=0,"",I$2))</f>
        <v>100 Breast</v>
      </c>
      <c r="J29" s="3" t="str">
        <f>IF($A29="","",IF(countif('Mens Lineup'!J$3:J1000,CONCATENATE("=",$A29))=0,"",J$2))</f>
        <v/>
      </c>
      <c r="K29" s="3" t="str">
        <f>IF($A29="","",IF(countif('Mens Lineup'!K$3:K1000,CONCATENATE("=",$A29))=0,"",K$2))</f>
        <v/>
      </c>
      <c r="L29" s="3" t="str">
        <f>IF($A29="","",IF(countif('Mens Lineup'!L$3:L1000,CONCATENATE("=",$A29))=0,"",L$2))</f>
        <v/>
      </c>
      <c r="M29" s="3" t="str">
        <f>IF($A29="","",IF(countif('Mens Lineup'!M$3:M1000,CONCATENATE("=",$A29))=0,"",M$2))</f>
        <v>200 IM</v>
      </c>
      <c r="N29" s="3" t="str">
        <f>IF($A29="","",IF(countif('Mens Lineup'!N$3:N1000,CONCATENATE("=",$A29))=0,"",N$2))</f>
        <v/>
      </c>
      <c r="O29" s="3" t="str">
        <f>IF($A29="","",IF(countif('Mens Lineup'!O$3:O1000,CONCATENATE("=",$A29))=0,"",O$2))</f>
        <v/>
      </c>
      <c r="P29" s="3" t="str">
        <f>IF($A29="","",IF(countif('Mens Lineup'!P$3:P1000,CONCATENATE("=",$A29))=0,"",P$2))</f>
        <v/>
      </c>
      <c r="Q29" s="3" t="str">
        <f>IF($A29="","",IF(countif('Mens Lineup'!Q$3:Q1000,CONCATENATE("=",$A29))=0,"",Q$2))</f>
        <v/>
      </c>
      <c r="R29" s="3" t="str">
        <f>IF($A29="","",IF(countif('Mens Lineup'!R$3:R1000,CONCATENATE("=",$A29))=0,"",R$2))</f>
        <v/>
      </c>
      <c r="S29" s="3" t="str">
        <f>IF($A29="","",IF(countif('Mens Lineup'!S$3:S1000,CONCATENATE("=",$A29))=0,"",S$2))</f>
        <v/>
      </c>
      <c r="W29" s="3" t="str">
        <f>IFERROR(__xludf.DUMMYFUNCTION("JOIN("","",FILTER(B29:S29,B29:S29&lt;&gt;""""))"),"50 Free,100 Free,200 Free,100 Back,100 Breast,200 IM")</f>
        <v>50 Free,100 Free,200 Free,100 Back,100 Breast,200 IM</v>
      </c>
    </row>
    <row r="30">
      <c r="A30" s="3" t="s">
        <v>58</v>
      </c>
      <c r="B30" s="3" t="str">
        <f>IF($A30="","",IF(countif('Mens Lineup'!B$3:B1000,CONCATENATE("=",$A30))=0,"",B$2))</f>
        <v>50 Free</v>
      </c>
      <c r="C30" s="3" t="str">
        <f>IF($A30="","",IF(countif('Mens Lineup'!C$3:C1000,CONCATENATE("=",$A30))=0,"",C$2))</f>
        <v>100 Free</v>
      </c>
      <c r="D30" s="3" t="str">
        <f>IF($A30="","",IF(countif('Mens Lineup'!D$3:D1000,CONCATENATE("=",$A30))=0,"",D$2))</f>
        <v/>
      </c>
      <c r="E30" s="3" t="str">
        <f>IF($A30="","",IF(countif('Mens Lineup'!E$3:E1000,CONCATENATE("=",$A30))=0,"",E$2))</f>
        <v/>
      </c>
      <c r="F30" s="3" t="str">
        <f>IF($A30="","",IF(countif('Mens Lineup'!F$3:F1000,CONCATENATE("=",$A30))=0,"",F$2))</f>
        <v/>
      </c>
      <c r="G30" s="3" t="str">
        <f>IF($A30="","",IF(countif('Mens Lineup'!G$3:G1000,CONCATENATE("=",$A30))=0,"",G$2))</f>
        <v/>
      </c>
      <c r="H30" s="3" t="str">
        <f>IF($A30="","",IF(countif('Mens Lineup'!H$3:H1000,CONCATENATE("=",$A30))=0,"",H$2))</f>
        <v/>
      </c>
      <c r="I30" s="3" t="str">
        <f>IF($A30="","",IF(countif('Mens Lineup'!I$3:I1000,CONCATENATE("=",$A30))=0,"",I$2))</f>
        <v>100 Breast</v>
      </c>
      <c r="J30" s="3" t="str">
        <f>IF($A30="","",IF(countif('Mens Lineup'!J$3:J1000,CONCATENATE("=",$A30))=0,"",J$2))</f>
        <v/>
      </c>
      <c r="K30" s="3" t="str">
        <f>IF($A30="","",IF(countif('Mens Lineup'!K$3:K1000,CONCATENATE("=",$A30))=0,"",K$2))</f>
        <v>100 Fly</v>
      </c>
      <c r="L30" s="3" t="str">
        <f>IF($A30="","",IF(countif('Mens Lineup'!L$3:L1000,CONCATENATE("=",$A30))=0,"",L$2))</f>
        <v/>
      </c>
      <c r="M30" s="3" t="str">
        <f>IF($A30="","",IF(countif('Mens Lineup'!M$3:M1000,CONCATENATE("=",$A30))=0,"",M$2))</f>
        <v/>
      </c>
      <c r="N30" s="3" t="str">
        <f>IF($A30="","",IF(countif('Mens Lineup'!N$3:N1000,CONCATENATE("=",$A30))=0,"",N$2))</f>
        <v/>
      </c>
      <c r="O30" s="3" t="str">
        <f>IF($A30="","",IF(countif('Mens Lineup'!O$3:O1000,CONCATENATE("=",$A30))=0,"",O$2))</f>
        <v/>
      </c>
      <c r="P30" s="3" t="str">
        <f>IF($A30="","",IF(countif('Mens Lineup'!P$3:P1000,CONCATENATE("=",$A30))=0,"",P$2))</f>
        <v/>
      </c>
      <c r="Q30" s="3" t="str">
        <f>IF($A30="","",IF(countif('Mens Lineup'!Q$3:Q1000,CONCATENATE("=",$A30))=0,"",Q$2))</f>
        <v/>
      </c>
      <c r="R30" s="3" t="str">
        <f>IF($A30="","",IF(countif('Mens Lineup'!R$3:R1000,CONCATENATE("=",$A30))=0,"",R$2))</f>
        <v/>
      </c>
      <c r="S30" s="3" t="str">
        <f>IF($A30="","",IF(countif('Mens Lineup'!S$3:S1000,CONCATENATE("=",$A30))=0,"",S$2))</f>
        <v/>
      </c>
      <c r="W30" s="3" t="str">
        <f>IFERROR(__xludf.DUMMYFUNCTION("JOIN("","",FILTER(B30:S30,B30:S30&lt;&gt;""""))"),"50 Free,100 Free,100 Breast,100 Fly")</f>
        <v>50 Free,100 Free,100 Breast,100 Fly</v>
      </c>
    </row>
    <row r="31">
      <c r="A31" s="3" t="s">
        <v>59</v>
      </c>
      <c r="B31" s="3" t="str">
        <f>IF($A31="","",IF(countif('Mens Lineup'!B$3:B1000,CONCATENATE("=",$A31))=0,"",B$2))</f>
        <v>50 Free</v>
      </c>
      <c r="C31" s="3" t="str">
        <f>IF($A31="","",IF(countif('Mens Lineup'!C$3:C1000,CONCATENATE("=",$A31))=0,"",C$2))</f>
        <v/>
      </c>
      <c r="D31" s="3" t="str">
        <f>IF($A31="","",IF(countif('Mens Lineup'!D$3:D1000,CONCATENATE("=",$A31))=0,"",D$2))</f>
        <v/>
      </c>
      <c r="E31" s="3" t="str">
        <f>IF($A31="","",IF(countif('Mens Lineup'!E$3:E1000,CONCATENATE("=",$A31))=0,"",E$2))</f>
        <v/>
      </c>
      <c r="F31" s="3" t="str">
        <f>IF($A31="","",IF(countif('Mens Lineup'!F$3:F1000,CONCATENATE("=",$A31))=0,"",F$2))</f>
        <v/>
      </c>
      <c r="G31" s="3" t="str">
        <f>IF($A31="","",IF(countif('Mens Lineup'!G$3:G1000,CONCATENATE("=",$A31))=0,"",G$2))</f>
        <v>100 Back</v>
      </c>
      <c r="H31" s="3" t="str">
        <f>IF($A31="","",IF(countif('Mens Lineup'!H$3:H1000,CONCATENATE("=",$A31))=0,"",H$2))</f>
        <v>200 Back</v>
      </c>
      <c r="I31" s="3" t="str">
        <f>IF($A31="","",IF(countif('Mens Lineup'!I$3:I1000,CONCATENATE("=",$A31))=0,"",I$2))</f>
        <v>100 Breast</v>
      </c>
      <c r="J31" s="3" t="str">
        <f>IF($A31="","",IF(countif('Mens Lineup'!J$3:J1000,CONCATENATE("=",$A31))=0,"",J$2))</f>
        <v>200 Breast</v>
      </c>
      <c r="K31" s="3" t="str">
        <f>IF($A31="","",IF(countif('Mens Lineup'!K$3:K1000,CONCATENATE("=",$A31))=0,"",K$2))</f>
        <v/>
      </c>
      <c r="L31" s="3" t="str">
        <f>IF($A31="","",IF(countif('Mens Lineup'!L$3:L1000,CONCATENATE("=",$A31))=0,"",L$2))</f>
        <v/>
      </c>
      <c r="M31" s="3" t="str">
        <f>IF($A31="","",IF(countif('Mens Lineup'!M$3:M1000,CONCATENATE("=",$A31))=0,"",M$2))</f>
        <v>200 IM</v>
      </c>
      <c r="N31" s="3" t="str">
        <f>IF($A31="","",IF(countif('Mens Lineup'!N$3:N1000,CONCATENATE("=",$A31))=0,"",N$2))</f>
        <v/>
      </c>
      <c r="O31" s="3" t="str">
        <f>IF($A31="","",IF(countif('Mens Lineup'!O$3:O1000,CONCATENATE("=",$A31))=0,"",O$2))</f>
        <v/>
      </c>
      <c r="P31" s="3" t="str">
        <f>IF($A31="","",IF(countif('Mens Lineup'!P$3:P1000,CONCATENATE("=",$A31))=0,"",P$2))</f>
        <v/>
      </c>
      <c r="Q31" s="3" t="str">
        <f>IF($A31="","",IF(countif('Mens Lineup'!Q$3:Q1000,CONCATENATE("=",$A31))=0,"",Q$2))</f>
        <v/>
      </c>
      <c r="R31" s="3" t="str">
        <f>IF($A31="","",IF(countif('Mens Lineup'!R$3:R1000,CONCATENATE("=",$A31))=0,"",R$2))</f>
        <v/>
      </c>
      <c r="S31" s="3" t="str">
        <f>IF($A31="","",IF(countif('Mens Lineup'!S$3:S1000,CONCATENATE("=",$A31))=0,"",S$2))</f>
        <v/>
      </c>
      <c r="W31" s="3" t="str">
        <f>IFERROR(__xludf.DUMMYFUNCTION("JOIN("","",FILTER(B31:S31,B31:S31&lt;&gt;""""))"),"50 Free,100 Back,200 Back,100 Breast,200 Breast,200 IM")</f>
        <v>50 Free,100 Back,200 Back,100 Breast,200 Breast,200 IM</v>
      </c>
    </row>
    <row r="32">
      <c r="A32" s="3" t="s">
        <v>60</v>
      </c>
      <c r="B32" s="3" t="str">
        <f>IF($A32="","",IF(countif('Mens Lineup'!B$3:B1000,CONCATENATE("=",$A32))=0,"",B$2))</f>
        <v>50 Free</v>
      </c>
      <c r="C32" s="3" t="str">
        <f>IF($A32="","",IF(countif('Mens Lineup'!C$3:C1000,CONCATENATE("=",$A32))=0,"",C$2))</f>
        <v>100 Free</v>
      </c>
      <c r="D32" s="3" t="str">
        <f>IF($A32="","",IF(countif('Mens Lineup'!D$3:D1000,CONCATENATE("=",$A32))=0,"",D$2))</f>
        <v>200 Free</v>
      </c>
      <c r="E32" s="3" t="str">
        <f>IF($A32="","",IF(countif('Mens Lineup'!E$3:E1000,CONCATENATE("=",$A32))=0,"",E$2))</f>
        <v/>
      </c>
      <c r="F32" s="3" t="str">
        <f>IF($A32="","",IF(countif('Mens Lineup'!F$3:F1000,CONCATENATE("=",$A32))=0,"",F$2))</f>
        <v/>
      </c>
      <c r="G32" s="3" t="str">
        <f>IF($A32="","",IF(countif('Mens Lineup'!G$3:G1000,CONCATENATE("=",$A32))=0,"",G$2))</f>
        <v/>
      </c>
      <c r="H32" s="3" t="str">
        <f>IF($A32="","",IF(countif('Mens Lineup'!H$3:H1000,CONCATENATE("=",$A32))=0,"",H$2))</f>
        <v/>
      </c>
      <c r="I32" s="3" t="str">
        <f>IF($A32="","",IF(countif('Mens Lineup'!I$3:I1000,CONCATENATE("=",$A32))=0,"",I$2))</f>
        <v>100 Breast</v>
      </c>
      <c r="J32" s="3" t="str">
        <f>IF($A32="","",IF(countif('Mens Lineup'!J$3:J1000,CONCATENATE("=",$A32))=0,"",J$2))</f>
        <v/>
      </c>
      <c r="K32" s="3" t="str">
        <f>IF($A32="","",IF(countif('Mens Lineup'!K$3:K1000,CONCATENATE("=",$A32))=0,"",K$2))</f>
        <v/>
      </c>
      <c r="L32" s="3" t="str">
        <f>IF($A32="","",IF(countif('Mens Lineup'!L$3:L1000,CONCATENATE("=",$A32))=0,"",L$2))</f>
        <v/>
      </c>
      <c r="M32" s="3" t="str">
        <f>IF($A32="","",IF(countif('Mens Lineup'!M$3:M1000,CONCATENATE("=",$A32))=0,"",M$2))</f>
        <v>200 IM</v>
      </c>
      <c r="N32" s="3" t="str">
        <f>IF($A32="","",IF(countif('Mens Lineup'!N$3:N1000,CONCATENATE("=",$A32))=0,"",N$2))</f>
        <v/>
      </c>
      <c r="O32" s="3" t="str">
        <f>IF($A32="","",IF(countif('Mens Lineup'!O$3:O1000,CONCATENATE("=",$A32))=0,"",O$2))</f>
        <v/>
      </c>
      <c r="P32" s="3" t="str">
        <f>IF($A32="","",IF(countif('Mens Lineup'!P$3:P1000,CONCATENATE("=",$A32))=0,"",P$2))</f>
        <v/>
      </c>
      <c r="Q32" s="3" t="str">
        <f>IF($A32="","",IF(countif('Mens Lineup'!Q$3:Q1000,CONCATENATE("=",$A32))=0,"",Q$2))</f>
        <v/>
      </c>
      <c r="R32" s="3" t="str">
        <f>IF($A32="","",IF(countif('Mens Lineup'!R$3:R1000,CONCATENATE("=",$A32))=0,"",R$2))</f>
        <v/>
      </c>
      <c r="S32" s="3" t="str">
        <f>IF($A32="","",IF(countif('Mens Lineup'!S$3:S1000,CONCATENATE("=",$A32))=0,"",S$2))</f>
        <v/>
      </c>
      <c r="W32" s="3" t="str">
        <f>IFERROR(__xludf.DUMMYFUNCTION("JOIN("","",FILTER(B32:S32,B32:S32&lt;&gt;""""))"),"50 Free,100 Free,200 Free,100 Breast,200 IM")</f>
        <v>50 Free,100 Free,200 Free,100 Breast,200 IM</v>
      </c>
    </row>
    <row r="33">
      <c r="A33" s="3" t="s">
        <v>61</v>
      </c>
      <c r="B33" s="3" t="str">
        <f>IF($A33="","",IF(countif('Mens Lineup'!B$3:B1000,CONCATENATE("=",$A33))=0,"",B$2))</f>
        <v>50 Free</v>
      </c>
      <c r="C33" s="3" t="str">
        <f>IF($A33="","",IF(countif('Mens Lineup'!C$3:C1000,CONCATENATE("=",$A33))=0,"",C$2))</f>
        <v>100 Free</v>
      </c>
      <c r="D33" s="3" t="str">
        <f>IF($A33="","",IF(countif('Mens Lineup'!D$3:D1000,CONCATENATE("=",$A33))=0,"",D$2))</f>
        <v>200 Free</v>
      </c>
      <c r="E33" s="3" t="str">
        <f>IF($A33="","",IF(countif('Mens Lineup'!E$3:E1000,CONCATENATE("=",$A33))=0,"",E$2))</f>
        <v/>
      </c>
      <c r="F33" s="3" t="str">
        <f>IF($A33="","",IF(countif('Mens Lineup'!F$3:F1000,CONCATENATE("=",$A33))=0,"",F$2))</f>
        <v/>
      </c>
      <c r="G33" s="3" t="str">
        <f>IF($A33="","",IF(countif('Mens Lineup'!G$3:G1000,CONCATENATE("=",$A33))=0,"",G$2))</f>
        <v>100 Back</v>
      </c>
      <c r="H33" s="3" t="str">
        <f>IF($A33="","",IF(countif('Mens Lineup'!H$3:H1000,CONCATENATE("=",$A33))=0,"",H$2))</f>
        <v/>
      </c>
      <c r="I33" s="3" t="str">
        <f>IF($A33="","",IF(countif('Mens Lineup'!I$3:I1000,CONCATENATE("=",$A33))=0,"",I$2))</f>
        <v/>
      </c>
      <c r="J33" s="3" t="str">
        <f>IF($A33="","",IF(countif('Mens Lineup'!J$3:J1000,CONCATENATE("=",$A33))=0,"",J$2))</f>
        <v/>
      </c>
      <c r="K33" s="3" t="str">
        <f>IF($A33="","",IF(countif('Mens Lineup'!K$3:K1000,CONCATENATE("=",$A33))=0,"",K$2))</f>
        <v>100 Fly</v>
      </c>
      <c r="L33" s="3" t="str">
        <f>IF($A33="","",IF(countif('Mens Lineup'!L$3:L1000,CONCATENATE("=",$A33))=0,"",L$2))</f>
        <v/>
      </c>
      <c r="M33" s="3" t="str">
        <f>IF($A33="","",IF(countif('Mens Lineup'!M$3:M1000,CONCATENATE("=",$A33))=0,"",M$2))</f>
        <v>200 IM</v>
      </c>
      <c r="N33" s="3" t="str">
        <f>IF($A33="","",IF(countif('Mens Lineup'!N$3:N1000,CONCATENATE("=",$A33))=0,"",N$2))</f>
        <v/>
      </c>
      <c r="O33" s="3" t="str">
        <f>IF($A33="","",IF(countif('Mens Lineup'!O$3:O1000,CONCATENATE("=",$A33))=0,"",O$2))</f>
        <v/>
      </c>
      <c r="P33" s="3" t="str">
        <f>IF($A33="","",IF(countif('Mens Lineup'!P$3:P1000,CONCATENATE("=",$A33))=0,"",P$2))</f>
        <v/>
      </c>
      <c r="Q33" s="3" t="str">
        <f>IF($A33="","",IF(countif('Mens Lineup'!Q$3:Q1000,CONCATENATE("=",$A33))=0,"",Q$2))</f>
        <v/>
      </c>
      <c r="R33" s="3" t="str">
        <f>IF($A33="","",IF(countif('Mens Lineup'!R$3:R1000,CONCATENATE("=",$A33))=0,"",R$2))</f>
        <v/>
      </c>
      <c r="S33" s="3" t="str">
        <f>IF($A33="","",IF(countif('Mens Lineup'!S$3:S1000,CONCATENATE("=",$A33))=0,"",S$2))</f>
        <v/>
      </c>
      <c r="W33" s="3" t="str">
        <f>IFERROR(__xludf.DUMMYFUNCTION("JOIN("","",FILTER(B33:S33,B33:S33&lt;&gt;""""))"),"50 Free,100 Free,200 Free,100 Back,100 Fly,200 IM")</f>
        <v>50 Free,100 Free,200 Free,100 Back,100 Fly,200 IM</v>
      </c>
    </row>
    <row r="34">
      <c r="A34" s="3" t="s">
        <v>62</v>
      </c>
      <c r="B34" s="3" t="str">
        <f>IF($A34="","",IF(countif('Mens Lineup'!B$3:B1000,CONCATENATE("=",$A34))=0,"",B$2))</f>
        <v>50 Free</v>
      </c>
      <c r="C34" s="3" t="str">
        <f>IF($A34="","",IF(countif('Mens Lineup'!C$3:C1000,CONCATENATE("=",$A34))=0,"",C$2))</f>
        <v>100 Free</v>
      </c>
      <c r="D34" s="3" t="str">
        <f>IF($A34="","",IF(countif('Mens Lineup'!D$3:D1000,CONCATENATE("=",$A34))=0,"",D$2))</f>
        <v>200 Free</v>
      </c>
      <c r="E34" s="3" t="str">
        <f>IF($A34="","",IF(countif('Mens Lineup'!E$3:E1000,CONCATENATE("=",$A34))=0,"",E$2))</f>
        <v/>
      </c>
      <c r="F34" s="3" t="str">
        <f>IF($A34="","",IF(countif('Mens Lineup'!F$3:F1000,CONCATENATE("=",$A34))=0,"",F$2))</f>
        <v/>
      </c>
      <c r="G34" s="3" t="str">
        <f>IF($A34="","",IF(countif('Mens Lineup'!G$3:G1000,CONCATENATE("=",$A34))=0,"",G$2))</f>
        <v>100 Back</v>
      </c>
      <c r="H34" s="3" t="str">
        <f>IF($A34="","",IF(countif('Mens Lineup'!H$3:H1000,CONCATENATE("=",$A34))=0,"",H$2))</f>
        <v>200 Back</v>
      </c>
      <c r="I34" s="3" t="str">
        <f>IF($A34="","",IF(countif('Mens Lineup'!I$3:I1000,CONCATENATE("=",$A34))=0,"",I$2))</f>
        <v/>
      </c>
      <c r="J34" s="3" t="str">
        <f>IF($A34="","",IF(countif('Mens Lineup'!J$3:J1000,CONCATENATE("=",$A34))=0,"",J$2))</f>
        <v/>
      </c>
      <c r="K34" s="3" t="str">
        <f>IF($A34="","",IF(countif('Mens Lineup'!K$3:K1000,CONCATENATE("=",$A34))=0,"",K$2))</f>
        <v>100 Fly</v>
      </c>
      <c r="L34" s="3" t="str">
        <f>IF($A34="","",IF(countif('Mens Lineup'!L$3:L1000,CONCATENATE("=",$A34))=0,"",L$2))</f>
        <v/>
      </c>
      <c r="M34" s="3" t="str">
        <f>IF($A34="","",IF(countif('Mens Lineup'!M$3:M1000,CONCATENATE("=",$A34))=0,"",M$2))</f>
        <v/>
      </c>
      <c r="N34" s="3" t="str">
        <f>IF($A34="","",IF(countif('Mens Lineup'!N$3:N1000,CONCATENATE("=",$A34))=0,"",N$2))</f>
        <v/>
      </c>
      <c r="O34" s="3" t="str">
        <f>IF($A34="","",IF(countif('Mens Lineup'!O$3:O1000,CONCATENATE("=",$A34))=0,"",O$2))</f>
        <v/>
      </c>
      <c r="P34" s="3" t="str">
        <f>IF($A34="","",IF(countif('Mens Lineup'!P$3:P1000,CONCATENATE("=",$A34))=0,"",P$2))</f>
        <v/>
      </c>
      <c r="Q34" s="3" t="str">
        <f>IF($A34="","",IF(countif('Mens Lineup'!Q$3:Q1000,CONCATENATE("=",$A34))=0,"",Q$2))</f>
        <v/>
      </c>
      <c r="R34" s="3" t="str">
        <f>IF($A34="","",IF(countif('Mens Lineup'!R$3:R1000,CONCATENATE("=",$A34))=0,"",R$2))</f>
        <v/>
      </c>
      <c r="S34" s="3" t="str">
        <f>IF($A34="","",IF(countif('Mens Lineup'!S$3:S1000,CONCATENATE("=",$A34))=0,"",S$2))</f>
        <v/>
      </c>
      <c r="W34" s="3" t="str">
        <f>IFERROR(__xludf.DUMMYFUNCTION("JOIN("","",FILTER(B34:S34,B34:S34&lt;&gt;""""))"),"50 Free,100 Free,200 Free,100 Back,200 Back,100 Fly")</f>
        <v>50 Free,100 Free,200 Free,100 Back,200 Back,100 Fly</v>
      </c>
    </row>
    <row r="35">
      <c r="A35" s="3" t="s">
        <v>63</v>
      </c>
      <c r="B35" s="3" t="str">
        <f>IF($A35="","",IF(countif('Mens Lineup'!B$3:B1000,CONCATENATE("=",$A35))=0,"",B$2))</f>
        <v>50 Free</v>
      </c>
      <c r="C35" s="3" t="str">
        <f>IF($A35="","",IF(countif('Mens Lineup'!C$3:C1000,CONCATENATE("=",$A35))=0,"",C$2))</f>
        <v>100 Free</v>
      </c>
      <c r="D35" s="3" t="str">
        <f>IF($A35="","",IF(countif('Mens Lineup'!D$3:D1000,CONCATENATE("=",$A35))=0,"",D$2))</f>
        <v/>
      </c>
      <c r="E35" s="3" t="str">
        <f>IF($A35="","",IF(countif('Mens Lineup'!E$3:E1000,CONCATENATE("=",$A35))=0,"",E$2))</f>
        <v/>
      </c>
      <c r="F35" s="3" t="str">
        <f>IF($A35="","",IF(countif('Mens Lineup'!F$3:F1000,CONCATENATE("=",$A35))=0,"",F$2))</f>
        <v/>
      </c>
      <c r="G35" s="3" t="str">
        <f>IF($A35="","",IF(countif('Mens Lineup'!G$3:G1000,CONCATENATE("=",$A35))=0,"",G$2))</f>
        <v>100 Back</v>
      </c>
      <c r="H35" s="3" t="str">
        <f>IF($A35="","",IF(countif('Mens Lineup'!H$3:H1000,CONCATENATE("=",$A35))=0,"",H$2))</f>
        <v/>
      </c>
      <c r="I35" s="3" t="str">
        <f>IF($A35="","",IF(countif('Mens Lineup'!I$3:I1000,CONCATENATE("=",$A35))=0,"",I$2))</f>
        <v>100 Breast</v>
      </c>
      <c r="J35" s="3" t="str">
        <f>IF($A35="","",IF(countif('Mens Lineup'!J$3:J1000,CONCATENATE("=",$A35))=0,"",J$2))</f>
        <v/>
      </c>
      <c r="K35" s="3" t="str">
        <f>IF($A35="","",IF(countif('Mens Lineup'!K$3:K1000,CONCATENATE("=",$A35))=0,"",K$2))</f>
        <v>100 Fly</v>
      </c>
      <c r="L35" s="3" t="str">
        <f>IF($A35="","",IF(countif('Mens Lineup'!L$3:L1000,CONCATENATE("=",$A35))=0,"",L$2))</f>
        <v/>
      </c>
      <c r="M35" s="3" t="str">
        <f>IF($A35="","",IF(countif('Mens Lineup'!M$3:M1000,CONCATENATE("=",$A35))=0,"",M$2))</f>
        <v/>
      </c>
      <c r="N35" s="3" t="str">
        <f>IF($A35="","",IF(countif('Mens Lineup'!N$3:N1000,CONCATENATE("=",$A35))=0,"",N$2))</f>
        <v/>
      </c>
      <c r="O35" s="3" t="str">
        <f>IF($A35="","",IF(countif('Mens Lineup'!O$3:O1000,CONCATENATE("=",$A35))=0,"",O$2))</f>
        <v/>
      </c>
      <c r="P35" s="3" t="str">
        <f>IF($A35="","",IF(countif('Mens Lineup'!P$3:P1000,CONCATENATE("=",$A35))=0,"",P$2))</f>
        <v/>
      </c>
      <c r="Q35" s="3" t="str">
        <f>IF($A35="","",IF(countif('Mens Lineup'!Q$3:Q1000,CONCATENATE("=",$A35))=0,"",Q$2))</f>
        <v/>
      </c>
      <c r="R35" s="3" t="str">
        <f>IF($A35="","",IF(countif('Mens Lineup'!R$3:R1000,CONCATENATE("=",$A35))=0,"",R$2))</f>
        <v/>
      </c>
      <c r="S35" s="3" t="str">
        <f>IF($A35="","",IF(countif('Mens Lineup'!S$3:S1000,CONCATENATE("=",$A35))=0,"",S$2))</f>
        <v/>
      </c>
      <c r="W35" s="3" t="str">
        <f>IFERROR(__xludf.DUMMYFUNCTION("JOIN("","",FILTER(B35:S35,B35:S35&lt;&gt;""""))"),"50 Free,100 Free,100 Back,100 Breast,100 Fly")</f>
        <v>50 Free,100 Free,100 Back,100 Breast,100 Fly</v>
      </c>
    </row>
    <row r="36">
      <c r="A36" s="3" t="s">
        <v>64</v>
      </c>
      <c r="B36" s="3" t="str">
        <f>IF($A36="","",IF(countif('Mens Lineup'!B$3:B1000,CONCATENATE("=",$A36))=0,"",B$2))</f>
        <v>50 Free</v>
      </c>
      <c r="C36" s="3" t="str">
        <f>IF($A36="","",IF(countif('Mens Lineup'!C$3:C1000,CONCATENATE("=",$A36))=0,"",C$2))</f>
        <v>100 Free</v>
      </c>
      <c r="D36" s="3" t="str">
        <f>IF($A36="","",IF(countif('Mens Lineup'!D$3:D1000,CONCATENATE("=",$A36))=0,"",D$2))</f>
        <v>200 Free</v>
      </c>
      <c r="E36" s="3" t="str">
        <f>IF($A36="","",IF(countif('Mens Lineup'!E$3:E1000,CONCATENATE("=",$A36))=0,"",E$2))</f>
        <v/>
      </c>
      <c r="F36" s="3" t="str">
        <f>IF($A36="","",IF(countif('Mens Lineup'!F$3:F1000,CONCATENATE("=",$A36))=0,"",F$2))</f>
        <v/>
      </c>
      <c r="G36" s="3" t="str">
        <f>IF($A36="","",IF(countif('Mens Lineup'!G$3:G1000,CONCATENATE("=",$A36))=0,"",G$2))</f>
        <v>100 Back</v>
      </c>
      <c r="H36" s="3" t="str">
        <f>IF($A36="","",IF(countif('Mens Lineup'!H$3:H1000,CONCATENATE("=",$A36))=0,"",H$2))</f>
        <v/>
      </c>
      <c r="I36" s="3" t="str">
        <f>IF($A36="","",IF(countif('Mens Lineup'!I$3:I1000,CONCATENATE("=",$A36))=0,"",I$2))</f>
        <v>100 Breast</v>
      </c>
      <c r="J36" s="3" t="str">
        <f>IF($A36="","",IF(countif('Mens Lineup'!J$3:J1000,CONCATENATE("=",$A36))=0,"",J$2))</f>
        <v/>
      </c>
      <c r="K36" s="3" t="str">
        <f>IF($A36="","",IF(countif('Mens Lineup'!K$3:K1000,CONCATENATE("=",$A36))=0,"",K$2))</f>
        <v/>
      </c>
      <c r="L36" s="3" t="str">
        <f>IF($A36="","",IF(countif('Mens Lineup'!L$3:L1000,CONCATENATE("=",$A36))=0,"",L$2))</f>
        <v/>
      </c>
      <c r="M36" s="3" t="str">
        <f>IF($A36="","",IF(countif('Mens Lineup'!M$3:M1000,CONCATENATE("=",$A36))=0,"",M$2))</f>
        <v>200 IM</v>
      </c>
      <c r="N36" s="3" t="str">
        <f>IF($A36="","",IF(countif('Mens Lineup'!N$3:N1000,CONCATENATE("=",$A36))=0,"",N$2))</f>
        <v/>
      </c>
      <c r="O36" s="3" t="str">
        <f>IF($A36="","",IF(countif('Mens Lineup'!O$3:O1000,CONCATENATE("=",$A36))=0,"",O$2))</f>
        <v/>
      </c>
      <c r="P36" s="3" t="str">
        <f>IF($A36="","",IF(countif('Mens Lineup'!P$3:P1000,CONCATENATE("=",$A36))=0,"",P$2))</f>
        <v/>
      </c>
      <c r="Q36" s="3" t="str">
        <f>IF($A36="","",IF(countif('Mens Lineup'!Q$3:Q1000,CONCATENATE("=",$A36))=0,"",Q$2))</f>
        <v/>
      </c>
      <c r="R36" s="3" t="str">
        <f>IF($A36="","",IF(countif('Mens Lineup'!R$3:R1000,CONCATENATE("=",$A36))=0,"",R$2))</f>
        <v/>
      </c>
      <c r="S36" s="3" t="str">
        <f>IF($A36="","",IF(countif('Mens Lineup'!S$3:S1000,CONCATENATE("=",$A36))=0,"",S$2))</f>
        <v/>
      </c>
      <c r="W36" s="3" t="str">
        <f>IFERROR(__xludf.DUMMYFUNCTION("JOIN("","",FILTER(B36:S36,B36:S36&lt;&gt;""""))"),"50 Free,100 Free,200 Free,100 Back,100 Breast,200 IM")</f>
        <v>50 Free,100 Free,200 Free,100 Back,100 Breast,200 IM</v>
      </c>
    </row>
    <row r="37">
      <c r="A37" s="3" t="s">
        <v>65</v>
      </c>
      <c r="B37" s="3" t="str">
        <f>IF($A37="","",IF(countif('Mens Lineup'!B$3:B1000,CONCATENATE("=",$A37))=0,"",B$2))</f>
        <v>50 Free</v>
      </c>
      <c r="C37" s="3" t="str">
        <f>IF($A37="","",IF(countif('Mens Lineup'!C$3:C1000,CONCATENATE("=",$A37))=0,"",C$2))</f>
        <v>100 Free</v>
      </c>
      <c r="D37" s="3" t="str">
        <f>IF($A37="","",IF(countif('Mens Lineup'!D$3:D1000,CONCATENATE("=",$A37))=0,"",D$2))</f>
        <v/>
      </c>
      <c r="E37" s="3" t="str">
        <f>IF($A37="","",IF(countif('Mens Lineup'!E$3:E1000,CONCATENATE("=",$A37))=0,"",E$2))</f>
        <v>500 Free</v>
      </c>
      <c r="F37" s="3" t="str">
        <f>IF($A37="","",IF(countif('Mens Lineup'!F$3:F1000,CONCATENATE("=",$A37))=0,"",F$2))</f>
        <v/>
      </c>
      <c r="G37" s="3" t="str">
        <f>IF($A37="","",IF(countif('Mens Lineup'!G$3:G1000,CONCATENATE("=",$A37))=0,"",G$2))</f>
        <v/>
      </c>
      <c r="H37" s="3" t="str">
        <f>IF($A37="","",IF(countif('Mens Lineup'!H$3:H1000,CONCATENATE("=",$A37))=0,"",H$2))</f>
        <v/>
      </c>
      <c r="I37" s="3" t="str">
        <f>IF($A37="","",IF(countif('Mens Lineup'!I$3:I1000,CONCATENATE("=",$A37))=0,"",I$2))</f>
        <v/>
      </c>
      <c r="J37" s="3" t="str">
        <f>IF($A37="","",IF(countif('Mens Lineup'!J$3:J1000,CONCATENATE("=",$A37))=0,"",J$2))</f>
        <v>200 Breast</v>
      </c>
      <c r="K37" s="3" t="str">
        <f>IF($A37="","",IF(countif('Mens Lineup'!K$3:K1000,CONCATENATE("=",$A37))=0,"",K$2))</f>
        <v/>
      </c>
      <c r="L37" s="3" t="str">
        <f>IF($A37="","",IF(countif('Mens Lineup'!L$3:L1000,CONCATENATE("=",$A37))=0,"",L$2))</f>
        <v/>
      </c>
      <c r="M37" s="3" t="str">
        <f>IF($A37="","",IF(countif('Mens Lineup'!M$3:M1000,CONCATENATE("=",$A37))=0,"",M$2))</f>
        <v>200 IM</v>
      </c>
      <c r="N37" s="3" t="str">
        <f>IF($A37="","",IF(countif('Mens Lineup'!N$3:N1000,CONCATENATE("=",$A37))=0,"",N$2))</f>
        <v/>
      </c>
      <c r="O37" s="3" t="str">
        <f>IF($A37="","",IF(countif('Mens Lineup'!O$3:O1000,CONCATENATE("=",$A37))=0,"",O$2))</f>
        <v/>
      </c>
      <c r="P37" s="3" t="str">
        <f>IF($A37="","",IF(countif('Mens Lineup'!P$3:P1000,CONCATENATE("=",$A37))=0,"",P$2))</f>
        <v/>
      </c>
      <c r="Q37" s="3" t="str">
        <f>IF($A37="","",IF(countif('Mens Lineup'!Q$3:Q1000,CONCATENATE("=",$A37))=0,"",Q$2))</f>
        <v/>
      </c>
      <c r="R37" s="3" t="str">
        <f>IF($A37="","",IF(countif('Mens Lineup'!R$3:R1000,CONCATENATE("=",$A37))=0,"",R$2))</f>
        <v/>
      </c>
      <c r="S37" s="3" t="str">
        <f>IF($A37="","",IF(countif('Mens Lineup'!S$3:S1000,CONCATENATE("=",$A37))=0,"",S$2))</f>
        <v/>
      </c>
      <c r="W37" s="3" t="str">
        <f>IFERROR(__xludf.DUMMYFUNCTION("JOIN("","",FILTER(B37:S37,B37:S37&lt;&gt;""""))"),"50 Free,100 Free,500 Free,200 Breast,200 IM")</f>
        <v>50 Free,100 Free,500 Free,200 Breast,200 IM</v>
      </c>
    </row>
    <row r="38">
      <c r="A38" s="3" t="s">
        <v>66</v>
      </c>
      <c r="B38" s="3" t="str">
        <f>IF($A38="","",IF(countif('Mens Lineup'!B$3:B1000,CONCATENATE("=",$A38))=0,"",B$2))</f>
        <v>50 Free</v>
      </c>
      <c r="C38" s="3" t="str">
        <f>IF($A38="","",IF(countif('Mens Lineup'!C$3:C1000,CONCATENATE("=",$A38))=0,"",C$2))</f>
        <v>100 Free</v>
      </c>
      <c r="D38" s="3" t="str">
        <f>IF($A38="","",IF(countif('Mens Lineup'!D$3:D1000,CONCATENATE("=",$A38))=0,"",D$2))</f>
        <v>200 Free</v>
      </c>
      <c r="E38" s="3" t="str">
        <f>IF($A38="","",IF(countif('Mens Lineup'!E$3:E1000,CONCATENATE("=",$A38))=0,"",E$2))</f>
        <v>500 Free</v>
      </c>
      <c r="F38" s="3" t="str">
        <f>IF($A38="","",IF(countif('Mens Lineup'!F$3:F1000,CONCATENATE("=",$A38))=0,"",F$2))</f>
        <v>1650 Free</v>
      </c>
      <c r="G38" s="3" t="str">
        <f>IF($A38="","",IF(countif('Mens Lineup'!G$3:G1000,CONCATENATE("=",$A38))=0,"",G$2))</f>
        <v/>
      </c>
      <c r="H38" s="3" t="str">
        <f>IF($A38="","",IF(countif('Mens Lineup'!H$3:H1000,CONCATENATE("=",$A38))=0,"",H$2))</f>
        <v/>
      </c>
      <c r="I38" s="3" t="str">
        <f>IF($A38="","",IF(countif('Mens Lineup'!I$3:I1000,CONCATENATE("=",$A38))=0,"",I$2))</f>
        <v>100 Breast</v>
      </c>
      <c r="J38" s="3" t="str">
        <f>IF($A38="","",IF(countif('Mens Lineup'!J$3:J1000,CONCATENATE("=",$A38))=0,"",J$2))</f>
        <v/>
      </c>
      <c r="K38" s="3" t="str">
        <f>IF($A38="","",IF(countif('Mens Lineup'!K$3:K1000,CONCATENATE("=",$A38))=0,"",K$2))</f>
        <v/>
      </c>
      <c r="L38" s="3" t="str">
        <f>IF($A38="","",IF(countif('Mens Lineup'!L$3:L1000,CONCATENATE("=",$A38))=0,"",L$2))</f>
        <v/>
      </c>
      <c r="M38" s="3" t="str">
        <f>IF($A38="","",IF(countif('Mens Lineup'!M$3:M1000,CONCATENATE("=",$A38))=0,"",M$2))</f>
        <v/>
      </c>
      <c r="N38" s="3" t="str">
        <f>IF($A38="","",IF(countif('Mens Lineup'!N$3:N1000,CONCATENATE("=",$A38))=0,"",N$2))</f>
        <v/>
      </c>
      <c r="O38" s="3" t="str">
        <f>IF($A38="","",IF(countif('Mens Lineup'!O$3:O1000,CONCATENATE("=",$A38))=0,"",O$2))</f>
        <v/>
      </c>
      <c r="P38" s="3" t="str">
        <f>IF($A38="","",IF(countif('Mens Lineup'!P$3:P1000,CONCATENATE("=",$A38))=0,"",P$2))</f>
        <v/>
      </c>
      <c r="Q38" s="3" t="str">
        <f>IF($A38="","",IF(countif('Mens Lineup'!Q$3:Q1000,CONCATENATE("=",$A38))=0,"",Q$2))</f>
        <v/>
      </c>
      <c r="R38" s="3" t="str">
        <f>IF($A38="","",IF(countif('Mens Lineup'!R$3:R1000,CONCATENATE("=",$A38))=0,"",R$2))</f>
        <v/>
      </c>
      <c r="S38" s="3" t="str">
        <f>IF($A38="","",IF(countif('Mens Lineup'!S$3:S1000,CONCATENATE("=",$A38))=0,"",S$2))</f>
        <v/>
      </c>
      <c r="W38" s="3" t="str">
        <f>IFERROR(__xludf.DUMMYFUNCTION("JOIN("","",FILTER(B38:S38,B38:S38&lt;&gt;""""))"),"50 Free,100 Free,200 Free,500 Free,1650 Free,100 Breast")</f>
        <v>50 Free,100 Free,200 Free,500 Free,1650 Free,100 Breast</v>
      </c>
    </row>
    <row r="39">
      <c r="A39" s="3" t="s">
        <v>67</v>
      </c>
      <c r="B39" s="3" t="str">
        <f>IF($A39="","",IF(countif('Mens Lineup'!B$3:B1000,CONCATENATE("=",$A39))=0,"",B$2))</f>
        <v>50 Free</v>
      </c>
      <c r="C39" s="3" t="str">
        <f>IF($A39="","",IF(countif('Mens Lineup'!C$3:C1000,CONCATENATE("=",$A39))=0,"",C$2))</f>
        <v>100 Free</v>
      </c>
      <c r="D39" s="3" t="str">
        <f>IF($A39="","",IF(countif('Mens Lineup'!D$3:D1000,CONCATENATE("=",$A39))=0,"",D$2))</f>
        <v>200 Free</v>
      </c>
      <c r="E39" s="3" t="str">
        <f>IF($A39="","",IF(countif('Mens Lineup'!E$3:E1000,CONCATENATE("=",$A39))=0,"",E$2))</f>
        <v>500 Free</v>
      </c>
      <c r="F39" s="3" t="str">
        <f>IF($A39="","",IF(countif('Mens Lineup'!F$3:F1000,CONCATENATE("=",$A39))=0,"",F$2))</f>
        <v/>
      </c>
      <c r="G39" s="3" t="str">
        <f>IF($A39="","",IF(countif('Mens Lineup'!G$3:G1000,CONCATENATE("=",$A39))=0,"",G$2))</f>
        <v/>
      </c>
      <c r="H39" s="3" t="str">
        <f>IF($A39="","",IF(countif('Mens Lineup'!H$3:H1000,CONCATENATE("=",$A39))=0,"",H$2))</f>
        <v/>
      </c>
      <c r="I39" s="3" t="str">
        <f>IF($A39="","",IF(countif('Mens Lineup'!I$3:I1000,CONCATENATE("=",$A39))=0,"",I$2))</f>
        <v/>
      </c>
      <c r="J39" s="3" t="str">
        <f>IF($A39="","",IF(countif('Mens Lineup'!J$3:J1000,CONCATENATE("=",$A39))=0,"",J$2))</f>
        <v/>
      </c>
      <c r="K39" s="3" t="str">
        <f>IF($A39="","",IF(countif('Mens Lineup'!K$3:K1000,CONCATENATE("=",$A39))=0,"",K$2))</f>
        <v>100 Fly</v>
      </c>
      <c r="L39" s="3" t="str">
        <f>IF($A39="","",IF(countif('Mens Lineup'!L$3:L1000,CONCATENATE("=",$A39))=0,"",L$2))</f>
        <v>200 Fly</v>
      </c>
      <c r="M39" s="3" t="str">
        <f>IF($A39="","",IF(countif('Mens Lineup'!M$3:M1000,CONCATENATE("=",$A39))=0,"",M$2))</f>
        <v/>
      </c>
      <c r="N39" s="3" t="str">
        <f>IF($A39="","",IF(countif('Mens Lineup'!N$3:N1000,CONCATENATE("=",$A39))=0,"",N$2))</f>
        <v/>
      </c>
      <c r="O39" s="3" t="str">
        <f>IF($A39="","",IF(countif('Mens Lineup'!O$3:O1000,CONCATENATE("=",$A39))=0,"",O$2))</f>
        <v/>
      </c>
      <c r="P39" s="3" t="str">
        <f>IF($A39="","",IF(countif('Mens Lineup'!P$3:P1000,CONCATENATE("=",$A39))=0,"",P$2))</f>
        <v/>
      </c>
      <c r="Q39" s="3" t="str">
        <f>IF($A39="","",IF(countif('Mens Lineup'!Q$3:Q1000,CONCATENATE("=",$A39))=0,"",Q$2))</f>
        <v/>
      </c>
      <c r="R39" s="3" t="str">
        <f>IF($A39="","",IF(countif('Mens Lineup'!R$3:R1000,CONCATENATE("=",$A39))=0,"",R$2))</f>
        <v/>
      </c>
      <c r="S39" s="3" t="str">
        <f>IF($A39="","",IF(countif('Mens Lineup'!S$3:S1000,CONCATENATE("=",$A39))=0,"",S$2))</f>
        <v/>
      </c>
      <c r="W39" s="3" t="str">
        <f>IFERROR(__xludf.DUMMYFUNCTION("JOIN("","",FILTER(B39:S39,B39:S39&lt;&gt;""""))"),"50 Free,100 Free,200 Free,500 Free,100 Fly,200 Fly")</f>
        <v>50 Free,100 Free,200 Free,500 Free,100 Fly,200 Fly</v>
      </c>
    </row>
    <row r="40">
      <c r="A40" s="3" t="s">
        <v>68</v>
      </c>
      <c r="B40" s="3" t="str">
        <f>IF($A40="","",IF(countif('Mens Lineup'!B$3:B1000,CONCATENATE("=",$A40))=0,"",B$2))</f>
        <v>50 Free</v>
      </c>
      <c r="C40" s="3" t="str">
        <f>IF($A40="","",IF(countif('Mens Lineup'!C$3:C1000,CONCATENATE("=",$A40))=0,"",C$2))</f>
        <v>100 Free</v>
      </c>
      <c r="D40" s="3" t="str">
        <f>IF($A40="","",IF(countif('Mens Lineup'!D$3:D1000,CONCATENATE("=",$A40))=0,"",D$2))</f>
        <v>200 Free</v>
      </c>
      <c r="E40" s="3" t="str">
        <f>IF($A40="","",IF(countif('Mens Lineup'!E$3:E1000,CONCATENATE("=",$A40))=0,"",E$2))</f>
        <v/>
      </c>
      <c r="F40" s="3" t="str">
        <f>IF($A40="","",IF(countif('Mens Lineup'!F$3:F1000,CONCATENATE("=",$A40))=0,"",F$2))</f>
        <v/>
      </c>
      <c r="G40" s="3" t="str">
        <f>IF($A40="","",IF(countif('Mens Lineup'!G$3:G1000,CONCATENATE("=",$A40))=0,"",G$2))</f>
        <v>100 Back</v>
      </c>
      <c r="H40" s="3" t="str">
        <f>IF($A40="","",IF(countif('Mens Lineup'!H$3:H1000,CONCATENATE("=",$A40))=0,"",H$2))</f>
        <v>200 Back</v>
      </c>
      <c r="I40" s="3" t="str">
        <f>IF($A40="","",IF(countif('Mens Lineup'!I$3:I1000,CONCATENATE("=",$A40))=0,"",I$2))</f>
        <v/>
      </c>
      <c r="J40" s="3" t="str">
        <f>IF($A40="","",IF(countif('Mens Lineup'!J$3:J1000,CONCATENATE("=",$A40))=0,"",J$2))</f>
        <v/>
      </c>
      <c r="K40" s="3" t="str">
        <f>IF($A40="","",IF(countif('Mens Lineup'!K$3:K1000,CONCATENATE("=",$A40))=0,"",K$2))</f>
        <v>100 Fly</v>
      </c>
      <c r="L40" s="3" t="str">
        <f>IF($A40="","",IF(countif('Mens Lineup'!L$3:L1000,CONCATENATE("=",$A40))=0,"",L$2))</f>
        <v/>
      </c>
      <c r="M40" s="3" t="str">
        <f>IF($A40="","",IF(countif('Mens Lineup'!M$3:M1000,CONCATENATE("=",$A40))=0,"",M$2))</f>
        <v/>
      </c>
      <c r="N40" s="3" t="str">
        <f>IF($A40="","",IF(countif('Mens Lineup'!N$3:N1000,CONCATENATE("=",$A40))=0,"",N$2))</f>
        <v/>
      </c>
      <c r="O40" s="3" t="str">
        <f>IF($A40="","",IF(countif('Mens Lineup'!O$3:O1000,CONCATENATE("=",$A40))=0,"",O$2))</f>
        <v/>
      </c>
      <c r="P40" s="3" t="str">
        <f>IF($A40="","",IF(countif('Mens Lineup'!P$3:P1000,CONCATENATE("=",$A40))=0,"",P$2))</f>
        <v/>
      </c>
      <c r="Q40" s="3" t="str">
        <f>IF($A40="","",IF(countif('Mens Lineup'!Q$3:Q1000,CONCATENATE("=",$A40))=0,"",Q$2))</f>
        <v/>
      </c>
      <c r="R40" s="3" t="str">
        <f>IF($A40="","",IF(countif('Mens Lineup'!R$3:R1000,CONCATENATE("=",$A40))=0,"",R$2))</f>
        <v/>
      </c>
      <c r="S40" s="3" t="str">
        <f>IF($A40="","",IF(countif('Mens Lineup'!S$3:S1000,CONCATENATE("=",$A40))=0,"",S$2))</f>
        <v/>
      </c>
      <c r="W40" s="3" t="str">
        <f>IFERROR(__xludf.DUMMYFUNCTION("JOIN("","",FILTER(B40:S40,B40:S40&lt;&gt;""""))"),"50 Free,100 Free,200 Free,100 Back,200 Back,100 Fly")</f>
        <v>50 Free,100 Free,200 Free,100 Back,200 Back,100 Fly</v>
      </c>
    </row>
    <row r="41">
      <c r="A41" s="3" t="s">
        <v>69</v>
      </c>
      <c r="B41" s="3" t="str">
        <f>IF($A41="","",IF(countif('Mens Lineup'!B$3:B1000,CONCATENATE("=",$A41))=0,"",B$2))</f>
        <v>50 Free</v>
      </c>
      <c r="C41" s="3" t="str">
        <f>IF($A41="","",IF(countif('Mens Lineup'!C$3:C1000,CONCATENATE("=",$A41))=0,"",C$2))</f>
        <v>100 Free</v>
      </c>
      <c r="D41" s="3" t="str">
        <f>IF($A41="","",IF(countif('Mens Lineup'!D$3:D1000,CONCATENATE("=",$A41))=0,"",D$2))</f>
        <v>200 Free</v>
      </c>
      <c r="E41" s="3" t="str">
        <f>IF($A41="","",IF(countif('Mens Lineup'!E$3:E1000,CONCATENATE("=",$A41))=0,"",E$2))</f>
        <v/>
      </c>
      <c r="F41" s="3" t="str">
        <f>IF($A41="","",IF(countif('Mens Lineup'!F$3:F1000,CONCATENATE("=",$A41))=0,"",F$2))</f>
        <v/>
      </c>
      <c r="G41" s="3" t="str">
        <f>IF($A41="","",IF(countif('Mens Lineup'!G$3:G1000,CONCATENATE("=",$A41))=0,"",G$2))</f>
        <v>100 Back</v>
      </c>
      <c r="H41" s="3" t="str">
        <f>IF($A41="","",IF(countif('Mens Lineup'!H$3:H1000,CONCATENATE("=",$A41))=0,"",H$2))</f>
        <v>200 Back</v>
      </c>
      <c r="I41" s="3" t="str">
        <f>IF($A41="","",IF(countif('Mens Lineup'!I$3:I1000,CONCATENATE("=",$A41))=0,"",I$2))</f>
        <v>100 Breast</v>
      </c>
      <c r="J41" s="3" t="str">
        <f>IF($A41="","",IF(countif('Mens Lineup'!J$3:J1000,CONCATENATE("=",$A41))=0,"",J$2))</f>
        <v/>
      </c>
      <c r="K41" s="3" t="str">
        <f>IF($A41="","",IF(countif('Mens Lineup'!K$3:K1000,CONCATENATE("=",$A41))=0,"",K$2))</f>
        <v/>
      </c>
      <c r="L41" s="3" t="str">
        <f>IF($A41="","",IF(countif('Mens Lineup'!L$3:L1000,CONCATENATE("=",$A41))=0,"",L$2))</f>
        <v/>
      </c>
      <c r="M41" s="3" t="str">
        <f>IF($A41="","",IF(countif('Mens Lineup'!M$3:M1000,CONCATENATE("=",$A41))=0,"",M$2))</f>
        <v/>
      </c>
      <c r="N41" s="3" t="str">
        <f>IF($A41="","",IF(countif('Mens Lineup'!N$3:N1000,CONCATENATE("=",$A41))=0,"",N$2))</f>
        <v/>
      </c>
      <c r="O41" s="3" t="str">
        <f>IF($A41="","",IF(countif('Mens Lineup'!O$3:O1000,CONCATENATE("=",$A41))=0,"",O$2))</f>
        <v/>
      </c>
      <c r="P41" s="3" t="str">
        <f>IF($A41="","",IF(countif('Mens Lineup'!P$3:P1000,CONCATENATE("=",$A41))=0,"",P$2))</f>
        <v/>
      </c>
      <c r="Q41" s="3" t="str">
        <f>IF($A41="","",IF(countif('Mens Lineup'!Q$3:Q1000,CONCATENATE("=",$A41))=0,"",Q$2))</f>
        <v/>
      </c>
      <c r="R41" s="3" t="str">
        <f>IF($A41="","",IF(countif('Mens Lineup'!R$3:R1000,CONCATENATE("=",$A41))=0,"",R$2))</f>
        <v/>
      </c>
      <c r="S41" s="3" t="str">
        <f>IF($A41="","",IF(countif('Mens Lineup'!S$3:S1000,CONCATENATE("=",$A41))=0,"",S$2))</f>
        <v/>
      </c>
      <c r="W41" s="3" t="str">
        <f>IFERROR(__xludf.DUMMYFUNCTION("JOIN("","",FILTER(B41:S41,B41:S41&lt;&gt;""""))"),"50 Free,100 Free,200 Free,100 Back,200 Back,100 Breast")</f>
        <v>50 Free,100 Free,200 Free,100 Back,200 Back,100 Breast</v>
      </c>
    </row>
    <row r="42">
      <c r="A42" s="3" t="s">
        <v>70</v>
      </c>
      <c r="B42" s="3" t="str">
        <f>IF($A42="","",IF(countif('Mens Lineup'!B$3:B1000,CONCATENATE("=",$A42))=0,"",B$2))</f>
        <v>50 Free</v>
      </c>
      <c r="C42" s="3" t="str">
        <f>IF($A42="","",IF(countif('Mens Lineup'!C$3:C1000,CONCATENATE("=",$A42))=0,"",C$2))</f>
        <v>100 Free</v>
      </c>
      <c r="D42" s="3" t="str">
        <f>IF($A42="","",IF(countif('Mens Lineup'!D$3:D1000,CONCATENATE("=",$A42))=0,"",D$2))</f>
        <v>200 Free</v>
      </c>
      <c r="E42" s="3" t="str">
        <f>IF($A42="","",IF(countif('Mens Lineup'!E$3:E1000,CONCATENATE("=",$A42))=0,"",E$2))</f>
        <v/>
      </c>
      <c r="F42" s="3" t="str">
        <f>IF($A42="","",IF(countif('Mens Lineup'!F$3:F1000,CONCATENATE("=",$A42))=0,"",F$2))</f>
        <v/>
      </c>
      <c r="G42" s="3" t="str">
        <f>IF($A42="","",IF(countif('Mens Lineup'!G$3:G1000,CONCATENATE("=",$A42))=0,"",G$2))</f>
        <v/>
      </c>
      <c r="H42" s="3" t="str">
        <f>IF($A42="","",IF(countif('Mens Lineup'!H$3:H1000,CONCATENATE("=",$A42))=0,"",H$2))</f>
        <v/>
      </c>
      <c r="I42" s="3" t="str">
        <f>IF($A42="","",IF(countif('Mens Lineup'!I$3:I1000,CONCATENATE("=",$A42))=0,"",I$2))</f>
        <v>100 Breast</v>
      </c>
      <c r="J42" s="3" t="str">
        <f>IF($A42="","",IF(countif('Mens Lineup'!J$3:J1000,CONCATENATE("=",$A42))=0,"",J$2))</f>
        <v>200 Breast</v>
      </c>
      <c r="K42" s="3" t="str">
        <f>IF($A42="","",IF(countif('Mens Lineup'!K$3:K1000,CONCATENATE("=",$A42))=0,"",K$2))</f>
        <v/>
      </c>
      <c r="L42" s="3" t="str">
        <f>IF($A42="","",IF(countif('Mens Lineup'!L$3:L1000,CONCATENATE("=",$A42))=0,"",L$2))</f>
        <v/>
      </c>
      <c r="M42" s="3" t="str">
        <f>IF($A42="","",IF(countif('Mens Lineup'!M$3:M1000,CONCATENATE("=",$A42))=0,"",M$2))</f>
        <v>200 IM</v>
      </c>
      <c r="N42" s="3" t="str">
        <f>IF($A42="","",IF(countif('Mens Lineup'!N$3:N1000,CONCATENATE("=",$A42))=0,"",N$2))</f>
        <v/>
      </c>
      <c r="O42" s="3" t="str">
        <f>IF($A42="","",IF(countif('Mens Lineup'!O$3:O1000,CONCATENATE("=",$A42))=0,"",O$2))</f>
        <v/>
      </c>
      <c r="P42" s="3" t="str">
        <f>IF($A42="","",IF(countif('Mens Lineup'!P$3:P1000,CONCATENATE("=",$A42))=0,"",P$2))</f>
        <v/>
      </c>
      <c r="Q42" s="3" t="str">
        <f>IF($A42="","",IF(countif('Mens Lineup'!Q$3:Q1000,CONCATENATE("=",$A42))=0,"",Q$2))</f>
        <v/>
      </c>
      <c r="R42" s="3" t="str">
        <f>IF($A42="","",IF(countif('Mens Lineup'!R$3:R1000,CONCATENATE("=",$A42))=0,"",R$2))</f>
        <v/>
      </c>
      <c r="S42" s="3" t="str">
        <f>IF($A42="","",IF(countif('Mens Lineup'!S$3:S1000,CONCATENATE("=",$A42))=0,"",S$2))</f>
        <v/>
      </c>
      <c r="W42" s="3" t="str">
        <f>IFERROR(__xludf.DUMMYFUNCTION("JOIN("","",FILTER(B42:S42,B42:S42&lt;&gt;""""))"),"50 Free,100 Free,200 Free,100 Breast,200 Breast,200 IM")</f>
        <v>50 Free,100 Free,200 Free,100 Breast,200 Breast,200 IM</v>
      </c>
    </row>
    <row r="43">
      <c r="A43" s="3" t="s">
        <v>71</v>
      </c>
      <c r="B43" s="3" t="str">
        <f>IF($A43="","",IF(countif('Mens Lineup'!B$3:B1000,CONCATENATE("=",$A43))=0,"",B$2))</f>
        <v>50 Free</v>
      </c>
      <c r="C43" s="3" t="str">
        <f>IF($A43="","",IF(countif('Mens Lineup'!C$3:C1000,CONCATENATE("=",$A43))=0,"",C$2))</f>
        <v>100 Free</v>
      </c>
      <c r="D43" s="3" t="str">
        <f>IF($A43="","",IF(countif('Mens Lineup'!D$3:D1000,CONCATENATE("=",$A43))=0,"",D$2))</f>
        <v>200 Free</v>
      </c>
      <c r="E43" s="3" t="str">
        <f>IF($A43="","",IF(countif('Mens Lineup'!E$3:E1000,CONCATENATE("=",$A43))=0,"",E$2))</f>
        <v/>
      </c>
      <c r="F43" s="3" t="str">
        <f>IF($A43="","",IF(countif('Mens Lineup'!F$3:F1000,CONCATENATE("=",$A43))=0,"",F$2))</f>
        <v/>
      </c>
      <c r="G43" s="3" t="str">
        <f>IF($A43="","",IF(countif('Mens Lineup'!G$3:G1000,CONCATENATE("=",$A43))=0,"",G$2))</f>
        <v/>
      </c>
      <c r="H43" s="3" t="str">
        <f>IF($A43="","",IF(countif('Mens Lineup'!H$3:H1000,CONCATENATE("=",$A43))=0,"",H$2))</f>
        <v/>
      </c>
      <c r="I43" s="3" t="str">
        <f>IF($A43="","",IF(countif('Mens Lineup'!I$3:I1000,CONCATENATE("=",$A43))=0,"",I$2))</f>
        <v>100 Breast</v>
      </c>
      <c r="J43" s="3" t="str">
        <f>IF($A43="","",IF(countif('Mens Lineup'!J$3:J1000,CONCATENATE("=",$A43))=0,"",J$2))</f>
        <v>200 Breast</v>
      </c>
      <c r="K43" s="3" t="str">
        <f>IF($A43="","",IF(countif('Mens Lineup'!K$3:K1000,CONCATENATE("=",$A43))=0,"",K$2))</f>
        <v/>
      </c>
      <c r="L43" s="3" t="str">
        <f>IF($A43="","",IF(countif('Mens Lineup'!L$3:L1000,CONCATENATE("=",$A43))=0,"",L$2))</f>
        <v/>
      </c>
      <c r="M43" s="3" t="str">
        <f>IF($A43="","",IF(countif('Mens Lineup'!M$3:M1000,CONCATENATE("=",$A43))=0,"",M$2))</f>
        <v>200 IM</v>
      </c>
      <c r="N43" s="3" t="str">
        <f>IF($A43="","",IF(countif('Mens Lineup'!N$3:N1000,CONCATENATE("=",$A43))=0,"",N$2))</f>
        <v/>
      </c>
      <c r="O43" s="3" t="str">
        <f>IF($A43="","",IF(countif('Mens Lineup'!O$3:O1000,CONCATENATE("=",$A43))=0,"",O$2))</f>
        <v/>
      </c>
      <c r="P43" s="3" t="str">
        <f>IF($A43="","",IF(countif('Mens Lineup'!P$3:P1000,CONCATENATE("=",$A43))=0,"",P$2))</f>
        <v/>
      </c>
      <c r="Q43" s="3" t="str">
        <f>IF($A43="","",IF(countif('Mens Lineup'!Q$3:Q1000,CONCATENATE("=",$A43))=0,"",Q$2))</f>
        <v/>
      </c>
      <c r="R43" s="3" t="str">
        <f>IF($A43="","",IF(countif('Mens Lineup'!R$3:R1000,CONCATENATE("=",$A43))=0,"",R$2))</f>
        <v/>
      </c>
      <c r="S43" s="3" t="str">
        <f>IF($A43="","",IF(countif('Mens Lineup'!S$3:S1000,CONCATENATE("=",$A43))=0,"",S$2))</f>
        <v/>
      </c>
      <c r="W43" s="3" t="str">
        <f>IFERROR(__xludf.DUMMYFUNCTION("JOIN("","",FILTER(B43:S43,B43:S43&lt;&gt;""""))"),"50 Free,100 Free,200 Free,100 Breast,200 Breast,200 IM")</f>
        <v>50 Free,100 Free,200 Free,100 Breast,200 Breast,200 IM</v>
      </c>
    </row>
    <row r="44">
      <c r="A44" s="3" t="s">
        <v>72</v>
      </c>
      <c r="B44" s="3" t="str">
        <f>IF($A44="","",IF(countif('Mens Lineup'!B$3:B1000,CONCATENATE("=",$A44))=0,"",B$2))</f>
        <v>50 Free</v>
      </c>
      <c r="C44" s="3" t="str">
        <f>IF($A44="","",IF(countif('Mens Lineup'!C$3:C1000,CONCATENATE("=",$A44))=0,"",C$2))</f>
        <v>100 Free</v>
      </c>
      <c r="D44" s="3" t="str">
        <f>IF($A44="","",IF(countif('Mens Lineup'!D$3:D1000,CONCATENATE("=",$A44))=0,"",D$2))</f>
        <v/>
      </c>
      <c r="E44" s="3" t="str">
        <f>IF($A44="","",IF(countif('Mens Lineup'!E$3:E1000,CONCATENATE("=",$A44))=0,"",E$2))</f>
        <v>500 Free</v>
      </c>
      <c r="F44" s="3" t="str">
        <f>IF($A44="","",IF(countif('Mens Lineup'!F$3:F1000,CONCATENATE("=",$A44))=0,"",F$2))</f>
        <v/>
      </c>
      <c r="G44" s="3" t="str">
        <f>IF($A44="","",IF(countif('Mens Lineup'!G$3:G1000,CONCATENATE("=",$A44))=0,"",G$2))</f>
        <v>100 Back</v>
      </c>
      <c r="H44" s="3" t="str">
        <f>IF($A44="","",IF(countif('Mens Lineup'!H$3:H1000,CONCATENATE("=",$A44))=0,"",H$2))</f>
        <v/>
      </c>
      <c r="I44" s="3" t="str">
        <f>IF($A44="","",IF(countif('Mens Lineup'!I$3:I1000,CONCATENATE("=",$A44))=0,"",I$2))</f>
        <v>100 Breast</v>
      </c>
      <c r="J44" s="3" t="str">
        <f>IF($A44="","",IF(countif('Mens Lineup'!J$3:J1000,CONCATENATE("=",$A44))=0,"",J$2))</f>
        <v/>
      </c>
      <c r="K44" s="3" t="str">
        <f>IF($A44="","",IF(countif('Mens Lineup'!K$3:K1000,CONCATENATE("=",$A44))=0,"",K$2))</f>
        <v/>
      </c>
      <c r="L44" s="3" t="str">
        <f>IF($A44="","",IF(countif('Mens Lineup'!L$3:L1000,CONCATENATE("=",$A44))=0,"",L$2))</f>
        <v/>
      </c>
      <c r="M44" s="3" t="str">
        <f>IF($A44="","",IF(countif('Mens Lineup'!M$3:M1000,CONCATENATE("=",$A44))=0,"",M$2))</f>
        <v>200 IM</v>
      </c>
      <c r="N44" s="3" t="str">
        <f>IF($A44="","",IF(countif('Mens Lineup'!N$3:N1000,CONCATENATE("=",$A44))=0,"",N$2))</f>
        <v/>
      </c>
      <c r="O44" s="3" t="str">
        <f>IF($A44="","",IF(countif('Mens Lineup'!O$3:O1000,CONCATENATE("=",$A44))=0,"",O$2))</f>
        <v/>
      </c>
      <c r="P44" s="3" t="str">
        <f>IF($A44="","",IF(countif('Mens Lineup'!P$3:P1000,CONCATENATE("=",$A44))=0,"",P$2))</f>
        <v/>
      </c>
      <c r="Q44" s="3" t="str">
        <f>IF($A44="","",IF(countif('Mens Lineup'!Q$3:Q1000,CONCATENATE("=",$A44))=0,"",Q$2))</f>
        <v/>
      </c>
      <c r="R44" s="3" t="str">
        <f>IF($A44="","",IF(countif('Mens Lineup'!R$3:R1000,CONCATENATE("=",$A44))=0,"",R$2))</f>
        <v/>
      </c>
      <c r="S44" s="3" t="str">
        <f>IF($A44="","",IF(countif('Mens Lineup'!S$3:S1000,CONCATENATE("=",$A44))=0,"",S$2))</f>
        <v/>
      </c>
      <c r="W44" s="3" t="str">
        <f>IFERROR(__xludf.DUMMYFUNCTION("JOIN("","",FILTER(B44:S44,B44:S44&lt;&gt;""""))"),"50 Free,100 Free,500 Free,100 Back,100 Breast,200 IM")</f>
        <v>50 Free,100 Free,500 Free,100 Back,100 Breast,200 IM</v>
      </c>
    </row>
    <row r="45">
      <c r="A45" s="3" t="s">
        <v>73</v>
      </c>
      <c r="B45" s="3" t="str">
        <f>IF($A45="","",IF(countif('Mens Lineup'!B$3:B1000,CONCATENATE("=",$A45))=0,"",B$2))</f>
        <v>50 Free</v>
      </c>
      <c r="C45" s="3" t="str">
        <f>IF($A45="","",IF(countif('Mens Lineup'!C$3:C1000,CONCATENATE("=",$A45))=0,"",C$2))</f>
        <v>100 Free</v>
      </c>
      <c r="D45" s="3" t="str">
        <f>IF($A45="","",IF(countif('Mens Lineup'!D$3:D1000,CONCATENATE("=",$A45))=0,"",D$2))</f>
        <v>200 Free</v>
      </c>
      <c r="E45" s="3" t="str">
        <f>IF($A45="","",IF(countif('Mens Lineup'!E$3:E1000,CONCATENATE("=",$A45))=0,"",E$2))</f>
        <v/>
      </c>
      <c r="F45" s="3" t="str">
        <f>IF($A45="","",IF(countif('Mens Lineup'!F$3:F1000,CONCATENATE("=",$A45))=0,"",F$2))</f>
        <v/>
      </c>
      <c r="G45" s="3" t="str">
        <f>IF($A45="","",IF(countif('Mens Lineup'!G$3:G1000,CONCATENATE("=",$A45))=0,"",G$2))</f>
        <v/>
      </c>
      <c r="H45" s="3" t="str">
        <f>IF($A45="","",IF(countif('Mens Lineup'!H$3:H1000,CONCATENATE("=",$A45))=0,"",H$2))</f>
        <v/>
      </c>
      <c r="I45" s="3" t="str">
        <f>IF($A45="","",IF(countif('Mens Lineup'!I$3:I1000,CONCATENATE("=",$A45))=0,"",I$2))</f>
        <v/>
      </c>
      <c r="J45" s="3" t="str">
        <f>IF($A45="","",IF(countif('Mens Lineup'!J$3:J1000,CONCATENATE("=",$A45))=0,"",J$2))</f>
        <v/>
      </c>
      <c r="K45" s="3" t="str">
        <f>IF($A45="","",IF(countif('Mens Lineup'!K$3:K1000,CONCATENATE("=",$A45))=0,"",K$2))</f>
        <v>100 Fly</v>
      </c>
      <c r="L45" s="3" t="str">
        <f>IF($A45="","",IF(countif('Mens Lineup'!L$3:L1000,CONCATENATE("=",$A45))=0,"",L$2))</f>
        <v>200 Fly</v>
      </c>
      <c r="M45" s="3" t="str">
        <f>IF($A45="","",IF(countif('Mens Lineup'!M$3:M1000,CONCATENATE("=",$A45))=0,"",M$2))</f>
        <v>200 IM</v>
      </c>
      <c r="N45" s="3" t="str">
        <f>IF($A45="","",IF(countif('Mens Lineup'!N$3:N1000,CONCATENATE("=",$A45))=0,"",N$2))</f>
        <v/>
      </c>
      <c r="O45" s="3" t="str">
        <f>IF($A45="","",IF(countif('Mens Lineup'!O$3:O1000,CONCATENATE("=",$A45))=0,"",O$2))</f>
        <v/>
      </c>
      <c r="P45" s="3" t="str">
        <f>IF($A45="","",IF(countif('Mens Lineup'!P$3:P1000,CONCATENATE("=",$A45))=0,"",P$2))</f>
        <v/>
      </c>
      <c r="Q45" s="3" t="str">
        <f>IF($A45="","",IF(countif('Mens Lineup'!Q$3:Q1000,CONCATENATE("=",$A45))=0,"",Q$2))</f>
        <v/>
      </c>
      <c r="R45" s="3" t="str">
        <f>IF($A45="","",IF(countif('Mens Lineup'!R$3:R1000,CONCATENATE("=",$A45))=0,"",R$2))</f>
        <v/>
      </c>
      <c r="S45" s="3" t="str">
        <f>IF($A45="","",IF(countif('Mens Lineup'!S$3:S1000,CONCATENATE("=",$A45))=0,"",S$2))</f>
        <v/>
      </c>
      <c r="W45" s="3" t="str">
        <f>IFERROR(__xludf.DUMMYFUNCTION("JOIN("","",FILTER(B45:S45,B45:S45&lt;&gt;""""))"),"50 Free,100 Free,200 Free,100 Fly,200 Fly,200 IM")</f>
        <v>50 Free,100 Free,200 Free,100 Fly,200 Fly,200 IM</v>
      </c>
    </row>
    <row r="46">
      <c r="A46" s="3" t="s">
        <v>74</v>
      </c>
      <c r="B46" s="3" t="str">
        <f>IF($A46="","",IF(countif('Mens Lineup'!B$3:B1000,CONCATENATE("=",$A46))=0,"",B$2))</f>
        <v>50 Free</v>
      </c>
      <c r="C46" s="3" t="str">
        <f>IF($A46="","",IF(countif('Mens Lineup'!C$3:C1000,CONCATENATE("=",$A46))=0,"",C$2))</f>
        <v/>
      </c>
      <c r="D46" s="3" t="str">
        <f>IF($A46="","",IF(countif('Mens Lineup'!D$3:D1000,CONCATENATE("=",$A46))=0,"",D$2))</f>
        <v/>
      </c>
      <c r="E46" s="3" t="str">
        <f>IF($A46="","",IF(countif('Mens Lineup'!E$3:E1000,CONCATENATE("=",$A46))=0,"",E$2))</f>
        <v/>
      </c>
      <c r="F46" s="3" t="str">
        <f>IF($A46="","",IF(countif('Mens Lineup'!F$3:F1000,CONCATENATE("=",$A46))=0,"",F$2))</f>
        <v/>
      </c>
      <c r="G46" s="3" t="str">
        <f>IF($A46="","",IF(countif('Mens Lineup'!G$3:G1000,CONCATENATE("=",$A46))=0,"",G$2))</f>
        <v/>
      </c>
      <c r="H46" s="3" t="str">
        <f>IF($A46="","",IF(countif('Mens Lineup'!H$3:H1000,CONCATENATE("=",$A46))=0,"",H$2))</f>
        <v>200 Back</v>
      </c>
      <c r="I46" s="3" t="str">
        <f>IF($A46="","",IF(countif('Mens Lineup'!I$3:I1000,CONCATENATE("=",$A46))=0,"",I$2))</f>
        <v>100 Breast</v>
      </c>
      <c r="J46" s="3" t="str">
        <f>IF($A46="","",IF(countif('Mens Lineup'!J$3:J1000,CONCATENATE("=",$A46))=0,"",J$2))</f>
        <v/>
      </c>
      <c r="K46" s="3" t="str">
        <f>IF($A46="","",IF(countif('Mens Lineup'!K$3:K1000,CONCATENATE("=",$A46))=0,"",K$2))</f>
        <v>100 Fly</v>
      </c>
      <c r="L46" s="3" t="str">
        <f>IF($A46="","",IF(countif('Mens Lineup'!L$3:L1000,CONCATENATE("=",$A46))=0,"",L$2))</f>
        <v/>
      </c>
      <c r="M46" s="3" t="str">
        <f>IF($A46="","",IF(countif('Mens Lineup'!M$3:M1000,CONCATENATE("=",$A46))=0,"",M$2))</f>
        <v>200 IM</v>
      </c>
      <c r="N46" s="3" t="str">
        <f>IF($A46="","",IF(countif('Mens Lineup'!N$3:N1000,CONCATENATE("=",$A46))=0,"",N$2))</f>
        <v>400 IM</v>
      </c>
      <c r="O46" s="3" t="str">
        <f>IF($A46="","",IF(countif('Mens Lineup'!O$3:O1000,CONCATENATE("=",$A46))=0,"",O$2))</f>
        <v/>
      </c>
      <c r="P46" s="3" t="str">
        <f>IF($A46="","",IF(countif('Mens Lineup'!P$3:P1000,CONCATENATE("=",$A46))=0,"",P$2))</f>
        <v/>
      </c>
      <c r="Q46" s="3" t="str">
        <f>IF($A46="","",IF(countif('Mens Lineup'!Q$3:Q1000,CONCATENATE("=",$A46))=0,"",Q$2))</f>
        <v/>
      </c>
      <c r="R46" s="3" t="str">
        <f>IF($A46="","",IF(countif('Mens Lineup'!R$3:R1000,CONCATENATE("=",$A46))=0,"",R$2))</f>
        <v/>
      </c>
      <c r="S46" s="3" t="str">
        <f>IF($A46="","",IF(countif('Mens Lineup'!S$3:S1000,CONCATENATE("=",$A46))=0,"",S$2))</f>
        <v/>
      </c>
      <c r="W46" s="3" t="str">
        <f>IFERROR(__xludf.DUMMYFUNCTION("JOIN("","",FILTER(B46:S46,B46:S46&lt;&gt;""""))"),"50 Free,200 Back,100 Breast,100 Fly,200 IM,400 IM")</f>
        <v>50 Free,200 Back,100 Breast,100 Fly,200 IM,400 IM</v>
      </c>
    </row>
    <row r="47">
      <c r="A47" s="3" t="s">
        <v>75</v>
      </c>
      <c r="B47" s="3" t="str">
        <f>IF($A47="","",IF(countif('Mens Lineup'!B$3:B1000,CONCATENATE("=",$A47))=0,"",B$2))</f>
        <v>50 Free</v>
      </c>
      <c r="C47" s="3" t="str">
        <f>IF($A47="","",IF(countif('Mens Lineup'!C$3:C1000,CONCATENATE("=",$A47))=0,"",C$2))</f>
        <v>100 Free</v>
      </c>
      <c r="D47" s="3" t="str">
        <f>IF($A47="","",IF(countif('Mens Lineup'!D$3:D1000,CONCATENATE("=",$A47))=0,"",D$2))</f>
        <v/>
      </c>
      <c r="E47" s="3" t="str">
        <f>IF($A47="","",IF(countif('Mens Lineup'!E$3:E1000,CONCATENATE("=",$A47))=0,"",E$2))</f>
        <v/>
      </c>
      <c r="F47" s="3" t="str">
        <f>IF($A47="","",IF(countif('Mens Lineup'!F$3:F1000,CONCATENATE("=",$A47))=0,"",F$2))</f>
        <v/>
      </c>
      <c r="G47" s="3" t="str">
        <f>IF($A47="","",IF(countif('Mens Lineup'!G$3:G1000,CONCATENATE("=",$A47))=0,"",G$2))</f>
        <v>100 Back</v>
      </c>
      <c r="H47" s="3" t="str">
        <f>IF($A47="","",IF(countif('Mens Lineup'!H$3:H1000,CONCATENATE("=",$A47))=0,"",H$2))</f>
        <v>200 Back</v>
      </c>
      <c r="I47" s="3" t="str">
        <f>IF($A47="","",IF(countif('Mens Lineup'!I$3:I1000,CONCATENATE("=",$A47))=0,"",I$2))</f>
        <v/>
      </c>
      <c r="J47" s="3" t="str">
        <f>IF($A47="","",IF(countif('Mens Lineup'!J$3:J1000,CONCATENATE("=",$A47))=0,"",J$2))</f>
        <v/>
      </c>
      <c r="K47" s="3" t="str">
        <f>IF($A47="","",IF(countif('Mens Lineup'!K$3:K1000,CONCATENATE("=",$A47))=0,"",K$2))</f>
        <v/>
      </c>
      <c r="L47" s="3" t="str">
        <f>IF($A47="","",IF(countif('Mens Lineup'!L$3:L1000,CONCATENATE("=",$A47))=0,"",L$2))</f>
        <v/>
      </c>
      <c r="M47" s="3" t="str">
        <f>IF($A47="","",IF(countif('Mens Lineup'!M$3:M1000,CONCATENATE("=",$A47))=0,"",M$2))</f>
        <v>200 IM</v>
      </c>
      <c r="N47" s="3" t="str">
        <f>IF($A47="","",IF(countif('Mens Lineup'!N$3:N1000,CONCATENATE("=",$A47))=0,"",N$2))</f>
        <v/>
      </c>
      <c r="O47" s="3" t="str">
        <f>IF($A47="","",IF(countif('Mens Lineup'!O$3:O1000,CONCATENATE("=",$A47))=0,"",O$2))</f>
        <v/>
      </c>
      <c r="P47" s="3" t="str">
        <f>IF($A47="","",IF(countif('Mens Lineup'!P$3:P1000,CONCATENATE("=",$A47))=0,"",P$2))</f>
        <v/>
      </c>
      <c r="Q47" s="3" t="str">
        <f>IF($A47="","",IF(countif('Mens Lineup'!Q$3:Q1000,CONCATENATE("=",$A47))=0,"",Q$2))</f>
        <v/>
      </c>
      <c r="R47" s="3" t="str">
        <f>IF($A47="","",IF(countif('Mens Lineup'!R$3:R1000,CONCATENATE("=",$A47))=0,"",R$2))</f>
        <v/>
      </c>
      <c r="S47" s="3" t="str">
        <f>IF($A47="","",IF(countif('Mens Lineup'!S$3:S1000,CONCATENATE("=",$A47))=0,"",S$2))</f>
        <v/>
      </c>
      <c r="W47" s="3" t="str">
        <f>IFERROR(__xludf.DUMMYFUNCTION("JOIN("","",FILTER(B47:S47,B47:S47&lt;&gt;""""))"),"50 Free,100 Free,100 Back,200 Back,200 IM")</f>
        <v>50 Free,100 Free,100 Back,200 Back,200 IM</v>
      </c>
    </row>
    <row r="48">
      <c r="A48" s="3" t="s">
        <v>76</v>
      </c>
      <c r="B48" s="3" t="str">
        <f>IF($A48="","",IF(countif('Mens Lineup'!B$3:B1000,CONCATENATE("=",$A48))=0,"",B$2))</f>
        <v>50 Free</v>
      </c>
      <c r="C48" s="3" t="str">
        <f>IF($A48="","",IF(countif('Mens Lineup'!C$3:C1000,CONCATENATE("=",$A48))=0,"",C$2))</f>
        <v/>
      </c>
      <c r="D48" s="3" t="str">
        <f>IF($A48="","",IF(countif('Mens Lineup'!D$3:D1000,CONCATENATE("=",$A48))=0,"",D$2))</f>
        <v/>
      </c>
      <c r="E48" s="3" t="str">
        <f>IF($A48="","",IF(countif('Mens Lineup'!E$3:E1000,CONCATENATE("=",$A48))=0,"",E$2))</f>
        <v/>
      </c>
      <c r="F48" s="3" t="str">
        <f>IF($A48="","",IF(countif('Mens Lineup'!F$3:F1000,CONCATENATE("=",$A48))=0,"",F$2))</f>
        <v/>
      </c>
      <c r="G48" s="3" t="str">
        <f>IF($A48="","",IF(countif('Mens Lineup'!G$3:G1000,CONCATENATE("=",$A48))=0,"",G$2))</f>
        <v/>
      </c>
      <c r="H48" s="3" t="str">
        <f>IF($A48="","",IF(countif('Mens Lineup'!H$3:H1000,CONCATENATE("=",$A48))=0,"",H$2))</f>
        <v/>
      </c>
      <c r="I48" s="3" t="str">
        <f>IF($A48="","",IF(countif('Mens Lineup'!I$3:I1000,CONCATENATE("=",$A48))=0,"",I$2))</f>
        <v/>
      </c>
      <c r="J48" s="3" t="str">
        <f>IF($A48="","",IF(countif('Mens Lineup'!J$3:J1000,CONCATENATE("=",$A48))=0,"",J$2))</f>
        <v>200 Breast</v>
      </c>
      <c r="K48" s="3" t="str">
        <f>IF($A48="","",IF(countif('Mens Lineup'!K$3:K1000,CONCATENATE("=",$A48))=0,"",K$2))</f>
        <v/>
      </c>
      <c r="L48" s="3" t="str">
        <f>IF($A48="","",IF(countif('Mens Lineup'!L$3:L1000,CONCATENATE("=",$A48))=0,"",L$2))</f>
        <v/>
      </c>
      <c r="M48" s="3" t="str">
        <f>IF($A48="","",IF(countif('Mens Lineup'!M$3:M1000,CONCATENATE("=",$A48))=0,"",M$2))</f>
        <v/>
      </c>
      <c r="N48" s="3" t="str">
        <f>IF($A48="","",IF(countif('Mens Lineup'!N$3:N1000,CONCATENATE("=",$A48))=0,"",N$2))</f>
        <v/>
      </c>
      <c r="O48" s="3" t="str">
        <f>IF($A48="","",IF(countif('Mens Lineup'!O$3:O1000,CONCATENATE("=",$A48))=0,"",O$2))</f>
        <v/>
      </c>
      <c r="P48" s="3" t="str">
        <f>IF($A48="","",IF(countif('Mens Lineup'!P$3:P1000,CONCATENATE("=",$A48))=0,"",P$2))</f>
        <v/>
      </c>
      <c r="Q48" s="3" t="str">
        <f>IF($A48="","",IF(countif('Mens Lineup'!Q$3:Q1000,CONCATENATE("=",$A48))=0,"",Q$2))</f>
        <v/>
      </c>
      <c r="R48" s="3" t="str">
        <f>IF($A48="","",IF(countif('Mens Lineup'!R$3:R1000,CONCATENATE("=",$A48))=0,"",R$2))</f>
        <v/>
      </c>
      <c r="S48" s="3" t="str">
        <f>IF($A48="","",IF(countif('Mens Lineup'!S$3:S1000,CONCATENATE("=",$A48))=0,"",S$2))</f>
        <v/>
      </c>
      <c r="W48" s="3" t="str">
        <f>IFERROR(__xludf.DUMMYFUNCTION("JOIN("","",FILTER(B48:S48,B48:S48&lt;&gt;""""))"),"50 Free,200 Breast")</f>
        <v>50 Free,200 Breast</v>
      </c>
    </row>
    <row r="49">
      <c r="A49" s="3" t="s">
        <v>77</v>
      </c>
      <c r="B49" s="3" t="str">
        <f>IF($A49="","",IF(countif('Mens Lineup'!B$3:B1000,CONCATENATE("=",$A49))=0,"",B$2))</f>
        <v>50 Free</v>
      </c>
      <c r="C49" s="3" t="str">
        <f>IF($A49="","",IF(countif('Mens Lineup'!C$3:C1000,CONCATENATE("=",$A49))=0,"",C$2))</f>
        <v>100 Free</v>
      </c>
      <c r="D49" s="3" t="str">
        <f>IF($A49="","",IF(countif('Mens Lineup'!D$3:D1000,CONCATENATE("=",$A49))=0,"",D$2))</f>
        <v>200 Free</v>
      </c>
      <c r="E49" s="3" t="str">
        <f>IF($A49="","",IF(countif('Mens Lineup'!E$3:E1000,CONCATENATE("=",$A49))=0,"",E$2))</f>
        <v>500 Free</v>
      </c>
      <c r="F49" s="3" t="str">
        <f>IF($A49="","",IF(countif('Mens Lineup'!F$3:F1000,CONCATENATE("=",$A49))=0,"",F$2))</f>
        <v/>
      </c>
      <c r="G49" s="3" t="str">
        <f>IF($A49="","",IF(countif('Mens Lineup'!G$3:G1000,CONCATENATE("=",$A49))=0,"",G$2))</f>
        <v/>
      </c>
      <c r="H49" s="3" t="str">
        <f>IF($A49="","",IF(countif('Mens Lineup'!H$3:H1000,CONCATENATE("=",$A49))=0,"",H$2))</f>
        <v/>
      </c>
      <c r="I49" s="3" t="str">
        <f>IF($A49="","",IF(countif('Mens Lineup'!I$3:I1000,CONCATENATE("=",$A49))=0,"",I$2))</f>
        <v>100 Breast</v>
      </c>
      <c r="J49" s="3" t="str">
        <f>IF($A49="","",IF(countif('Mens Lineup'!J$3:J1000,CONCATENATE("=",$A49))=0,"",J$2))</f>
        <v/>
      </c>
      <c r="K49" s="3" t="str">
        <f>IF($A49="","",IF(countif('Mens Lineup'!K$3:K1000,CONCATENATE("=",$A49))=0,"",K$2))</f>
        <v/>
      </c>
      <c r="L49" s="3" t="str">
        <f>IF($A49="","",IF(countif('Mens Lineup'!L$3:L1000,CONCATENATE("=",$A49))=0,"",L$2))</f>
        <v/>
      </c>
      <c r="M49" s="3" t="str">
        <f>IF($A49="","",IF(countif('Mens Lineup'!M$3:M1000,CONCATENATE("=",$A49))=0,"",M$2))</f>
        <v>200 IM</v>
      </c>
      <c r="N49" s="3" t="str">
        <f>IF($A49="","",IF(countif('Mens Lineup'!N$3:N1000,CONCATENATE("=",$A49))=0,"",N$2))</f>
        <v/>
      </c>
      <c r="O49" s="3" t="str">
        <f>IF($A49="","",IF(countif('Mens Lineup'!O$3:O1000,CONCATENATE("=",$A49))=0,"",O$2))</f>
        <v/>
      </c>
      <c r="P49" s="3" t="str">
        <f>IF($A49="","",IF(countif('Mens Lineup'!P$3:P1000,CONCATENATE("=",$A49))=0,"",P$2))</f>
        <v/>
      </c>
      <c r="Q49" s="3" t="str">
        <f>IF($A49="","",IF(countif('Mens Lineup'!Q$3:Q1000,CONCATENATE("=",$A49))=0,"",Q$2))</f>
        <v/>
      </c>
      <c r="R49" s="3" t="str">
        <f>IF($A49="","",IF(countif('Mens Lineup'!R$3:R1000,CONCATENATE("=",$A49))=0,"",R$2))</f>
        <v/>
      </c>
      <c r="S49" s="3" t="str">
        <f>IF($A49="","",IF(countif('Mens Lineup'!S$3:S1000,CONCATENATE("=",$A49))=0,"",S$2))</f>
        <v/>
      </c>
      <c r="W49" s="3" t="str">
        <f>IFERROR(__xludf.DUMMYFUNCTION("JOIN("","",FILTER(B49:S49,B49:S49&lt;&gt;""""))"),"50 Free,100 Free,200 Free,500 Free,100 Breast,200 IM")</f>
        <v>50 Free,100 Free,200 Free,500 Free,100 Breast,200 IM</v>
      </c>
    </row>
    <row r="50">
      <c r="A50" s="3" t="s">
        <v>78</v>
      </c>
      <c r="B50" s="3" t="str">
        <f>IF($A50="","",IF(countif('Mens Lineup'!B$3:B1000,CONCATENATE("=",$A50))=0,"",B$2))</f>
        <v>50 Free</v>
      </c>
      <c r="C50" s="3" t="str">
        <f>IF($A50="","",IF(countif('Mens Lineup'!C$3:C1000,CONCATENATE("=",$A50))=0,"",C$2))</f>
        <v>100 Free</v>
      </c>
      <c r="D50" s="3" t="str">
        <f>IF($A50="","",IF(countif('Mens Lineup'!D$3:D1000,CONCATENATE("=",$A50))=0,"",D$2))</f>
        <v/>
      </c>
      <c r="E50" s="3" t="str">
        <f>IF($A50="","",IF(countif('Mens Lineup'!E$3:E1000,CONCATENATE("=",$A50))=0,"",E$2))</f>
        <v/>
      </c>
      <c r="F50" s="3" t="str">
        <f>IF($A50="","",IF(countif('Mens Lineup'!F$3:F1000,CONCATENATE("=",$A50))=0,"",F$2))</f>
        <v/>
      </c>
      <c r="G50" s="3" t="str">
        <f>IF($A50="","",IF(countif('Mens Lineup'!G$3:G1000,CONCATENATE("=",$A50))=0,"",G$2))</f>
        <v/>
      </c>
      <c r="H50" s="3" t="str">
        <f>IF($A50="","",IF(countif('Mens Lineup'!H$3:H1000,CONCATENATE("=",$A50))=0,"",H$2))</f>
        <v/>
      </c>
      <c r="I50" s="3" t="str">
        <f>IF($A50="","",IF(countif('Mens Lineup'!I$3:I1000,CONCATENATE("=",$A50))=0,"",I$2))</f>
        <v/>
      </c>
      <c r="J50" s="3" t="str">
        <f>IF($A50="","",IF(countif('Mens Lineup'!J$3:J1000,CONCATENATE("=",$A50))=0,"",J$2))</f>
        <v/>
      </c>
      <c r="K50" s="3" t="str">
        <f>IF($A50="","",IF(countif('Mens Lineup'!K$3:K1000,CONCATENATE("=",$A50))=0,"",K$2))</f>
        <v/>
      </c>
      <c r="L50" s="3" t="str">
        <f>IF($A50="","",IF(countif('Mens Lineup'!L$3:L1000,CONCATENATE("=",$A50))=0,"",L$2))</f>
        <v/>
      </c>
      <c r="M50" s="3" t="str">
        <f>IF($A50="","",IF(countif('Mens Lineup'!M$3:M1000,CONCATENATE("=",$A50))=0,"",M$2))</f>
        <v/>
      </c>
      <c r="N50" s="3" t="str">
        <f>IF($A50="","",IF(countif('Mens Lineup'!N$3:N1000,CONCATENATE("=",$A50))=0,"",N$2))</f>
        <v/>
      </c>
      <c r="O50" s="3" t="str">
        <f>IF($A50="","",IF(countif('Mens Lineup'!O$3:O1000,CONCATENATE("=",$A50))=0,"",O$2))</f>
        <v/>
      </c>
      <c r="P50" s="3" t="str">
        <f>IF($A50="","",IF(countif('Mens Lineup'!P$3:P1000,CONCATENATE("=",$A50))=0,"",P$2))</f>
        <v/>
      </c>
      <c r="Q50" s="3" t="str">
        <f>IF($A50="","",IF(countif('Mens Lineup'!Q$3:Q1000,CONCATENATE("=",$A50))=0,"",Q$2))</f>
        <v/>
      </c>
      <c r="R50" s="3" t="str">
        <f>IF($A50="","",IF(countif('Mens Lineup'!R$3:R1000,CONCATENATE("=",$A50))=0,"",R$2))</f>
        <v/>
      </c>
      <c r="S50" s="3" t="str">
        <f>IF($A50="","",IF(countif('Mens Lineup'!S$3:S1000,CONCATENATE("=",$A50))=0,"",S$2))</f>
        <v/>
      </c>
      <c r="W50" s="3" t="str">
        <f>IFERROR(__xludf.DUMMYFUNCTION("JOIN("","",FILTER(B50:S50,B50:S50&lt;&gt;""""))"),"50 Free,100 Free")</f>
        <v>50 Free,100 Free</v>
      </c>
    </row>
    <row r="51">
      <c r="A51" s="3" t="s">
        <v>79</v>
      </c>
      <c r="B51" s="3" t="str">
        <f>IF($A51="","",IF(countif('Mens Lineup'!B$3:B1000,CONCATENATE("=",$A51))=0,"",B$2))</f>
        <v>50 Free</v>
      </c>
      <c r="C51" s="3" t="str">
        <f>IF($A51="","",IF(countif('Mens Lineup'!C$3:C1000,CONCATENATE("=",$A51))=0,"",C$2))</f>
        <v>100 Free</v>
      </c>
      <c r="D51" s="3" t="str">
        <f>IF($A51="","",IF(countif('Mens Lineup'!D$3:D1000,CONCATENATE("=",$A51))=0,"",D$2))</f>
        <v/>
      </c>
      <c r="E51" s="3" t="str">
        <f>IF($A51="","",IF(countif('Mens Lineup'!E$3:E1000,CONCATENATE("=",$A51))=0,"",E$2))</f>
        <v/>
      </c>
      <c r="F51" s="3" t="str">
        <f>IF($A51="","",IF(countif('Mens Lineup'!F$3:F1000,CONCATENATE("=",$A51))=0,"",F$2))</f>
        <v/>
      </c>
      <c r="G51" s="3" t="str">
        <f>IF($A51="","",IF(countif('Mens Lineup'!G$3:G1000,CONCATENATE("=",$A51))=0,"",G$2))</f>
        <v>100 Back</v>
      </c>
      <c r="H51" s="3" t="str">
        <f>IF($A51="","",IF(countif('Mens Lineup'!H$3:H1000,CONCATENATE("=",$A51))=0,"",H$2))</f>
        <v>200 Back</v>
      </c>
      <c r="I51" s="3" t="str">
        <f>IF($A51="","",IF(countif('Mens Lineup'!I$3:I1000,CONCATENATE("=",$A51))=0,"",I$2))</f>
        <v/>
      </c>
      <c r="J51" s="3" t="str">
        <f>IF($A51="","",IF(countif('Mens Lineup'!J$3:J1000,CONCATENATE("=",$A51))=0,"",J$2))</f>
        <v/>
      </c>
      <c r="K51" s="3" t="str">
        <f>IF($A51="","",IF(countif('Mens Lineup'!K$3:K1000,CONCATENATE("=",$A51))=0,"",K$2))</f>
        <v>100 Fly</v>
      </c>
      <c r="L51" s="3" t="str">
        <f>IF($A51="","",IF(countif('Mens Lineup'!L$3:L1000,CONCATENATE("=",$A51))=0,"",L$2))</f>
        <v/>
      </c>
      <c r="M51" s="3" t="str">
        <f>IF($A51="","",IF(countif('Mens Lineup'!M$3:M1000,CONCATENATE("=",$A51))=0,"",M$2))</f>
        <v/>
      </c>
      <c r="N51" s="3" t="str">
        <f>IF($A51="","",IF(countif('Mens Lineup'!N$3:N1000,CONCATENATE("=",$A51))=0,"",N$2))</f>
        <v/>
      </c>
      <c r="O51" s="3" t="str">
        <f>IF($A51="","",IF(countif('Mens Lineup'!O$3:O1000,CONCATENATE("=",$A51))=0,"",O$2))</f>
        <v/>
      </c>
      <c r="P51" s="3" t="str">
        <f>IF($A51="","",IF(countif('Mens Lineup'!P$3:P1000,CONCATENATE("=",$A51))=0,"",P$2))</f>
        <v/>
      </c>
      <c r="Q51" s="3" t="str">
        <f>IF($A51="","",IF(countif('Mens Lineup'!Q$3:Q1000,CONCATENATE("=",$A51))=0,"",Q$2))</f>
        <v/>
      </c>
      <c r="R51" s="3" t="str">
        <f>IF($A51="","",IF(countif('Mens Lineup'!R$3:R1000,CONCATENATE("=",$A51))=0,"",R$2))</f>
        <v/>
      </c>
      <c r="S51" s="3" t="str">
        <f>IF($A51="","",IF(countif('Mens Lineup'!S$3:S1000,CONCATENATE("=",$A51))=0,"",S$2))</f>
        <v/>
      </c>
      <c r="W51" s="3" t="str">
        <f>IFERROR(__xludf.DUMMYFUNCTION("JOIN("","",FILTER(B51:S51,B51:S51&lt;&gt;""""))"),"50 Free,100 Free,100 Back,200 Back,100 Fly")</f>
        <v>50 Free,100 Free,100 Back,200 Back,100 Fly</v>
      </c>
    </row>
    <row r="52">
      <c r="A52" s="3" t="s">
        <v>80</v>
      </c>
      <c r="B52" s="3" t="str">
        <f>IF($A52="","",IF(countif('Mens Lineup'!B$3:B1000,CONCATENATE("=",$A52))=0,"",B$2))</f>
        <v>50 Free</v>
      </c>
      <c r="C52" s="3" t="str">
        <f>IF($A52="","",IF(countif('Mens Lineup'!C$3:C1000,CONCATENATE("=",$A52))=0,"",C$2))</f>
        <v/>
      </c>
      <c r="D52" s="3" t="str">
        <f>IF($A52="","",IF(countif('Mens Lineup'!D$3:D1000,CONCATENATE("=",$A52))=0,"",D$2))</f>
        <v/>
      </c>
      <c r="E52" s="3" t="str">
        <f>IF($A52="","",IF(countif('Mens Lineup'!E$3:E1000,CONCATENATE("=",$A52))=0,"",E$2))</f>
        <v/>
      </c>
      <c r="F52" s="3" t="str">
        <f>IF($A52="","",IF(countif('Mens Lineup'!F$3:F1000,CONCATENATE("=",$A52))=0,"",F$2))</f>
        <v/>
      </c>
      <c r="G52" s="3" t="str">
        <f>IF($A52="","",IF(countif('Mens Lineup'!G$3:G1000,CONCATENATE("=",$A52))=0,"",G$2))</f>
        <v/>
      </c>
      <c r="H52" s="3" t="str">
        <f>IF($A52="","",IF(countif('Mens Lineup'!H$3:H1000,CONCATENATE("=",$A52))=0,"",H$2))</f>
        <v/>
      </c>
      <c r="I52" s="3" t="str">
        <f>IF($A52="","",IF(countif('Mens Lineup'!I$3:I1000,CONCATENATE("=",$A52))=0,"",I$2))</f>
        <v/>
      </c>
      <c r="J52" s="3" t="str">
        <f>IF($A52="","",IF(countif('Mens Lineup'!J$3:J1000,CONCATENATE("=",$A52))=0,"",J$2))</f>
        <v>200 Breast</v>
      </c>
      <c r="K52" s="3" t="str">
        <f>IF($A52="","",IF(countif('Mens Lineup'!K$3:K1000,CONCATENATE("=",$A52))=0,"",K$2))</f>
        <v/>
      </c>
      <c r="L52" s="3" t="str">
        <f>IF($A52="","",IF(countif('Mens Lineup'!L$3:L1000,CONCATENATE("=",$A52))=0,"",L$2))</f>
        <v>200 Fly</v>
      </c>
      <c r="M52" s="3" t="str">
        <f>IF($A52="","",IF(countif('Mens Lineup'!M$3:M1000,CONCATENATE("=",$A52))=0,"",M$2))</f>
        <v>200 IM</v>
      </c>
      <c r="N52" s="3" t="str">
        <f>IF($A52="","",IF(countif('Mens Lineup'!N$3:N1000,CONCATENATE("=",$A52))=0,"",N$2))</f>
        <v/>
      </c>
      <c r="O52" s="3" t="str">
        <f>IF($A52="","",IF(countif('Mens Lineup'!O$3:O1000,CONCATENATE("=",$A52))=0,"",O$2))</f>
        <v/>
      </c>
      <c r="P52" s="3" t="str">
        <f>IF($A52="","",IF(countif('Mens Lineup'!P$3:P1000,CONCATENATE("=",$A52))=0,"",P$2))</f>
        <v/>
      </c>
      <c r="Q52" s="3" t="str">
        <f>IF($A52="","",IF(countif('Mens Lineup'!Q$3:Q1000,CONCATENATE("=",$A52))=0,"",Q$2))</f>
        <v/>
      </c>
      <c r="R52" s="3" t="str">
        <f>IF($A52="","",IF(countif('Mens Lineup'!R$3:R1000,CONCATENATE("=",$A52))=0,"",R$2))</f>
        <v/>
      </c>
      <c r="S52" s="3" t="str">
        <f>IF($A52="","",IF(countif('Mens Lineup'!S$3:S1000,CONCATENATE("=",$A52))=0,"",S$2))</f>
        <v/>
      </c>
      <c r="W52" s="3" t="str">
        <f>IFERROR(__xludf.DUMMYFUNCTION("JOIN("","",FILTER(B52:S52,B52:S52&lt;&gt;""""))"),"50 Free,200 Breast,200 Fly,200 IM")</f>
        <v>50 Free,200 Breast,200 Fly,200 IM</v>
      </c>
    </row>
    <row r="53">
      <c r="A53" s="3" t="s">
        <v>81</v>
      </c>
      <c r="B53" s="3" t="str">
        <f>IF($A53="","",IF(countif('Mens Lineup'!B$3:B1000,CONCATENATE("=",$A53))=0,"",B$2))</f>
        <v>50 Free</v>
      </c>
      <c r="C53" s="3" t="str">
        <f>IF($A53="","",IF(countif('Mens Lineup'!C$3:C1000,CONCATENATE("=",$A53))=0,"",C$2))</f>
        <v>100 Free</v>
      </c>
      <c r="D53" s="3" t="str">
        <f>IF($A53="","",IF(countif('Mens Lineup'!D$3:D1000,CONCATENATE("=",$A53))=0,"",D$2))</f>
        <v/>
      </c>
      <c r="E53" s="3" t="str">
        <f>IF($A53="","",IF(countif('Mens Lineup'!E$3:E1000,CONCATENATE("=",$A53))=0,"",E$2))</f>
        <v/>
      </c>
      <c r="F53" s="3" t="str">
        <f>IF($A53="","",IF(countif('Mens Lineup'!F$3:F1000,CONCATENATE("=",$A53))=0,"",F$2))</f>
        <v/>
      </c>
      <c r="G53" s="3" t="str">
        <f>IF($A53="","",IF(countif('Mens Lineup'!G$3:G1000,CONCATENATE("=",$A53))=0,"",G$2))</f>
        <v>100 Back</v>
      </c>
      <c r="H53" s="3" t="str">
        <f>IF($A53="","",IF(countif('Mens Lineup'!H$3:H1000,CONCATENATE("=",$A53))=0,"",H$2))</f>
        <v>200 Back</v>
      </c>
      <c r="I53" s="3" t="str">
        <f>IF($A53="","",IF(countif('Mens Lineup'!I$3:I1000,CONCATENATE("=",$A53))=0,"",I$2))</f>
        <v/>
      </c>
      <c r="J53" s="3" t="str">
        <f>IF($A53="","",IF(countif('Mens Lineup'!J$3:J1000,CONCATENATE("=",$A53))=0,"",J$2))</f>
        <v/>
      </c>
      <c r="K53" s="3" t="str">
        <f>IF($A53="","",IF(countif('Mens Lineup'!K$3:K1000,CONCATENATE("=",$A53))=0,"",K$2))</f>
        <v>100 Fly</v>
      </c>
      <c r="L53" s="3" t="str">
        <f>IF($A53="","",IF(countif('Mens Lineup'!L$3:L1000,CONCATENATE("=",$A53))=0,"",L$2))</f>
        <v>200 Fly</v>
      </c>
      <c r="M53" s="3" t="str">
        <f>IF($A53="","",IF(countif('Mens Lineup'!M$3:M1000,CONCATENATE("=",$A53))=0,"",M$2))</f>
        <v/>
      </c>
      <c r="N53" s="3" t="str">
        <f>IF($A53="","",IF(countif('Mens Lineup'!N$3:N1000,CONCATENATE("=",$A53))=0,"",N$2))</f>
        <v/>
      </c>
      <c r="O53" s="3" t="str">
        <f>IF($A53="","",IF(countif('Mens Lineup'!O$3:O1000,CONCATENATE("=",$A53))=0,"",O$2))</f>
        <v/>
      </c>
      <c r="P53" s="3" t="str">
        <f>IF($A53="","",IF(countif('Mens Lineup'!P$3:P1000,CONCATENATE("=",$A53))=0,"",P$2))</f>
        <v/>
      </c>
      <c r="Q53" s="3" t="str">
        <f>IF($A53="","",IF(countif('Mens Lineup'!Q$3:Q1000,CONCATENATE("=",$A53))=0,"",Q$2))</f>
        <v/>
      </c>
      <c r="R53" s="3" t="str">
        <f>IF($A53="","",IF(countif('Mens Lineup'!R$3:R1000,CONCATENATE("=",$A53))=0,"",R$2))</f>
        <v/>
      </c>
      <c r="S53" s="3" t="str">
        <f>IF($A53="","",IF(countif('Mens Lineup'!S$3:S1000,CONCATENATE("=",$A53))=0,"",S$2))</f>
        <v/>
      </c>
      <c r="W53" s="3" t="str">
        <f>IFERROR(__xludf.DUMMYFUNCTION("JOIN("","",FILTER(B53:S53,B53:S53&lt;&gt;""""))"),"50 Free,100 Free,100 Back,200 Back,100 Fly,200 Fly")</f>
        <v>50 Free,100 Free,100 Back,200 Back,100 Fly,200 Fly</v>
      </c>
    </row>
    <row r="54">
      <c r="A54" s="3" t="s">
        <v>82</v>
      </c>
      <c r="B54" s="3" t="str">
        <f>IF($A54="","",IF(countif('Mens Lineup'!B$3:B1000,CONCATENATE("=",$A54))=0,"",B$2))</f>
        <v>50 Free</v>
      </c>
      <c r="C54" s="3" t="str">
        <f>IF($A54="","",IF(countif('Mens Lineup'!C$3:C1000,CONCATENATE("=",$A54))=0,"",C$2))</f>
        <v>100 Free</v>
      </c>
      <c r="D54" s="3" t="str">
        <f>IF($A54="","",IF(countif('Mens Lineup'!D$3:D1000,CONCATENATE("=",$A54))=0,"",D$2))</f>
        <v/>
      </c>
      <c r="E54" s="3" t="str">
        <f>IF($A54="","",IF(countif('Mens Lineup'!E$3:E1000,CONCATENATE("=",$A54))=0,"",E$2))</f>
        <v/>
      </c>
      <c r="F54" s="3" t="str">
        <f>IF($A54="","",IF(countif('Mens Lineup'!F$3:F1000,CONCATENATE("=",$A54))=0,"",F$2))</f>
        <v/>
      </c>
      <c r="G54" s="3" t="str">
        <f>IF($A54="","",IF(countif('Mens Lineup'!G$3:G1000,CONCATENATE("=",$A54))=0,"",G$2))</f>
        <v/>
      </c>
      <c r="H54" s="3" t="str">
        <f>IF($A54="","",IF(countif('Mens Lineup'!H$3:H1000,CONCATENATE("=",$A54))=0,"",H$2))</f>
        <v/>
      </c>
      <c r="I54" s="3" t="str">
        <f>IF($A54="","",IF(countif('Mens Lineup'!I$3:I1000,CONCATENATE("=",$A54))=0,"",I$2))</f>
        <v/>
      </c>
      <c r="J54" s="3" t="str">
        <f>IF($A54="","",IF(countif('Mens Lineup'!J$3:J1000,CONCATENATE("=",$A54))=0,"",J$2))</f>
        <v/>
      </c>
      <c r="K54" s="3" t="str">
        <f>IF($A54="","",IF(countif('Mens Lineup'!K$3:K1000,CONCATENATE("=",$A54))=0,"",K$2))</f>
        <v>100 Fly</v>
      </c>
      <c r="L54" s="3" t="str">
        <f>IF($A54="","",IF(countif('Mens Lineup'!L$3:L1000,CONCATENATE("=",$A54))=0,"",L$2))</f>
        <v/>
      </c>
      <c r="M54" s="3" t="str">
        <f>IF($A54="","",IF(countif('Mens Lineup'!M$3:M1000,CONCATENATE("=",$A54))=0,"",M$2))</f>
        <v/>
      </c>
      <c r="N54" s="3" t="str">
        <f>IF($A54="","",IF(countif('Mens Lineup'!N$3:N1000,CONCATENATE("=",$A54))=0,"",N$2))</f>
        <v/>
      </c>
      <c r="O54" s="3" t="str">
        <f>IF($A54="","",IF(countif('Mens Lineup'!O$3:O1000,CONCATENATE("=",$A54))=0,"",O$2))</f>
        <v/>
      </c>
      <c r="P54" s="3" t="str">
        <f>IF($A54="","",IF(countif('Mens Lineup'!P$3:P1000,CONCATENATE("=",$A54))=0,"",P$2))</f>
        <v/>
      </c>
      <c r="Q54" s="3" t="str">
        <f>IF($A54="","",IF(countif('Mens Lineup'!Q$3:Q1000,CONCATENATE("=",$A54))=0,"",Q$2))</f>
        <v/>
      </c>
      <c r="R54" s="3" t="str">
        <f>IF($A54="","",IF(countif('Mens Lineup'!R$3:R1000,CONCATENATE("=",$A54))=0,"",R$2))</f>
        <v/>
      </c>
      <c r="S54" s="3" t="str">
        <f>IF($A54="","",IF(countif('Mens Lineup'!S$3:S1000,CONCATENATE("=",$A54))=0,"",S$2))</f>
        <v/>
      </c>
      <c r="W54" s="3" t="str">
        <f>IFERROR(__xludf.DUMMYFUNCTION("JOIN("","",FILTER(B54:S54,B54:S54&lt;&gt;""""))"),"50 Free,100 Free,100 Fly")</f>
        <v>50 Free,100 Free,100 Fly</v>
      </c>
    </row>
    <row r="55">
      <c r="A55" s="3" t="s">
        <v>83</v>
      </c>
      <c r="B55" s="3" t="str">
        <f>IF($A55="","",IF(countif('Mens Lineup'!B$3:B1000,CONCATENATE("=",$A55))=0,"",B$2))</f>
        <v>50 Free</v>
      </c>
      <c r="C55" s="3" t="str">
        <f>IF($A55="","",IF(countif('Mens Lineup'!C$3:C1000,CONCATENATE("=",$A55))=0,"",C$2))</f>
        <v>100 Free</v>
      </c>
      <c r="D55" s="3" t="str">
        <f>IF($A55="","",IF(countif('Mens Lineup'!D$3:D1000,CONCATENATE("=",$A55))=0,"",D$2))</f>
        <v/>
      </c>
      <c r="E55" s="3" t="str">
        <f>IF($A55="","",IF(countif('Mens Lineup'!E$3:E1000,CONCATENATE("=",$A55))=0,"",E$2))</f>
        <v/>
      </c>
      <c r="F55" s="3" t="str">
        <f>IF($A55="","",IF(countif('Mens Lineup'!F$3:F1000,CONCATENATE("=",$A55))=0,"",F$2))</f>
        <v/>
      </c>
      <c r="G55" s="3" t="str">
        <f>IF($A55="","",IF(countif('Mens Lineup'!G$3:G1000,CONCATENATE("=",$A55))=0,"",G$2))</f>
        <v/>
      </c>
      <c r="H55" s="3" t="str">
        <f>IF($A55="","",IF(countif('Mens Lineup'!H$3:H1000,CONCATENATE("=",$A55))=0,"",H$2))</f>
        <v/>
      </c>
      <c r="I55" s="3" t="str">
        <f>IF($A55="","",IF(countif('Mens Lineup'!I$3:I1000,CONCATENATE("=",$A55))=0,"",I$2))</f>
        <v>100 Breast</v>
      </c>
      <c r="J55" s="3" t="str">
        <f>IF($A55="","",IF(countif('Mens Lineup'!J$3:J1000,CONCATENATE("=",$A55))=0,"",J$2))</f>
        <v>200 Breast</v>
      </c>
      <c r="K55" s="3" t="str">
        <f>IF($A55="","",IF(countif('Mens Lineup'!K$3:K1000,CONCATENATE("=",$A55))=0,"",K$2))</f>
        <v/>
      </c>
      <c r="L55" s="3" t="str">
        <f>IF($A55="","",IF(countif('Mens Lineup'!L$3:L1000,CONCATENATE("=",$A55))=0,"",L$2))</f>
        <v/>
      </c>
      <c r="M55" s="3" t="str">
        <f>IF($A55="","",IF(countif('Mens Lineup'!M$3:M1000,CONCATENATE("=",$A55))=0,"",M$2))</f>
        <v/>
      </c>
      <c r="N55" s="3" t="str">
        <f>IF($A55="","",IF(countif('Mens Lineup'!N$3:N1000,CONCATENATE("=",$A55))=0,"",N$2))</f>
        <v/>
      </c>
      <c r="O55" s="3" t="str">
        <f>IF($A55="","",IF(countif('Mens Lineup'!O$3:O1000,CONCATENATE("=",$A55))=0,"",O$2))</f>
        <v/>
      </c>
      <c r="P55" s="3" t="str">
        <f>IF($A55="","",IF(countif('Mens Lineup'!P$3:P1000,CONCATENATE("=",$A55))=0,"",P$2))</f>
        <v/>
      </c>
      <c r="Q55" s="3" t="str">
        <f>IF($A55="","",IF(countif('Mens Lineup'!Q$3:Q1000,CONCATENATE("=",$A55))=0,"",Q$2))</f>
        <v/>
      </c>
      <c r="R55" s="3" t="str">
        <f>IF($A55="","",IF(countif('Mens Lineup'!R$3:R1000,CONCATENATE("=",$A55))=0,"",R$2))</f>
        <v/>
      </c>
      <c r="S55" s="3" t="str">
        <f>IF($A55="","",IF(countif('Mens Lineup'!S$3:S1000,CONCATENATE("=",$A55))=0,"",S$2))</f>
        <v/>
      </c>
      <c r="W55" s="3" t="str">
        <f>IFERROR(__xludf.DUMMYFUNCTION("JOIN("","",FILTER(B55:S55,B55:S55&lt;&gt;""""))"),"50 Free,100 Free,100 Breast,200 Breast")</f>
        <v>50 Free,100 Free,100 Breast,200 Breast</v>
      </c>
    </row>
    <row r="56">
      <c r="A56" s="3" t="s">
        <v>84</v>
      </c>
      <c r="B56" s="3" t="str">
        <f>IF($A56="","",IF(countif('Mens Lineup'!B$3:B1000,CONCATENATE("=",$A56))=0,"",B$2))</f>
        <v>50 Free</v>
      </c>
      <c r="C56" s="3" t="str">
        <f>IF($A56="","",IF(countif('Mens Lineup'!C$3:C1000,CONCATENATE("=",$A56))=0,"",C$2))</f>
        <v>100 Free</v>
      </c>
      <c r="D56" s="3" t="str">
        <f>IF($A56="","",IF(countif('Mens Lineup'!D$3:D1000,CONCATENATE("=",$A56))=0,"",D$2))</f>
        <v/>
      </c>
      <c r="E56" s="3" t="str">
        <f>IF($A56="","",IF(countif('Mens Lineup'!E$3:E1000,CONCATENATE("=",$A56))=0,"",E$2))</f>
        <v/>
      </c>
      <c r="F56" s="3" t="str">
        <f>IF($A56="","",IF(countif('Mens Lineup'!F$3:F1000,CONCATENATE("=",$A56))=0,"",F$2))</f>
        <v/>
      </c>
      <c r="G56" s="3" t="str">
        <f>IF($A56="","",IF(countif('Mens Lineup'!G$3:G1000,CONCATENATE("=",$A56))=0,"",G$2))</f>
        <v>100 Back</v>
      </c>
      <c r="H56" s="3" t="str">
        <f>IF($A56="","",IF(countif('Mens Lineup'!H$3:H1000,CONCATENATE("=",$A56))=0,"",H$2))</f>
        <v>200 Back</v>
      </c>
      <c r="I56" s="3" t="str">
        <f>IF($A56="","",IF(countif('Mens Lineup'!I$3:I1000,CONCATENATE("=",$A56))=0,"",I$2))</f>
        <v>100 Breast</v>
      </c>
      <c r="J56" s="3" t="str">
        <f>IF($A56="","",IF(countif('Mens Lineup'!J$3:J1000,CONCATENATE("=",$A56))=0,"",J$2))</f>
        <v/>
      </c>
      <c r="K56" s="3" t="str">
        <f>IF($A56="","",IF(countif('Mens Lineup'!K$3:K1000,CONCATENATE("=",$A56))=0,"",K$2))</f>
        <v>100 Fly</v>
      </c>
      <c r="L56" s="3" t="str">
        <f>IF($A56="","",IF(countif('Mens Lineup'!L$3:L1000,CONCATENATE("=",$A56))=0,"",L$2))</f>
        <v/>
      </c>
      <c r="M56" s="3" t="str">
        <f>IF($A56="","",IF(countif('Mens Lineup'!M$3:M1000,CONCATENATE("=",$A56))=0,"",M$2))</f>
        <v/>
      </c>
      <c r="N56" s="3" t="str">
        <f>IF($A56="","",IF(countif('Mens Lineup'!N$3:N1000,CONCATENATE("=",$A56))=0,"",N$2))</f>
        <v/>
      </c>
      <c r="O56" s="3" t="str">
        <f>IF($A56="","",IF(countif('Mens Lineup'!O$3:O1000,CONCATENATE("=",$A56))=0,"",O$2))</f>
        <v/>
      </c>
      <c r="P56" s="3" t="str">
        <f>IF($A56="","",IF(countif('Mens Lineup'!P$3:P1000,CONCATENATE("=",$A56))=0,"",P$2))</f>
        <v/>
      </c>
      <c r="Q56" s="3" t="str">
        <f>IF($A56="","",IF(countif('Mens Lineup'!Q$3:Q1000,CONCATENATE("=",$A56))=0,"",Q$2))</f>
        <v/>
      </c>
      <c r="R56" s="3" t="str">
        <f>IF($A56="","",IF(countif('Mens Lineup'!R$3:R1000,CONCATENATE("=",$A56))=0,"",R$2))</f>
        <v/>
      </c>
      <c r="S56" s="3" t="str">
        <f>IF($A56="","",IF(countif('Mens Lineup'!S$3:S1000,CONCATENATE("=",$A56))=0,"",S$2))</f>
        <v/>
      </c>
      <c r="W56" s="3" t="str">
        <f>IFERROR(__xludf.DUMMYFUNCTION("JOIN("","",FILTER(B56:S56,B56:S56&lt;&gt;""""))"),"50 Free,100 Free,100 Back,200 Back,100 Breast,100 Fly")</f>
        <v>50 Free,100 Free,100 Back,200 Back,100 Breast,100 Fly</v>
      </c>
    </row>
    <row r="57">
      <c r="A57" s="3" t="s">
        <v>85</v>
      </c>
      <c r="B57" s="3" t="str">
        <f>IF($A57="","",IF(countif('Mens Lineup'!B$3:B1000,CONCATENATE("=",$A57))=0,"",B$2))</f>
        <v>50 Free</v>
      </c>
      <c r="C57" s="3" t="str">
        <f>IF($A57="","",IF(countif('Mens Lineup'!C$3:C1000,CONCATENATE("=",$A57))=0,"",C$2))</f>
        <v/>
      </c>
      <c r="D57" s="3" t="str">
        <f>IF($A57="","",IF(countif('Mens Lineup'!D$3:D1000,CONCATENATE("=",$A57))=0,"",D$2))</f>
        <v/>
      </c>
      <c r="E57" s="3" t="str">
        <f>IF($A57="","",IF(countif('Mens Lineup'!E$3:E1000,CONCATENATE("=",$A57))=0,"",E$2))</f>
        <v/>
      </c>
      <c r="F57" s="3" t="str">
        <f>IF($A57="","",IF(countif('Mens Lineup'!F$3:F1000,CONCATENATE("=",$A57))=0,"",F$2))</f>
        <v/>
      </c>
      <c r="G57" s="3" t="str">
        <f>IF($A57="","",IF(countif('Mens Lineup'!G$3:G1000,CONCATENATE("=",$A57))=0,"",G$2))</f>
        <v/>
      </c>
      <c r="H57" s="3" t="str">
        <f>IF($A57="","",IF(countif('Mens Lineup'!H$3:H1000,CONCATENATE("=",$A57))=0,"",H$2))</f>
        <v/>
      </c>
      <c r="I57" s="3" t="str">
        <f>IF($A57="","",IF(countif('Mens Lineup'!I$3:I1000,CONCATENATE("=",$A57))=0,"",I$2))</f>
        <v/>
      </c>
      <c r="J57" s="3" t="str">
        <f>IF($A57="","",IF(countif('Mens Lineup'!J$3:J1000,CONCATENATE("=",$A57))=0,"",J$2))</f>
        <v/>
      </c>
      <c r="K57" s="3" t="str">
        <f>IF($A57="","",IF(countif('Mens Lineup'!K$3:K1000,CONCATENATE("=",$A57))=0,"",K$2))</f>
        <v/>
      </c>
      <c r="L57" s="3" t="str">
        <f>IF($A57="","",IF(countif('Mens Lineup'!L$3:L1000,CONCATENATE("=",$A57))=0,"",L$2))</f>
        <v/>
      </c>
      <c r="M57" s="3" t="str">
        <f>IF($A57="","",IF(countif('Mens Lineup'!M$3:M1000,CONCATENATE("=",$A57))=0,"",M$2))</f>
        <v/>
      </c>
      <c r="N57" s="3" t="str">
        <f>IF($A57="","",IF(countif('Mens Lineup'!N$3:N1000,CONCATENATE("=",$A57))=0,"",N$2))</f>
        <v/>
      </c>
      <c r="O57" s="3" t="str">
        <f>IF($A57="","",IF(countif('Mens Lineup'!O$3:O1000,CONCATENATE("=",$A57))=0,"",O$2))</f>
        <v/>
      </c>
      <c r="P57" s="3" t="str">
        <f>IF($A57="","",IF(countif('Mens Lineup'!P$3:P1000,CONCATENATE("=",$A57))=0,"",P$2))</f>
        <v/>
      </c>
      <c r="Q57" s="3" t="str">
        <f>IF($A57="","",IF(countif('Mens Lineup'!Q$3:Q1000,CONCATENATE("=",$A57))=0,"",Q$2))</f>
        <v/>
      </c>
      <c r="R57" s="3" t="str">
        <f>IF($A57="","",IF(countif('Mens Lineup'!R$3:R1000,CONCATENATE("=",$A57))=0,"",R$2))</f>
        <v/>
      </c>
      <c r="S57" s="3" t="str">
        <f>IF($A57="","",IF(countif('Mens Lineup'!S$3:S1000,CONCATENATE("=",$A57))=0,"",S$2))</f>
        <v/>
      </c>
      <c r="W57" s="3" t="str">
        <f>IFERROR(__xludf.DUMMYFUNCTION("JOIN("","",FILTER(B57:S57,B57:S57&lt;&gt;""""))"),"50 Free")</f>
        <v>50 Free</v>
      </c>
    </row>
    <row r="58">
      <c r="A58" s="3" t="s">
        <v>86</v>
      </c>
      <c r="B58" s="3" t="str">
        <f>IF($A58="","",IF(countif('Mens Lineup'!B$3:B1000,CONCATENATE("=",$A58))=0,"",B$2))</f>
        <v>50 Free</v>
      </c>
      <c r="C58" s="3" t="str">
        <f>IF($A58="","",IF(countif('Mens Lineup'!C$3:C1000,CONCATENATE("=",$A58))=0,"",C$2))</f>
        <v/>
      </c>
      <c r="D58" s="3" t="str">
        <f>IF($A58="","",IF(countif('Mens Lineup'!D$3:D1000,CONCATENATE("=",$A58))=0,"",D$2))</f>
        <v>200 Free</v>
      </c>
      <c r="E58" s="3" t="str">
        <f>IF($A58="","",IF(countif('Mens Lineup'!E$3:E1000,CONCATENATE("=",$A58))=0,"",E$2))</f>
        <v/>
      </c>
      <c r="F58" s="3" t="str">
        <f>IF($A58="","",IF(countif('Mens Lineup'!F$3:F1000,CONCATENATE("=",$A58))=0,"",F$2))</f>
        <v/>
      </c>
      <c r="G58" s="3" t="str">
        <f>IF($A58="","",IF(countif('Mens Lineup'!G$3:G1000,CONCATENATE("=",$A58))=0,"",G$2))</f>
        <v/>
      </c>
      <c r="H58" s="3" t="str">
        <f>IF($A58="","",IF(countif('Mens Lineup'!H$3:H1000,CONCATENATE("=",$A58))=0,"",H$2))</f>
        <v/>
      </c>
      <c r="I58" s="3" t="str">
        <f>IF($A58="","",IF(countif('Mens Lineup'!I$3:I1000,CONCATENATE("=",$A58))=0,"",I$2))</f>
        <v/>
      </c>
      <c r="J58" s="3" t="str">
        <f>IF($A58="","",IF(countif('Mens Lineup'!J$3:J1000,CONCATENATE("=",$A58))=0,"",J$2))</f>
        <v/>
      </c>
      <c r="K58" s="3" t="str">
        <f>IF($A58="","",IF(countif('Mens Lineup'!K$3:K1000,CONCATENATE("=",$A58))=0,"",K$2))</f>
        <v>100 Fly</v>
      </c>
      <c r="L58" s="3" t="str">
        <f>IF($A58="","",IF(countif('Mens Lineup'!L$3:L1000,CONCATENATE("=",$A58))=0,"",L$2))</f>
        <v/>
      </c>
      <c r="M58" s="3" t="str">
        <f>IF($A58="","",IF(countif('Mens Lineup'!M$3:M1000,CONCATENATE("=",$A58))=0,"",M$2))</f>
        <v/>
      </c>
      <c r="N58" s="3" t="str">
        <f>IF($A58="","",IF(countif('Mens Lineup'!N$3:N1000,CONCATENATE("=",$A58))=0,"",N$2))</f>
        <v/>
      </c>
      <c r="O58" s="3" t="str">
        <f>IF($A58="","",IF(countif('Mens Lineup'!O$3:O1000,CONCATENATE("=",$A58))=0,"",O$2))</f>
        <v/>
      </c>
      <c r="P58" s="3" t="str">
        <f>IF($A58="","",IF(countif('Mens Lineup'!P$3:P1000,CONCATENATE("=",$A58))=0,"",P$2))</f>
        <v/>
      </c>
      <c r="Q58" s="3" t="str">
        <f>IF($A58="","",IF(countif('Mens Lineup'!Q$3:Q1000,CONCATENATE("=",$A58))=0,"",Q$2))</f>
        <v/>
      </c>
      <c r="R58" s="3" t="str">
        <f>IF($A58="","",IF(countif('Mens Lineup'!R$3:R1000,CONCATENATE("=",$A58))=0,"",R$2))</f>
        <v/>
      </c>
      <c r="S58" s="3" t="str">
        <f>IF($A58="","",IF(countif('Mens Lineup'!S$3:S1000,CONCATENATE("=",$A58))=0,"",S$2))</f>
        <v/>
      </c>
      <c r="W58" s="3" t="str">
        <f>IFERROR(__xludf.DUMMYFUNCTION("JOIN("","",FILTER(B58:S58,B58:S58&lt;&gt;""""))"),"50 Free,200 Free,100 Fly")</f>
        <v>50 Free,200 Free,100 Fly</v>
      </c>
    </row>
    <row r="59">
      <c r="A59" s="3" t="s">
        <v>87</v>
      </c>
      <c r="B59" s="3" t="str">
        <f>IF($A59="","",IF(countif('Mens Lineup'!B$3:B1000,CONCATENATE("=",$A59))=0,"",B$2))</f>
        <v>50 Free</v>
      </c>
      <c r="C59" s="3" t="str">
        <f>IF($A59="","",IF(countif('Mens Lineup'!C$3:C1000,CONCATENATE("=",$A59))=0,"",C$2))</f>
        <v/>
      </c>
      <c r="D59" s="3" t="str">
        <f>IF($A59="","",IF(countif('Mens Lineup'!D$3:D1000,CONCATENATE("=",$A59))=0,"",D$2))</f>
        <v>200 Free</v>
      </c>
      <c r="E59" s="3" t="str">
        <f>IF($A59="","",IF(countif('Mens Lineup'!E$3:E1000,CONCATENATE("=",$A59))=0,"",E$2))</f>
        <v/>
      </c>
      <c r="F59" s="3" t="str">
        <f>IF($A59="","",IF(countif('Mens Lineup'!F$3:F1000,CONCATENATE("=",$A59))=0,"",F$2))</f>
        <v/>
      </c>
      <c r="G59" s="3" t="str">
        <f>IF($A59="","",IF(countif('Mens Lineup'!G$3:G1000,CONCATENATE("=",$A59))=0,"",G$2))</f>
        <v/>
      </c>
      <c r="H59" s="3" t="str">
        <f>IF($A59="","",IF(countif('Mens Lineup'!H$3:H1000,CONCATENATE("=",$A59))=0,"",H$2))</f>
        <v/>
      </c>
      <c r="I59" s="3" t="str">
        <f>IF($A59="","",IF(countif('Mens Lineup'!I$3:I1000,CONCATENATE("=",$A59))=0,"",I$2))</f>
        <v/>
      </c>
      <c r="J59" s="3" t="str">
        <f>IF($A59="","",IF(countif('Mens Lineup'!J$3:J1000,CONCATENATE("=",$A59))=0,"",J$2))</f>
        <v/>
      </c>
      <c r="K59" s="3" t="str">
        <f>IF($A59="","",IF(countif('Mens Lineup'!K$3:K1000,CONCATENATE("=",$A59))=0,"",K$2))</f>
        <v/>
      </c>
      <c r="L59" s="3" t="str">
        <f>IF($A59="","",IF(countif('Mens Lineup'!L$3:L1000,CONCATENATE("=",$A59))=0,"",L$2))</f>
        <v/>
      </c>
      <c r="M59" s="3" t="str">
        <f>IF($A59="","",IF(countif('Mens Lineup'!M$3:M1000,CONCATENATE("=",$A59))=0,"",M$2))</f>
        <v/>
      </c>
      <c r="N59" s="3" t="str">
        <f>IF($A59="","",IF(countif('Mens Lineup'!N$3:N1000,CONCATENATE("=",$A59))=0,"",N$2))</f>
        <v/>
      </c>
      <c r="O59" s="3" t="str">
        <f>IF($A59="","",IF(countif('Mens Lineup'!O$3:O1000,CONCATENATE("=",$A59))=0,"",O$2))</f>
        <v/>
      </c>
      <c r="P59" s="3" t="str">
        <f>IF($A59="","",IF(countif('Mens Lineup'!P$3:P1000,CONCATENATE("=",$A59))=0,"",P$2))</f>
        <v/>
      </c>
      <c r="Q59" s="3" t="str">
        <f>IF($A59="","",IF(countif('Mens Lineup'!Q$3:Q1000,CONCATENATE("=",$A59))=0,"",Q$2))</f>
        <v/>
      </c>
      <c r="R59" s="3" t="str">
        <f>IF($A59="","",IF(countif('Mens Lineup'!R$3:R1000,CONCATENATE("=",$A59))=0,"",R$2))</f>
        <v/>
      </c>
      <c r="S59" s="3" t="str">
        <f>IF($A59="","",IF(countif('Mens Lineup'!S$3:S1000,CONCATENATE("=",$A59))=0,"",S$2))</f>
        <v/>
      </c>
      <c r="W59" s="3" t="str">
        <f>IFERROR(__xludf.DUMMYFUNCTION("JOIN("","",FILTER(B59:S59,B59:S59&lt;&gt;""""))"),"50 Free,200 Free")</f>
        <v>50 Free,200 Free</v>
      </c>
    </row>
    <row r="60">
      <c r="A60" s="3" t="s">
        <v>88</v>
      </c>
      <c r="B60" s="3" t="str">
        <f>IF($A60="","",IF(countif('Mens Lineup'!B$3:B1000,CONCATENATE("=",$A60))=0,"",B$2))</f>
        <v>50 Free</v>
      </c>
      <c r="C60" s="3" t="str">
        <f>IF($A60="","",IF(countif('Mens Lineup'!C$3:C1000,CONCATENATE("=",$A60))=0,"",C$2))</f>
        <v>100 Free</v>
      </c>
      <c r="D60" s="3" t="str">
        <f>IF($A60="","",IF(countif('Mens Lineup'!D$3:D1000,CONCATENATE("=",$A60))=0,"",D$2))</f>
        <v/>
      </c>
      <c r="E60" s="3" t="str">
        <f>IF($A60="","",IF(countif('Mens Lineup'!E$3:E1000,CONCATENATE("=",$A60))=0,"",E$2))</f>
        <v/>
      </c>
      <c r="F60" s="3" t="str">
        <f>IF($A60="","",IF(countif('Mens Lineup'!F$3:F1000,CONCATENATE("=",$A60))=0,"",F$2))</f>
        <v/>
      </c>
      <c r="G60" s="3" t="str">
        <f>IF($A60="","",IF(countif('Mens Lineup'!G$3:G1000,CONCATENATE("=",$A60))=0,"",G$2))</f>
        <v>100 Back</v>
      </c>
      <c r="H60" s="3" t="str">
        <f>IF($A60="","",IF(countif('Mens Lineup'!H$3:H1000,CONCATENATE("=",$A60))=0,"",H$2))</f>
        <v>200 Back</v>
      </c>
      <c r="I60" s="3" t="str">
        <f>IF($A60="","",IF(countif('Mens Lineup'!I$3:I1000,CONCATENATE("=",$A60))=0,"",I$2))</f>
        <v/>
      </c>
      <c r="J60" s="3" t="str">
        <f>IF($A60="","",IF(countif('Mens Lineup'!J$3:J1000,CONCATENATE("=",$A60))=0,"",J$2))</f>
        <v/>
      </c>
      <c r="K60" s="3" t="str">
        <f>IF($A60="","",IF(countif('Mens Lineup'!K$3:K1000,CONCATENATE("=",$A60))=0,"",K$2))</f>
        <v/>
      </c>
      <c r="L60" s="3" t="str">
        <f>IF($A60="","",IF(countif('Mens Lineup'!L$3:L1000,CONCATENATE("=",$A60))=0,"",L$2))</f>
        <v/>
      </c>
      <c r="M60" s="3" t="str">
        <f>IF($A60="","",IF(countif('Mens Lineup'!M$3:M1000,CONCATENATE("=",$A60))=0,"",M$2))</f>
        <v/>
      </c>
      <c r="N60" s="3" t="str">
        <f>IF($A60="","",IF(countif('Mens Lineup'!N$3:N1000,CONCATENATE("=",$A60))=0,"",N$2))</f>
        <v/>
      </c>
      <c r="O60" s="3" t="str">
        <f>IF($A60="","",IF(countif('Mens Lineup'!O$3:O1000,CONCATENATE("=",$A60))=0,"",O$2))</f>
        <v/>
      </c>
      <c r="P60" s="3" t="str">
        <f>IF($A60="","",IF(countif('Mens Lineup'!P$3:P1000,CONCATENATE("=",$A60))=0,"",P$2))</f>
        <v/>
      </c>
      <c r="Q60" s="3" t="str">
        <f>IF($A60="","",IF(countif('Mens Lineup'!Q$3:Q1000,CONCATENATE("=",$A60))=0,"",Q$2))</f>
        <v/>
      </c>
      <c r="R60" s="3" t="str">
        <f>IF($A60="","",IF(countif('Mens Lineup'!R$3:R1000,CONCATENATE("=",$A60))=0,"",R$2))</f>
        <v/>
      </c>
      <c r="S60" s="3" t="str">
        <f>IF($A60="","",IF(countif('Mens Lineup'!S$3:S1000,CONCATENATE("=",$A60))=0,"",S$2))</f>
        <v/>
      </c>
      <c r="W60" s="3" t="str">
        <f>IFERROR(__xludf.DUMMYFUNCTION("JOIN("","",FILTER(B60:S60,B60:S60&lt;&gt;""""))"),"50 Free,100 Free,100 Back,200 Back")</f>
        <v>50 Free,100 Free,100 Back,200 Back</v>
      </c>
    </row>
    <row r="61">
      <c r="A61" s="3" t="s">
        <v>89</v>
      </c>
      <c r="B61" s="3" t="str">
        <f>IF($A61="","",IF(countif('Mens Lineup'!B$3:B1000,CONCATENATE("=",$A61))=0,"",B$2))</f>
        <v>50 Free</v>
      </c>
      <c r="C61" s="3" t="str">
        <f>IF($A61="","",IF(countif('Mens Lineup'!C$3:C1000,CONCATENATE("=",$A61))=0,"",C$2))</f>
        <v>100 Free</v>
      </c>
      <c r="D61" s="3" t="str">
        <f>IF($A61="","",IF(countif('Mens Lineup'!D$3:D1000,CONCATENATE("=",$A61))=0,"",D$2))</f>
        <v>200 Free</v>
      </c>
      <c r="E61" s="3" t="str">
        <f>IF($A61="","",IF(countif('Mens Lineup'!E$3:E1000,CONCATENATE("=",$A61))=0,"",E$2))</f>
        <v/>
      </c>
      <c r="F61" s="3" t="str">
        <f>IF($A61="","",IF(countif('Mens Lineup'!F$3:F1000,CONCATENATE("=",$A61))=0,"",F$2))</f>
        <v/>
      </c>
      <c r="G61" s="3" t="str">
        <f>IF($A61="","",IF(countif('Mens Lineup'!G$3:G1000,CONCATENATE("=",$A61))=0,"",G$2))</f>
        <v/>
      </c>
      <c r="H61" s="3" t="str">
        <f>IF($A61="","",IF(countif('Mens Lineup'!H$3:H1000,CONCATENATE("=",$A61))=0,"",H$2))</f>
        <v/>
      </c>
      <c r="I61" s="3" t="str">
        <f>IF($A61="","",IF(countif('Mens Lineup'!I$3:I1000,CONCATENATE("=",$A61))=0,"",I$2))</f>
        <v>100 Breast</v>
      </c>
      <c r="J61" s="3" t="str">
        <f>IF($A61="","",IF(countif('Mens Lineup'!J$3:J1000,CONCATENATE("=",$A61))=0,"",J$2))</f>
        <v/>
      </c>
      <c r="K61" s="3" t="str">
        <f>IF($A61="","",IF(countif('Mens Lineup'!K$3:K1000,CONCATENATE("=",$A61))=0,"",K$2))</f>
        <v/>
      </c>
      <c r="L61" s="3" t="str">
        <f>IF($A61="","",IF(countif('Mens Lineup'!L$3:L1000,CONCATENATE("=",$A61))=0,"",L$2))</f>
        <v/>
      </c>
      <c r="M61" s="3" t="str">
        <f>IF($A61="","",IF(countif('Mens Lineup'!M$3:M1000,CONCATENATE("=",$A61))=0,"",M$2))</f>
        <v>200 IM</v>
      </c>
      <c r="N61" s="3" t="str">
        <f>IF($A61="","",IF(countif('Mens Lineup'!N$3:N1000,CONCATENATE("=",$A61))=0,"",N$2))</f>
        <v/>
      </c>
      <c r="O61" s="3" t="str">
        <f>IF($A61="","",IF(countif('Mens Lineup'!O$3:O1000,CONCATENATE("=",$A61))=0,"",O$2))</f>
        <v/>
      </c>
      <c r="P61" s="3" t="str">
        <f>IF($A61="","",IF(countif('Mens Lineup'!P$3:P1000,CONCATENATE("=",$A61))=0,"",P$2))</f>
        <v/>
      </c>
      <c r="Q61" s="3" t="str">
        <f>IF($A61="","",IF(countif('Mens Lineup'!Q$3:Q1000,CONCATENATE("=",$A61))=0,"",Q$2))</f>
        <v/>
      </c>
      <c r="R61" s="3" t="str">
        <f>IF($A61="","",IF(countif('Mens Lineup'!R$3:R1000,CONCATENATE("=",$A61))=0,"",R$2))</f>
        <v/>
      </c>
      <c r="S61" s="3" t="str">
        <f>IF($A61="","",IF(countif('Mens Lineup'!S$3:S1000,CONCATENATE("=",$A61))=0,"",S$2))</f>
        <v/>
      </c>
      <c r="W61" s="3" t="str">
        <f>IFERROR(__xludf.DUMMYFUNCTION("JOIN("","",FILTER(B61:S61,B61:S61&lt;&gt;""""))"),"50 Free,100 Free,200 Free,100 Breast,200 IM")</f>
        <v>50 Free,100 Free,200 Free,100 Breast,200 IM</v>
      </c>
    </row>
    <row r="62">
      <c r="A62" s="3" t="s">
        <v>90</v>
      </c>
      <c r="B62" s="3" t="str">
        <f>IF($A62="","",IF(countif('Mens Lineup'!B$3:B1000,CONCATENATE("=",$A62))=0,"",B$2))</f>
        <v>50 Free</v>
      </c>
      <c r="C62" s="3" t="str">
        <f>IF($A62="","",IF(countif('Mens Lineup'!C$3:C1000,CONCATENATE("=",$A62))=0,"",C$2))</f>
        <v/>
      </c>
      <c r="D62" s="3" t="str">
        <f>IF($A62="","",IF(countif('Mens Lineup'!D$3:D1000,CONCATENATE("=",$A62))=0,"",D$2))</f>
        <v/>
      </c>
      <c r="E62" s="3" t="str">
        <f>IF($A62="","",IF(countif('Mens Lineup'!E$3:E1000,CONCATENATE("=",$A62))=0,"",E$2))</f>
        <v/>
      </c>
      <c r="F62" s="3" t="str">
        <f>IF($A62="","",IF(countif('Mens Lineup'!F$3:F1000,CONCATENATE("=",$A62))=0,"",F$2))</f>
        <v/>
      </c>
      <c r="G62" s="3" t="str">
        <f>IF($A62="","",IF(countif('Mens Lineup'!G$3:G1000,CONCATENATE("=",$A62))=0,"",G$2))</f>
        <v>100 Back</v>
      </c>
      <c r="H62" s="3" t="str">
        <f>IF($A62="","",IF(countif('Mens Lineup'!H$3:H1000,CONCATENATE("=",$A62))=0,"",H$2))</f>
        <v>200 Back</v>
      </c>
      <c r="I62" s="3" t="str">
        <f>IF($A62="","",IF(countif('Mens Lineup'!I$3:I1000,CONCATENATE("=",$A62))=0,"",I$2))</f>
        <v>100 Breast</v>
      </c>
      <c r="J62" s="3" t="str">
        <f>IF($A62="","",IF(countif('Mens Lineup'!J$3:J1000,CONCATENATE("=",$A62))=0,"",J$2))</f>
        <v>200 Breast</v>
      </c>
      <c r="K62" s="3" t="str">
        <f>IF($A62="","",IF(countif('Mens Lineup'!K$3:K1000,CONCATENATE("=",$A62))=0,"",K$2))</f>
        <v/>
      </c>
      <c r="L62" s="3" t="str">
        <f>IF($A62="","",IF(countif('Mens Lineup'!L$3:L1000,CONCATENATE("=",$A62))=0,"",L$2))</f>
        <v/>
      </c>
      <c r="M62" s="3" t="str">
        <f>IF($A62="","",IF(countif('Mens Lineup'!M$3:M1000,CONCATENATE("=",$A62))=0,"",M$2))</f>
        <v>200 IM</v>
      </c>
      <c r="N62" s="3" t="str">
        <f>IF($A62="","",IF(countif('Mens Lineup'!N$3:N1000,CONCATENATE("=",$A62))=0,"",N$2))</f>
        <v/>
      </c>
      <c r="O62" s="3" t="str">
        <f>IF($A62="","",IF(countif('Mens Lineup'!O$3:O1000,CONCATENATE("=",$A62))=0,"",O$2))</f>
        <v/>
      </c>
      <c r="P62" s="3" t="str">
        <f>IF($A62="","",IF(countif('Mens Lineup'!P$3:P1000,CONCATENATE("=",$A62))=0,"",P$2))</f>
        <v/>
      </c>
      <c r="Q62" s="3" t="str">
        <f>IF($A62="","",IF(countif('Mens Lineup'!Q$3:Q1000,CONCATENATE("=",$A62))=0,"",Q$2))</f>
        <v/>
      </c>
      <c r="R62" s="3" t="str">
        <f>IF($A62="","",IF(countif('Mens Lineup'!R$3:R1000,CONCATENATE("=",$A62))=0,"",R$2))</f>
        <v/>
      </c>
      <c r="S62" s="3" t="str">
        <f>IF($A62="","",IF(countif('Mens Lineup'!S$3:S1000,CONCATENATE("=",$A62))=0,"",S$2))</f>
        <v/>
      </c>
      <c r="W62" s="3" t="str">
        <f>IFERROR(__xludf.DUMMYFUNCTION("JOIN("","",FILTER(B62:S62,B62:S62&lt;&gt;""""))"),"50 Free,100 Back,200 Back,100 Breast,200 Breast,200 IM")</f>
        <v>50 Free,100 Back,200 Back,100 Breast,200 Breast,200 IM</v>
      </c>
    </row>
    <row r="63">
      <c r="A63" s="3" t="s">
        <v>91</v>
      </c>
      <c r="B63" s="3" t="str">
        <f>IF($A63="","",IF(countif('Mens Lineup'!B$3:B1000,CONCATENATE("=",$A63))=0,"",B$2))</f>
        <v>50 Free</v>
      </c>
      <c r="C63" s="3" t="str">
        <f>IF($A63="","",IF(countif('Mens Lineup'!C$3:C1000,CONCATENATE("=",$A63))=0,"",C$2))</f>
        <v>100 Free</v>
      </c>
      <c r="D63" s="3" t="str">
        <f>IF($A63="","",IF(countif('Mens Lineup'!D$3:D1000,CONCATENATE("=",$A63))=0,"",D$2))</f>
        <v/>
      </c>
      <c r="E63" s="3" t="str">
        <f>IF($A63="","",IF(countif('Mens Lineup'!E$3:E1000,CONCATENATE("=",$A63))=0,"",E$2))</f>
        <v/>
      </c>
      <c r="F63" s="3" t="str">
        <f>IF($A63="","",IF(countif('Mens Lineup'!F$3:F1000,CONCATENATE("=",$A63))=0,"",F$2))</f>
        <v/>
      </c>
      <c r="G63" s="3" t="str">
        <f>IF($A63="","",IF(countif('Mens Lineup'!G$3:G1000,CONCATENATE("=",$A63))=0,"",G$2))</f>
        <v>100 Back</v>
      </c>
      <c r="H63" s="3" t="str">
        <f>IF($A63="","",IF(countif('Mens Lineup'!H$3:H1000,CONCATENATE("=",$A63))=0,"",H$2))</f>
        <v>200 Back</v>
      </c>
      <c r="I63" s="3" t="str">
        <f>IF($A63="","",IF(countif('Mens Lineup'!I$3:I1000,CONCATENATE("=",$A63))=0,"",I$2))</f>
        <v/>
      </c>
      <c r="J63" s="3" t="str">
        <f>IF($A63="","",IF(countif('Mens Lineup'!J$3:J1000,CONCATENATE("=",$A63))=0,"",J$2))</f>
        <v/>
      </c>
      <c r="K63" s="3" t="str">
        <f>IF($A63="","",IF(countif('Mens Lineup'!K$3:K1000,CONCATENATE("=",$A63))=0,"",K$2))</f>
        <v/>
      </c>
      <c r="L63" s="3" t="str">
        <f>IF($A63="","",IF(countif('Mens Lineup'!L$3:L1000,CONCATENATE("=",$A63))=0,"",L$2))</f>
        <v/>
      </c>
      <c r="M63" s="3" t="str">
        <f>IF($A63="","",IF(countif('Mens Lineup'!M$3:M1000,CONCATENATE("=",$A63))=0,"",M$2))</f>
        <v/>
      </c>
      <c r="N63" s="3" t="str">
        <f>IF($A63="","",IF(countif('Mens Lineup'!N$3:N1000,CONCATENATE("=",$A63))=0,"",N$2))</f>
        <v/>
      </c>
      <c r="O63" s="3" t="str">
        <f>IF($A63="","",IF(countif('Mens Lineup'!O$3:O1000,CONCATENATE("=",$A63))=0,"",O$2))</f>
        <v/>
      </c>
      <c r="P63" s="3" t="str">
        <f>IF($A63="","",IF(countif('Mens Lineup'!P$3:P1000,CONCATENATE("=",$A63))=0,"",P$2))</f>
        <v/>
      </c>
      <c r="Q63" s="3" t="str">
        <f>IF($A63="","",IF(countif('Mens Lineup'!Q$3:Q1000,CONCATENATE("=",$A63))=0,"",Q$2))</f>
        <v/>
      </c>
      <c r="R63" s="3" t="str">
        <f>IF($A63="","",IF(countif('Mens Lineup'!R$3:R1000,CONCATENATE("=",$A63))=0,"",R$2))</f>
        <v/>
      </c>
      <c r="S63" s="3" t="str">
        <f>IF($A63="","",IF(countif('Mens Lineup'!S$3:S1000,CONCATENATE("=",$A63))=0,"",S$2))</f>
        <v/>
      </c>
      <c r="W63" s="3" t="str">
        <f>IFERROR(__xludf.DUMMYFUNCTION("JOIN("","",FILTER(B63:S63,B63:S63&lt;&gt;""""))"),"50 Free,100 Free,100 Back,200 Back")</f>
        <v>50 Free,100 Free,100 Back,200 Back</v>
      </c>
    </row>
    <row r="64">
      <c r="A64" s="3" t="s">
        <v>92</v>
      </c>
      <c r="B64" s="3" t="str">
        <f>IF($A64="","",IF(countif('Mens Lineup'!B$3:B1000,CONCATENATE("=",$A64))=0,"",B$2))</f>
        <v>50 Free</v>
      </c>
      <c r="C64" s="3" t="str">
        <f>IF($A64="","",IF(countif('Mens Lineup'!C$3:C1000,CONCATENATE("=",$A64))=0,"",C$2))</f>
        <v>100 Free</v>
      </c>
      <c r="D64" s="3" t="str">
        <f>IF($A64="","",IF(countif('Mens Lineup'!D$3:D1000,CONCATENATE("=",$A64))=0,"",D$2))</f>
        <v>200 Free</v>
      </c>
      <c r="E64" s="3" t="str">
        <f>IF($A64="","",IF(countif('Mens Lineup'!E$3:E1000,CONCATENATE("=",$A64))=0,"",E$2))</f>
        <v/>
      </c>
      <c r="F64" s="3" t="str">
        <f>IF($A64="","",IF(countif('Mens Lineup'!F$3:F1000,CONCATENATE("=",$A64))=0,"",F$2))</f>
        <v/>
      </c>
      <c r="G64" s="3" t="str">
        <f>IF($A64="","",IF(countif('Mens Lineup'!G$3:G1000,CONCATENATE("=",$A64))=0,"",G$2))</f>
        <v>100 Back</v>
      </c>
      <c r="H64" s="3" t="str">
        <f>IF($A64="","",IF(countif('Mens Lineup'!H$3:H1000,CONCATENATE("=",$A64))=0,"",H$2))</f>
        <v>200 Back</v>
      </c>
      <c r="I64" s="3" t="str">
        <f>IF($A64="","",IF(countif('Mens Lineup'!I$3:I1000,CONCATENATE("=",$A64))=0,"",I$2))</f>
        <v/>
      </c>
      <c r="J64" s="3" t="str">
        <f>IF($A64="","",IF(countif('Mens Lineup'!J$3:J1000,CONCATENATE("=",$A64))=0,"",J$2))</f>
        <v/>
      </c>
      <c r="K64" s="3" t="str">
        <f>IF($A64="","",IF(countif('Mens Lineup'!K$3:K1000,CONCATENATE("=",$A64))=0,"",K$2))</f>
        <v/>
      </c>
      <c r="L64" s="3" t="str">
        <f>IF($A64="","",IF(countif('Mens Lineup'!L$3:L1000,CONCATENATE("=",$A64))=0,"",L$2))</f>
        <v/>
      </c>
      <c r="M64" s="3" t="str">
        <f>IF($A64="","",IF(countif('Mens Lineup'!M$3:M1000,CONCATENATE("=",$A64))=0,"",M$2))</f>
        <v/>
      </c>
      <c r="N64" s="3" t="str">
        <f>IF($A64="","",IF(countif('Mens Lineup'!N$3:N1000,CONCATENATE("=",$A64))=0,"",N$2))</f>
        <v>400 IM</v>
      </c>
      <c r="O64" s="3" t="str">
        <f>IF($A64="","",IF(countif('Mens Lineup'!O$3:O1000,CONCATENATE("=",$A64))=0,"",O$2))</f>
        <v/>
      </c>
      <c r="P64" s="3" t="str">
        <f>IF($A64="","",IF(countif('Mens Lineup'!P$3:P1000,CONCATENATE("=",$A64))=0,"",P$2))</f>
        <v/>
      </c>
      <c r="Q64" s="3" t="str">
        <f>IF($A64="","",IF(countif('Mens Lineup'!Q$3:Q1000,CONCATENATE("=",$A64))=0,"",Q$2))</f>
        <v/>
      </c>
      <c r="R64" s="3" t="str">
        <f>IF($A64="","",IF(countif('Mens Lineup'!R$3:R1000,CONCATENATE("=",$A64))=0,"",R$2))</f>
        <v/>
      </c>
      <c r="S64" s="3" t="str">
        <f>IF($A64="","",IF(countif('Mens Lineup'!S$3:S1000,CONCATENATE("=",$A64))=0,"",S$2))</f>
        <v/>
      </c>
      <c r="W64" s="3" t="str">
        <f>IFERROR(__xludf.DUMMYFUNCTION("JOIN("","",FILTER(B64:S64,B64:S64&lt;&gt;""""))"),"50 Free,100 Free,200 Free,100 Back,200 Back,400 IM")</f>
        <v>50 Free,100 Free,200 Free,100 Back,200 Back,400 IM</v>
      </c>
    </row>
    <row r="65">
      <c r="A65" s="3" t="s">
        <v>93</v>
      </c>
      <c r="B65" s="3" t="str">
        <f>IF($A65="","",IF(countif('Mens Lineup'!B$3:B1000,CONCATENATE("=",$A65))=0,"",B$2))</f>
        <v>50 Free</v>
      </c>
      <c r="C65" s="3" t="str">
        <f>IF($A65="","",IF(countif('Mens Lineup'!C$3:C1000,CONCATENATE("=",$A65))=0,"",C$2))</f>
        <v>100 Free</v>
      </c>
      <c r="D65" s="3" t="str">
        <f>IF($A65="","",IF(countif('Mens Lineup'!D$3:D1000,CONCATENATE("=",$A65))=0,"",D$2))</f>
        <v/>
      </c>
      <c r="E65" s="3" t="str">
        <f>IF($A65="","",IF(countif('Mens Lineup'!E$3:E1000,CONCATENATE("=",$A65))=0,"",E$2))</f>
        <v/>
      </c>
      <c r="F65" s="3" t="str">
        <f>IF($A65="","",IF(countif('Mens Lineup'!F$3:F1000,CONCATENATE("=",$A65))=0,"",F$2))</f>
        <v/>
      </c>
      <c r="G65" s="3" t="str">
        <f>IF($A65="","",IF(countif('Mens Lineup'!G$3:G1000,CONCATENATE("=",$A65))=0,"",G$2))</f>
        <v>100 Back</v>
      </c>
      <c r="H65" s="3" t="str">
        <f>IF($A65="","",IF(countif('Mens Lineup'!H$3:H1000,CONCATENATE("=",$A65))=0,"",H$2))</f>
        <v/>
      </c>
      <c r="I65" s="3" t="str">
        <f>IF($A65="","",IF(countif('Mens Lineup'!I$3:I1000,CONCATENATE("=",$A65))=0,"",I$2))</f>
        <v/>
      </c>
      <c r="J65" s="3" t="str">
        <f>IF($A65="","",IF(countif('Mens Lineup'!J$3:J1000,CONCATENATE("=",$A65))=0,"",J$2))</f>
        <v/>
      </c>
      <c r="K65" s="3" t="str">
        <f>IF($A65="","",IF(countif('Mens Lineup'!K$3:K1000,CONCATENATE("=",$A65))=0,"",K$2))</f>
        <v/>
      </c>
      <c r="L65" s="3" t="str">
        <f>IF($A65="","",IF(countif('Mens Lineup'!L$3:L1000,CONCATENATE("=",$A65))=0,"",L$2))</f>
        <v/>
      </c>
      <c r="M65" s="3" t="str">
        <f>IF($A65="","",IF(countif('Mens Lineup'!M$3:M1000,CONCATENATE("=",$A65))=0,"",M$2))</f>
        <v/>
      </c>
      <c r="N65" s="3" t="str">
        <f>IF($A65="","",IF(countif('Mens Lineup'!N$3:N1000,CONCATENATE("=",$A65))=0,"",N$2))</f>
        <v/>
      </c>
      <c r="O65" s="3" t="str">
        <f>IF($A65="","",IF(countif('Mens Lineup'!O$3:O1000,CONCATENATE("=",$A65))=0,"",O$2))</f>
        <v/>
      </c>
      <c r="P65" s="3" t="str">
        <f>IF($A65="","",IF(countif('Mens Lineup'!P$3:P1000,CONCATENATE("=",$A65))=0,"",P$2))</f>
        <v/>
      </c>
      <c r="Q65" s="3" t="str">
        <f>IF($A65="","",IF(countif('Mens Lineup'!Q$3:Q1000,CONCATENATE("=",$A65))=0,"",Q$2))</f>
        <v/>
      </c>
      <c r="R65" s="3" t="str">
        <f>IF($A65="","",IF(countif('Mens Lineup'!R$3:R1000,CONCATENATE("=",$A65))=0,"",R$2))</f>
        <v/>
      </c>
      <c r="S65" s="3" t="str">
        <f>IF($A65="","",IF(countif('Mens Lineup'!S$3:S1000,CONCATENATE("=",$A65))=0,"",S$2))</f>
        <v/>
      </c>
      <c r="W65" s="3" t="str">
        <f>IFERROR(__xludf.DUMMYFUNCTION("JOIN("","",FILTER(B65:S65,B65:S65&lt;&gt;""""))"),"50 Free,100 Free,100 Back")</f>
        <v>50 Free,100 Free,100 Back</v>
      </c>
    </row>
    <row r="66">
      <c r="A66" s="3" t="s">
        <v>94</v>
      </c>
      <c r="B66" s="3" t="str">
        <f>IF($A66="","",IF(countif('Mens Lineup'!B$3:B1000,CONCATENATE("=",$A66))=0,"",B$2))</f>
        <v>50 Free</v>
      </c>
      <c r="C66" s="3" t="str">
        <f>IF($A66="","",IF(countif('Mens Lineup'!C$3:C1000,CONCATENATE("=",$A66))=0,"",C$2))</f>
        <v>100 Free</v>
      </c>
      <c r="D66" s="3" t="str">
        <f>IF($A66="","",IF(countif('Mens Lineup'!D$3:D1000,CONCATENATE("=",$A66))=0,"",D$2))</f>
        <v/>
      </c>
      <c r="E66" s="3" t="str">
        <f>IF($A66="","",IF(countif('Mens Lineup'!E$3:E1000,CONCATENATE("=",$A66))=0,"",E$2))</f>
        <v/>
      </c>
      <c r="F66" s="3" t="str">
        <f>IF($A66="","",IF(countif('Mens Lineup'!F$3:F1000,CONCATENATE("=",$A66))=0,"",F$2))</f>
        <v/>
      </c>
      <c r="G66" s="3" t="str">
        <f>IF($A66="","",IF(countif('Mens Lineup'!G$3:G1000,CONCATENATE("=",$A66))=0,"",G$2))</f>
        <v>100 Back</v>
      </c>
      <c r="H66" s="3" t="str">
        <f>IF($A66="","",IF(countif('Mens Lineup'!H$3:H1000,CONCATENATE("=",$A66))=0,"",H$2))</f>
        <v/>
      </c>
      <c r="I66" s="3" t="str">
        <f>IF($A66="","",IF(countif('Mens Lineup'!I$3:I1000,CONCATENATE("=",$A66))=0,"",I$2))</f>
        <v/>
      </c>
      <c r="J66" s="3" t="str">
        <f>IF($A66="","",IF(countif('Mens Lineup'!J$3:J1000,CONCATENATE("=",$A66))=0,"",J$2))</f>
        <v/>
      </c>
      <c r="K66" s="3" t="str">
        <f>IF($A66="","",IF(countif('Mens Lineup'!K$3:K1000,CONCATENATE("=",$A66))=0,"",K$2))</f>
        <v>100 Fly</v>
      </c>
      <c r="L66" s="3" t="str">
        <f>IF($A66="","",IF(countif('Mens Lineup'!L$3:L1000,CONCATENATE("=",$A66))=0,"",L$2))</f>
        <v/>
      </c>
      <c r="M66" s="3" t="str">
        <f>IF($A66="","",IF(countif('Mens Lineup'!M$3:M1000,CONCATENATE("=",$A66))=0,"",M$2))</f>
        <v/>
      </c>
      <c r="N66" s="3" t="str">
        <f>IF($A66="","",IF(countif('Mens Lineup'!N$3:N1000,CONCATENATE("=",$A66))=0,"",N$2))</f>
        <v/>
      </c>
      <c r="O66" s="3" t="str">
        <f>IF($A66="","",IF(countif('Mens Lineup'!O$3:O1000,CONCATENATE("=",$A66))=0,"",O$2))</f>
        <v/>
      </c>
      <c r="P66" s="3" t="str">
        <f>IF($A66="","",IF(countif('Mens Lineup'!P$3:P1000,CONCATENATE("=",$A66))=0,"",P$2))</f>
        <v/>
      </c>
      <c r="Q66" s="3" t="str">
        <f>IF($A66="","",IF(countif('Mens Lineup'!Q$3:Q1000,CONCATENATE("=",$A66))=0,"",Q$2))</f>
        <v/>
      </c>
      <c r="R66" s="3" t="str">
        <f>IF($A66="","",IF(countif('Mens Lineup'!R$3:R1000,CONCATENATE("=",$A66))=0,"",R$2))</f>
        <v/>
      </c>
      <c r="S66" s="3" t="str">
        <f>IF($A66="","",IF(countif('Mens Lineup'!S$3:S1000,CONCATENATE("=",$A66))=0,"",S$2))</f>
        <v/>
      </c>
      <c r="W66" s="3" t="str">
        <f>IFERROR(__xludf.DUMMYFUNCTION("JOIN("","",FILTER(B66:S66,B66:S66&lt;&gt;""""))"),"50 Free,100 Free,100 Back,100 Fly")</f>
        <v>50 Free,100 Free,100 Back,100 Fly</v>
      </c>
    </row>
    <row r="67">
      <c r="A67" s="3" t="s">
        <v>95</v>
      </c>
      <c r="B67" s="3" t="str">
        <f>IF($A67="","",IF(countif('Mens Lineup'!B$3:B1000,CONCATENATE("=",$A67))=0,"",B$2))</f>
        <v>50 Free</v>
      </c>
      <c r="C67" s="3" t="str">
        <f>IF($A67="","",IF(countif('Mens Lineup'!C$3:C1000,CONCATENATE("=",$A67))=0,"",C$2))</f>
        <v>100 Free</v>
      </c>
      <c r="D67" s="3" t="str">
        <f>IF($A67="","",IF(countif('Mens Lineup'!D$3:D1000,CONCATENATE("=",$A67))=0,"",D$2))</f>
        <v/>
      </c>
      <c r="E67" s="3" t="str">
        <f>IF($A67="","",IF(countif('Mens Lineup'!E$3:E1000,CONCATENATE("=",$A67))=0,"",E$2))</f>
        <v/>
      </c>
      <c r="F67" s="3" t="str">
        <f>IF($A67="","",IF(countif('Mens Lineup'!F$3:F1000,CONCATENATE("=",$A67))=0,"",F$2))</f>
        <v/>
      </c>
      <c r="G67" s="3" t="str">
        <f>IF($A67="","",IF(countif('Mens Lineup'!G$3:G1000,CONCATENATE("=",$A67))=0,"",G$2))</f>
        <v/>
      </c>
      <c r="H67" s="3" t="str">
        <f>IF($A67="","",IF(countif('Mens Lineup'!H$3:H1000,CONCATENATE("=",$A67))=0,"",H$2))</f>
        <v/>
      </c>
      <c r="I67" s="3" t="str">
        <f>IF($A67="","",IF(countif('Mens Lineup'!I$3:I1000,CONCATENATE("=",$A67))=0,"",I$2))</f>
        <v/>
      </c>
      <c r="J67" s="3" t="str">
        <f>IF($A67="","",IF(countif('Mens Lineup'!J$3:J1000,CONCATENATE("=",$A67))=0,"",J$2))</f>
        <v/>
      </c>
      <c r="K67" s="3" t="str">
        <f>IF($A67="","",IF(countif('Mens Lineup'!K$3:K1000,CONCATENATE("=",$A67))=0,"",K$2))</f>
        <v/>
      </c>
      <c r="L67" s="3" t="str">
        <f>IF($A67="","",IF(countif('Mens Lineup'!L$3:L1000,CONCATENATE("=",$A67))=0,"",L$2))</f>
        <v/>
      </c>
      <c r="M67" s="3" t="str">
        <f>IF($A67="","",IF(countif('Mens Lineup'!M$3:M1000,CONCATENATE("=",$A67))=0,"",M$2))</f>
        <v/>
      </c>
      <c r="N67" s="3" t="str">
        <f>IF($A67="","",IF(countif('Mens Lineup'!N$3:N1000,CONCATENATE("=",$A67))=0,"",N$2))</f>
        <v/>
      </c>
      <c r="O67" s="3" t="str">
        <f>IF($A67="","",IF(countif('Mens Lineup'!O$3:O1000,CONCATENATE("=",$A67))=0,"",O$2))</f>
        <v/>
      </c>
      <c r="P67" s="3" t="str">
        <f>IF($A67="","",IF(countif('Mens Lineup'!P$3:P1000,CONCATENATE("=",$A67))=0,"",P$2))</f>
        <v/>
      </c>
      <c r="Q67" s="3" t="str">
        <f>IF($A67="","",IF(countif('Mens Lineup'!Q$3:Q1000,CONCATENATE("=",$A67))=0,"",Q$2))</f>
        <v/>
      </c>
      <c r="R67" s="3" t="str">
        <f>IF($A67="","",IF(countif('Mens Lineup'!R$3:R1000,CONCATENATE("=",$A67))=0,"",R$2))</f>
        <v/>
      </c>
      <c r="S67" s="3" t="str">
        <f>IF($A67="","",IF(countif('Mens Lineup'!S$3:S1000,CONCATENATE("=",$A67))=0,"",S$2))</f>
        <v/>
      </c>
      <c r="W67" s="3" t="str">
        <f>IFERROR(__xludf.DUMMYFUNCTION("JOIN("","",FILTER(B67:S67,B67:S67&lt;&gt;""""))"),"50 Free,100 Free")</f>
        <v>50 Free,100 Free</v>
      </c>
    </row>
    <row r="68">
      <c r="A68" s="3" t="s">
        <v>96</v>
      </c>
      <c r="B68" s="3" t="str">
        <f>IF($A68="","",IF(countif('Mens Lineup'!B$3:B1000,CONCATENATE("=",$A68))=0,"",B$2))</f>
        <v>50 Free</v>
      </c>
      <c r="C68" s="3" t="str">
        <f>IF($A68="","",IF(countif('Mens Lineup'!C$3:C1000,CONCATENATE("=",$A68))=0,"",C$2))</f>
        <v>100 Free</v>
      </c>
      <c r="D68" s="3" t="str">
        <f>IF($A68="","",IF(countif('Mens Lineup'!D$3:D1000,CONCATENATE("=",$A68))=0,"",D$2))</f>
        <v/>
      </c>
      <c r="E68" s="3" t="str">
        <f>IF($A68="","",IF(countif('Mens Lineup'!E$3:E1000,CONCATENATE("=",$A68))=0,"",E$2))</f>
        <v/>
      </c>
      <c r="F68" s="3" t="str">
        <f>IF($A68="","",IF(countif('Mens Lineup'!F$3:F1000,CONCATENATE("=",$A68))=0,"",F$2))</f>
        <v/>
      </c>
      <c r="G68" s="3" t="str">
        <f>IF($A68="","",IF(countif('Mens Lineup'!G$3:G1000,CONCATENATE("=",$A68))=0,"",G$2))</f>
        <v>100 Back</v>
      </c>
      <c r="H68" s="3" t="str">
        <f>IF($A68="","",IF(countif('Mens Lineup'!H$3:H1000,CONCATENATE("=",$A68))=0,"",H$2))</f>
        <v/>
      </c>
      <c r="I68" s="3" t="str">
        <f>IF($A68="","",IF(countif('Mens Lineup'!I$3:I1000,CONCATENATE("=",$A68))=0,"",I$2))</f>
        <v/>
      </c>
      <c r="J68" s="3" t="str">
        <f>IF($A68="","",IF(countif('Mens Lineup'!J$3:J1000,CONCATENATE("=",$A68))=0,"",J$2))</f>
        <v/>
      </c>
      <c r="K68" s="3" t="str">
        <f>IF($A68="","",IF(countif('Mens Lineup'!K$3:K1000,CONCATENATE("=",$A68))=0,"",K$2))</f>
        <v>100 Fly</v>
      </c>
      <c r="L68" s="3" t="str">
        <f>IF($A68="","",IF(countif('Mens Lineup'!L$3:L1000,CONCATENATE("=",$A68))=0,"",L$2))</f>
        <v/>
      </c>
      <c r="M68" s="3" t="str">
        <f>IF($A68="","",IF(countif('Mens Lineup'!M$3:M1000,CONCATENATE("=",$A68))=0,"",M$2))</f>
        <v/>
      </c>
      <c r="N68" s="3" t="str">
        <f>IF($A68="","",IF(countif('Mens Lineup'!N$3:N1000,CONCATENATE("=",$A68))=0,"",N$2))</f>
        <v/>
      </c>
      <c r="O68" s="3" t="str">
        <f>IF($A68="","",IF(countif('Mens Lineup'!O$3:O1000,CONCATENATE("=",$A68))=0,"",O$2))</f>
        <v/>
      </c>
      <c r="P68" s="3" t="str">
        <f>IF($A68="","",IF(countif('Mens Lineup'!P$3:P1000,CONCATENATE("=",$A68))=0,"",P$2))</f>
        <v/>
      </c>
      <c r="Q68" s="3" t="str">
        <f>IF($A68="","",IF(countif('Mens Lineup'!Q$3:Q1000,CONCATENATE("=",$A68))=0,"",Q$2))</f>
        <v/>
      </c>
      <c r="R68" s="3" t="str">
        <f>IF($A68="","",IF(countif('Mens Lineup'!R$3:R1000,CONCATENATE("=",$A68))=0,"",R$2))</f>
        <v/>
      </c>
      <c r="S68" s="3" t="str">
        <f>IF($A68="","",IF(countif('Mens Lineup'!S$3:S1000,CONCATENATE("=",$A68))=0,"",S$2))</f>
        <v/>
      </c>
      <c r="W68" s="3" t="str">
        <f>IFERROR(__xludf.DUMMYFUNCTION("JOIN("","",FILTER(B68:S68,B68:S68&lt;&gt;""""))"),"50 Free,100 Free,100 Back,100 Fly")</f>
        <v>50 Free,100 Free,100 Back,100 Fly</v>
      </c>
    </row>
    <row r="69">
      <c r="A69" s="3" t="s">
        <v>97</v>
      </c>
      <c r="B69" s="3" t="str">
        <f>IF($A69="","",IF(countif('Mens Lineup'!B$3:B1000,CONCATENATE("=",$A69))=0,"",B$2))</f>
        <v>50 Free</v>
      </c>
      <c r="C69" s="3" t="str">
        <f>IF($A69="","",IF(countif('Mens Lineup'!C$3:C1000,CONCATENATE("=",$A69))=0,"",C$2))</f>
        <v/>
      </c>
      <c r="D69" s="3" t="str">
        <f>IF($A69="","",IF(countif('Mens Lineup'!D$3:D1000,CONCATENATE("=",$A69))=0,"",D$2))</f>
        <v>200 Free</v>
      </c>
      <c r="E69" s="3" t="str">
        <f>IF($A69="","",IF(countif('Mens Lineup'!E$3:E1000,CONCATENATE("=",$A69))=0,"",E$2))</f>
        <v/>
      </c>
      <c r="F69" s="3" t="str">
        <f>IF($A69="","",IF(countif('Mens Lineup'!F$3:F1000,CONCATENATE("=",$A69))=0,"",F$2))</f>
        <v/>
      </c>
      <c r="G69" s="3" t="str">
        <f>IF($A69="","",IF(countif('Mens Lineup'!G$3:G1000,CONCATENATE("=",$A69))=0,"",G$2))</f>
        <v>100 Back</v>
      </c>
      <c r="H69" s="3" t="str">
        <f>IF($A69="","",IF(countif('Mens Lineup'!H$3:H1000,CONCATENATE("=",$A69))=0,"",H$2))</f>
        <v>200 Back</v>
      </c>
      <c r="I69" s="3" t="str">
        <f>IF($A69="","",IF(countif('Mens Lineup'!I$3:I1000,CONCATENATE("=",$A69))=0,"",I$2))</f>
        <v/>
      </c>
      <c r="J69" s="3" t="str">
        <f>IF($A69="","",IF(countif('Mens Lineup'!J$3:J1000,CONCATENATE("=",$A69))=0,"",J$2))</f>
        <v/>
      </c>
      <c r="K69" s="3" t="str">
        <f>IF($A69="","",IF(countif('Mens Lineup'!K$3:K1000,CONCATENATE("=",$A69))=0,"",K$2))</f>
        <v>100 Fly</v>
      </c>
      <c r="L69" s="3" t="str">
        <f>IF($A69="","",IF(countif('Mens Lineup'!L$3:L1000,CONCATENATE("=",$A69))=0,"",L$2))</f>
        <v/>
      </c>
      <c r="M69" s="3" t="str">
        <f>IF($A69="","",IF(countif('Mens Lineup'!M$3:M1000,CONCATENATE("=",$A69))=0,"",M$2))</f>
        <v/>
      </c>
      <c r="N69" s="3" t="str">
        <f>IF($A69="","",IF(countif('Mens Lineup'!N$3:N1000,CONCATENATE("=",$A69))=0,"",N$2))</f>
        <v/>
      </c>
      <c r="O69" s="3" t="str">
        <f>IF($A69="","",IF(countif('Mens Lineup'!O$3:O1000,CONCATENATE("=",$A69))=0,"",O$2))</f>
        <v/>
      </c>
      <c r="P69" s="3" t="str">
        <f>IF($A69="","",IF(countif('Mens Lineup'!P$3:P1000,CONCATENATE("=",$A69))=0,"",P$2))</f>
        <v/>
      </c>
      <c r="Q69" s="3" t="str">
        <f>IF($A69="","",IF(countif('Mens Lineup'!Q$3:Q1000,CONCATENATE("=",$A69))=0,"",Q$2))</f>
        <v/>
      </c>
      <c r="R69" s="3" t="str">
        <f>IF($A69="","",IF(countif('Mens Lineup'!R$3:R1000,CONCATENATE("=",$A69))=0,"",R$2))</f>
        <v/>
      </c>
      <c r="S69" s="3" t="str">
        <f>IF($A69="","",IF(countif('Mens Lineup'!S$3:S1000,CONCATENATE("=",$A69))=0,"",S$2))</f>
        <v/>
      </c>
      <c r="W69" s="3" t="str">
        <f>IFERROR(__xludf.DUMMYFUNCTION("JOIN("","",FILTER(B69:S69,B69:S69&lt;&gt;""""))"),"50 Free,200 Free,100 Back,200 Back,100 Fly")</f>
        <v>50 Free,200 Free,100 Back,200 Back,100 Fly</v>
      </c>
    </row>
    <row r="70">
      <c r="A70" s="3" t="s">
        <v>98</v>
      </c>
      <c r="B70" s="3" t="str">
        <f>IF($A70="","",IF(countif('Mens Lineup'!B$3:B1000,CONCATENATE("=",$A70))=0,"",B$2))</f>
        <v>50 Free</v>
      </c>
      <c r="C70" s="3" t="str">
        <f>IF($A70="","",IF(countif('Mens Lineup'!C$3:C1000,CONCATENATE("=",$A70))=0,"",C$2))</f>
        <v/>
      </c>
      <c r="D70" s="3" t="str">
        <f>IF($A70="","",IF(countif('Mens Lineup'!D$3:D1000,CONCATENATE("=",$A70))=0,"",D$2))</f>
        <v/>
      </c>
      <c r="E70" s="3" t="str">
        <f>IF($A70="","",IF(countif('Mens Lineup'!E$3:E1000,CONCATENATE("=",$A70))=0,"",E$2))</f>
        <v/>
      </c>
      <c r="F70" s="3" t="str">
        <f>IF($A70="","",IF(countif('Mens Lineup'!F$3:F1000,CONCATENATE("=",$A70))=0,"",F$2))</f>
        <v/>
      </c>
      <c r="G70" s="3" t="str">
        <f>IF($A70="","",IF(countif('Mens Lineup'!G$3:G1000,CONCATENATE("=",$A70))=0,"",G$2))</f>
        <v>100 Back</v>
      </c>
      <c r="H70" s="3" t="str">
        <f>IF($A70="","",IF(countif('Mens Lineup'!H$3:H1000,CONCATENATE("=",$A70))=0,"",H$2))</f>
        <v>200 Back</v>
      </c>
      <c r="I70" s="3" t="str">
        <f>IF($A70="","",IF(countif('Mens Lineup'!I$3:I1000,CONCATENATE("=",$A70))=0,"",I$2))</f>
        <v/>
      </c>
      <c r="J70" s="3" t="str">
        <f>IF($A70="","",IF(countif('Mens Lineup'!J$3:J1000,CONCATENATE("=",$A70))=0,"",J$2))</f>
        <v/>
      </c>
      <c r="K70" s="3" t="str">
        <f>IF($A70="","",IF(countif('Mens Lineup'!K$3:K1000,CONCATENATE("=",$A70))=0,"",K$2))</f>
        <v/>
      </c>
      <c r="L70" s="3" t="str">
        <f>IF($A70="","",IF(countif('Mens Lineup'!L$3:L1000,CONCATENATE("=",$A70))=0,"",L$2))</f>
        <v/>
      </c>
      <c r="M70" s="3" t="str">
        <f>IF($A70="","",IF(countif('Mens Lineup'!M$3:M1000,CONCATENATE("=",$A70))=0,"",M$2))</f>
        <v>200 IM</v>
      </c>
      <c r="N70" s="3" t="str">
        <f>IF($A70="","",IF(countif('Mens Lineup'!N$3:N1000,CONCATENATE("=",$A70))=0,"",N$2))</f>
        <v/>
      </c>
      <c r="O70" s="3" t="str">
        <f>IF($A70="","",IF(countif('Mens Lineup'!O$3:O1000,CONCATENATE("=",$A70))=0,"",O$2))</f>
        <v/>
      </c>
      <c r="P70" s="3" t="str">
        <f>IF($A70="","",IF(countif('Mens Lineup'!P$3:P1000,CONCATENATE("=",$A70))=0,"",P$2))</f>
        <v/>
      </c>
      <c r="Q70" s="3" t="str">
        <f>IF($A70="","",IF(countif('Mens Lineup'!Q$3:Q1000,CONCATENATE("=",$A70))=0,"",Q$2))</f>
        <v/>
      </c>
      <c r="R70" s="3" t="str">
        <f>IF($A70="","",IF(countif('Mens Lineup'!R$3:R1000,CONCATENATE("=",$A70))=0,"",R$2))</f>
        <v/>
      </c>
      <c r="S70" s="3" t="str">
        <f>IF($A70="","",IF(countif('Mens Lineup'!S$3:S1000,CONCATENATE("=",$A70))=0,"",S$2))</f>
        <v/>
      </c>
      <c r="W70" s="3" t="str">
        <f>IFERROR(__xludf.DUMMYFUNCTION("JOIN("","",FILTER(B70:S70,B70:S70&lt;&gt;""""))"),"50 Free,100 Back,200 Back,200 IM")</f>
        <v>50 Free,100 Back,200 Back,200 IM</v>
      </c>
    </row>
    <row r="71">
      <c r="A71" s="3" t="s">
        <v>99</v>
      </c>
      <c r="B71" s="3" t="str">
        <f>IF($A71="","",IF(countif('Mens Lineup'!B$3:B1000,CONCATENATE("=",$A71))=0,"",B$2))</f>
        <v>50 Free</v>
      </c>
      <c r="C71" s="3" t="str">
        <f>IF($A71="","",IF(countif('Mens Lineup'!C$3:C1000,CONCATENATE("=",$A71))=0,"",C$2))</f>
        <v>100 Free</v>
      </c>
      <c r="D71" s="3" t="str">
        <f>IF($A71="","",IF(countif('Mens Lineup'!D$3:D1000,CONCATENATE("=",$A71))=0,"",D$2))</f>
        <v/>
      </c>
      <c r="E71" s="3" t="str">
        <f>IF($A71="","",IF(countif('Mens Lineup'!E$3:E1000,CONCATENATE("=",$A71))=0,"",E$2))</f>
        <v/>
      </c>
      <c r="F71" s="3" t="str">
        <f>IF($A71="","",IF(countif('Mens Lineup'!F$3:F1000,CONCATENATE("=",$A71))=0,"",F$2))</f>
        <v/>
      </c>
      <c r="G71" s="3" t="str">
        <f>IF($A71="","",IF(countif('Mens Lineup'!G$3:G1000,CONCATENATE("=",$A71))=0,"",G$2))</f>
        <v/>
      </c>
      <c r="H71" s="3" t="str">
        <f>IF($A71="","",IF(countif('Mens Lineup'!H$3:H1000,CONCATENATE("=",$A71))=0,"",H$2))</f>
        <v/>
      </c>
      <c r="I71" s="3" t="str">
        <f>IF($A71="","",IF(countif('Mens Lineup'!I$3:I1000,CONCATENATE("=",$A71))=0,"",I$2))</f>
        <v/>
      </c>
      <c r="J71" s="3" t="str">
        <f>IF($A71="","",IF(countif('Mens Lineup'!J$3:J1000,CONCATENATE("=",$A71))=0,"",J$2))</f>
        <v/>
      </c>
      <c r="K71" s="3" t="str">
        <f>IF($A71="","",IF(countif('Mens Lineup'!K$3:K1000,CONCATENATE("=",$A71))=0,"",K$2))</f>
        <v/>
      </c>
      <c r="L71" s="3" t="str">
        <f>IF($A71="","",IF(countif('Mens Lineup'!L$3:L1000,CONCATENATE("=",$A71))=0,"",L$2))</f>
        <v>200 Fly</v>
      </c>
      <c r="M71" s="3" t="str">
        <f>IF($A71="","",IF(countif('Mens Lineup'!M$3:M1000,CONCATENATE("=",$A71))=0,"",M$2))</f>
        <v/>
      </c>
      <c r="N71" s="3" t="str">
        <f>IF($A71="","",IF(countif('Mens Lineup'!N$3:N1000,CONCATENATE("=",$A71))=0,"",N$2))</f>
        <v/>
      </c>
      <c r="O71" s="3" t="str">
        <f>IF($A71="","",IF(countif('Mens Lineup'!O$3:O1000,CONCATENATE("=",$A71))=0,"",O$2))</f>
        <v/>
      </c>
      <c r="P71" s="3" t="str">
        <f>IF($A71="","",IF(countif('Mens Lineup'!P$3:P1000,CONCATENATE("=",$A71))=0,"",P$2))</f>
        <v/>
      </c>
      <c r="Q71" s="3" t="str">
        <f>IF($A71="","",IF(countif('Mens Lineup'!Q$3:Q1000,CONCATENATE("=",$A71))=0,"",Q$2))</f>
        <v/>
      </c>
      <c r="R71" s="3" t="str">
        <f>IF($A71="","",IF(countif('Mens Lineup'!R$3:R1000,CONCATENATE("=",$A71))=0,"",R$2))</f>
        <v/>
      </c>
      <c r="S71" s="3" t="str">
        <f>IF($A71="","",IF(countif('Mens Lineup'!S$3:S1000,CONCATENATE("=",$A71))=0,"",S$2))</f>
        <v/>
      </c>
      <c r="W71" s="3" t="str">
        <f>IFERROR(__xludf.DUMMYFUNCTION("JOIN("","",FILTER(B71:S71,B71:S71&lt;&gt;""""))"),"50 Free,100 Free,200 Fly")</f>
        <v>50 Free,100 Free,200 Fly</v>
      </c>
    </row>
    <row r="72">
      <c r="A72" s="3" t="s">
        <v>100</v>
      </c>
      <c r="B72" s="3" t="str">
        <f>IF($A72="","",IF(countif('Mens Lineup'!B$3:B1000,CONCATENATE("=",$A72))=0,"",B$2))</f>
        <v>50 Free</v>
      </c>
      <c r="C72" s="3" t="str">
        <f>IF($A72="","",IF(countif('Mens Lineup'!C$3:C1000,CONCATENATE("=",$A72))=0,"",C$2))</f>
        <v>100 Free</v>
      </c>
      <c r="D72" s="3" t="str">
        <f>IF($A72="","",IF(countif('Mens Lineup'!D$3:D1000,CONCATENATE("=",$A72))=0,"",D$2))</f>
        <v>200 Free</v>
      </c>
      <c r="E72" s="3" t="str">
        <f>IF($A72="","",IF(countif('Mens Lineup'!E$3:E1000,CONCATENATE("=",$A72))=0,"",E$2))</f>
        <v/>
      </c>
      <c r="F72" s="3" t="str">
        <f>IF($A72="","",IF(countif('Mens Lineup'!F$3:F1000,CONCATENATE("=",$A72))=0,"",F$2))</f>
        <v/>
      </c>
      <c r="G72" s="3" t="str">
        <f>IF($A72="","",IF(countif('Mens Lineup'!G$3:G1000,CONCATENATE("=",$A72))=0,"",G$2))</f>
        <v/>
      </c>
      <c r="H72" s="3" t="str">
        <f>IF($A72="","",IF(countif('Mens Lineup'!H$3:H1000,CONCATENATE("=",$A72))=0,"",H$2))</f>
        <v/>
      </c>
      <c r="I72" s="3" t="str">
        <f>IF($A72="","",IF(countif('Mens Lineup'!I$3:I1000,CONCATENATE("=",$A72))=0,"",I$2))</f>
        <v/>
      </c>
      <c r="J72" s="3" t="str">
        <f>IF($A72="","",IF(countif('Mens Lineup'!J$3:J1000,CONCATENATE("=",$A72))=0,"",J$2))</f>
        <v/>
      </c>
      <c r="K72" s="3" t="str">
        <f>IF($A72="","",IF(countif('Mens Lineup'!K$3:K1000,CONCATENATE("=",$A72))=0,"",K$2))</f>
        <v/>
      </c>
      <c r="L72" s="3" t="str">
        <f>IF($A72="","",IF(countif('Mens Lineup'!L$3:L1000,CONCATENATE("=",$A72))=0,"",L$2))</f>
        <v/>
      </c>
      <c r="M72" s="3" t="str">
        <f>IF($A72="","",IF(countif('Mens Lineup'!M$3:M1000,CONCATENATE("=",$A72))=0,"",M$2))</f>
        <v/>
      </c>
      <c r="N72" s="3" t="str">
        <f>IF($A72="","",IF(countif('Mens Lineup'!N$3:N1000,CONCATENATE("=",$A72))=0,"",N$2))</f>
        <v/>
      </c>
      <c r="O72" s="3" t="str">
        <f>IF($A72="","",IF(countif('Mens Lineup'!O$3:O1000,CONCATENATE("=",$A72))=0,"",O$2))</f>
        <v/>
      </c>
      <c r="P72" s="3" t="str">
        <f>IF($A72="","",IF(countif('Mens Lineup'!P$3:P1000,CONCATENATE("=",$A72))=0,"",P$2))</f>
        <v/>
      </c>
      <c r="Q72" s="3" t="str">
        <f>IF($A72="","",IF(countif('Mens Lineup'!Q$3:Q1000,CONCATENATE("=",$A72))=0,"",Q$2))</f>
        <v/>
      </c>
      <c r="R72" s="3" t="str">
        <f>IF($A72="","",IF(countif('Mens Lineup'!R$3:R1000,CONCATENATE("=",$A72))=0,"",R$2))</f>
        <v/>
      </c>
      <c r="S72" s="3" t="str">
        <f>IF($A72="","",IF(countif('Mens Lineup'!S$3:S1000,CONCATENATE("=",$A72))=0,"",S$2))</f>
        <v/>
      </c>
      <c r="W72" s="3" t="str">
        <f>IFERROR(__xludf.DUMMYFUNCTION("JOIN("","",FILTER(B72:S72,B72:S72&lt;&gt;""""))"),"50 Free,100 Free,200 Free")</f>
        <v>50 Free,100 Free,200 Free</v>
      </c>
    </row>
    <row r="73">
      <c r="A73" s="3" t="s">
        <v>101</v>
      </c>
      <c r="B73" s="3" t="str">
        <f>IF($A73="","",IF(countif('Mens Lineup'!B$3:B1000,CONCATENATE("=",$A73))=0,"",B$2))</f>
        <v>50 Free</v>
      </c>
      <c r="C73" s="3" t="str">
        <f>IF($A73="","",IF(countif('Mens Lineup'!C$3:C1000,CONCATENATE("=",$A73))=0,"",C$2))</f>
        <v>100 Free</v>
      </c>
      <c r="D73" s="3" t="str">
        <f>IF($A73="","",IF(countif('Mens Lineup'!D$3:D1000,CONCATENATE("=",$A73))=0,"",D$2))</f>
        <v>200 Free</v>
      </c>
      <c r="E73" s="3" t="str">
        <f>IF($A73="","",IF(countif('Mens Lineup'!E$3:E1000,CONCATENATE("=",$A73))=0,"",E$2))</f>
        <v>500 Free</v>
      </c>
      <c r="F73" s="3" t="str">
        <f>IF($A73="","",IF(countif('Mens Lineup'!F$3:F1000,CONCATENATE("=",$A73))=0,"",F$2))</f>
        <v>1650 Free</v>
      </c>
      <c r="G73" s="3" t="str">
        <f>IF($A73="","",IF(countif('Mens Lineup'!G$3:G1000,CONCATENATE("=",$A73))=0,"",G$2))</f>
        <v/>
      </c>
      <c r="H73" s="3" t="str">
        <f>IF($A73="","",IF(countif('Mens Lineup'!H$3:H1000,CONCATENATE("=",$A73))=0,"",H$2))</f>
        <v/>
      </c>
      <c r="I73" s="3" t="str">
        <f>IF($A73="","",IF(countif('Mens Lineup'!I$3:I1000,CONCATENATE("=",$A73))=0,"",I$2))</f>
        <v/>
      </c>
      <c r="J73" s="3" t="str">
        <f>IF($A73="","",IF(countif('Mens Lineup'!J$3:J1000,CONCATENATE("=",$A73))=0,"",J$2))</f>
        <v/>
      </c>
      <c r="K73" s="3" t="str">
        <f>IF($A73="","",IF(countif('Mens Lineup'!K$3:K1000,CONCATENATE("=",$A73))=0,"",K$2))</f>
        <v/>
      </c>
      <c r="L73" s="3" t="str">
        <f>IF($A73="","",IF(countif('Mens Lineup'!L$3:L1000,CONCATENATE("=",$A73))=0,"",L$2))</f>
        <v/>
      </c>
      <c r="M73" s="3" t="str">
        <f>IF($A73="","",IF(countif('Mens Lineup'!M$3:M1000,CONCATENATE("=",$A73))=0,"",M$2))</f>
        <v/>
      </c>
      <c r="N73" s="3" t="str">
        <f>IF($A73="","",IF(countif('Mens Lineup'!N$3:N1000,CONCATENATE("=",$A73))=0,"",N$2))</f>
        <v/>
      </c>
      <c r="O73" s="3" t="str">
        <f>IF($A73="","",IF(countif('Mens Lineup'!O$3:O1000,CONCATENATE("=",$A73))=0,"",O$2))</f>
        <v>1000 Free</v>
      </c>
      <c r="P73" s="3" t="str">
        <f>IF($A73="","",IF(countif('Mens Lineup'!P$3:P1000,CONCATENATE("=",$A73))=0,"",P$2))</f>
        <v/>
      </c>
      <c r="Q73" s="3" t="str">
        <f>IF($A73="","",IF(countif('Mens Lineup'!Q$3:Q1000,CONCATENATE("=",$A73))=0,"",Q$2))</f>
        <v/>
      </c>
      <c r="R73" s="3" t="str">
        <f>IF($A73="","",IF(countif('Mens Lineup'!R$3:R1000,CONCATENATE("=",$A73))=0,"",R$2))</f>
        <v/>
      </c>
      <c r="S73" s="3" t="str">
        <f>IF($A73="","",IF(countif('Mens Lineup'!S$3:S1000,CONCATENATE("=",$A73))=0,"",S$2))</f>
        <v/>
      </c>
      <c r="W73" s="3" t="str">
        <f>IFERROR(__xludf.DUMMYFUNCTION("JOIN("","",FILTER(B73:S73,B73:S73&lt;&gt;""""))"),"50 Free,100 Free,200 Free,500 Free,1650 Free,1000 Free")</f>
        <v>50 Free,100 Free,200 Free,500 Free,1650 Free,1000 Free</v>
      </c>
    </row>
    <row r="74">
      <c r="A74" s="3" t="s">
        <v>102</v>
      </c>
      <c r="B74" s="3" t="str">
        <f>IF($A74="","",IF(countif('Mens Lineup'!B$3:B1000,CONCATENATE("=",$A74))=0,"",B$2))</f>
        <v>50 Free</v>
      </c>
      <c r="C74" s="3" t="str">
        <f>IF($A74="","",IF(countif('Mens Lineup'!C$3:C1000,CONCATENATE("=",$A74))=0,"",C$2))</f>
        <v/>
      </c>
      <c r="D74" s="3" t="str">
        <f>IF($A74="","",IF(countif('Mens Lineup'!D$3:D1000,CONCATENATE("=",$A74))=0,"",D$2))</f>
        <v/>
      </c>
      <c r="E74" s="3" t="str">
        <f>IF($A74="","",IF(countif('Mens Lineup'!E$3:E1000,CONCATENATE("=",$A74))=0,"",E$2))</f>
        <v/>
      </c>
      <c r="F74" s="3" t="str">
        <f>IF($A74="","",IF(countif('Mens Lineup'!F$3:F1000,CONCATENATE("=",$A74))=0,"",F$2))</f>
        <v/>
      </c>
      <c r="G74" s="3" t="str">
        <f>IF($A74="","",IF(countif('Mens Lineup'!G$3:G1000,CONCATENATE("=",$A74))=0,"",G$2))</f>
        <v>100 Back</v>
      </c>
      <c r="H74" s="3" t="str">
        <f>IF($A74="","",IF(countif('Mens Lineup'!H$3:H1000,CONCATENATE("=",$A74))=0,"",H$2))</f>
        <v>200 Back</v>
      </c>
      <c r="I74" s="3" t="str">
        <f>IF($A74="","",IF(countif('Mens Lineup'!I$3:I1000,CONCATENATE("=",$A74))=0,"",I$2))</f>
        <v/>
      </c>
      <c r="J74" s="3" t="str">
        <f>IF($A74="","",IF(countif('Mens Lineup'!J$3:J1000,CONCATENATE("=",$A74))=0,"",J$2))</f>
        <v/>
      </c>
      <c r="K74" s="3" t="str">
        <f>IF($A74="","",IF(countif('Mens Lineup'!K$3:K1000,CONCATENATE("=",$A74))=0,"",K$2))</f>
        <v/>
      </c>
      <c r="L74" s="3" t="str">
        <f>IF($A74="","",IF(countif('Mens Lineup'!L$3:L1000,CONCATENATE("=",$A74))=0,"",L$2))</f>
        <v/>
      </c>
      <c r="M74" s="3" t="str">
        <f>IF($A74="","",IF(countif('Mens Lineup'!M$3:M1000,CONCATENATE("=",$A74))=0,"",M$2))</f>
        <v>200 IM</v>
      </c>
      <c r="N74" s="3" t="str">
        <f>IF($A74="","",IF(countif('Mens Lineup'!N$3:N1000,CONCATENATE("=",$A74))=0,"",N$2))</f>
        <v/>
      </c>
      <c r="O74" s="3" t="str">
        <f>IF($A74="","",IF(countif('Mens Lineup'!O$3:O1000,CONCATENATE("=",$A74))=0,"",O$2))</f>
        <v/>
      </c>
      <c r="P74" s="3" t="str">
        <f>IF($A74="","",IF(countif('Mens Lineup'!P$3:P1000,CONCATENATE("=",$A74))=0,"",P$2))</f>
        <v/>
      </c>
      <c r="Q74" s="3" t="str">
        <f>IF($A74="","",IF(countif('Mens Lineup'!Q$3:Q1000,CONCATENATE("=",$A74))=0,"",Q$2))</f>
        <v/>
      </c>
      <c r="R74" s="3" t="str">
        <f>IF($A74="","",IF(countif('Mens Lineup'!R$3:R1000,CONCATENATE("=",$A74))=0,"",R$2))</f>
        <v/>
      </c>
      <c r="S74" s="3" t="str">
        <f>IF($A74="","",IF(countif('Mens Lineup'!S$3:S1000,CONCATENATE("=",$A74))=0,"",S$2))</f>
        <v/>
      </c>
      <c r="W74" s="3" t="str">
        <f>IFERROR(__xludf.DUMMYFUNCTION("JOIN("","",FILTER(B74:S74,B74:S74&lt;&gt;""""))"),"50 Free,100 Back,200 Back,200 IM")</f>
        <v>50 Free,100 Back,200 Back,200 IM</v>
      </c>
    </row>
    <row r="75">
      <c r="A75" s="3" t="s">
        <v>103</v>
      </c>
      <c r="B75" s="3" t="str">
        <f>IF($A75="","",IF(countif('Mens Lineup'!B$3:B1000,CONCATENATE("=",$A75))=0,"",B$2))</f>
        <v>50 Free</v>
      </c>
      <c r="C75" s="3" t="str">
        <f>IF($A75="","",IF(countif('Mens Lineup'!C$3:C1000,CONCATENATE("=",$A75))=0,"",C$2))</f>
        <v>100 Free</v>
      </c>
      <c r="D75" s="3" t="str">
        <f>IF($A75="","",IF(countif('Mens Lineup'!D$3:D1000,CONCATENATE("=",$A75))=0,"",D$2))</f>
        <v/>
      </c>
      <c r="E75" s="3" t="str">
        <f>IF($A75="","",IF(countif('Mens Lineup'!E$3:E1000,CONCATENATE("=",$A75))=0,"",E$2))</f>
        <v/>
      </c>
      <c r="F75" s="3" t="str">
        <f>IF($A75="","",IF(countif('Mens Lineup'!F$3:F1000,CONCATENATE("=",$A75))=0,"",F$2))</f>
        <v/>
      </c>
      <c r="G75" s="3" t="str">
        <f>IF($A75="","",IF(countif('Mens Lineup'!G$3:G1000,CONCATENATE("=",$A75))=0,"",G$2))</f>
        <v/>
      </c>
      <c r="H75" s="3" t="str">
        <f>IF($A75="","",IF(countif('Mens Lineup'!H$3:H1000,CONCATENATE("=",$A75))=0,"",H$2))</f>
        <v/>
      </c>
      <c r="I75" s="3" t="str">
        <f>IF($A75="","",IF(countif('Mens Lineup'!I$3:I1000,CONCATENATE("=",$A75))=0,"",I$2))</f>
        <v>100 Breast</v>
      </c>
      <c r="J75" s="3" t="str">
        <f>IF($A75="","",IF(countif('Mens Lineup'!J$3:J1000,CONCATENATE("=",$A75))=0,"",J$2))</f>
        <v/>
      </c>
      <c r="K75" s="3" t="str">
        <f>IF($A75="","",IF(countif('Mens Lineup'!K$3:K1000,CONCATENATE("=",$A75))=0,"",K$2))</f>
        <v>100 Fly</v>
      </c>
      <c r="L75" s="3" t="str">
        <f>IF($A75="","",IF(countif('Mens Lineup'!L$3:L1000,CONCATENATE("=",$A75))=0,"",L$2))</f>
        <v>200 Fly</v>
      </c>
      <c r="M75" s="3" t="str">
        <f>IF($A75="","",IF(countif('Mens Lineup'!M$3:M1000,CONCATENATE("=",$A75))=0,"",M$2))</f>
        <v>200 IM</v>
      </c>
      <c r="N75" s="3" t="str">
        <f>IF($A75="","",IF(countif('Mens Lineup'!N$3:N1000,CONCATENATE("=",$A75))=0,"",N$2))</f>
        <v/>
      </c>
      <c r="O75" s="3" t="str">
        <f>IF($A75="","",IF(countif('Mens Lineup'!O$3:O1000,CONCATENATE("=",$A75))=0,"",O$2))</f>
        <v/>
      </c>
      <c r="P75" s="3" t="str">
        <f>IF($A75="","",IF(countif('Mens Lineup'!P$3:P1000,CONCATENATE("=",$A75))=0,"",P$2))</f>
        <v/>
      </c>
      <c r="Q75" s="3" t="str">
        <f>IF($A75="","",IF(countif('Mens Lineup'!Q$3:Q1000,CONCATENATE("=",$A75))=0,"",Q$2))</f>
        <v/>
      </c>
      <c r="R75" s="3" t="str">
        <f>IF($A75="","",IF(countif('Mens Lineup'!R$3:R1000,CONCATENATE("=",$A75))=0,"",R$2))</f>
        <v/>
      </c>
      <c r="S75" s="3" t="str">
        <f>IF($A75="","",IF(countif('Mens Lineup'!S$3:S1000,CONCATENATE("=",$A75))=0,"",S$2))</f>
        <v/>
      </c>
      <c r="W75" s="3" t="str">
        <f>IFERROR(__xludf.DUMMYFUNCTION("JOIN("","",FILTER(B75:S75,B75:S75&lt;&gt;""""))"),"50 Free,100 Free,100 Breast,100 Fly,200 Fly,200 IM")</f>
        <v>50 Free,100 Free,100 Breast,100 Fly,200 Fly,200 IM</v>
      </c>
    </row>
    <row r="76">
      <c r="A76" s="3" t="s">
        <v>104</v>
      </c>
      <c r="B76" s="3" t="str">
        <f>IF($A76="","",IF(countif('Mens Lineup'!B$3:B1000,CONCATENATE("=",$A76))=0,"",B$2))</f>
        <v>50 Free</v>
      </c>
      <c r="C76" s="3" t="str">
        <f>IF($A76="","",IF(countif('Mens Lineup'!C$3:C1000,CONCATENATE("=",$A76))=0,"",C$2))</f>
        <v>100 Free</v>
      </c>
      <c r="D76" s="3" t="str">
        <f>IF($A76="","",IF(countif('Mens Lineup'!D$3:D1000,CONCATENATE("=",$A76))=0,"",D$2))</f>
        <v/>
      </c>
      <c r="E76" s="3" t="str">
        <f>IF($A76="","",IF(countif('Mens Lineup'!E$3:E1000,CONCATENATE("=",$A76))=0,"",E$2))</f>
        <v/>
      </c>
      <c r="F76" s="3" t="str">
        <f>IF($A76="","",IF(countif('Mens Lineup'!F$3:F1000,CONCATENATE("=",$A76))=0,"",F$2))</f>
        <v/>
      </c>
      <c r="G76" s="3" t="str">
        <f>IF($A76="","",IF(countif('Mens Lineup'!G$3:G1000,CONCATENATE("=",$A76))=0,"",G$2))</f>
        <v/>
      </c>
      <c r="H76" s="3" t="str">
        <f>IF($A76="","",IF(countif('Mens Lineup'!H$3:H1000,CONCATENATE("=",$A76))=0,"",H$2))</f>
        <v/>
      </c>
      <c r="I76" s="3" t="str">
        <f>IF($A76="","",IF(countif('Mens Lineup'!I$3:I1000,CONCATENATE("=",$A76))=0,"",I$2))</f>
        <v>100 Breast</v>
      </c>
      <c r="J76" s="3" t="str">
        <f>IF($A76="","",IF(countif('Mens Lineup'!J$3:J1000,CONCATENATE("=",$A76))=0,"",J$2))</f>
        <v>200 Breast</v>
      </c>
      <c r="K76" s="3" t="str">
        <f>IF($A76="","",IF(countif('Mens Lineup'!K$3:K1000,CONCATENATE("=",$A76))=0,"",K$2))</f>
        <v/>
      </c>
      <c r="L76" s="3" t="str">
        <f>IF($A76="","",IF(countif('Mens Lineup'!L$3:L1000,CONCATENATE("=",$A76))=0,"",L$2))</f>
        <v/>
      </c>
      <c r="M76" s="3" t="str">
        <f>IF($A76="","",IF(countif('Mens Lineup'!M$3:M1000,CONCATENATE("=",$A76))=0,"",M$2))</f>
        <v>200 IM</v>
      </c>
      <c r="N76" s="3" t="str">
        <f>IF($A76="","",IF(countif('Mens Lineup'!N$3:N1000,CONCATENATE("=",$A76))=0,"",N$2))</f>
        <v/>
      </c>
      <c r="O76" s="3" t="str">
        <f>IF($A76="","",IF(countif('Mens Lineup'!O$3:O1000,CONCATENATE("=",$A76))=0,"",O$2))</f>
        <v/>
      </c>
      <c r="P76" s="3" t="str">
        <f>IF($A76="","",IF(countif('Mens Lineup'!P$3:P1000,CONCATENATE("=",$A76))=0,"",P$2))</f>
        <v/>
      </c>
      <c r="Q76" s="3" t="str">
        <f>IF($A76="","",IF(countif('Mens Lineup'!Q$3:Q1000,CONCATENATE("=",$A76))=0,"",Q$2))</f>
        <v/>
      </c>
      <c r="R76" s="3" t="str">
        <f>IF($A76="","",IF(countif('Mens Lineup'!R$3:R1000,CONCATENATE("=",$A76))=0,"",R$2))</f>
        <v/>
      </c>
      <c r="S76" s="3" t="str">
        <f>IF($A76="","",IF(countif('Mens Lineup'!S$3:S1000,CONCATENATE("=",$A76))=0,"",S$2))</f>
        <v/>
      </c>
      <c r="W76" s="3" t="str">
        <f>IFERROR(__xludf.DUMMYFUNCTION("JOIN("","",FILTER(B76:S76,B76:S76&lt;&gt;""""))"),"50 Free,100 Free,100 Breast,200 Breast,200 IM")</f>
        <v>50 Free,100 Free,100 Breast,200 Breast,200 IM</v>
      </c>
    </row>
    <row r="77">
      <c r="A77" s="3" t="s">
        <v>105</v>
      </c>
      <c r="B77" s="3" t="str">
        <f>IF($A77="","",IF(countif('Mens Lineup'!B$3:B1000,CONCATENATE("=",$A77))=0,"",B$2))</f>
        <v>50 Free</v>
      </c>
      <c r="C77" s="3" t="str">
        <f>IF($A77="","",IF(countif('Mens Lineup'!C$3:C1000,CONCATENATE("=",$A77))=0,"",C$2))</f>
        <v>100 Free</v>
      </c>
      <c r="D77" s="3" t="str">
        <f>IF($A77="","",IF(countif('Mens Lineup'!D$3:D1000,CONCATENATE("=",$A77))=0,"",D$2))</f>
        <v/>
      </c>
      <c r="E77" s="3" t="str">
        <f>IF($A77="","",IF(countif('Mens Lineup'!E$3:E1000,CONCATENATE("=",$A77))=0,"",E$2))</f>
        <v/>
      </c>
      <c r="F77" s="3" t="str">
        <f>IF($A77="","",IF(countif('Mens Lineup'!F$3:F1000,CONCATENATE("=",$A77))=0,"",F$2))</f>
        <v/>
      </c>
      <c r="G77" s="3" t="str">
        <f>IF($A77="","",IF(countif('Mens Lineup'!G$3:G1000,CONCATENATE("=",$A77))=0,"",G$2))</f>
        <v>100 Back</v>
      </c>
      <c r="H77" s="3" t="str">
        <f>IF($A77="","",IF(countif('Mens Lineup'!H$3:H1000,CONCATENATE("=",$A77))=0,"",H$2))</f>
        <v>200 Back</v>
      </c>
      <c r="I77" s="3" t="str">
        <f>IF($A77="","",IF(countif('Mens Lineup'!I$3:I1000,CONCATENATE("=",$A77))=0,"",I$2))</f>
        <v/>
      </c>
      <c r="J77" s="3" t="str">
        <f>IF($A77="","",IF(countif('Mens Lineup'!J$3:J1000,CONCATENATE("=",$A77))=0,"",J$2))</f>
        <v/>
      </c>
      <c r="K77" s="3" t="str">
        <f>IF($A77="","",IF(countif('Mens Lineup'!K$3:K1000,CONCATENATE("=",$A77))=0,"",K$2))</f>
        <v>100 Fly</v>
      </c>
      <c r="L77" s="3" t="str">
        <f>IF($A77="","",IF(countif('Mens Lineup'!L$3:L1000,CONCATENATE("=",$A77))=0,"",L$2))</f>
        <v>200 Fly</v>
      </c>
      <c r="M77" s="3" t="str">
        <f>IF($A77="","",IF(countif('Mens Lineup'!M$3:M1000,CONCATENATE("=",$A77))=0,"",M$2))</f>
        <v/>
      </c>
      <c r="N77" s="3" t="str">
        <f>IF($A77="","",IF(countif('Mens Lineup'!N$3:N1000,CONCATENATE("=",$A77))=0,"",N$2))</f>
        <v/>
      </c>
      <c r="O77" s="3" t="str">
        <f>IF($A77="","",IF(countif('Mens Lineup'!O$3:O1000,CONCATENATE("=",$A77))=0,"",O$2))</f>
        <v/>
      </c>
      <c r="P77" s="3" t="str">
        <f>IF($A77="","",IF(countif('Mens Lineup'!P$3:P1000,CONCATENATE("=",$A77))=0,"",P$2))</f>
        <v/>
      </c>
      <c r="Q77" s="3" t="str">
        <f>IF($A77="","",IF(countif('Mens Lineup'!Q$3:Q1000,CONCATENATE("=",$A77))=0,"",Q$2))</f>
        <v/>
      </c>
      <c r="R77" s="3" t="str">
        <f>IF($A77="","",IF(countif('Mens Lineup'!R$3:R1000,CONCATENATE("=",$A77))=0,"",R$2))</f>
        <v/>
      </c>
      <c r="S77" s="3" t="str">
        <f>IF($A77="","",IF(countif('Mens Lineup'!S$3:S1000,CONCATENATE("=",$A77))=0,"",S$2))</f>
        <v/>
      </c>
      <c r="W77" s="3" t="str">
        <f>IFERROR(__xludf.DUMMYFUNCTION("JOIN("","",FILTER(B77:S77,B77:S77&lt;&gt;""""))"),"50 Free,100 Free,100 Back,200 Back,100 Fly,200 Fly")</f>
        <v>50 Free,100 Free,100 Back,200 Back,100 Fly,200 Fly</v>
      </c>
    </row>
    <row r="78">
      <c r="A78" s="3" t="s">
        <v>106</v>
      </c>
      <c r="B78" s="3" t="str">
        <f>IF($A78="","",IF(countif('Mens Lineup'!B$3:B1000,CONCATENATE("=",$A78))=0,"",B$2))</f>
        <v>50 Free</v>
      </c>
      <c r="C78" s="3" t="str">
        <f>IF($A78="","",IF(countif('Mens Lineup'!C$3:C1000,CONCATENATE("=",$A78))=0,"",C$2))</f>
        <v>100 Free</v>
      </c>
      <c r="D78" s="3" t="str">
        <f>IF($A78="","",IF(countif('Mens Lineup'!D$3:D1000,CONCATENATE("=",$A78))=0,"",D$2))</f>
        <v>200 Free</v>
      </c>
      <c r="E78" s="3" t="str">
        <f>IF($A78="","",IF(countif('Mens Lineup'!E$3:E1000,CONCATENATE("=",$A78))=0,"",E$2))</f>
        <v/>
      </c>
      <c r="F78" s="3" t="str">
        <f>IF($A78="","",IF(countif('Mens Lineup'!F$3:F1000,CONCATENATE("=",$A78))=0,"",F$2))</f>
        <v/>
      </c>
      <c r="G78" s="3" t="str">
        <f>IF($A78="","",IF(countif('Mens Lineup'!G$3:G1000,CONCATENATE("=",$A78))=0,"",G$2))</f>
        <v/>
      </c>
      <c r="H78" s="3" t="str">
        <f>IF($A78="","",IF(countif('Mens Lineup'!H$3:H1000,CONCATENATE("=",$A78))=0,"",H$2))</f>
        <v/>
      </c>
      <c r="I78" s="3" t="str">
        <f>IF($A78="","",IF(countif('Mens Lineup'!I$3:I1000,CONCATENATE("=",$A78))=0,"",I$2))</f>
        <v>100 Breast</v>
      </c>
      <c r="J78" s="3" t="str">
        <f>IF($A78="","",IF(countif('Mens Lineup'!J$3:J1000,CONCATENATE("=",$A78))=0,"",J$2))</f>
        <v/>
      </c>
      <c r="K78" s="3" t="str">
        <f>IF($A78="","",IF(countif('Mens Lineup'!K$3:K1000,CONCATENATE("=",$A78))=0,"",K$2))</f>
        <v>100 Fly</v>
      </c>
      <c r="L78" s="3" t="str">
        <f>IF($A78="","",IF(countif('Mens Lineup'!L$3:L1000,CONCATENATE("=",$A78))=0,"",L$2))</f>
        <v/>
      </c>
      <c r="M78" s="3" t="str">
        <f>IF($A78="","",IF(countif('Mens Lineup'!M$3:M1000,CONCATENATE("=",$A78))=0,"",M$2))</f>
        <v>200 IM</v>
      </c>
      <c r="N78" s="3" t="str">
        <f>IF($A78="","",IF(countif('Mens Lineup'!N$3:N1000,CONCATENATE("=",$A78))=0,"",N$2))</f>
        <v/>
      </c>
      <c r="O78" s="3" t="str">
        <f>IF($A78="","",IF(countif('Mens Lineup'!O$3:O1000,CONCATENATE("=",$A78))=0,"",O$2))</f>
        <v/>
      </c>
      <c r="P78" s="3" t="str">
        <f>IF($A78="","",IF(countif('Mens Lineup'!P$3:P1000,CONCATENATE("=",$A78))=0,"",P$2))</f>
        <v/>
      </c>
      <c r="Q78" s="3" t="str">
        <f>IF($A78="","",IF(countif('Mens Lineup'!Q$3:Q1000,CONCATENATE("=",$A78))=0,"",Q$2))</f>
        <v/>
      </c>
      <c r="R78" s="3" t="str">
        <f>IF($A78="","",IF(countif('Mens Lineup'!R$3:R1000,CONCATENATE("=",$A78))=0,"",R$2))</f>
        <v/>
      </c>
      <c r="S78" s="3" t="str">
        <f>IF($A78="","",IF(countif('Mens Lineup'!S$3:S1000,CONCATENATE("=",$A78))=0,"",S$2))</f>
        <v/>
      </c>
      <c r="W78" s="3" t="str">
        <f>IFERROR(__xludf.DUMMYFUNCTION("JOIN("","",FILTER(B78:S78,B78:S78&lt;&gt;""""))"),"50 Free,100 Free,200 Free,100 Breast,100 Fly,200 IM")</f>
        <v>50 Free,100 Free,200 Free,100 Breast,100 Fly,200 IM</v>
      </c>
    </row>
    <row r="79">
      <c r="A79" s="3" t="s">
        <v>107</v>
      </c>
      <c r="B79" s="3" t="str">
        <f>IF($A79="","",IF(countif('Mens Lineup'!B$3:B1000,CONCATENATE("=",$A79))=0,"",B$2))</f>
        <v>50 Free</v>
      </c>
      <c r="C79" s="3" t="str">
        <f>IF($A79="","",IF(countif('Mens Lineup'!C$3:C1000,CONCATENATE("=",$A79))=0,"",C$2))</f>
        <v>100 Free</v>
      </c>
      <c r="D79" s="3" t="str">
        <f>IF($A79="","",IF(countif('Mens Lineup'!D$3:D1000,CONCATENATE("=",$A79))=0,"",D$2))</f>
        <v/>
      </c>
      <c r="E79" s="3" t="str">
        <f>IF($A79="","",IF(countif('Mens Lineup'!E$3:E1000,CONCATENATE("=",$A79))=0,"",E$2))</f>
        <v/>
      </c>
      <c r="F79" s="3" t="str">
        <f>IF($A79="","",IF(countif('Mens Lineup'!F$3:F1000,CONCATENATE("=",$A79))=0,"",F$2))</f>
        <v/>
      </c>
      <c r="G79" s="3" t="str">
        <f>IF($A79="","",IF(countif('Mens Lineup'!G$3:G1000,CONCATENATE("=",$A79))=0,"",G$2))</f>
        <v/>
      </c>
      <c r="H79" s="3" t="str">
        <f>IF($A79="","",IF(countif('Mens Lineup'!H$3:H1000,CONCATENATE("=",$A79))=0,"",H$2))</f>
        <v/>
      </c>
      <c r="I79" s="3" t="str">
        <f>IF($A79="","",IF(countif('Mens Lineup'!I$3:I1000,CONCATENATE("=",$A79))=0,"",I$2))</f>
        <v>100 Breast</v>
      </c>
      <c r="J79" s="3" t="str">
        <f>IF($A79="","",IF(countif('Mens Lineup'!J$3:J1000,CONCATENATE("=",$A79))=0,"",J$2))</f>
        <v>200 Breast</v>
      </c>
      <c r="K79" s="3" t="str">
        <f>IF($A79="","",IF(countif('Mens Lineup'!K$3:K1000,CONCATENATE("=",$A79))=0,"",K$2))</f>
        <v/>
      </c>
      <c r="L79" s="3" t="str">
        <f>IF($A79="","",IF(countif('Mens Lineup'!L$3:L1000,CONCATENATE("=",$A79))=0,"",L$2))</f>
        <v/>
      </c>
      <c r="M79" s="3" t="str">
        <f>IF($A79="","",IF(countif('Mens Lineup'!M$3:M1000,CONCATENATE("=",$A79))=0,"",M$2))</f>
        <v/>
      </c>
      <c r="N79" s="3" t="str">
        <f>IF($A79="","",IF(countif('Mens Lineup'!N$3:N1000,CONCATENATE("=",$A79))=0,"",N$2))</f>
        <v/>
      </c>
      <c r="O79" s="3" t="str">
        <f>IF($A79="","",IF(countif('Mens Lineup'!O$3:O1000,CONCATENATE("=",$A79))=0,"",O$2))</f>
        <v/>
      </c>
      <c r="P79" s="3" t="str">
        <f>IF($A79="","",IF(countif('Mens Lineup'!P$3:P1000,CONCATENATE("=",$A79))=0,"",P$2))</f>
        <v/>
      </c>
      <c r="Q79" s="3" t="str">
        <f>IF($A79="","",IF(countif('Mens Lineup'!Q$3:Q1000,CONCATENATE("=",$A79))=0,"",Q$2))</f>
        <v/>
      </c>
      <c r="R79" s="3" t="str">
        <f>IF($A79="","",IF(countif('Mens Lineup'!R$3:R1000,CONCATENATE("=",$A79))=0,"",R$2))</f>
        <v/>
      </c>
      <c r="S79" s="3" t="str">
        <f>IF($A79="","",IF(countif('Mens Lineup'!S$3:S1000,CONCATENATE("=",$A79))=0,"",S$2))</f>
        <v/>
      </c>
      <c r="W79" s="3" t="str">
        <f>IFERROR(__xludf.DUMMYFUNCTION("JOIN("","",FILTER(B79:S79,B79:S79&lt;&gt;""""))"),"50 Free,100 Free,100 Breast,200 Breast")</f>
        <v>50 Free,100 Free,100 Breast,200 Breast</v>
      </c>
    </row>
    <row r="80">
      <c r="A80" s="3" t="s">
        <v>108</v>
      </c>
      <c r="B80" s="3" t="str">
        <f>IF($A80="","",IF(countif('Mens Lineup'!B$3:B1000,CONCATENATE("=",$A80))=0,"",B$2))</f>
        <v>50 Free</v>
      </c>
      <c r="C80" s="3" t="str">
        <f>IF($A80="","",IF(countif('Mens Lineup'!C$3:C1000,CONCATENATE("=",$A80))=0,"",C$2))</f>
        <v/>
      </c>
      <c r="D80" s="3" t="str">
        <f>IF($A80="","",IF(countif('Mens Lineup'!D$3:D1000,CONCATENATE("=",$A80))=0,"",D$2))</f>
        <v>200 Free</v>
      </c>
      <c r="E80" s="3" t="str">
        <f>IF($A80="","",IF(countif('Mens Lineup'!E$3:E1000,CONCATENATE("=",$A80))=0,"",E$2))</f>
        <v/>
      </c>
      <c r="F80" s="3" t="str">
        <f>IF($A80="","",IF(countif('Mens Lineup'!F$3:F1000,CONCATENATE("=",$A80))=0,"",F$2))</f>
        <v/>
      </c>
      <c r="G80" s="3" t="str">
        <f>IF($A80="","",IF(countif('Mens Lineup'!G$3:G1000,CONCATENATE("=",$A80))=0,"",G$2))</f>
        <v/>
      </c>
      <c r="H80" s="3" t="str">
        <f>IF($A80="","",IF(countif('Mens Lineup'!H$3:H1000,CONCATENATE("=",$A80))=0,"",H$2))</f>
        <v/>
      </c>
      <c r="I80" s="3" t="str">
        <f>IF($A80="","",IF(countif('Mens Lineup'!I$3:I1000,CONCATENATE("=",$A80))=0,"",I$2))</f>
        <v>100 Breast</v>
      </c>
      <c r="J80" s="3" t="str">
        <f>IF($A80="","",IF(countif('Mens Lineup'!J$3:J1000,CONCATENATE("=",$A80))=0,"",J$2))</f>
        <v>200 Breast</v>
      </c>
      <c r="K80" s="3" t="str">
        <f>IF($A80="","",IF(countif('Mens Lineup'!K$3:K1000,CONCATENATE("=",$A80))=0,"",K$2))</f>
        <v/>
      </c>
      <c r="L80" s="3" t="str">
        <f>IF($A80="","",IF(countif('Mens Lineup'!L$3:L1000,CONCATENATE("=",$A80))=0,"",L$2))</f>
        <v/>
      </c>
      <c r="M80" s="3" t="str">
        <f>IF($A80="","",IF(countif('Mens Lineup'!M$3:M1000,CONCATENATE("=",$A80))=0,"",M$2))</f>
        <v>200 IM</v>
      </c>
      <c r="N80" s="3" t="str">
        <f>IF($A80="","",IF(countif('Mens Lineup'!N$3:N1000,CONCATENATE("=",$A80))=0,"",N$2))</f>
        <v/>
      </c>
      <c r="O80" s="3" t="str">
        <f>IF($A80="","",IF(countif('Mens Lineup'!O$3:O1000,CONCATENATE("=",$A80))=0,"",O$2))</f>
        <v>1000 Free</v>
      </c>
      <c r="P80" s="3" t="str">
        <f>IF($A80="","",IF(countif('Mens Lineup'!P$3:P1000,CONCATENATE("=",$A80))=0,"",P$2))</f>
        <v/>
      </c>
      <c r="Q80" s="3" t="str">
        <f>IF($A80="","",IF(countif('Mens Lineup'!Q$3:Q1000,CONCATENATE("=",$A80))=0,"",Q$2))</f>
        <v/>
      </c>
      <c r="R80" s="3" t="str">
        <f>IF($A80="","",IF(countif('Mens Lineup'!R$3:R1000,CONCATENATE("=",$A80))=0,"",R$2))</f>
        <v/>
      </c>
      <c r="S80" s="3" t="str">
        <f>IF($A80="","",IF(countif('Mens Lineup'!S$3:S1000,CONCATENATE("=",$A80))=0,"",S$2))</f>
        <v/>
      </c>
      <c r="W80" s="3" t="str">
        <f>IFERROR(__xludf.DUMMYFUNCTION("JOIN("","",FILTER(B80:S80,B80:S80&lt;&gt;""""))"),"50 Free,200 Free,100 Breast,200 Breast,200 IM,1000 Free")</f>
        <v>50 Free,200 Free,100 Breast,200 Breast,200 IM,1000 Free</v>
      </c>
    </row>
    <row r="81">
      <c r="A81" s="3" t="s">
        <v>109</v>
      </c>
      <c r="B81" s="3" t="str">
        <f>IF($A81="","",IF(countif('Mens Lineup'!B$3:B1000,CONCATENATE("=",$A81))=0,"",B$2))</f>
        <v>50 Free</v>
      </c>
      <c r="C81" s="3" t="str">
        <f>IF($A81="","",IF(countif('Mens Lineup'!C$3:C1000,CONCATENATE("=",$A81))=0,"",C$2))</f>
        <v>100 Free</v>
      </c>
      <c r="D81" s="3" t="str">
        <f>IF($A81="","",IF(countif('Mens Lineup'!D$3:D1000,CONCATENATE("=",$A81))=0,"",D$2))</f>
        <v/>
      </c>
      <c r="E81" s="3" t="str">
        <f>IF($A81="","",IF(countif('Mens Lineup'!E$3:E1000,CONCATENATE("=",$A81))=0,"",E$2))</f>
        <v/>
      </c>
      <c r="F81" s="3" t="str">
        <f>IF($A81="","",IF(countif('Mens Lineup'!F$3:F1000,CONCATENATE("=",$A81))=0,"",F$2))</f>
        <v/>
      </c>
      <c r="G81" s="3" t="str">
        <f>IF($A81="","",IF(countif('Mens Lineup'!G$3:G1000,CONCATENATE("=",$A81))=0,"",G$2))</f>
        <v/>
      </c>
      <c r="H81" s="3" t="str">
        <f>IF($A81="","",IF(countif('Mens Lineup'!H$3:H1000,CONCATENATE("=",$A81))=0,"",H$2))</f>
        <v/>
      </c>
      <c r="I81" s="3" t="str">
        <f>IF($A81="","",IF(countif('Mens Lineup'!I$3:I1000,CONCATENATE("=",$A81))=0,"",I$2))</f>
        <v>100 Breast</v>
      </c>
      <c r="J81" s="3" t="str">
        <f>IF($A81="","",IF(countif('Mens Lineup'!J$3:J1000,CONCATENATE("=",$A81))=0,"",J$2))</f>
        <v/>
      </c>
      <c r="K81" s="3" t="str">
        <f>IF($A81="","",IF(countif('Mens Lineup'!K$3:K1000,CONCATENATE("=",$A81))=0,"",K$2))</f>
        <v>100 Fly</v>
      </c>
      <c r="L81" s="3" t="str">
        <f>IF($A81="","",IF(countif('Mens Lineup'!L$3:L1000,CONCATENATE("=",$A81))=0,"",L$2))</f>
        <v/>
      </c>
      <c r="M81" s="3" t="str">
        <f>IF($A81="","",IF(countif('Mens Lineup'!M$3:M1000,CONCATENATE("=",$A81))=0,"",M$2))</f>
        <v/>
      </c>
      <c r="N81" s="3" t="str">
        <f>IF($A81="","",IF(countif('Mens Lineup'!N$3:N1000,CONCATENATE("=",$A81))=0,"",N$2))</f>
        <v/>
      </c>
      <c r="O81" s="3" t="str">
        <f>IF($A81="","",IF(countif('Mens Lineup'!O$3:O1000,CONCATENATE("=",$A81))=0,"",O$2))</f>
        <v/>
      </c>
      <c r="P81" s="3" t="str">
        <f>IF($A81="","",IF(countif('Mens Lineup'!P$3:P1000,CONCATENATE("=",$A81))=0,"",P$2))</f>
        <v/>
      </c>
      <c r="Q81" s="3" t="str">
        <f>IF($A81="","",IF(countif('Mens Lineup'!Q$3:Q1000,CONCATENATE("=",$A81))=0,"",Q$2))</f>
        <v/>
      </c>
      <c r="R81" s="3" t="str">
        <f>IF($A81="","",IF(countif('Mens Lineup'!R$3:R1000,CONCATENATE("=",$A81))=0,"",R$2))</f>
        <v/>
      </c>
      <c r="S81" s="3" t="str">
        <f>IF($A81="","",IF(countif('Mens Lineup'!S$3:S1000,CONCATENATE("=",$A81))=0,"",S$2))</f>
        <v/>
      </c>
      <c r="W81" s="3" t="str">
        <f>IFERROR(__xludf.DUMMYFUNCTION("JOIN("","",FILTER(B81:S81,B81:S81&lt;&gt;""""))"),"50 Free,100 Free,100 Breast,100 Fly")</f>
        <v>50 Free,100 Free,100 Breast,100 Fly</v>
      </c>
    </row>
    <row r="82">
      <c r="A82" s="3" t="s">
        <v>110</v>
      </c>
      <c r="B82" s="3" t="str">
        <f>IF($A82="","",IF(countif('Mens Lineup'!B$3:B1000,CONCATENATE("=",$A82))=0,"",B$2))</f>
        <v>50 Free</v>
      </c>
      <c r="C82" s="3" t="str">
        <f>IF($A82="","",IF(countif('Mens Lineup'!C$3:C1000,CONCATENATE("=",$A82))=0,"",C$2))</f>
        <v/>
      </c>
      <c r="D82" s="3" t="str">
        <f>IF($A82="","",IF(countif('Mens Lineup'!D$3:D1000,CONCATENATE("=",$A82))=0,"",D$2))</f>
        <v/>
      </c>
      <c r="E82" s="3" t="str">
        <f>IF($A82="","",IF(countif('Mens Lineup'!E$3:E1000,CONCATENATE("=",$A82))=0,"",E$2))</f>
        <v/>
      </c>
      <c r="F82" s="3" t="str">
        <f>IF($A82="","",IF(countif('Mens Lineup'!F$3:F1000,CONCATENATE("=",$A82))=0,"",F$2))</f>
        <v/>
      </c>
      <c r="G82" s="3" t="str">
        <f>IF($A82="","",IF(countif('Mens Lineup'!G$3:G1000,CONCATENATE("=",$A82))=0,"",G$2))</f>
        <v/>
      </c>
      <c r="H82" s="3" t="str">
        <f>IF($A82="","",IF(countif('Mens Lineup'!H$3:H1000,CONCATENATE("=",$A82))=0,"",H$2))</f>
        <v/>
      </c>
      <c r="I82" s="3" t="str">
        <f>IF($A82="","",IF(countif('Mens Lineup'!I$3:I1000,CONCATENATE("=",$A82))=0,"",I$2))</f>
        <v>100 Breast</v>
      </c>
      <c r="J82" s="3" t="str">
        <f>IF($A82="","",IF(countif('Mens Lineup'!J$3:J1000,CONCATENATE("=",$A82))=0,"",J$2))</f>
        <v/>
      </c>
      <c r="K82" s="3" t="str">
        <f>IF($A82="","",IF(countif('Mens Lineup'!K$3:K1000,CONCATENATE("=",$A82))=0,"",K$2))</f>
        <v/>
      </c>
      <c r="L82" s="3" t="str">
        <f>IF($A82="","",IF(countif('Mens Lineup'!L$3:L1000,CONCATENATE("=",$A82))=0,"",L$2))</f>
        <v/>
      </c>
      <c r="M82" s="3" t="str">
        <f>IF($A82="","",IF(countif('Mens Lineup'!M$3:M1000,CONCATENATE("=",$A82))=0,"",M$2))</f>
        <v/>
      </c>
      <c r="N82" s="3" t="str">
        <f>IF($A82="","",IF(countif('Mens Lineup'!N$3:N1000,CONCATENATE("=",$A82))=0,"",N$2))</f>
        <v/>
      </c>
      <c r="O82" s="3" t="str">
        <f>IF($A82="","",IF(countif('Mens Lineup'!O$3:O1000,CONCATENATE("=",$A82))=0,"",O$2))</f>
        <v/>
      </c>
      <c r="P82" s="3" t="str">
        <f>IF($A82="","",IF(countif('Mens Lineup'!P$3:P1000,CONCATENATE("=",$A82))=0,"",P$2))</f>
        <v/>
      </c>
      <c r="Q82" s="3" t="str">
        <f>IF($A82="","",IF(countif('Mens Lineup'!Q$3:Q1000,CONCATENATE("=",$A82))=0,"",Q$2))</f>
        <v/>
      </c>
      <c r="R82" s="3" t="str">
        <f>IF($A82="","",IF(countif('Mens Lineup'!R$3:R1000,CONCATENATE("=",$A82))=0,"",R$2))</f>
        <v/>
      </c>
      <c r="S82" s="3" t="str">
        <f>IF($A82="","",IF(countif('Mens Lineup'!S$3:S1000,CONCATENATE("=",$A82))=0,"",S$2))</f>
        <v/>
      </c>
      <c r="W82" s="3" t="str">
        <f>IFERROR(__xludf.DUMMYFUNCTION("JOIN("","",FILTER(B82:S82,B82:S82&lt;&gt;""""))"),"50 Free,100 Breast")</f>
        <v>50 Free,100 Breast</v>
      </c>
    </row>
    <row r="83">
      <c r="A83" s="3" t="s">
        <v>111</v>
      </c>
      <c r="B83" s="3" t="str">
        <f>IF($A83="","",IF(countif('Mens Lineup'!B$3:B1000,CONCATENATE("=",$A83))=0,"",B$2))</f>
        <v>50 Free</v>
      </c>
      <c r="C83" s="3" t="str">
        <f>IF($A83="","",IF(countif('Mens Lineup'!C$3:C1000,CONCATENATE("=",$A83))=0,"",C$2))</f>
        <v/>
      </c>
      <c r="D83" s="3" t="str">
        <f>IF($A83="","",IF(countif('Mens Lineup'!D$3:D1000,CONCATENATE("=",$A83))=0,"",D$2))</f>
        <v/>
      </c>
      <c r="E83" s="3" t="str">
        <f>IF($A83="","",IF(countif('Mens Lineup'!E$3:E1000,CONCATENATE("=",$A83))=0,"",E$2))</f>
        <v/>
      </c>
      <c r="F83" s="3" t="str">
        <f>IF($A83="","",IF(countif('Mens Lineup'!F$3:F1000,CONCATENATE("=",$A83))=0,"",F$2))</f>
        <v/>
      </c>
      <c r="G83" s="3" t="str">
        <f>IF($A83="","",IF(countif('Mens Lineup'!G$3:G1000,CONCATENATE("=",$A83))=0,"",G$2))</f>
        <v>100 Back</v>
      </c>
      <c r="H83" s="3" t="str">
        <f>IF($A83="","",IF(countif('Mens Lineup'!H$3:H1000,CONCATENATE("=",$A83))=0,"",H$2))</f>
        <v/>
      </c>
      <c r="I83" s="3" t="str">
        <f>IF($A83="","",IF(countif('Mens Lineup'!I$3:I1000,CONCATENATE("=",$A83))=0,"",I$2))</f>
        <v/>
      </c>
      <c r="J83" s="3" t="str">
        <f>IF($A83="","",IF(countif('Mens Lineup'!J$3:J1000,CONCATENATE("=",$A83))=0,"",J$2))</f>
        <v/>
      </c>
      <c r="K83" s="3" t="str">
        <f>IF($A83="","",IF(countif('Mens Lineup'!K$3:K1000,CONCATENATE("=",$A83))=0,"",K$2))</f>
        <v/>
      </c>
      <c r="L83" s="3" t="str">
        <f>IF($A83="","",IF(countif('Mens Lineup'!L$3:L1000,CONCATENATE("=",$A83))=0,"",L$2))</f>
        <v/>
      </c>
      <c r="M83" s="3" t="str">
        <f>IF($A83="","",IF(countif('Mens Lineup'!M$3:M1000,CONCATENATE("=",$A83))=0,"",M$2))</f>
        <v/>
      </c>
      <c r="N83" s="3" t="str">
        <f>IF($A83="","",IF(countif('Mens Lineup'!N$3:N1000,CONCATENATE("=",$A83))=0,"",N$2))</f>
        <v/>
      </c>
      <c r="O83" s="3" t="str">
        <f>IF($A83="","",IF(countif('Mens Lineup'!O$3:O1000,CONCATENATE("=",$A83))=0,"",O$2))</f>
        <v/>
      </c>
      <c r="P83" s="3" t="str">
        <f>IF($A83="","",IF(countif('Mens Lineup'!P$3:P1000,CONCATENATE("=",$A83))=0,"",P$2))</f>
        <v/>
      </c>
      <c r="Q83" s="3" t="str">
        <f>IF($A83="","",IF(countif('Mens Lineup'!Q$3:Q1000,CONCATENATE("=",$A83))=0,"",Q$2))</f>
        <v/>
      </c>
      <c r="R83" s="3" t="str">
        <f>IF($A83="","",IF(countif('Mens Lineup'!R$3:R1000,CONCATENATE("=",$A83))=0,"",R$2))</f>
        <v/>
      </c>
      <c r="S83" s="3" t="str">
        <f>IF($A83="","",IF(countif('Mens Lineup'!S$3:S1000,CONCATENATE("=",$A83))=0,"",S$2))</f>
        <v/>
      </c>
      <c r="W83" s="3" t="str">
        <f>IFERROR(__xludf.DUMMYFUNCTION("JOIN("","",FILTER(B83:S83,B83:S83&lt;&gt;""""))"),"50 Free,100 Back")</f>
        <v>50 Free,100 Back</v>
      </c>
    </row>
    <row r="84">
      <c r="A84" s="3" t="s">
        <v>112</v>
      </c>
      <c r="B84" s="3" t="str">
        <f>IF($A84="","",IF(countif('Mens Lineup'!B$3:B1000,CONCATENATE("=",$A84))=0,"",B$2))</f>
        <v>50 Free</v>
      </c>
      <c r="C84" s="3" t="str">
        <f>IF($A84="","",IF(countif('Mens Lineup'!C$3:C1000,CONCATENATE("=",$A84))=0,"",C$2))</f>
        <v>100 Free</v>
      </c>
      <c r="D84" s="3" t="str">
        <f>IF($A84="","",IF(countif('Mens Lineup'!D$3:D1000,CONCATENATE("=",$A84))=0,"",D$2))</f>
        <v/>
      </c>
      <c r="E84" s="3" t="str">
        <f>IF($A84="","",IF(countif('Mens Lineup'!E$3:E1000,CONCATENATE("=",$A84))=0,"",E$2))</f>
        <v/>
      </c>
      <c r="F84" s="3" t="str">
        <f>IF($A84="","",IF(countif('Mens Lineup'!F$3:F1000,CONCATENATE("=",$A84))=0,"",F$2))</f>
        <v/>
      </c>
      <c r="G84" s="3" t="str">
        <f>IF($A84="","",IF(countif('Mens Lineup'!G$3:G1000,CONCATENATE("=",$A84))=0,"",G$2))</f>
        <v/>
      </c>
      <c r="H84" s="3" t="str">
        <f>IF($A84="","",IF(countif('Mens Lineup'!H$3:H1000,CONCATENATE("=",$A84))=0,"",H$2))</f>
        <v/>
      </c>
      <c r="I84" s="3" t="str">
        <f>IF($A84="","",IF(countif('Mens Lineup'!I$3:I1000,CONCATENATE("=",$A84))=0,"",I$2))</f>
        <v/>
      </c>
      <c r="J84" s="3" t="str">
        <f>IF($A84="","",IF(countif('Mens Lineup'!J$3:J1000,CONCATENATE("=",$A84))=0,"",J$2))</f>
        <v/>
      </c>
      <c r="K84" s="3" t="str">
        <f>IF($A84="","",IF(countif('Mens Lineup'!K$3:K1000,CONCATENATE("=",$A84))=0,"",K$2))</f>
        <v/>
      </c>
      <c r="L84" s="3" t="str">
        <f>IF($A84="","",IF(countif('Mens Lineup'!L$3:L1000,CONCATENATE("=",$A84))=0,"",L$2))</f>
        <v/>
      </c>
      <c r="M84" s="3" t="str">
        <f>IF($A84="","",IF(countif('Mens Lineup'!M$3:M1000,CONCATENATE("=",$A84))=0,"",M$2))</f>
        <v/>
      </c>
      <c r="N84" s="3" t="str">
        <f>IF($A84="","",IF(countif('Mens Lineup'!N$3:N1000,CONCATENATE("=",$A84))=0,"",N$2))</f>
        <v/>
      </c>
      <c r="O84" s="3" t="str">
        <f>IF($A84="","",IF(countif('Mens Lineup'!O$3:O1000,CONCATENATE("=",$A84))=0,"",O$2))</f>
        <v/>
      </c>
      <c r="P84" s="3" t="str">
        <f>IF($A84="","",IF(countif('Mens Lineup'!P$3:P1000,CONCATENATE("=",$A84))=0,"",P$2))</f>
        <v/>
      </c>
      <c r="Q84" s="3" t="str">
        <f>IF($A84="","",IF(countif('Mens Lineup'!Q$3:Q1000,CONCATENATE("=",$A84))=0,"",Q$2))</f>
        <v/>
      </c>
      <c r="R84" s="3" t="str">
        <f>IF($A84="","",IF(countif('Mens Lineup'!R$3:R1000,CONCATENATE("=",$A84))=0,"",R$2))</f>
        <v/>
      </c>
      <c r="S84" s="3" t="str">
        <f>IF($A84="","",IF(countif('Mens Lineup'!S$3:S1000,CONCATENATE("=",$A84))=0,"",S$2))</f>
        <v/>
      </c>
      <c r="W84" s="3" t="str">
        <f>IFERROR(__xludf.DUMMYFUNCTION("JOIN("","",FILTER(B84:S84,B84:S84&lt;&gt;""""))"),"50 Free,100 Free")</f>
        <v>50 Free,100 Free</v>
      </c>
    </row>
    <row r="85">
      <c r="A85" s="3" t="s">
        <v>113</v>
      </c>
      <c r="B85" s="3" t="str">
        <f>IF($A85="","",IF(countif('Mens Lineup'!B$3:B1000,CONCATENATE("=",$A85))=0,"",B$2))</f>
        <v>50 Free</v>
      </c>
      <c r="C85" s="3" t="str">
        <f>IF($A85="","",IF(countif('Mens Lineup'!C$3:C1000,CONCATENATE("=",$A85))=0,"",C$2))</f>
        <v/>
      </c>
      <c r="D85" s="3" t="str">
        <f>IF($A85="","",IF(countif('Mens Lineup'!D$3:D1000,CONCATENATE("=",$A85))=0,"",D$2))</f>
        <v>200 Free</v>
      </c>
      <c r="E85" s="3" t="str">
        <f>IF($A85="","",IF(countif('Mens Lineup'!E$3:E1000,CONCATENATE("=",$A85))=0,"",E$2))</f>
        <v>500 Free</v>
      </c>
      <c r="F85" s="3" t="str">
        <f>IF($A85="","",IF(countif('Mens Lineup'!F$3:F1000,CONCATENATE("=",$A85))=0,"",F$2))</f>
        <v/>
      </c>
      <c r="G85" s="3" t="str">
        <f>IF($A85="","",IF(countif('Mens Lineup'!G$3:G1000,CONCATENATE("=",$A85))=0,"",G$2))</f>
        <v/>
      </c>
      <c r="H85" s="3" t="str">
        <f>IF($A85="","",IF(countif('Mens Lineup'!H$3:H1000,CONCATENATE("=",$A85))=0,"",H$2))</f>
        <v/>
      </c>
      <c r="I85" s="3" t="str">
        <f>IF($A85="","",IF(countif('Mens Lineup'!I$3:I1000,CONCATENATE("=",$A85))=0,"",I$2))</f>
        <v/>
      </c>
      <c r="J85" s="3" t="str">
        <f>IF($A85="","",IF(countif('Mens Lineup'!J$3:J1000,CONCATENATE("=",$A85))=0,"",J$2))</f>
        <v/>
      </c>
      <c r="K85" s="3" t="str">
        <f>IF($A85="","",IF(countif('Mens Lineup'!K$3:K1000,CONCATENATE("=",$A85))=0,"",K$2))</f>
        <v/>
      </c>
      <c r="L85" s="3" t="str">
        <f>IF($A85="","",IF(countif('Mens Lineup'!L$3:L1000,CONCATENATE("=",$A85))=0,"",L$2))</f>
        <v/>
      </c>
      <c r="M85" s="3" t="str">
        <f>IF($A85="","",IF(countif('Mens Lineup'!M$3:M1000,CONCATENATE("=",$A85))=0,"",M$2))</f>
        <v/>
      </c>
      <c r="N85" s="3" t="str">
        <f>IF($A85="","",IF(countif('Mens Lineup'!N$3:N1000,CONCATENATE("=",$A85))=0,"",N$2))</f>
        <v>400 IM</v>
      </c>
      <c r="O85" s="3" t="str">
        <f>IF($A85="","",IF(countif('Mens Lineup'!O$3:O1000,CONCATENATE("=",$A85))=0,"",O$2))</f>
        <v/>
      </c>
      <c r="P85" s="3" t="str">
        <f>IF($A85="","",IF(countif('Mens Lineup'!P$3:P1000,CONCATENATE("=",$A85))=0,"",P$2))</f>
        <v/>
      </c>
      <c r="Q85" s="3" t="str">
        <f>IF($A85="","",IF(countif('Mens Lineup'!Q$3:Q1000,CONCATENATE("=",$A85))=0,"",Q$2))</f>
        <v/>
      </c>
      <c r="R85" s="3" t="str">
        <f>IF($A85="","",IF(countif('Mens Lineup'!R$3:R1000,CONCATENATE("=",$A85))=0,"",R$2))</f>
        <v/>
      </c>
      <c r="S85" s="3" t="str">
        <f>IF($A85="","",IF(countif('Mens Lineup'!S$3:S1000,CONCATENATE("=",$A85))=0,"",S$2))</f>
        <v/>
      </c>
      <c r="W85" s="3" t="str">
        <f>IFERROR(__xludf.DUMMYFUNCTION("JOIN("","",FILTER(B85:S85,B85:S85&lt;&gt;""""))"),"50 Free,200 Free,500 Free,400 IM")</f>
        <v>50 Free,200 Free,500 Free,400 IM</v>
      </c>
    </row>
    <row r="86">
      <c r="A86" s="3" t="s">
        <v>114</v>
      </c>
      <c r="B86" s="3" t="str">
        <f>IF($A86="","",IF(countif('Mens Lineup'!B$3:B1000,CONCATENATE("=",$A86))=0,"",B$2))</f>
        <v>50 Free</v>
      </c>
      <c r="C86" s="3" t="str">
        <f>IF($A86="","",IF(countif('Mens Lineup'!C$3:C1000,CONCATENATE("=",$A86))=0,"",C$2))</f>
        <v>100 Free</v>
      </c>
      <c r="D86" s="3" t="str">
        <f>IF($A86="","",IF(countif('Mens Lineup'!D$3:D1000,CONCATENATE("=",$A86))=0,"",D$2))</f>
        <v/>
      </c>
      <c r="E86" s="3" t="str">
        <f>IF($A86="","",IF(countif('Mens Lineup'!E$3:E1000,CONCATENATE("=",$A86))=0,"",E$2))</f>
        <v/>
      </c>
      <c r="F86" s="3" t="str">
        <f>IF($A86="","",IF(countif('Mens Lineup'!F$3:F1000,CONCATENATE("=",$A86))=0,"",F$2))</f>
        <v/>
      </c>
      <c r="G86" s="3" t="str">
        <f>IF($A86="","",IF(countif('Mens Lineup'!G$3:G1000,CONCATENATE("=",$A86))=0,"",G$2))</f>
        <v>100 Back</v>
      </c>
      <c r="H86" s="3" t="str">
        <f>IF($A86="","",IF(countif('Mens Lineup'!H$3:H1000,CONCATENATE("=",$A86))=0,"",H$2))</f>
        <v>200 Back</v>
      </c>
      <c r="I86" s="3" t="str">
        <f>IF($A86="","",IF(countif('Mens Lineup'!I$3:I1000,CONCATENATE("=",$A86))=0,"",I$2))</f>
        <v/>
      </c>
      <c r="J86" s="3" t="str">
        <f>IF($A86="","",IF(countif('Mens Lineup'!J$3:J1000,CONCATENATE("=",$A86))=0,"",J$2))</f>
        <v/>
      </c>
      <c r="K86" s="3" t="str">
        <f>IF($A86="","",IF(countif('Mens Lineup'!K$3:K1000,CONCATENATE("=",$A86))=0,"",K$2))</f>
        <v/>
      </c>
      <c r="L86" s="3" t="str">
        <f>IF($A86="","",IF(countif('Mens Lineup'!L$3:L1000,CONCATENATE("=",$A86))=0,"",L$2))</f>
        <v/>
      </c>
      <c r="M86" s="3" t="str">
        <f>IF($A86="","",IF(countif('Mens Lineup'!M$3:M1000,CONCATENATE("=",$A86))=0,"",M$2))</f>
        <v/>
      </c>
      <c r="N86" s="3" t="str">
        <f>IF($A86="","",IF(countif('Mens Lineup'!N$3:N1000,CONCATENATE("=",$A86))=0,"",N$2))</f>
        <v/>
      </c>
      <c r="O86" s="3" t="str">
        <f>IF($A86="","",IF(countif('Mens Lineup'!O$3:O1000,CONCATENATE("=",$A86))=0,"",O$2))</f>
        <v/>
      </c>
      <c r="P86" s="3" t="str">
        <f>IF($A86="","",IF(countif('Mens Lineup'!P$3:P1000,CONCATENATE("=",$A86))=0,"",P$2))</f>
        <v/>
      </c>
      <c r="Q86" s="3" t="str">
        <f>IF($A86="","",IF(countif('Mens Lineup'!Q$3:Q1000,CONCATENATE("=",$A86))=0,"",Q$2))</f>
        <v/>
      </c>
      <c r="R86" s="3" t="str">
        <f>IF($A86="","",IF(countif('Mens Lineup'!R$3:R1000,CONCATENATE("=",$A86))=0,"",R$2))</f>
        <v/>
      </c>
      <c r="S86" s="3" t="str">
        <f>IF($A86="","",IF(countif('Mens Lineup'!S$3:S1000,CONCATENATE("=",$A86))=0,"",S$2))</f>
        <v/>
      </c>
      <c r="W86" s="3" t="str">
        <f>IFERROR(__xludf.DUMMYFUNCTION("JOIN("","",FILTER(B86:S86,B86:S86&lt;&gt;""""))"),"50 Free,100 Free,100 Back,200 Back")</f>
        <v>50 Free,100 Free,100 Back,200 Back</v>
      </c>
    </row>
    <row r="87">
      <c r="A87" s="3" t="s">
        <v>115</v>
      </c>
      <c r="B87" s="3" t="str">
        <f>IF($A87="","",IF(countif('Mens Lineup'!B$3:B1000,CONCATENATE("=",$A87))=0,"",B$2))</f>
        <v>50 Free</v>
      </c>
      <c r="C87" s="3" t="str">
        <f>IF($A87="","",IF(countif('Mens Lineup'!C$3:C1000,CONCATENATE("=",$A87))=0,"",C$2))</f>
        <v>100 Free</v>
      </c>
      <c r="D87" s="3" t="str">
        <f>IF($A87="","",IF(countif('Mens Lineup'!D$3:D1000,CONCATENATE("=",$A87))=0,"",D$2))</f>
        <v>200 Free</v>
      </c>
      <c r="E87" s="3" t="str">
        <f>IF($A87="","",IF(countif('Mens Lineup'!E$3:E1000,CONCATENATE("=",$A87))=0,"",E$2))</f>
        <v>500 Free</v>
      </c>
      <c r="F87" s="3" t="str">
        <f>IF($A87="","",IF(countif('Mens Lineup'!F$3:F1000,CONCATENATE("=",$A87))=0,"",F$2))</f>
        <v>1650 Free</v>
      </c>
      <c r="G87" s="3" t="str">
        <f>IF($A87="","",IF(countif('Mens Lineup'!G$3:G1000,CONCATENATE("=",$A87))=0,"",G$2))</f>
        <v/>
      </c>
      <c r="H87" s="3" t="str">
        <f>IF($A87="","",IF(countif('Mens Lineup'!H$3:H1000,CONCATENATE("=",$A87))=0,"",H$2))</f>
        <v/>
      </c>
      <c r="I87" s="3" t="str">
        <f>IF($A87="","",IF(countif('Mens Lineup'!I$3:I1000,CONCATENATE("=",$A87))=0,"",I$2))</f>
        <v/>
      </c>
      <c r="J87" s="3" t="str">
        <f>IF($A87="","",IF(countif('Mens Lineup'!J$3:J1000,CONCATENATE("=",$A87))=0,"",J$2))</f>
        <v/>
      </c>
      <c r="K87" s="3" t="str">
        <f>IF($A87="","",IF(countif('Mens Lineup'!K$3:K1000,CONCATENATE("=",$A87))=0,"",K$2))</f>
        <v/>
      </c>
      <c r="L87" s="3" t="str">
        <f>IF($A87="","",IF(countif('Mens Lineup'!L$3:L1000,CONCATENATE("=",$A87))=0,"",L$2))</f>
        <v/>
      </c>
      <c r="M87" s="3" t="str">
        <f>IF($A87="","",IF(countif('Mens Lineup'!M$3:M1000,CONCATENATE("=",$A87))=0,"",M$2))</f>
        <v/>
      </c>
      <c r="N87" s="3" t="str">
        <f>IF($A87="","",IF(countif('Mens Lineup'!N$3:N1000,CONCATENATE("=",$A87))=0,"",N$2))</f>
        <v/>
      </c>
      <c r="O87" s="3" t="str">
        <f>IF($A87="","",IF(countif('Mens Lineup'!O$3:O1000,CONCATENATE("=",$A87))=0,"",O$2))</f>
        <v>1000 Free</v>
      </c>
      <c r="P87" s="3" t="str">
        <f>IF($A87="","",IF(countif('Mens Lineup'!P$3:P1000,CONCATENATE("=",$A87))=0,"",P$2))</f>
        <v/>
      </c>
      <c r="Q87" s="3" t="str">
        <f>IF($A87="","",IF(countif('Mens Lineup'!Q$3:Q1000,CONCATENATE("=",$A87))=0,"",Q$2))</f>
        <v/>
      </c>
      <c r="R87" s="3" t="str">
        <f>IF($A87="","",IF(countif('Mens Lineup'!R$3:R1000,CONCATENATE("=",$A87))=0,"",R$2))</f>
        <v/>
      </c>
      <c r="S87" s="3" t="str">
        <f>IF($A87="","",IF(countif('Mens Lineup'!S$3:S1000,CONCATENATE("=",$A87))=0,"",S$2))</f>
        <v/>
      </c>
      <c r="W87" s="3" t="str">
        <f>IFERROR(__xludf.DUMMYFUNCTION("JOIN("","",FILTER(B87:S87,B87:S87&lt;&gt;""""))"),"50 Free,100 Free,200 Free,500 Free,1650 Free,1000 Free")</f>
        <v>50 Free,100 Free,200 Free,500 Free,1650 Free,1000 Free</v>
      </c>
    </row>
    <row r="88">
      <c r="A88" s="3" t="s">
        <v>116</v>
      </c>
      <c r="B88" s="3" t="str">
        <f>IF($A88="","",IF(countif('Mens Lineup'!B$3:B1000,CONCATENATE("=",$A88))=0,"",B$2))</f>
        <v>50 Free</v>
      </c>
      <c r="C88" s="3" t="str">
        <f>IF($A88="","",IF(countif('Mens Lineup'!C$3:C1000,CONCATENATE("=",$A88))=0,"",C$2))</f>
        <v/>
      </c>
      <c r="D88" s="3" t="str">
        <f>IF($A88="","",IF(countif('Mens Lineup'!D$3:D1000,CONCATENATE("=",$A88))=0,"",D$2))</f>
        <v/>
      </c>
      <c r="E88" s="3" t="str">
        <f>IF($A88="","",IF(countif('Mens Lineup'!E$3:E1000,CONCATENATE("=",$A88))=0,"",E$2))</f>
        <v/>
      </c>
      <c r="F88" s="3" t="str">
        <f>IF($A88="","",IF(countif('Mens Lineup'!F$3:F1000,CONCATENATE("=",$A88))=0,"",F$2))</f>
        <v/>
      </c>
      <c r="G88" s="3" t="str">
        <f>IF($A88="","",IF(countif('Mens Lineup'!G$3:G1000,CONCATENATE("=",$A88))=0,"",G$2))</f>
        <v/>
      </c>
      <c r="H88" s="3" t="str">
        <f>IF($A88="","",IF(countif('Mens Lineup'!H$3:H1000,CONCATENATE("=",$A88))=0,"",H$2))</f>
        <v/>
      </c>
      <c r="I88" s="3" t="str">
        <f>IF($A88="","",IF(countif('Mens Lineup'!I$3:I1000,CONCATENATE("=",$A88))=0,"",I$2))</f>
        <v>100 Breast</v>
      </c>
      <c r="J88" s="3" t="str">
        <f>IF($A88="","",IF(countif('Mens Lineup'!J$3:J1000,CONCATENATE("=",$A88))=0,"",J$2))</f>
        <v>200 Breast</v>
      </c>
      <c r="K88" s="3" t="str">
        <f>IF($A88="","",IF(countif('Mens Lineup'!K$3:K1000,CONCATENATE("=",$A88))=0,"",K$2))</f>
        <v/>
      </c>
      <c r="L88" s="3" t="str">
        <f>IF($A88="","",IF(countif('Mens Lineup'!L$3:L1000,CONCATENATE("=",$A88))=0,"",L$2))</f>
        <v/>
      </c>
      <c r="M88" s="3" t="str">
        <f>IF($A88="","",IF(countif('Mens Lineup'!M$3:M1000,CONCATENATE("=",$A88))=0,"",M$2))</f>
        <v/>
      </c>
      <c r="N88" s="3" t="str">
        <f>IF($A88="","",IF(countif('Mens Lineup'!N$3:N1000,CONCATENATE("=",$A88))=0,"",N$2))</f>
        <v/>
      </c>
      <c r="O88" s="3" t="str">
        <f>IF($A88="","",IF(countif('Mens Lineup'!O$3:O1000,CONCATENATE("=",$A88))=0,"",O$2))</f>
        <v/>
      </c>
      <c r="P88" s="3" t="str">
        <f>IF($A88="","",IF(countif('Mens Lineup'!P$3:P1000,CONCATENATE("=",$A88))=0,"",P$2))</f>
        <v/>
      </c>
      <c r="Q88" s="3" t="str">
        <f>IF($A88="","",IF(countif('Mens Lineup'!Q$3:Q1000,CONCATENATE("=",$A88))=0,"",Q$2))</f>
        <v/>
      </c>
      <c r="R88" s="3" t="str">
        <f>IF($A88="","",IF(countif('Mens Lineup'!R$3:R1000,CONCATENATE("=",$A88))=0,"",R$2))</f>
        <v/>
      </c>
      <c r="S88" s="3" t="str">
        <f>IF($A88="","",IF(countif('Mens Lineup'!S$3:S1000,CONCATENATE("=",$A88))=0,"",S$2))</f>
        <v/>
      </c>
      <c r="W88" s="3" t="str">
        <f>IFERROR(__xludf.DUMMYFUNCTION("JOIN("","",FILTER(B88:S88,B88:S88&lt;&gt;""""))"),"50 Free,100 Breast,200 Breast")</f>
        <v>50 Free,100 Breast,200 Breast</v>
      </c>
    </row>
    <row r="89">
      <c r="A89" s="3" t="s">
        <v>117</v>
      </c>
      <c r="B89" s="3" t="str">
        <f>IF($A89="","",IF(countif('Mens Lineup'!B$3:B1000,CONCATENATE("=",$A89))=0,"",B$2))</f>
        <v>50 Free</v>
      </c>
      <c r="C89" s="3" t="str">
        <f>IF($A89="","",IF(countif('Mens Lineup'!C$3:C1000,CONCATENATE("=",$A89))=0,"",C$2))</f>
        <v/>
      </c>
      <c r="D89" s="3" t="str">
        <f>IF($A89="","",IF(countif('Mens Lineup'!D$3:D1000,CONCATENATE("=",$A89))=0,"",D$2))</f>
        <v/>
      </c>
      <c r="E89" s="3" t="str">
        <f>IF($A89="","",IF(countif('Mens Lineup'!E$3:E1000,CONCATENATE("=",$A89))=0,"",E$2))</f>
        <v/>
      </c>
      <c r="F89" s="3" t="str">
        <f>IF($A89="","",IF(countif('Mens Lineup'!F$3:F1000,CONCATENATE("=",$A89))=0,"",F$2))</f>
        <v/>
      </c>
      <c r="G89" s="3" t="str">
        <f>IF($A89="","",IF(countif('Mens Lineup'!G$3:G1000,CONCATENATE("=",$A89))=0,"",G$2))</f>
        <v>100 Back</v>
      </c>
      <c r="H89" s="3" t="str">
        <f>IF($A89="","",IF(countif('Mens Lineup'!H$3:H1000,CONCATENATE("=",$A89))=0,"",H$2))</f>
        <v/>
      </c>
      <c r="I89" s="3" t="str">
        <f>IF($A89="","",IF(countif('Mens Lineup'!I$3:I1000,CONCATENATE("=",$A89))=0,"",I$2))</f>
        <v>100 Breast</v>
      </c>
      <c r="J89" s="3" t="str">
        <f>IF($A89="","",IF(countif('Mens Lineup'!J$3:J1000,CONCATENATE("=",$A89))=0,"",J$2))</f>
        <v/>
      </c>
      <c r="K89" s="3" t="str">
        <f>IF($A89="","",IF(countif('Mens Lineup'!K$3:K1000,CONCATENATE("=",$A89))=0,"",K$2))</f>
        <v>100 Fly</v>
      </c>
      <c r="L89" s="3" t="str">
        <f>IF($A89="","",IF(countif('Mens Lineup'!L$3:L1000,CONCATENATE("=",$A89))=0,"",L$2))</f>
        <v>200 Fly</v>
      </c>
      <c r="M89" s="3" t="str">
        <f>IF($A89="","",IF(countif('Mens Lineup'!M$3:M1000,CONCATENATE("=",$A89))=0,"",M$2))</f>
        <v>200 IM</v>
      </c>
      <c r="N89" s="3" t="str">
        <f>IF($A89="","",IF(countif('Mens Lineup'!N$3:N1000,CONCATENATE("=",$A89))=0,"",N$2))</f>
        <v/>
      </c>
      <c r="O89" s="3" t="str">
        <f>IF($A89="","",IF(countif('Mens Lineup'!O$3:O1000,CONCATENATE("=",$A89))=0,"",O$2))</f>
        <v/>
      </c>
      <c r="P89" s="3" t="str">
        <f>IF($A89="","",IF(countif('Mens Lineup'!P$3:P1000,CONCATENATE("=",$A89))=0,"",P$2))</f>
        <v/>
      </c>
      <c r="Q89" s="3" t="str">
        <f>IF($A89="","",IF(countif('Mens Lineup'!Q$3:Q1000,CONCATENATE("=",$A89))=0,"",Q$2))</f>
        <v/>
      </c>
      <c r="R89" s="3" t="str">
        <f>IF($A89="","",IF(countif('Mens Lineup'!R$3:R1000,CONCATENATE("=",$A89))=0,"",R$2))</f>
        <v/>
      </c>
      <c r="S89" s="3" t="str">
        <f>IF($A89="","",IF(countif('Mens Lineup'!S$3:S1000,CONCATENATE("=",$A89))=0,"",S$2))</f>
        <v/>
      </c>
      <c r="W89" s="3" t="str">
        <f>IFERROR(__xludf.DUMMYFUNCTION("JOIN("","",FILTER(B89:S89,B89:S89&lt;&gt;""""))"),"50 Free,100 Back,100 Breast,100 Fly,200 Fly,200 IM")</f>
        <v>50 Free,100 Back,100 Breast,100 Fly,200 Fly,200 IM</v>
      </c>
    </row>
    <row r="90">
      <c r="A90" s="3" t="s">
        <v>118</v>
      </c>
      <c r="B90" s="3" t="str">
        <f>IF($A90="","",IF(countif('Mens Lineup'!B$3:B1000,CONCATENATE("=",$A90))=0,"",B$2))</f>
        <v>50 Free</v>
      </c>
      <c r="C90" s="3" t="str">
        <f>IF($A90="","",IF(countif('Mens Lineup'!C$3:C1000,CONCATENATE("=",$A90))=0,"",C$2))</f>
        <v>100 Free</v>
      </c>
      <c r="D90" s="3" t="str">
        <f>IF($A90="","",IF(countif('Mens Lineup'!D$3:D1000,CONCATENATE("=",$A90))=0,"",D$2))</f>
        <v/>
      </c>
      <c r="E90" s="3" t="str">
        <f>IF($A90="","",IF(countif('Mens Lineup'!E$3:E1000,CONCATENATE("=",$A90))=0,"",E$2))</f>
        <v/>
      </c>
      <c r="F90" s="3" t="str">
        <f>IF($A90="","",IF(countif('Mens Lineup'!F$3:F1000,CONCATENATE("=",$A90))=0,"",F$2))</f>
        <v/>
      </c>
      <c r="G90" s="3" t="str">
        <f>IF($A90="","",IF(countif('Mens Lineup'!G$3:G1000,CONCATENATE("=",$A90))=0,"",G$2))</f>
        <v/>
      </c>
      <c r="H90" s="3" t="str">
        <f>IF($A90="","",IF(countif('Mens Lineup'!H$3:H1000,CONCATENATE("=",$A90))=0,"",H$2))</f>
        <v/>
      </c>
      <c r="I90" s="3" t="str">
        <f>IF($A90="","",IF(countif('Mens Lineup'!I$3:I1000,CONCATENATE("=",$A90))=0,"",I$2))</f>
        <v>100 Breast</v>
      </c>
      <c r="J90" s="3" t="str">
        <f>IF($A90="","",IF(countif('Mens Lineup'!J$3:J1000,CONCATENATE("=",$A90))=0,"",J$2))</f>
        <v/>
      </c>
      <c r="K90" s="3" t="str">
        <f>IF($A90="","",IF(countif('Mens Lineup'!K$3:K1000,CONCATENATE("=",$A90))=0,"",K$2))</f>
        <v/>
      </c>
      <c r="L90" s="3" t="str">
        <f>IF($A90="","",IF(countif('Mens Lineup'!L$3:L1000,CONCATENATE("=",$A90))=0,"",L$2))</f>
        <v/>
      </c>
      <c r="M90" s="3" t="str">
        <f>IF($A90="","",IF(countif('Mens Lineup'!M$3:M1000,CONCATENATE("=",$A90))=0,"",M$2))</f>
        <v/>
      </c>
      <c r="N90" s="3" t="str">
        <f>IF($A90="","",IF(countif('Mens Lineup'!N$3:N1000,CONCATENATE("=",$A90))=0,"",N$2))</f>
        <v/>
      </c>
      <c r="O90" s="3" t="str">
        <f>IF($A90="","",IF(countif('Mens Lineup'!O$3:O1000,CONCATENATE("=",$A90))=0,"",O$2))</f>
        <v/>
      </c>
      <c r="P90" s="3" t="str">
        <f>IF($A90="","",IF(countif('Mens Lineup'!P$3:P1000,CONCATENATE("=",$A90))=0,"",P$2))</f>
        <v/>
      </c>
      <c r="Q90" s="3" t="str">
        <f>IF($A90="","",IF(countif('Mens Lineup'!Q$3:Q1000,CONCATENATE("=",$A90))=0,"",Q$2))</f>
        <v/>
      </c>
      <c r="R90" s="3" t="str">
        <f>IF($A90="","",IF(countif('Mens Lineup'!R$3:R1000,CONCATENATE("=",$A90))=0,"",R$2))</f>
        <v/>
      </c>
      <c r="S90" s="3" t="str">
        <f>IF($A90="","",IF(countif('Mens Lineup'!S$3:S1000,CONCATENATE("=",$A90))=0,"",S$2))</f>
        <v/>
      </c>
      <c r="W90" s="3" t="str">
        <f>IFERROR(__xludf.DUMMYFUNCTION("JOIN("","",FILTER(B90:S90,B90:S90&lt;&gt;""""))"),"50 Free,100 Free,100 Breast")</f>
        <v>50 Free,100 Free,100 Breast</v>
      </c>
    </row>
    <row r="91">
      <c r="A91" s="3" t="s">
        <v>119</v>
      </c>
      <c r="B91" s="3" t="str">
        <f>IF($A91="","",IF(countif('Mens Lineup'!B$3:B1000,CONCATENATE("=",$A91))=0,"",B$2))</f>
        <v>50 Free</v>
      </c>
      <c r="C91" s="3" t="str">
        <f>IF($A91="","",IF(countif('Mens Lineup'!C$3:C1000,CONCATENATE("=",$A91))=0,"",C$2))</f>
        <v>100 Free</v>
      </c>
      <c r="D91" s="3" t="str">
        <f>IF($A91="","",IF(countif('Mens Lineup'!D$3:D1000,CONCATENATE("=",$A91))=0,"",D$2))</f>
        <v/>
      </c>
      <c r="E91" s="3" t="str">
        <f>IF($A91="","",IF(countif('Mens Lineup'!E$3:E1000,CONCATENATE("=",$A91))=0,"",E$2))</f>
        <v/>
      </c>
      <c r="F91" s="3" t="str">
        <f>IF($A91="","",IF(countif('Mens Lineup'!F$3:F1000,CONCATENATE("=",$A91))=0,"",F$2))</f>
        <v/>
      </c>
      <c r="G91" s="3" t="str">
        <f>IF($A91="","",IF(countif('Mens Lineup'!G$3:G1000,CONCATENATE("=",$A91))=0,"",G$2))</f>
        <v/>
      </c>
      <c r="H91" s="3" t="str">
        <f>IF($A91="","",IF(countif('Mens Lineup'!H$3:H1000,CONCATENATE("=",$A91))=0,"",H$2))</f>
        <v/>
      </c>
      <c r="I91" s="3" t="str">
        <f>IF($A91="","",IF(countif('Mens Lineup'!I$3:I1000,CONCATENATE("=",$A91))=0,"",I$2))</f>
        <v/>
      </c>
      <c r="J91" s="3" t="str">
        <f>IF($A91="","",IF(countif('Mens Lineup'!J$3:J1000,CONCATENATE("=",$A91))=0,"",J$2))</f>
        <v/>
      </c>
      <c r="K91" s="3" t="str">
        <f>IF($A91="","",IF(countif('Mens Lineup'!K$3:K1000,CONCATENATE("=",$A91))=0,"",K$2))</f>
        <v/>
      </c>
      <c r="L91" s="3" t="str">
        <f>IF($A91="","",IF(countif('Mens Lineup'!L$3:L1000,CONCATENATE("=",$A91))=0,"",L$2))</f>
        <v/>
      </c>
      <c r="M91" s="3" t="str">
        <f>IF($A91="","",IF(countif('Mens Lineup'!M$3:M1000,CONCATENATE("=",$A91))=0,"",M$2))</f>
        <v/>
      </c>
      <c r="N91" s="3" t="str">
        <f>IF($A91="","",IF(countif('Mens Lineup'!N$3:N1000,CONCATENATE("=",$A91))=0,"",N$2))</f>
        <v/>
      </c>
      <c r="O91" s="3" t="str">
        <f>IF($A91="","",IF(countif('Mens Lineup'!O$3:O1000,CONCATENATE("=",$A91))=0,"",O$2))</f>
        <v/>
      </c>
      <c r="P91" s="3" t="str">
        <f>IF($A91="","",IF(countif('Mens Lineup'!P$3:P1000,CONCATENATE("=",$A91))=0,"",P$2))</f>
        <v/>
      </c>
      <c r="Q91" s="3" t="str">
        <f>IF($A91="","",IF(countif('Mens Lineup'!Q$3:Q1000,CONCATENATE("=",$A91))=0,"",Q$2))</f>
        <v/>
      </c>
      <c r="R91" s="3" t="str">
        <f>IF($A91="","",IF(countif('Mens Lineup'!R$3:R1000,CONCATENATE("=",$A91))=0,"",R$2))</f>
        <v/>
      </c>
      <c r="S91" s="3" t="str">
        <f>IF($A91="","",IF(countif('Mens Lineup'!S$3:S1000,CONCATENATE("=",$A91))=0,"",S$2))</f>
        <v/>
      </c>
      <c r="W91" s="3" t="str">
        <f>IFERROR(__xludf.DUMMYFUNCTION("JOIN("","",FILTER(B91:S91,B91:S91&lt;&gt;""""))"),"50 Free,100 Free")</f>
        <v>50 Free,100 Free</v>
      </c>
    </row>
    <row r="92">
      <c r="A92" s="3" t="s">
        <v>120</v>
      </c>
      <c r="B92" s="3" t="str">
        <f>IF($A92="","",IF(countif('Mens Lineup'!B$3:B1000,CONCATENATE("=",$A92))=0,"",B$2))</f>
        <v>50 Free</v>
      </c>
      <c r="C92" s="3" t="str">
        <f>IF($A92="","",IF(countif('Mens Lineup'!C$3:C1000,CONCATENATE("=",$A92))=0,"",C$2))</f>
        <v>100 Free</v>
      </c>
      <c r="D92" s="3" t="str">
        <f>IF($A92="","",IF(countif('Mens Lineup'!D$3:D1000,CONCATENATE("=",$A92))=0,"",D$2))</f>
        <v>200 Free</v>
      </c>
      <c r="E92" s="3" t="str">
        <f>IF($A92="","",IF(countif('Mens Lineup'!E$3:E1000,CONCATENATE("=",$A92))=0,"",E$2))</f>
        <v>500 Free</v>
      </c>
      <c r="F92" s="3" t="str">
        <f>IF($A92="","",IF(countif('Mens Lineup'!F$3:F1000,CONCATENATE("=",$A92))=0,"",F$2))</f>
        <v/>
      </c>
      <c r="G92" s="3" t="str">
        <f>IF($A92="","",IF(countif('Mens Lineup'!G$3:G1000,CONCATENATE("=",$A92))=0,"",G$2))</f>
        <v/>
      </c>
      <c r="H92" s="3" t="str">
        <f>IF($A92="","",IF(countif('Mens Lineup'!H$3:H1000,CONCATENATE("=",$A92))=0,"",H$2))</f>
        <v/>
      </c>
      <c r="I92" s="3" t="str">
        <f>IF($A92="","",IF(countif('Mens Lineup'!I$3:I1000,CONCATENATE("=",$A92))=0,"",I$2))</f>
        <v/>
      </c>
      <c r="J92" s="3" t="str">
        <f>IF($A92="","",IF(countif('Mens Lineup'!J$3:J1000,CONCATENATE("=",$A92))=0,"",J$2))</f>
        <v/>
      </c>
      <c r="K92" s="3" t="str">
        <f>IF($A92="","",IF(countif('Mens Lineup'!K$3:K1000,CONCATENATE("=",$A92))=0,"",K$2))</f>
        <v>100 Fly</v>
      </c>
      <c r="L92" s="3" t="str">
        <f>IF($A92="","",IF(countif('Mens Lineup'!L$3:L1000,CONCATENATE("=",$A92))=0,"",L$2))</f>
        <v>200 Fly</v>
      </c>
      <c r="M92" s="3" t="str">
        <f>IF($A92="","",IF(countif('Mens Lineup'!M$3:M1000,CONCATENATE("=",$A92))=0,"",M$2))</f>
        <v/>
      </c>
      <c r="N92" s="3" t="str">
        <f>IF($A92="","",IF(countif('Mens Lineup'!N$3:N1000,CONCATENATE("=",$A92))=0,"",N$2))</f>
        <v/>
      </c>
      <c r="O92" s="3" t="str">
        <f>IF($A92="","",IF(countif('Mens Lineup'!O$3:O1000,CONCATENATE("=",$A92))=0,"",O$2))</f>
        <v/>
      </c>
      <c r="P92" s="3" t="str">
        <f>IF($A92="","",IF(countif('Mens Lineup'!P$3:P1000,CONCATENATE("=",$A92))=0,"",P$2))</f>
        <v/>
      </c>
      <c r="Q92" s="3" t="str">
        <f>IF($A92="","",IF(countif('Mens Lineup'!Q$3:Q1000,CONCATENATE("=",$A92))=0,"",Q$2))</f>
        <v/>
      </c>
      <c r="R92" s="3" t="str">
        <f>IF($A92="","",IF(countif('Mens Lineup'!R$3:R1000,CONCATENATE("=",$A92))=0,"",R$2))</f>
        <v/>
      </c>
      <c r="S92" s="3" t="str">
        <f>IF($A92="","",IF(countif('Mens Lineup'!S$3:S1000,CONCATENATE("=",$A92))=0,"",S$2))</f>
        <v/>
      </c>
      <c r="W92" s="3" t="str">
        <f>IFERROR(__xludf.DUMMYFUNCTION("JOIN("","",FILTER(B92:S92,B92:S92&lt;&gt;""""))"),"50 Free,100 Free,200 Free,500 Free,100 Fly,200 Fly")</f>
        <v>50 Free,100 Free,200 Free,500 Free,100 Fly,200 Fly</v>
      </c>
    </row>
    <row r="93">
      <c r="A93" s="3" t="s">
        <v>121</v>
      </c>
      <c r="B93" s="3" t="str">
        <f>IF($A93="","",IF(countif('Mens Lineup'!B$3:B1000,CONCATENATE("=",$A93))=0,"",B$2))</f>
        <v>50 Free</v>
      </c>
      <c r="C93" s="3" t="str">
        <f>IF($A93="","",IF(countif('Mens Lineup'!C$3:C1000,CONCATENATE("=",$A93))=0,"",C$2))</f>
        <v/>
      </c>
      <c r="D93" s="3" t="str">
        <f>IF($A93="","",IF(countif('Mens Lineup'!D$3:D1000,CONCATENATE("=",$A93))=0,"",D$2))</f>
        <v/>
      </c>
      <c r="E93" s="3" t="str">
        <f>IF($A93="","",IF(countif('Mens Lineup'!E$3:E1000,CONCATENATE("=",$A93))=0,"",E$2))</f>
        <v/>
      </c>
      <c r="F93" s="3" t="str">
        <f>IF($A93="","",IF(countif('Mens Lineup'!F$3:F1000,CONCATENATE("=",$A93))=0,"",F$2))</f>
        <v/>
      </c>
      <c r="G93" s="3" t="str">
        <f>IF($A93="","",IF(countif('Mens Lineup'!G$3:G1000,CONCATENATE("=",$A93))=0,"",G$2))</f>
        <v>100 Back</v>
      </c>
      <c r="H93" s="3" t="str">
        <f>IF($A93="","",IF(countif('Mens Lineup'!H$3:H1000,CONCATENATE("=",$A93))=0,"",H$2))</f>
        <v>200 Back</v>
      </c>
      <c r="I93" s="3" t="str">
        <f>IF($A93="","",IF(countif('Mens Lineup'!I$3:I1000,CONCATENATE("=",$A93))=0,"",I$2))</f>
        <v/>
      </c>
      <c r="J93" s="3" t="str">
        <f>IF($A93="","",IF(countif('Mens Lineup'!J$3:J1000,CONCATENATE("=",$A93))=0,"",J$2))</f>
        <v/>
      </c>
      <c r="K93" s="3" t="str">
        <f>IF($A93="","",IF(countif('Mens Lineup'!K$3:K1000,CONCATENATE("=",$A93))=0,"",K$2))</f>
        <v/>
      </c>
      <c r="L93" s="3" t="str">
        <f>IF($A93="","",IF(countif('Mens Lineup'!L$3:L1000,CONCATENATE("=",$A93))=0,"",L$2))</f>
        <v/>
      </c>
      <c r="M93" s="3" t="str">
        <f>IF($A93="","",IF(countif('Mens Lineup'!M$3:M1000,CONCATENATE("=",$A93))=0,"",M$2))</f>
        <v/>
      </c>
      <c r="N93" s="3" t="str">
        <f>IF($A93="","",IF(countif('Mens Lineup'!N$3:N1000,CONCATENATE("=",$A93))=0,"",N$2))</f>
        <v/>
      </c>
      <c r="O93" s="3" t="str">
        <f>IF($A93="","",IF(countif('Mens Lineup'!O$3:O1000,CONCATENATE("=",$A93))=0,"",O$2))</f>
        <v/>
      </c>
      <c r="P93" s="3" t="str">
        <f>IF($A93="","",IF(countif('Mens Lineup'!P$3:P1000,CONCATENATE("=",$A93))=0,"",P$2))</f>
        <v/>
      </c>
      <c r="Q93" s="3" t="str">
        <f>IF($A93="","",IF(countif('Mens Lineup'!Q$3:Q1000,CONCATENATE("=",$A93))=0,"",Q$2))</f>
        <v/>
      </c>
      <c r="R93" s="3" t="str">
        <f>IF($A93="","",IF(countif('Mens Lineup'!R$3:R1000,CONCATENATE("=",$A93))=0,"",R$2))</f>
        <v/>
      </c>
      <c r="S93" s="3" t="str">
        <f>IF($A93="","",IF(countif('Mens Lineup'!S$3:S1000,CONCATENATE("=",$A93))=0,"",S$2))</f>
        <v/>
      </c>
      <c r="W93" s="3" t="str">
        <f>IFERROR(__xludf.DUMMYFUNCTION("JOIN("","",FILTER(B93:S93,B93:S93&lt;&gt;""""))"),"50 Free,100 Back,200 Back")</f>
        <v>50 Free,100 Back,200 Back</v>
      </c>
    </row>
    <row r="94">
      <c r="A94" s="3" t="s">
        <v>122</v>
      </c>
      <c r="B94" s="3" t="str">
        <f>IF($A94="","",IF(countif('Mens Lineup'!B$3:B1000,CONCATENATE("=",$A94))=0,"",B$2))</f>
        <v>50 Free</v>
      </c>
      <c r="C94" s="3" t="str">
        <f>IF($A94="","",IF(countif('Mens Lineup'!C$3:C1000,CONCATENATE("=",$A94))=0,"",C$2))</f>
        <v/>
      </c>
      <c r="D94" s="3" t="str">
        <f>IF($A94="","",IF(countif('Mens Lineup'!D$3:D1000,CONCATENATE("=",$A94))=0,"",D$2))</f>
        <v/>
      </c>
      <c r="E94" s="3" t="str">
        <f>IF($A94="","",IF(countif('Mens Lineup'!E$3:E1000,CONCATENATE("=",$A94))=0,"",E$2))</f>
        <v/>
      </c>
      <c r="F94" s="3" t="str">
        <f>IF($A94="","",IF(countif('Mens Lineup'!F$3:F1000,CONCATENATE("=",$A94))=0,"",F$2))</f>
        <v/>
      </c>
      <c r="G94" s="3" t="str">
        <f>IF($A94="","",IF(countif('Mens Lineup'!G$3:G1000,CONCATENATE("=",$A94))=0,"",G$2))</f>
        <v/>
      </c>
      <c r="H94" s="3" t="str">
        <f>IF($A94="","",IF(countif('Mens Lineup'!H$3:H1000,CONCATENATE("=",$A94))=0,"",H$2))</f>
        <v/>
      </c>
      <c r="I94" s="3" t="str">
        <f>IF($A94="","",IF(countif('Mens Lineup'!I$3:I1000,CONCATENATE("=",$A94))=0,"",I$2))</f>
        <v/>
      </c>
      <c r="J94" s="3" t="str">
        <f>IF($A94="","",IF(countif('Mens Lineup'!J$3:J1000,CONCATENATE("=",$A94))=0,"",J$2))</f>
        <v/>
      </c>
      <c r="K94" s="3" t="str">
        <f>IF($A94="","",IF(countif('Mens Lineup'!K$3:K1000,CONCATENATE("=",$A94))=0,"",K$2))</f>
        <v>100 Fly</v>
      </c>
      <c r="L94" s="3" t="str">
        <f>IF($A94="","",IF(countif('Mens Lineup'!L$3:L1000,CONCATENATE("=",$A94))=0,"",L$2))</f>
        <v/>
      </c>
      <c r="M94" s="3" t="str">
        <f>IF($A94="","",IF(countif('Mens Lineup'!M$3:M1000,CONCATENATE("=",$A94))=0,"",M$2))</f>
        <v/>
      </c>
      <c r="N94" s="3" t="str">
        <f>IF($A94="","",IF(countif('Mens Lineup'!N$3:N1000,CONCATENATE("=",$A94))=0,"",N$2))</f>
        <v/>
      </c>
      <c r="O94" s="3" t="str">
        <f>IF($A94="","",IF(countif('Mens Lineup'!O$3:O1000,CONCATENATE("=",$A94))=0,"",O$2))</f>
        <v/>
      </c>
      <c r="P94" s="3" t="str">
        <f>IF($A94="","",IF(countif('Mens Lineup'!P$3:P1000,CONCATENATE("=",$A94))=0,"",P$2))</f>
        <v/>
      </c>
      <c r="Q94" s="3" t="str">
        <f>IF($A94="","",IF(countif('Mens Lineup'!Q$3:Q1000,CONCATENATE("=",$A94))=0,"",Q$2))</f>
        <v/>
      </c>
      <c r="R94" s="3" t="str">
        <f>IF($A94="","",IF(countif('Mens Lineup'!R$3:R1000,CONCATENATE("=",$A94))=0,"",R$2))</f>
        <v/>
      </c>
      <c r="S94" s="3" t="str">
        <f>IF($A94="","",IF(countif('Mens Lineup'!S$3:S1000,CONCATENATE("=",$A94))=0,"",S$2))</f>
        <v/>
      </c>
      <c r="W94" s="3" t="str">
        <f>IFERROR(__xludf.DUMMYFUNCTION("JOIN("","",FILTER(B94:S94,B94:S94&lt;&gt;""""))"),"50 Free,100 Fly")</f>
        <v>50 Free,100 Fly</v>
      </c>
    </row>
    <row r="95">
      <c r="A95" s="3" t="s">
        <v>123</v>
      </c>
      <c r="B95" s="3" t="str">
        <f>IF($A95="","",IF(countif('Mens Lineup'!B$3:B1000,CONCATENATE("=",$A95))=0,"",B$2))</f>
        <v>50 Free</v>
      </c>
      <c r="C95" s="3" t="str">
        <f>IF($A95="","",IF(countif('Mens Lineup'!C$3:C1000,CONCATENATE("=",$A95))=0,"",C$2))</f>
        <v>100 Free</v>
      </c>
      <c r="D95" s="3" t="str">
        <f>IF($A95="","",IF(countif('Mens Lineup'!D$3:D1000,CONCATENATE("=",$A95))=0,"",D$2))</f>
        <v/>
      </c>
      <c r="E95" s="3" t="str">
        <f>IF($A95="","",IF(countif('Mens Lineup'!E$3:E1000,CONCATENATE("=",$A95))=0,"",E$2))</f>
        <v/>
      </c>
      <c r="F95" s="3" t="str">
        <f>IF($A95="","",IF(countif('Mens Lineup'!F$3:F1000,CONCATENATE("=",$A95))=0,"",F$2))</f>
        <v/>
      </c>
      <c r="G95" s="3" t="str">
        <f>IF($A95="","",IF(countif('Mens Lineup'!G$3:G1000,CONCATENATE("=",$A95))=0,"",G$2))</f>
        <v/>
      </c>
      <c r="H95" s="3" t="str">
        <f>IF($A95="","",IF(countif('Mens Lineup'!H$3:H1000,CONCATENATE("=",$A95))=0,"",H$2))</f>
        <v/>
      </c>
      <c r="I95" s="3" t="str">
        <f>IF($A95="","",IF(countif('Mens Lineup'!I$3:I1000,CONCATENATE("=",$A95))=0,"",I$2))</f>
        <v/>
      </c>
      <c r="J95" s="3" t="str">
        <f>IF($A95="","",IF(countif('Mens Lineup'!J$3:J1000,CONCATENATE("=",$A95))=0,"",J$2))</f>
        <v/>
      </c>
      <c r="K95" s="3" t="str">
        <f>IF($A95="","",IF(countif('Mens Lineup'!K$3:K1000,CONCATENATE("=",$A95))=0,"",K$2))</f>
        <v/>
      </c>
      <c r="L95" s="3" t="str">
        <f>IF($A95="","",IF(countif('Mens Lineup'!L$3:L1000,CONCATENATE("=",$A95))=0,"",L$2))</f>
        <v/>
      </c>
      <c r="M95" s="3" t="str">
        <f>IF($A95="","",IF(countif('Mens Lineup'!M$3:M1000,CONCATENATE("=",$A95))=0,"",M$2))</f>
        <v/>
      </c>
      <c r="N95" s="3" t="str">
        <f>IF($A95="","",IF(countif('Mens Lineup'!N$3:N1000,CONCATENATE("=",$A95))=0,"",N$2))</f>
        <v/>
      </c>
      <c r="O95" s="3" t="str">
        <f>IF($A95="","",IF(countif('Mens Lineup'!O$3:O1000,CONCATENATE("=",$A95))=0,"",O$2))</f>
        <v/>
      </c>
      <c r="P95" s="3" t="str">
        <f>IF($A95="","",IF(countif('Mens Lineup'!P$3:P1000,CONCATENATE("=",$A95))=0,"",P$2))</f>
        <v/>
      </c>
      <c r="Q95" s="3" t="str">
        <f>IF($A95="","",IF(countif('Mens Lineup'!Q$3:Q1000,CONCATENATE("=",$A95))=0,"",Q$2))</f>
        <v/>
      </c>
      <c r="R95" s="3" t="str">
        <f>IF($A95="","",IF(countif('Mens Lineup'!R$3:R1000,CONCATENATE("=",$A95))=0,"",R$2))</f>
        <v/>
      </c>
      <c r="S95" s="3" t="str">
        <f>IF($A95="","",IF(countif('Mens Lineup'!S$3:S1000,CONCATENATE("=",$A95))=0,"",S$2))</f>
        <v/>
      </c>
      <c r="W95" s="3" t="str">
        <f>IFERROR(__xludf.DUMMYFUNCTION("JOIN("","",FILTER(B95:S95,B95:S95&lt;&gt;""""))"),"50 Free,100 Free")</f>
        <v>50 Free,100 Free</v>
      </c>
    </row>
    <row r="96">
      <c r="A96" s="3" t="s">
        <v>124</v>
      </c>
      <c r="B96" s="3" t="str">
        <f>IF($A96="","",IF(countif('Mens Lineup'!B$3:B1000,CONCATENATE("=",$A96))=0,"",B$2))</f>
        <v>50 Free</v>
      </c>
      <c r="C96" s="3" t="str">
        <f>IF($A96="","",IF(countif('Mens Lineup'!C$3:C1000,CONCATENATE("=",$A96))=0,"",C$2))</f>
        <v>100 Free</v>
      </c>
      <c r="D96" s="3" t="str">
        <f>IF($A96="","",IF(countif('Mens Lineup'!D$3:D1000,CONCATENATE("=",$A96))=0,"",D$2))</f>
        <v/>
      </c>
      <c r="E96" s="3" t="str">
        <f>IF($A96="","",IF(countif('Mens Lineup'!E$3:E1000,CONCATENATE("=",$A96))=0,"",E$2))</f>
        <v/>
      </c>
      <c r="F96" s="3" t="str">
        <f>IF($A96="","",IF(countif('Mens Lineup'!F$3:F1000,CONCATENATE("=",$A96))=0,"",F$2))</f>
        <v/>
      </c>
      <c r="G96" s="3" t="str">
        <f>IF($A96="","",IF(countif('Mens Lineup'!G$3:G1000,CONCATENATE("=",$A96))=0,"",G$2))</f>
        <v/>
      </c>
      <c r="H96" s="3" t="str">
        <f>IF($A96="","",IF(countif('Mens Lineup'!H$3:H1000,CONCATENATE("=",$A96))=0,"",H$2))</f>
        <v>200 Back</v>
      </c>
      <c r="I96" s="3" t="str">
        <f>IF($A96="","",IF(countif('Mens Lineup'!I$3:I1000,CONCATENATE("=",$A96))=0,"",I$2))</f>
        <v/>
      </c>
      <c r="J96" s="3" t="str">
        <f>IF($A96="","",IF(countif('Mens Lineup'!J$3:J1000,CONCATENATE("=",$A96))=0,"",J$2))</f>
        <v/>
      </c>
      <c r="K96" s="3" t="str">
        <f>IF($A96="","",IF(countif('Mens Lineup'!K$3:K1000,CONCATENATE("=",$A96))=0,"",K$2))</f>
        <v/>
      </c>
      <c r="L96" s="3" t="str">
        <f>IF($A96="","",IF(countif('Mens Lineup'!L$3:L1000,CONCATENATE("=",$A96))=0,"",L$2))</f>
        <v/>
      </c>
      <c r="M96" s="3" t="str">
        <f>IF($A96="","",IF(countif('Mens Lineup'!M$3:M1000,CONCATENATE("=",$A96))=0,"",M$2))</f>
        <v/>
      </c>
      <c r="N96" s="3" t="str">
        <f>IF($A96="","",IF(countif('Mens Lineup'!N$3:N1000,CONCATENATE("=",$A96))=0,"",N$2))</f>
        <v/>
      </c>
      <c r="O96" s="3" t="str">
        <f>IF($A96="","",IF(countif('Mens Lineup'!O$3:O1000,CONCATENATE("=",$A96))=0,"",O$2))</f>
        <v/>
      </c>
      <c r="P96" s="3" t="str">
        <f>IF($A96="","",IF(countif('Mens Lineup'!P$3:P1000,CONCATENATE("=",$A96))=0,"",P$2))</f>
        <v/>
      </c>
      <c r="Q96" s="3" t="str">
        <f>IF($A96="","",IF(countif('Mens Lineup'!Q$3:Q1000,CONCATENATE("=",$A96))=0,"",Q$2))</f>
        <v/>
      </c>
      <c r="R96" s="3" t="str">
        <f>IF($A96="","",IF(countif('Mens Lineup'!R$3:R1000,CONCATENATE("=",$A96))=0,"",R$2))</f>
        <v/>
      </c>
      <c r="S96" s="3" t="str">
        <f>IF($A96="","",IF(countif('Mens Lineup'!S$3:S1000,CONCATENATE("=",$A96))=0,"",S$2))</f>
        <v/>
      </c>
      <c r="W96" s="3" t="str">
        <f>IFERROR(__xludf.DUMMYFUNCTION("JOIN("","",FILTER(B96:S96,B96:S96&lt;&gt;""""))"),"50 Free,100 Free,200 Back")</f>
        <v>50 Free,100 Free,200 Back</v>
      </c>
    </row>
    <row r="97">
      <c r="A97" s="3" t="s">
        <v>125</v>
      </c>
      <c r="B97" s="3" t="str">
        <f>IF($A97="","",IF(countif('Mens Lineup'!B$3:B1000,CONCATENATE("=",$A97))=0,"",B$2))</f>
        <v>50 Free</v>
      </c>
      <c r="C97" s="3" t="str">
        <f>IF($A97="","",IF(countif('Mens Lineup'!C$3:C1000,CONCATENATE("=",$A97))=0,"",C$2))</f>
        <v/>
      </c>
      <c r="D97" s="3" t="str">
        <f>IF($A97="","",IF(countif('Mens Lineup'!D$3:D1000,CONCATENATE("=",$A97))=0,"",D$2))</f>
        <v/>
      </c>
      <c r="E97" s="3" t="str">
        <f>IF($A97="","",IF(countif('Mens Lineup'!E$3:E1000,CONCATENATE("=",$A97))=0,"",E$2))</f>
        <v/>
      </c>
      <c r="F97" s="3" t="str">
        <f>IF($A97="","",IF(countif('Mens Lineup'!F$3:F1000,CONCATENATE("=",$A97))=0,"",F$2))</f>
        <v>1650 Free</v>
      </c>
      <c r="G97" s="3" t="str">
        <f>IF($A97="","",IF(countif('Mens Lineup'!G$3:G1000,CONCATENATE("=",$A97))=0,"",G$2))</f>
        <v/>
      </c>
      <c r="H97" s="3" t="str">
        <f>IF($A97="","",IF(countif('Mens Lineup'!H$3:H1000,CONCATENATE("=",$A97))=0,"",H$2))</f>
        <v/>
      </c>
      <c r="I97" s="3" t="str">
        <f>IF($A97="","",IF(countif('Mens Lineup'!I$3:I1000,CONCATENATE("=",$A97))=0,"",I$2))</f>
        <v>100 Breast</v>
      </c>
      <c r="J97" s="3" t="str">
        <f>IF($A97="","",IF(countif('Mens Lineup'!J$3:J1000,CONCATENATE("=",$A97))=0,"",J$2))</f>
        <v>200 Breast</v>
      </c>
      <c r="K97" s="3" t="str">
        <f>IF($A97="","",IF(countif('Mens Lineup'!K$3:K1000,CONCATENATE("=",$A97))=0,"",K$2))</f>
        <v/>
      </c>
      <c r="L97" s="3" t="str">
        <f>IF($A97="","",IF(countif('Mens Lineup'!L$3:L1000,CONCATENATE("=",$A97))=0,"",L$2))</f>
        <v/>
      </c>
      <c r="M97" s="3" t="str">
        <f>IF($A97="","",IF(countif('Mens Lineup'!M$3:M1000,CONCATENATE("=",$A97))=0,"",M$2))</f>
        <v>200 IM</v>
      </c>
      <c r="N97" s="3" t="str">
        <f>IF($A97="","",IF(countif('Mens Lineup'!N$3:N1000,CONCATENATE("=",$A97))=0,"",N$2))</f>
        <v/>
      </c>
      <c r="O97" s="3" t="str">
        <f>IF($A97="","",IF(countif('Mens Lineup'!O$3:O1000,CONCATENATE("=",$A97))=0,"",O$2))</f>
        <v>1000 Free</v>
      </c>
      <c r="P97" s="3" t="str">
        <f>IF($A97="","",IF(countif('Mens Lineup'!P$3:P1000,CONCATENATE("=",$A97))=0,"",P$2))</f>
        <v/>
      </c>
      <c r="Q97" s="3" t="str">
        <f>IF($A97="","",IF(countif('Mens Lineup'!Q$3:Q1000,CONCATENATE("=",$A97))=0,"",Q$2))</f>
        <v/>
      </c>
      <c r="R97" s="3" t="str">
        <f>IF($A97="","",IF(countif('Mens Lineup'!R$3:R1000,CONCATENATE("=",$A97))=0,"",R$2))</f>
        <v/>
      </c>
      <c r="S97" s="3" t="str">
        <f>IF($A97="","",IF(countif('Mens Lineup'!S$3:S1000,CONCATENATE("=",$A97))=0,"",S$2))</f>
        <v/>
      </c>
      <c r="W97" s="3" t="str">
        <f>IFERROR(__xludf.DUMMYFUNCTION("JOIN("","",FILTER(B97:S97,B97:S97&lt;&gt;""""))"),"50 Free,1650 Free,100 Breast,200 Breast,200 IM,1000 Free")</f>
        <v>50 Free,1650 Free,100 Breast,200 Breast,200 IM,1000 Free</v>
      </c>
    </row>
    <row r="98">
      <c r="A98" s="3" t="s">
        <v>126</v>
      </c>
      <c r="B98" s="3" t="str">
        <f>IF($A98="","",IF(countif('Mens Lineup'!B$3:B1000,CONCATENATE("=",$A98))=0,"",B$2))</f>
        <v>50 Free</v>
      </c>
      <c r="C98" s="3" t="str">
        <f>IF($A98="","",IF(countif('Mens Lineup'!C$3:C1000,CONCATENATE("=",$A98))=0,"",C$2))</f>
        <v>100 Free</v>
      </c>
      <c r="D98" s="3" t="str">
        <f>IF($A98="","",IF(countif('Mens Lineup'!D$3:D1000,CONCATENATE("=",$A98))=0,"",D$2))</f>
        <v>200 Free</v>
      </c>
      <c r="E98" s="3" t="str">
        <f>IF($A98="","",IF(countif('Mens Lineup'!E$3:E1000,CONCATENATE("=",$A98))=0,"",E$2))</f>
        <v/>
      </c>
      <c r="F98" s="3" t="str">
        <f>IF($A98="","",IF(countif('Mens Lineup'!F$3:F1000,CONCATENATE("=",$A98))=0,"",F$2))</f>
        <v/>
      </c>
      <c r="G98" s="3" t="str">
        <f>IF($A98="","",IF(countif('Mens Lineup'!G$3:G1000,CONCATENATE("=",$A98))=0,"",G$2))</f>
        <v>100 Back</v>
      </c>
      <c r="H98" s="3" t="str">
        <f>IF($A98="","",IF(countif('Mens Lineup'!H$3:H1000,CONCATENATE("=",$A98))=0,"",H$2))</f>
        <v/>
      </c>
      <c r="I98" s="3" t="str">
        <f>IF($A98="","",IF(countif('Mens Lineup'!I$3:I1000,CONCATENATE("=",$A98))=0,"",I$2))</f>
        <v/>
      </c>
      <c r="J98" s="3" t="str">
        <f>IF($A98="","",IF(countif('Mens Lineup'!J$3:J1000,CONCATENATE("=",$A98))=0,"",J$2))</f>
        <v/>
      </c>
      <c r="K98" s="3" t="str">
        <f>IF($A98="","",IF(countif('Mens Lineup'!K$3:K1000,CONCATENATE("=",$A98))=0,"",K$2))</f>
        <v>100 Fly</v>
      </c>
      <c r="L98" s="3" t="str">
        <f>IF($A98="","",IF(countif('Mens Lineup'!L$3:L1000,CONCATENATE("=",$A98))=0,"",L$2))</f>
        <v>200 Fly</v>
      </c>
      <c r="M98" s="3" t="str">
        <f>IF($A98="","",IF(countif('Mens Lineup'!M$3:M1000,CONCATENATE("=",$A98))=0,"",M$2))</f>
        <v>200 IM</v>
      </c>
      <c r="N98" s="3" t="str">
        <f>IF($A98="","",IF(countif('Mens Lineup'!N$3:N1000,CONCATENATE("=",$A98))=0,"",N$2))</f>
        <v/>
      </c>
      <c r="O98" s="3" t="str">
        <f>IF($A98="","",IF(countif('Mens Lineup'!O$3:O1000,CONCATENATE("=",$A98))=0,"",O$2))</f>
        <v/>
      </c>
      <c r="P98" s="3" t="str">
        <f>IF($A98="","",IF(countif('Mens Lineup'!P$3:P1000,CONCATENATE("=",$A98))=0,"",P$2))</f>
        <v/>
      </c>
      <c r="Q98" s="3" t="str">
        <f>IF($A98="","",IF(countif('Mens Lineup'!Q$3:Q1000,CONCATENATE("=",$A98))=0,"",Q$2))</f>
        <v/>
      </c>
      <c r="R98" s="3" t="str">
        <f>IF($A98="","",IF(countif('Mens Lineup'!R$3:R1000,CONCATENATE("=",$A98))=0,"",R$2))</f>
        <v/>
      </c>
      <c r="S98" s="3" t="str">
        <f>IF($A98="","",IF(countif('Mens Lineup'!S$3:S1000,CONCATENATE("=",$A98))=0,"",S$2))</f>
        <v/>
      </c>
      <c r="W98" s="3" t="str">
        <f>IFERROR(__xludf.DUMMYFUNCTION("JOIN("","",FILTER(B98:S98,B98:S98&lt;&gt;""""))"),"50 Free,100 Free,200 Free,100 Back,100 Fly,200 Fly,200 IM")</f>
        <v>50 Free,100 Free,200 Free,100 Back,100 Fly,200 Fly,200 IM</v>
      </c>
    </row>
    <row r="99">
      <c r="A99" s="3" t="s">
        <v>127</v>
      </c>
      <c r="B99" s="3" t="str">
        <f>IF($A99="","",IF(countif('Mens Lineup'!B$3:B1000,CONCATENATE("=",$A99))=0,"",B$2))</f>
        <v>50 Free</v>
      </c>
      <c r="C99" s="3" t="str">
        <f>IF($A99="","",IF(countif('Mens Lineup'!C$3:C1000,CONCATENATE("=",$A99))=0,"",C$2))</f>
        <v>100 Free</v>
      </c>
      <c r="D99" s="3" t="str">
        <f>IF($A99="","",IF(countif('Mens Lineup'!D$3:D1000,CONCATENATE("=",$A99))=0,"",D$2))</f>
        <v>200 Free</v>
      </c>
      <c r="E99" s="3" t="str">
        <f>IF($A99="","",IF(countif('Mens Lineup'!E$3:E1000,CONCATENATE("=",$A99))=0,"",E$2))</f>
        <v/>
      </c>
      <c r="F99" s="3" t="str">
        <f>IF($A99="","",IF(countif('Mens Lineup'!F$3:F1000,CONCATENATE("=",$A99))=0,"",F$2))</f>
        <v/>
      </c>
      <c r="G99" s="3" t="str">
        <f>IF($A99="","",IF(countif('Mens Lineup'!G$3:G1000,CONCATENATE("=",$A99))=0,"",G$2))</f>
        <v/>
      </c>
      <c r="H99" s="3" t="str">
        <f>IF($A99="","",IF(countif('Mens Lineup'!H$3:H1000,CONCATENATE("=",$A99))=0,"",H$2))</f>
        <v/>
      </c>
      <c r="I99" s="3" t="str">
        <f>IF($A99="","",IF(countif('Mens Lineup'!I$3:I1000,CONCATENATE("=",$A99))=0,"",I$2))</f>
        <v/>
      </c>
      <c r="J99" s="3" t="str">
        <f>IF($A99="","",IF(countif('Mens Lineup'!J$3:J1000,CONCATENATE("=",$A99))=0,"",J$2))</f>
        <v/>
      </c>
      <c r="K99" s="3" t="str">
        <f>IF($A99="","",IF(countif('Mens Lineup'!K$3:K1000,CONCATENATE("=",$A99))=0,"",K$2))</f>
        <v>100 Fly</v>
      </c>
      <c r="L99" s="3" t="str">
        <f>IF($A99="","",IF(countif('Mens Lineup'!L$3:L1000,CONCATENATE("=",$A99))=0,"",L$2))</f>
        <v/>
      </c>
      <c r="M99" s="3" t="str">
        <f>IF($A99="","",IF(countif('Mens Lineup'!M$3:M1000,CONCATENATE("=",$A99))=0,"",M$2))</f>
        <v>200 IM</v>
      </c>
      <c r="N99" s="3" t="str">
        <f>IF($A99="","",IF(countif('Mens Lineup'!N$3:N1000,CONCATENATE("=",$A99))=0,"",N$2))</f>
        <v/>
      </c>
      <c r="O99" s="3" t="str">
        <f>IF($A99="","",IF(countif('Mens Lineup'!O$3:O1000,CONCATENATE("=",$A99))=0,"",O$2))</f>
        <v/>
      </c>
      <c r="P99" s="3" t="str">
        <f>IF($A99="","",IF(countif('Mens Lineup'!P$3:P1000,CONCATENATE("=",$A99))=0,"",P$2))</f>
        <v/>
      </c>
      <c r="Q99" s="3" t="str">
        <f>IF($A99="","",IF(countif('Mens Lineup'!Q$3:Q1000,CONCATENATE("=",$A99))=0,"",Q$2))</f>
        <v/>
      </c>
      <c r="R99" s="3" t="str">
        <f>IF($A99="","",IF(countif('Mens Lineup'!R$3:R1000,CONCATENATE("=",$A99))=0,"",R$2))</f>
        <v/>
      </c>
      <c r="S99" s="3" t="str">
        <f>IF($A99="","",IF(countif('Mens Lineup'!S$3:S1000,CONCATENATE("=",$A99))=0,"",S$2))</f>
        <v/>
      </c>
      <c r="W99" s="3" t="str">
        <f>IFERROR(__xludf.DUMMYFUNCTION("JOIN("","",FILTER(B99:S99,B99:S99&lt;&gt;""""))"),"50 Free,100 Free,200 Free,100 Fly,200 IM")</f>
        <v>50 Free,100 Free,200 Free,100 Fly,200 IM</v>
      </c>
    </row>
    <row r="100">
      <c r="A100" s="3" t="s">
        <v>128</v>
      </c>
      <c r="B100" s="3" t="str">
        <f>IF($A100="","",IF(countif('Mens Lineup'!B$3:B1000,CONCATENATE("=",$A100))=0,"",B$2))</f>
        <v>50 Free</v>
      </c>
      <c r="C100" s="3" t="str">
        <f>IF($A100="","",IF(countif('Mens Lineup'!C$3:C1000,CONCATENATE("=",$A100))=0,"",C$2))</f>
        <v/>
      </c>
      <c r="D100" s="3" t="str">
        <f>IF($A100="","",IF(countif('Mens Lineup'!D$3:D1000,CONCATENATE("=",$A100))=0,"",D$2))</f>
        <v/>
      </c>
      <c r="E100" s="3" t="str">
        <f>IF($A100="","",IF(countif('Mens Lineup'!E$3:E1000,CONCATENATE("=",$A100))=0,"",E$2))</f>
        <v/>
      </c>
      <c r="F100" s="3" t="str">
        <f>IF($A100="","",IF(countif('Mens Lineup'!F$3:F1000,CONCATENATE("=",$A100))=0,"",F$2))</f>
        <v/>
      </c>
      <c r="G100" s="3" t="str">
        <f>IF($A100="","",IF(countif('Mens Lineup'!G$3:G1000,CONCATENATE("=",$A100))=0,"",G$2))</f>
        <v/>
      </c>
      <c r="H100" s="3" t="str">
        <f>IF($A100="","",IF(countif('Mens Lineup'!H$3:H1000,CONCATENATE("=",$A100))=0,"",H$2))</f>
        <v/>
      </c>
      <c r="I100" s="3" t="str">
        <f>IF($A100="","",IF(countif('Mens Lineup'!I$3:I1000,CONCATENATE("=",$A100))=0,"",I$2))</f>
        <v/>
      </c>
      <c r="J100" s="3" t="str">
        <f>IF($A100="","",IF(countif('Mens Lineup'!J$3:J1000,CONCATENATE("=",$A100))=0,"",J$2))</f>
        <v/>
      </c>
      <c r="K100" s="3" t="str">
        <f>IF($A100="","",IF(countif('Mens Lineup'!K$3:K1000,CONCATENATE("=",$A100))=0,"",K$2))</f>
        <v/>
      </c>
      <c r="L100" s="3" t="str">
        <f>IF($A100="","",IF(countif('Mens Lineup'!L$3:L1000,CONCATENATE("=",$A100))=0,"",L$2))</f>
        <v/>
      </c>
      <c r="M100" s="3" t="str">
        <f>IF($A100="","",IF(countif('Mens Lineup'!M$3:M1000,CONCATENATE("=",$A100))=0,"",M$2))</f>
        <v/>
      </c>
      <c r="N100" s="3" t="str">
        <f>IF($A100="","",IF(countif('Mens Lineup'!N$3:N1000,CONCATENATE("=",$A100))=0,"",N$2))</f>
        <v/>
      </c>
      <c r="O100" s="3" t="str">
        <f>IF($A100="","",IF(countif('Mens Lineup'!O$3:O1000,CONCATENATE("=",$A100))=0,"",O$2))</f>
        <v/>
      </c>
      <c r="P100" s="3" t="str">
        <f>IF($A100="","",IF(countif('Mens Lineup'!P$3:P1000,CONCATENATE("=",$A100))=0,"",P$2))</f>
        <v/>
      </c>
      <c r="Q100" s="3" t="str">
        <f>IF($A100="","",IF(countif('Mens Lineup'!Q$3:Q1000,CONCATENATE("=",$A100))=0,"",Q$2))</f>
        <v/>
      </c>
      <c r="R100" s="3" t="str">
        <f>IF($A100="","",IF(countif('Mens Lineup'!R$3:R1000,CONCATENATE("=",$A100))=0,"",R$2))</f>
        <v/>
      </c>
      <c r="S100" s="3" t="str">
        <f>IF($A100="","",IF(countif('Mens Lineup'!S$3:S1000,CONCATENATE("=",$A100))=0,"",S$2))</f>
        <v/>
      </c>
      <c r="W100" s="3" t="str">
        <f>IFERROR(__xludf.DUMMYFUNCTION("JOIN("","",FILTER(B100:S100,B100:S100&lt;&gt;""""))"),"50 Free")</f>
        <v>50 Free</v>
      </c>
    </row>
    <row r="101">
      <c r="A101" s="3" t="s">
        <v>129</v>
      </c>
      <c r="B101" s="3" t="str">
        <f>IF($A101="","",IF(countif('Mens Lineup'!B$3:B1000,CONCATENATE("=",$A101))=0,"",B$2))</f>
        <v>50 Free</v>
      </c>
      <c r="C101" s="3" t="str">
        <f>IF($A101="","",IF(countif('Mens Lineup'!C$3:C1000,CONCATENATE("=",$A101))=0,"",C$2))</f>
        <v/>
      </c>
      <c r="D101" s="3" t="str">
        <f>IF($A101="","",IF(countif('Mens Lineup'!D$3:D1000,CONCATENATE("=",$A101))=0,"",D$2))</f>
        <v/>
      </c>
      <c r="E101" s="3" t="str">
        <f>IF($A101="","",IF(countif('Mens Lineup'!E$3:E1000,CONCATENATE("=",$A101))=0,"",E$2))</f>
        <v/>
      </c>
      <c r="F101" s="3" t="str">
        <f>IF($A101="","",IF(countif('Mens Lineup'!F$3:F1000,CONCATENATE("=",$A101))=0,"",F$2))</f>
        <v/>
      </c>
      <c r="G101" s="3" t="str">
        <f>IF($A101="","",IF(countif('Mens Lineup'!G$3:G1000,CONCATENATE("=",$A101))=0,"",G$2))</f>
        <v/>
      </c>
      <c r="H101" s="3" t="str">
        <f>IF($A101="","",IF(countif('Mens Lineup'!H$3:H1000,CONCATENATE("=",$A101))=0,"",H$2))</f>
        <v/>
      </c>
      <c r="I101" s="3" t="str">
        <f>IF($A101="","",IF(countif('Mens Lineup'!I$3:I1000,CONCATENATE("=",$A101))=0,"",I$2))</f>
        <v/>
      </c>
      <c r="J101" s="3" t="str">
        <f>IF($A101="","",IF(countif('Mens Lineup'!J$3:J1000,CONCATENATE("=",$A101))=0,"",J$2))</f>
        <v/>
      </c>
      <c r="K101" s="3" t="str">
        <f>IF($A101="","",IF(countif('Mens Lineup'!K$3:K1000,CONCATENATE("=",$A101))=0,"",K$2))</f>
        <v>100 Fly</v>
      </c>
      <c r="L101" s="3" t="str">
        <f>IF($A101="","",IF(countif('Mens Lineup'!L$3:L1000,CONCATENATE("=",$A101))=0,"",L$2))</f>
        <v>200 Fly</v>
      </c>
      <c r="M101" s="3" t="str">
        <f>IF($A101="","",IF(countif('Mens Lineup'!M$3:M1000,CONCATENATE("=",$A101))=0,"",M$2))</f>
        <v/>
      </c>
      <c r="N101" s="3" t="str">
        <f>IF($A101="","",IF(countif('Mens Lineup'!N$3:N1000,CONCATENATE("=",$A101))=0,"",N$2))</f>
        <v>400 IM</v>
      </c>
      <c r="O101" s="3" t="str">
        <f>IF($A101="","",IF(countif('Mens Lineup'!O$3:O1000,CONCATENATE("=",$A101))=0,"",O$2))</f>
        <v/>
      </c>
      <c r="P101" s="3" t="str">
        <f>IF($A101="","",IF(countif('Mens Lineup'!P$3:P1000,CONCATENATE("=",$A101))=0,"",P$2))</f>
        <v/>
      </c>
      <c r="Q101" s="3" t="str">
        <f>IF($A101="","",IF(countif('Mens Lineup'!Q$3:Q1000,CONCATENATE("=",$A101))=0,"",Q$2))</f>
        <v/>
      </c>
      <c r="R101" s="3" t="str">
        <f>IF($A101="","",IF(countif('Mens Lineup'!R$3:R1000,CONCATENATE("=",$A101))=0,"",R$2))</f>
        <v/>
      </c>
      <c r="S101" s="3" t="str">
        <f>IF($A101="","",IF(countif('Mens Lineup'!S$3:S1000,CONCATENATE("=",$A101))=0,"",S$2))</f>
        <v/>
      </c>
      <c r="W101" s="3" t="str">
        <f>IFERROR(__xludf.DUMMYFUNCTION("JOIN("","",FILTER(B101:S101,B101:S101&lt;&gt;""""))"),"50 Free,100 Fly,200 Fly,400 IM")</f>
        <v>50 Free,100 Fly,200 Fly,400 IM</v>
      </c>
    </row>
    <row r="102">
      <c r="A102" s="3" t="s">
        <v>130</v>
      </c>
      <c r="B102" s="3" t="str">
        <f>IF($A102="","",IF(countif('Mens Lineup'!B$3:B1000,CONCATENATE("=",$A102))=0,"",B$2))</f>
        <v>50 Free</v>
      </c>
      <c r="C102" s="3" t="str">
        <f>IF($A102="","",IF(countif('Mens Lineup'!C$3:C1000,CONCATENATE("=",$A102))=0,"",C$2))</f>
        <v/>
      </c>
      <c r="D102" s="3" t="str">
        <f>IF($A102="","",IF(countif('Mens Lineup'!D$3:D1000,CONCATENATE("=",$A102))=0,"",D$2))</f>
        <v>200 Free</v>
      </c>
      <c r="E102" s="3" t="str">
        <f>IF($A102="","",IF(countif('Mens Lineup'!E$3:E1000,CONCATENATE("=",$A102))=0,"",E$2))</f>
        <v/>
      </c>
      <c r="F102" s="3" t="str">
        <f>IF($A102="","",IF(countif('Mens Lineup'!F$3:F1000,CONCATENATE("=",$A102))=0,"",F$2))</f>
        <v/>
      </c>
      <c r="G102" s="3" t="str">
        <f>IF($A102="","",IF(countif('Mens Lineup'!G$3:G1000,CONCATENATE("=",$A102))=0,"",G$2))</f>
        <v/>
      </c>
      <c r="H102" s="3" t="str">
        <f>IF($A102="","",IF(countif('Mens Lineup'!H$3:H1000,CONCATENATE("=",$A102))=0,"",H$2))</f>
        <v/>
      </c>
      <c r="I102" s="3" t="str">
        <f>IF($A102="","",IF(countif('Mens Lineup'!I$3:I1000,CONCATENATE("=",$A102))=0,"",I$2))</f>
        <v/>
      </c>
      <c r="J102" s="3" t="str">
        <f>IF($A102="","",IF(countif('Mens Lineup'!J$3:J1000,CONCATENATE("=",$A102))=0,"",J$2))</f>
        <v/>
      </c>
      <c r="K102" s="3" t="str">
        <f>IF($A102="","",IF(countif('Mens Lineup'!K$3:K1000,CONCATENATE("=",$A102))=0,"",K$2))</f>
        <v>100 Fly</v>
      </c>
      <c r="L102" s="3" t="str">
        <f>IF($A102="","",IF(countif('Mens Lineup'!L$3:L1000,CONCATENATE("=",$A102))=0,"",L$2))</f>
        <v>200 Fly</v>
      </c>
      <c r="M102" s="3" t="str">
        <f>IF($A102="","",IF(countif('Mens Lineup'!M$3:M1000,CONCATENATE("=",$A102))=0,"",M$2))</f>
        <v/>
      </c>
      <c r="N102" s="3" t="str">
        <f>IF($A102="","",IF(countif('Mens Lineup'!N$3:N1000,CONCATENATE("=",$A102))=0,"",N$2))</f>
        <v/>
      </c>
      <c r="O102" s="3" t="str">
        <f>IF($A102="","",IF(countif('Mens Lineup'!O$3:O1000,CONCATENATE("=",$A102))=0,"",O$2))</f>
        <v/>
      </c>
      <c r="P102" s="3" t="str">
        <f>IF($A102="","",IF(countif('Mens Lineup'!P$3:P1000,CONCATENATE("=",$A102))=0,"",P$2))</f>
        <v/>
      </c>
      <c r="Q102" s="3" t="str">
        <f>IF($A102="","",IF(countif('Mens Lineup'!Q$3:Q1000,CONCATENATE("=",$A102))=0,"",Q$2))</f>
        <v/>
      </c>
      <c r="R102" s="3" t="str">
        <f>IF($A102="","",IF(countif('Mens Lineup'!R$3:R1000,CONCATENATE("=",$A102))=0,"",R$2))</f>
        <v/>
      </c>
      <c r="S102" s="3" t="str">
        <f>IF($A102="","",IF(countif('Mens Lineup'!S$3:S1000,CONCATENATE("=",$A102))=0,"",S$2))</f>
        <v/>
      </c>
      <c r="W102" s="3" t="str">
        <f>IFERROR(__xludf.DUMMYFUNCTION("JOIN("","",FILTER(B102:S102,B102:S102&lt;&gt;""""))"),"50 Free,200 Free,100 Fly,200 Fly")</f>
        <v>50 Free,200 Free,100 Fly,200 Fly</v>
      </c>
    </row>
    <row r="103">
      <c r="A103" s="3"/>
      <c r="B103" s="3" t="str">
        <f>IF($A103="","",IF(countif('Mens Lineup'!B$3:B1000,CONCATENATE("=",$A103))=0,"",B$2))</f>
        <v/>
      </c>
      <c r="C103" s="3" t="str">
        <f>IF($A103="","",IF(countif('Mens Lineup'!C$3:C1000,CONCATENATE("=",$A103))=0,"",C$2))</f>
        <v/>
      </c>
      <c r="D103" s="3" t="str">
        <f>IF($A103="","",IF(countif('Mens Lineup'!D$3:D1000,CONCATENATE("=",$A103))=0,"",D$2))</f>
        <v/>
      </c>
      <c r="E103" s="3" t="str">
        <f>IF($A103="","",IF(countif('Mens Lineup'!E$3:E1000,CONCATENATE("=",$A103))=0,"",E$2))</f>
        <v/>
      </c>
      <c r="F103" s="3" t="str">
        <f>IF($A103="","",IF(countif('Mens Lineup'!F$3:F1000,CONCATENATE("=",$A103))=0,"",F$2))</f>
        <v/>
      </c>
      <c r="G103" s="3" t="str">
        <f>IF($A103="","",IF(countif('Mens Lineup'!G$3:G1000,CONCATENATE("=",$A103))=0,"",G$2))</f>
        <v/>
      </c>
      <c r="H103" s="3" t="str">
        <f>IF($A103="","",IF(countif('Mens Lineup'!H$3:H1000,CONCATENATE("=",$A103))=0,"",H$2))</f>
        <v/>
      </c>
      <c r="I103" s="3" t="str">
        <f>IF($A103="","",IF(countif('Mens Lineup'!I$3:I1000,CONCATENATE("=",$A103))=0,"",I$2))</f>
        <v/>
      </c>
      <c r="J103" s="3" t="str">
        <f>IF($A103="","",IF(countif('Mens Lineup'!J$3:J1000,CONCATENATE("=",$A103))=0,"",J$2))</f>
        <v/>
      </c>
      <c r="K103" s="3" t="str">
        <f>IF($A103="","",IF(countif('Mens Lineup'!K$3:K1000,CONCATENATE("=",$A103))=0,"",K$2))</f>
        <v/>
      </c>
      <c r="L103" s="3" t="str">
        <f>IF($A103="","",IF(countif('Mens Lineup'!L$3:L1000,CONCATENATE("=",$A103))=0,"",L$2))</f>
        <v/>
      </c>
      <c r="M103" s="3" t="str">
        <f>IF($A103="","",IF(countif('Mens Lineup'!M$3:M1000,CONCATENATE("=",$A103))=0,"",M$2))</f>
        <v/>
      </c>
      <c r="N103" s="3" t="str">
        <f>IF($A103="","",IF(countif('Mens Lineup'!N$3:N1000,CONCATENATE("=",$A103))=0,"",N$2))</f>
        <v/>
      </c>
      <c r="O103" s="3" t="str">
        <f>IF($A103="","",IF(countif('Mens Lineup'!O$3:O1000,CONCATENATE("=",$A103))=0,"",O$2))</f>
        <v/>
      </c>
      <c r="P103" s="3" t="str">
        <f>IF($A103="","",IF(countif('Mens Lineup'!P$3:P1000,CONCATENATE("=",$A103))=0,"",P$2))</f>
        <v/>
      </c>
      <c r="Q103" s="3" t="str">
        <f>IF($A103="","",IF(countif('Mens Lineup'!Q$3:Q1000,CONCATENATE("=",$A103))=0,"",Q$2))</f>
        <v/>
      </c>
      <c r="R103" s="3" t="str">
        <f>IF($A103="","",IF(countif('Mens Lineup'!R$3:R1000,CONCATENATE("=",$A103))=0,"",R$2))</f>
        <v/>
      </c>
      <c r="S103" s="3" t="str">
        <f>IF($A103="","",IF(countif('Mens Lineup'!S$3:S1000,CONCATENATE("=",$A103))=0,"",S$2))</f>
        <v/>
      </c>
      <c r="W103" s="3" t="str">
        <f>IFERROR(__xludf.DUMMYFUNCTION("JOIN("","",FILTER(B103:S103,B103:S103&lt;&gt;""""))"),"#N/A")</f>
        <v>#N/A</v>
      </c>
    </row>
    <row r="104">
      <c r="A104" s="3" t="s">
        <v>131</v>
      </c>
      <c r="B104" s="3" t="str">
        <f>IF($A104="","",IF(countif('Mens Lineup'!B$3:B1000,CONCATENATE("=",$A104))=0,"",B$2))</f>
        <v/>
      </c>
      <c r="C104" s="3" t="str">
        <f>IF($A104="","",IF(countif('Mens Lineup'!C$3:C1000,CONCATENATE("=",$A104))=0,"",C$2))</f>
        <v>100 Free</v>
      </c>
      <c r="D104" s="3" t="str">
        <f>IF($A104="","",IF(countif('Mens Lineup'!D$3:D1000,CONCATENATE("=",$A104))=0,"",D$2))</f>
        <v>200 Free</v>
      </c>
      <c r="E104" s="3" t="str">
        <f>IF($A104="","",IF(countif('Mens Lineup'!E$3:E1000,CONCATENATE("=",$A104))=0,"",E$2))</f>
        <v/>
      </c>
      <c r="F104" s="3" t="str">
        <f>IF($A104="","",IF(countif('Mens Lineup'!F$3:F1000,CONCATENATE("=",$A104))=0,"",F$2))</f>
        <v/>
      </c>
      <c r="G104" s="3" t="str">
        <f>IF($A104="","",IF(countif('Mens Lineup'!G$3:G1000,CONCATENATE("=",$A104))=0,"",G$2))</f>
        <v>100 Back</v>
      </c>
      <c r="H104" s="3" t="str">
        <f>IF($A104="","",IF(countif('Mens Lineup'!H$3:H1000,CONCATENATE("=",$A104))=0,"",H$2))</f>
        <v>200 Back</v>
      </c>
      <c r="I104" s="3" t="str">
        <f>IF($A104="","",IF(countif('Mens Lineup'!I$3:I1000,CONCATENATE("=",$A104))=0,"",I$2))</f>
        <v/>
      </c>
      <c r="J104" s="3" t="str">
        <f>IF($A104="","",IF(countif('Mens Lineup'!J$3:J1000,CONCATENATE("=",$A104))=0,"",J$2))</f>
        <v/>
      </c>
      <c r="K104" s="3" t="str">
        <f>IF($A104="","",IF(countif('Mens Lineup'!K$3:K1000,CONCATENATE("=",$A104))=0,"",K$2))</f>
        <v>100 Fly</v>
      </c>
      <c r="L104" s="3" t="str">
        <f>IF($A104="","",IF(countif('Mens Lineup'!L$3:L1000,CONCATENATE("=",$A104))=0,"",L$2))</f>
        <v>200 Fly</v>
      </c>
      <c r="M104" s="3" t="str">
        <f>IF($A104="","",IF(countif('Mens Lineup'!M$3:M1000,CONCATENATE("=",$A104))=0,"",M$2))</f>
        <v/>
      </c>
      <c r="N104" s="3" t="str">
        <f>IF($A104="","",IF(countif('Mens Lineup'!N$3:N1000,CONCATENATE("=",$A104))=0,"",N$2))</f>
        <v/>
      </c>
      <c r="O104" s="3" t="str">
        <f>IF($A104="","",IF(countif('Mens Lineup'!O$3:O1000,CONCATENATE("=",$A104))=0,"",O$2))</f>
        <v/>
      </c>
      <c r="P104" s="3" t="str">
        <f>IF($A104="","",IF(countif('Mens Lineup'!P$3:P1000,CONCATENATE("=",$A104))=0,"",P$2))</f>
        <v/>
      </c>
      <c r="Q104" s="3" t="str">
        <f>IF($A104="","",IF(countif('Mens Lineup'!Q$3:Q1000,CONCATENATE("=",$A104))=0,"",Q$2))</f>
        <v/>
      </c>
      <c r="R104" s="3" t="str">
        <f>IF($A104="","",IF(countif('Mens Lineup'!R$3:R1000,CONCATENATE("=",$A104))=0,"",R$2))</f>
        <v/>
      </c>
      <c r="S104" s="3" t="str">
        <f>IF($A104="","",IF(countif('Mens Lineup'!S$3:S1000,CONCATENATE("=",$A104))=0,"",S$2))</f>
        <v/>
      </c>
      <c r="W104" s="3" t="str">
        <f>IFERROR(__xludf.DUMMYFUNCTION("JOIN("","",FILTER(B104:S104,B104:S104&lt;&gt;""""))"),"100 Free,200 Free,100 Back,200 Back,100 Fly,200 Fly")</f>
        <v>100 Free,200 Free,100 Back,200 Back,100 Fly,200 Fly</v>
      </c>
    </row>
    <row r="105">
      <c r="A105" s="3" t="s">
        <v>132</v>
      </c>
      <c r="B105" s="3" t="str">
        <f>IF($A105="","",IF(countif('Mens Lineup'!B$3:B1000,CONCATENATE("=",$A105))=0,"",B$2))</f>
        <v/>
      </c>
      <c r="C105" s="3" t="str">
        <f>IF($A105="","",IF(countif('Mens Lineup'!C$3:C1000,CONCATENATE("=",$A105))=0,"",C$2))</f>
        <v>100 Free</v>
      </c>
      <c r="D105" s="3" t="str">
        <f>IF($A105="","",IF(countif('Mens Lineup'!D$3:D1000,CONCATENATE("=",$A105))=0,"",D$2))</f>
        <v/>
      </c>
      <c r="E105" s="3" t="str">
        <f>IF($A105="","",IF(countif('Mens Lineup'!E$3:E1000,CONCATENATE("=",$A105))=0,"",E$2))</f>
        <v/>
      </c>
      <c r="F105" s="3" t="str">
        <f>IF($A105="","",IF(countif('Mens Lineup'!F$3:F1000,CONCATENATE("=",$A105))=0,"",F$2))</f>
        <v/>
      </c>
      <c r="G105" s="3" t="str">
        <f>IF($A105="","",IF(countif('Mens Lineup'!G$3:G1000,CONCATENATE("=",$A105))=0,"",G$2))</f>
        <v>100 Back</v>
      </c>
      <c r="H105" s="3" t="str">
        <f>IF($A105="","",IF(countif('Mens Lineup'!H$3:H1000,CONCATENATE("=",$A105))=0,"",H$2))</f>
        <v>200 Back</v>
      </c>
      <c r="I105" s="3" t="str">
        <f>IF($A105="","",IF(countif('Mens Lineup'!I$3:I1000,CONCATENATE("=",$A105))=0,"",I$2))</f>
        <v>100 Breast</v>
      </c>
      <c r="J105" s="3" t="str">
        <f>IF($A105="","",IF(countif('Mens Lineup'!J$3:J1000,CONCATENATE("=",$A105))=0,"",J$2))</f>
        <v/>
      </c>
      <c r="K105" s="3" t="str">
        <f>IF($A105="","",IF(countif('Mens Lineup'!K$3:K1000,CONCATENATE("=",$A105))=0,"",K$2))</f>
        <v/>
      </c>
      <c r="L105" s="3" t="str">
        <f>IF($A105="","",IF(countif('Mens Lineup'!L$3:L1000,CONCATENATE("=",$A105))=0,"",L$2))</f>
        <v>200 Fly</v>
      </c>
      <c r="M105" s="3" t="str">
        <f>IF($A105="","",IF(countif('Mens Lineup'!M$3:M1000,CONCATENATE("=",$A105))=0,"",M$2))</f>
        <v/>
      </c>
      <c r="N105" s="3" t="str">
        <f>IF($A105="","",IF(countif('Mens Lineup'!N$3:N1000,CONCATENATE("=",$A105))=0,"",N$2))</f>
        <v/>
      </c>
      <c r="O105" s="3" t="str">
        <f>IF($A105="","",IF(countif('Mens Lineup'!O$3:O1000,CONCATENATE("=",$A105))=0,"",O$2))</f>
        <v>1000 Free</v>
      </c>
      <c r="P105" s="3" t="str">
        <f>IF($A105="","",IF(countif('Mens Lineup'!P$3:P1000,CONCATENATE("=",$A105))=0,"",P$2))</f>
        <v/>
      </c>
      <c r="Q105" s="3" t="str">
        <f>IF($A105="","",IF(countif('Mens Lineup'!Q$3:Q1000,CONCATENATE("=",$A105))=0,"",Q$2))</f>
        <v/>
      </c>
      <c r="R105" s="3" t="str">
        <f>IF($A105="","",IF(countif('Mens Lineup'!R$3:R1000,CONCATENATE("=",$A105))=0,"",R$2))</f>
        <v/>
      </c>
      <c r="S105" s="3" t="str">
        <f>IF($A105="","",IF(countif('Mens Lineup'!S$3:S1000,CONCATENATE("=",$A105))=0,"",S$2))</f>
        <v/>
      </c>
      <c r="W105" s="3" t="str">
        <f>IFERROR(__xludf.DUMMYFUNCTION("JOIN("","",FILTER(B105:S105,B105:S105&lt;&gt;""""))"),"100 Free,100 Back,200 Back,100 Breast,200 Fly,1000 Free")</f>
        <v>100 Free,100 Back,200 Back,100 Breast,200 Fly,1000 Free</v>
      </c>
    </row>
    <row r="106">
      <c r="A106" s="3" t="s">
        <v>133</v>
      </c>
      <c r="B106" s="3" t="str">
        <f>IF($A106="","",IF(countif('Mens Lineup'!B$3:B1000,CONCATENATE("=",$A106))=0,"",B$2))</f>
        <v/>
      </c>
      <c r="C106" s="3" t="str">
        <f>IF($A106="","",IF(countif('Mens Lineup'!C$3:C1000,CONCATENATE("=",$A106))=0,"",C$2))</f>
        <v>100 Free</v>
      </c>
      <c r="D106" s="3" t="str">
        <f>IF($A106="","",IF(countif('Mens Lineup'!D$3:D1000,CONCATENATE("=",$A106))=0,"",D$2))</f>
        <v/>
      </c>
      <c r="E106" s="3" t="str">
        <f>IF($A106="","",IF(countif('Mens Lineup'!E$3:E1000,CONCATENATE("=",$A106))=0,"",E$2))</f>
        <v>500 Free</v>
      </c>
      <c r="F106" s="3" t="str">
        <f>IF($A106="","",IF(countif('Mens Lineup'!F$3:F1000,CONCATENATE("=",$A106))=0,"",F$2))</f>
        <v/>
      </c>
      <c r="G106" s="3" t="str">
        <f>IF($A106="","",IF(countif('Mens Lineup'!G$3:G1000,CONCATENATE("=",$A106))=0,"",G$2))</f>
        <v/>
      </c>
      <c r="H106" s="3" t="str">
        <f>IF($A106="","",IF(countif('Mens Lineup'!H$3:H1000,CONCATENATE("=",$A106))=0,"",H$2))</f>
        <v/>
      </c>
      <c r="I106" s="3" t="str">
        <f>IF($A106="","",IF(countif('Mens Lineup'!I$3:I1000,CONCATENATE("=",$A106))=0,"",I$2))</f>
        <v>100 Breast</v>
      </c>
      <c r="J106" s="3" t="str">
        <f>IF($A106="","",IF(countif('Mens Lineup'!J$3:J1000,CONCATENATE("=",$A106))=0,"",J$2))</f>
        <v>200 Breast</v>
      </c>
      <c r="K106" s="3" t="str">
        <f>IF($A106="","",IF(countif('Mens Lineup'!K$3:K1000,CONCATENATE("=",$A106))=0,"",K$2))</f>
        <v/>
      </c>
      <c r="L106" s="3" t="str">
        <f>IF($A106="","",IF(countif('Mens Lineup'!L$3:L1000,CONCATENATE("=",$A106))=0,"",L$2))</f>
        <v/>
      </c>
      <c r="M106" s="3" t="str">
        <f>IF($A106="","",IF(countif('Mens Lineup'!M$3:M1000,CONCATENATE("=",$A106))=0,"",M$2))</f>
        <v>200 IM</v>
      </c>
      <c r="N106" s="3" t="str">
        <f>IF($A106="","",IF(countif('Mens Lineup'!N$3:N1000,CONCATENATE("=",$A106))=0,"",N$2))</f>
        <v>400 IM</v>
      </c>
      <c r="O106" s="3" t="str">
        <f>IF($A106="","",IF(countif('Mens Lineup'!O$3:O1000,CONCATENATE("=",$A106))=0,"",O$2))</f>
        <v/>
      </c>
      <c r="P106" s="3" t="str">
        <f>IF($A106="","",IF(countif('Mens Lineup'!P$3:P1000,CONCATENATE("=",$A106))=0,"",P$2))</f>
        <v/>
      </c>
      <c r="Q106" s="3" t="str">
        <f>IF($A106="","",IF(countif('Mens Lineup'!Q$3:Q1000,CONCATENATE("=",$A106))=0,"",Q$2))</f>
        <v/>
      </c>
      <c r="R106" s="3" t="str">
        <f>IF($A106="","",IF(countif('Mens Lineup'!R$3:R1000,CONCATENATE("=",$A106))=0,"",R$2))</f>
        <v/>
      </c>
      <c r="S106" s="3" t="str">
        <f>IF($A106="","",IF(countif('Mens Lineup'!S$3:S1000,CONCATENATE("=",$A106))=0,"",S$2))</f>
        <v/>
      </c>
      <c r="W106" s="3" t="str">
        <f>IFERROR(__xludf.DUMMYFUNCTION("JOIN("","",FILTER(B106:S106,B106:S106&lt;&gt;""""))"),"100 Free,500 Free,100 Breast,200 Breast,200 IM,400 IM")</f>
        <v>100 Free,500 Free,100 Breast,200 Breast,200 IM,400 IM</v>
      </c>
    </row>
    <row r="107">
      <c r="A107" s="3" t="s">
        <v>134</v>
      </c>
      <c r="B107" s="3" t="str">
        <f>IF($A107="","",IF(countif('Mens Lineup'!B$3:B1000,CONCATENATE("=",$A107))=0,"",B$2))</f>
        <v/>
      </c>
      <c r="C107" s="3" t="str">
        <f>IF($A107="","",IF(countif('Mens Lineup'!C$3:C1000,CONCATENATE("=",$A107))=0,"",C$2))</f>
        <v>100 Free</v>
      </c>
      <c r="D107" s="3" t="str">
        <f>IF($A107="","",IF(countif('Mens Lineup'!D$3:D1000,CONCATENATE("=",$A107))=0,"",D$2))</f>
        <v>200 Free</v>
      </c>
      <c r="E107" s="3" t="str">
        <f>IF($A107="","",IF(countif('Mens Lineup'!E$3:E1000,CONCATENATE("=",$A107))=0,"",E$2))</f>
        <v>500 Free</v>
      </c>
      <c r="F107" s="3" t="str">
        <f>IF($A107="","",IF(countif('Mens Lineup'!F$3:F1000,CONCATENATE("=",$A107))=0,"",F$2))</f>
        <v/>
      </c>
      <c r="G107" s="3" t="str">
        <f>IF($A107="","",IF(countif('Mens Lineup'!G$3:G1000,CONCATENATE("=",$A107))=0,"",G$2))</f>
        <v>100 Back</v>
      </c>
      <c r="H107" s="3" t="str">
        <f>IF($A107="","",IF(countif('Mens Lineup'!H$3:H1000,CONCATENATE("=",$A107))=0,"",H$2))</f>
        <v>200 Back</v>
      </c>
      <c r="I107" s="3" t="str">
        <f>IF($A107="","",IF(countif('Mens Lineup'!I$3:I1000,CONCATENATE("=",$A107))=0,"",I$2))</f>
        <v/>
      </c>
      <c r="J107" s="3" t="str">
        <f>IF($A107="","",IF(countif('Mens Lineup'!J$3:J1000,CONCATENATE("=",$A107))=0,"",J$2))</f>
        <v/>
      </c>
      <c r="K107" s="3" t="str">
        <f>IF($A107="","",IF(countif('Mens Lineup'!K$3:K1000,CONCATENATE("=",$A107))=0,"",K$2))</f>
        <v/>
      </c>
      <c r="L107" s="3" t="str">
        <f>IF($A107="","",IF(countif('Mens Lineup'!L$3:L1000,CONCATENATE("=",$A107))=0,"",L$2))</f>
        <v/>
      </c>
      <c r="M107" s="3" t="str">
        <f>IF($A107="","",IF(countif('Mens Lineup'!M$3:M1000,CONCATENATE("=",$A107))=0,"",M$2))</f>
        <v/>
      </c>
      <c r="N107" s="3" t="str">
        <f>IF($A107="","",IF(countif('Mens Lineup'!N$3:N1000,CONCATENATE("=",$A107))=0,"",N$2))</f>
        <v>400 IM</v>
      </c>
      <c r="O107" s="3" t="str">
        <f>IF($A107="","",IF(countif('Mens Lineup'!O$3:O1000,CONCATENATE("=",$A107))=0,"",O$2))</f>
        <v/>
      </c>
      <c r="P107" s="3" t="str">
        <f>IF($A107="","",IF(countif('Mens Lineup'!P$3:P1000,CONCATENATE("=",$A107))=0,"",P$2))</f>
        <v/>
      </c>
      <c r="Q107" s="3" t="str">
        <f>IF($A107="","",IF(countif('Mens Lineup'!Q$3:Q1000,CONCATENATE("=",$A107))=0,"",Q$2))</f>
        <v/>
      </c>
      <c r="R107" s="3" t="str">
        <f>IF($A107="","",IF(countif('Mens Lineup'!R$3:R1000,CONCATENATE("=",$A107))=0,"",R$2))</f>
        <v/>
      </c>
      <c r="S107" s="3" t="str">
        <f>IF($A107="","",IF(countif('Mens Lineup'!S$3:S1000,CONCATENATE("=",$A107))=0,"",S$2))</f>
        <v/>
      </c>
      <c r="W107" s="3" t="str">
        <f>IFERROR(__xludf.DUMMYFUNCTION("JOIN("","",FILTER(B107:S107,B107:S107&lt;&gt;""""))"),"100 Free,200 Free,500 Free,100 Back,200 Back,400 IM")</f>
        <v>100 Free,200 Free,500 Free,100 Back,200 Back,400 IM</v>
      </c>
    </row>
    <row r="108">
      <c r="A108" s="3" t="s">
        <v>135</v>
      </c>
      <c r="B108" s="3" t="str">
        <f>IF($A108="","",IF(countif('Mens Lineup'!B$3:B1000,CONCATENATE("=",$A108))=0,"",B$2))</f>
        <v/>
      </c>
      <c r="C108" s="3" t="str">
        <f>IF($A108="","",IF(countif('Mens Lineup'!C$3:C1000,CONCATENATE("=",$A108))=0,"",C$2))</f>
        <v>100 Free</v>
      </c>
      <c r="D108" s="3" t="str">
        <f>IF($A108="","",IF(countif('Mens Lineup'!D$3:D1000,CONCATENATE("=",$A108))=0,"",D$2))</f>
        <v>200 Free</v>
      </c>
      <c r="E108" s="3" t="str">
        <f>IF($A108="","",IF(countif('Mens Lineup'!E$3:E1000,CONCATENATE("=",$A108))=0,"",E$2))</f>
        <v/>
      </c>
      <c r="F108" s="3" t="str">
        <f>IF($A108="","",IF(countif('Mens Lineup'!F$3:F1000,CONCATENATE("=",$A108))=0,"",F$2))</f>
        <v/>
      </c>
      <c r="G108" s="3" t="str">
        <f>IF($A108="","",IF(countif('Mens Lineup'!G$3:G1000,CONCATENATE("=",$A108))=0,"",G$2))</f>
        <v>100 Back</v>
      </c>
      <c r="H108" s="3" t="str">
        <f>IF($A108="","",IF(countif('Mens Lineup'!H$3:H1000,CONCATENATE("=",$A108))=0,"",H$2))</f>
        <v/>
      </c>
      <c r="I108" s="3" t="str">
        <f>IF($A108="","",IF(countif('Mens Lineup'!I$3:I1000,CONCATENATE("=",$A108))=0,"",I$2))</f>
        <v/>
      </c>
      <c r="J108" s="3" t="str">
        <f>IF($A108="","",IF(countif('Mens Lineup'!J$3:J1000,CONCATENATE("=",$A108))=0,"",J$2))</f>
        <v/>
      </c>
      <c r="K108" s="3" t="str">
        <f>IF($A108="","",IF(countif('Mens Lineup'!K$3:K1000,CONCATENATE("=",$A108))=0,"",K$2))</f>
        <v>100 Fly</v>
      </c>
      <c r="L108" s="3" t="str">
        <f>IF($A108="","",IF(countif('Mens Lineup'!L$3:L1000,CONCATENATE("=",$A108))=0,"",L$2))</f>
        <v>200 Fly</v>
      </c>
      <c r="M108" s="3" t="str">
        <f>IF($A108="","",IF(countif('Mens Lineup'!M$3:M1000,CONCATENATE("=",$A108))=0,"",M$2))</f>
        <v>200 IM</v>
      </c>
      <c r="N108" s="3" t="str">
        <f>IF($A108="","",IF(countif('Mens Lineup'!N$3:N1000,CONCATENATE("=",$A108))=0,"",N$2))</f>
        <v/>
      </c>
      <c r="O108" s="3" t="str">
        <f>IF($A108="","",IF(countif('Mens Lineup'!O$3:O1000,CONCATENATE("=",$A108))=0,"",O$2))</f>
        <v/>
      </c>
      <c r="P108" s="3" t="str">
        <f>IF($A108="","",IF(countif('Mens Lineup'!P$3:P1000,CONCATENATE("=",$A108))=0,"",P$2))</f>
        <v/>
      </c>
      <c r="Q108" s="3" t="str">
        <f>IF($A108="","",IF(countif('Mens Lineup'!Q$3:Q1000,CONCATENATE("=",$A108))=0,"",Q$2))</f>
        <v/>
      </c>
      <c r="R108" s="3" t="str">
        <f>IF($A108="","",IF(countif('Mens Lineup'!R$3:R1000,CONCATENATE("=",$A108))=0,"",R$2))</f>
        <v/>
      </c>
      <c r="S108" s="3" t="str">
        <f>IF($A108="","",IF(countif('Mens Lineup'!S$3:S1000,CONCATENATE("=",$A108))=0,"",S$2))</f>
        <v/>
      </c>
      <c r="W108" s="3" t="str">
        <f>IFERROR(__xludf.DUMMYFUNCTION("JOIN("","",FILTER(B108:S108,B108:S108&lt;&gt;""""))"),"100 Free,200 Free,100 Back,100 Fly,200 Fly,200 IM")</f>
        <v>100 Free,200 Free,100 Back,100 Fly,200 Fly,200 IM</v>
      </c>
    </row>
    <row r="109">
      <c r="A109" s="3" t="s">
        <v>136</v>
      </c>
      <c r="B109" s="3" t="str">
        <f>IF($A109="","",IF(countif('Mens Lineup'!B$3:B1000,CONCATENATE("=",$A109))=0,"",B$2))</f>
        <v/>
      </c>
      <c r="C109" s="3" t="str">
        <f>IF($A109="","",IF(countif('Mens Lineup'!C$3:C1000,CONCATENATE("=",$A109))=0,"",C$2))</f>
        <v>100 Free</v>
      </c>
      <c r="D109" s="3" t="str">
        <f>IF($A109="","",IF(countif('Mens Lineup'!D$3:D1000,CONCATENATE("=",$A109))=0,"",D$2))</f>
        <v/>
      </c>
      <c r="E109" s="3" t="str">
        <f>IF($A109="","",IF(countif('Mens Lineup'!E$3:E1000,CONCATENATE("=",$A109))=0,"",E$2))</f>
        <v/>
      </c>
      <c r="F109" s="3" t="str">
        <f>IF($A109="","",IF(countif('Mens Lineup'!F$3:F1000,CONCATENATE("=",$A109))=0,"",F$2))</f>
        <v/>
      </c>
      <c r="G109" s="3" t="str">
        <f>IF($A109="","",IF(countif('Mens Lineup'!G$3:G1000,CONCATENATE("=",$A109))=0,"",G$2))</f>
        <v>100 Back</v>
      </c>
      <c r="H109" s="3" t="str">
        <f>IF($A109="","",IF(countif('Mens Lineup'!H$3:H1000,CONCATENATE("=",$A109))=0,"",H$2))</f>
        <v/>
      </c>
      <c r="I109" s="3" t="str">
        <f>IF($A109="","",IF(countif('Mens Lineup'!I$3:I1000,CONCATENATE("=",$A109))=0,"",I$2))</f>
        <v/>
      </c>
      <c r="J109" s="3" t="str">
        <f>IF($A109="","",IF(countif('Mens Lineup'!J$3:J1000,CONCATENATE("=",$A109))=0,"",J$2))</f>
        <v/>
      </c>
      <c r="K109" s="3" t="str">
        <f>IF($A109="","",IF(countif('Mens Lineup'!K$3:K1000,CONCATENATE("=",$A109))=0,"",K$2))</f>
        <v>100 Fly</v>
      </c>
      <c r="L109" s="3" t="str">
        <f>IF($A109="","",IF(countif('Mens Lineup'!L$3:L1000,CONCATENATE("=",$A109))=0,"",L$2))</f>
        <v>200 Fly</v>
      </c>
      <c r="M109" s="3" t="str">
        <f>IF($A109="","",IF(countif('Mens Lineup'!M$3:M1000,CONCATENATE("=",$A109))=0,"",M$2))</f>
        <v>200 IM</v>
      </c>
      <c r="N109" s="3" t="str">
        <f>IF($A109="","",IF(countif('Mens Lineup'!N$3:N1000,CONCATENATE("=",$A109))=0,"",N$2))</f>
        <v>400 IM</v>
      </c>
      <c r="O109" s="3" t="str">
        <f>IF($A109="","",IF(countif('Mens Lineup'!O$3:O1000,CONCATENATE("=",$A109))=0,"",O$2))</f>
        <v/>
      </c>
      <c r="P109" s="3" t="str">
        <f>IF($A109="","",IF(countif('Mens Lineup'!P$3:P1000,CONCATENATE("=",$A109))=0,"",P$2))</f>
        <v/>
      </c>
      <c r="Q109" s="3" t="str">
        <f>IF($A109="","",IF(countif('Mens Lineup'!Q$3:Q1000,CONCATENATE("=",$A109))=0,"",Q$2))</f>
        <v/>
      </c>
      <c r="R109" s="3" t="str">
        <f>IF($A109="","",IF(countif('Mens Lineup'!R$3:R1000,CONCATENATE("=",$A109))=0,"",R$2))</f>
        <v/>
      </c>
      <c r="S109" s="3" t="str">
        <f>IF($A109="","",IF(countif('Mens Lineup'!S$3:S1000,CONCATENATE("=",$A109))=0,"",S$2))</f>
        <v/>
      </c>
      <c r="W109" s="3" t="str">
        <f>IFERROR(__xludf.DUMMYFUNCTION("JOIN("","",FILTER(B109:S109,B109:S109&lt;&gt;""""))"),"100 Free,100 Back,100 Fly,200 Fly,200 IM,400 IM")</f>
        <v>100 Free,100 Back,100 Fly,200 Fly,200 IM,400 IM</v>
      </c>
    </row>
    <row r="110">
      <c r="A110" s="3" t="s">
        <v>137</v>
      </c>
      <c r="B110" s="3" t="str">
        <f>IF($A110="","",IF(countif('Mens Lineup'!B$3:B1000,CONCATENATE("=",$A110))=0,"",B$2))</f>
        <v/>
      </c>
      <c r="C110" s="3" t="str">
        <f>IF($A110="","",IF(countif('Mens Lineup'!C$3:C1000,CONCATENATE("=",$A110))=0,"",C$2))</f>
        <v>100 Free</v>
      </c>
      <c r="D110" s="3" t="str">
        <f>IF($A110="","",IF(countif('Mens Lineup'!D$3:D1000,CONCATENATE("=",$A110))=0,"",D$2))</f>
        <v>200 Free</v>
      </c>
      <c r="E110" s="3" t="str">
        <f>IF($A110="","",IF(countif('Mens Lineup'!E$3:E1000,CONCATENATE("=",$A110))=0,"",E$2))</f>
        <v/>
      </c>
      <c r="F110" s="3" t="str">
        <f>IF($A110="","",IF(countif('Mens Lineup'!F$3:F1000,CONCATENATE("=",$A110))=0,"",F$2))</f>
        <v/>
      </c>
      <c r="G110" s="3" t="str">
        <f>IF($A110="","",IF(countif('Mens Lineup'!G$3:G1000,CONCATENATE("=",$A110))=0,"",G$2))</f>
        <v>100 Back</v>
      </c>
      <c r="H110" s="3" t="str">
        <f>IF($A110="","",IF(countif('Mens Lineup'!H$3:H1000,CONCATENATE("=",$A110))=0,"",H$2))</f>
        <v>200 Back</v>
      </c>
      <c r="I110" s="3" t="str">
        <f>IF($A110="","",IF(countif('Mens Lineup'!I$3:I1000,CONCATENATE("=",$A110))=0,"",I$2))</f>
        <v/>
      </c>
      <c r="J110" s="3" t="str">
        <f>IF($A110="","",IF(countif('Mens Lineup'!J$3:J1000,CONCATENATE("=",$A110))=0,"",J$2))</f>
        <v/>
      </c>
      <c r="K110" s="3" t="str">
        <f>IF($A110="","",IF(countif('Mens Lineup'!K$3:K1000,CONCATENATE("=",$A110))=0,"",K$2))</f>
        <v>100 Fly</v>
      </c>
      <c r="L110" s="3" t="str">
        <f>IF($A110="","",IF(countif('Mens Lineup'!L$3:L1000,CONCATENATE("=",$A110))=0,"",L$2))</f>
        <v>200 Fly</v>
      </c>
      <c r="M110" s="3" t="str">
        <f>IF($A110="","",IF(countif('Mens Lineup'!M$3:M1000,CONCATENATE("=",$A110))=0,"",M$2))</f>
        <v/>
      </c>
      <c r="N110" s="3" t="str">
        <f>IF($A110="","",IF(countif('Mens Lineup'!N$3:N1000,CONCATENATE("=",$A110))=0,"",N$2))</f>
        <v/>
      </c>
      <c r="O110" s="3" t="str">
        <f>IF($A110="","",IF(countif('Mens Lineup'!O$3:O1000,CONCATENATE("=",$A110))=0,"",O$2))</f>
        <v/>
      </c>
      <c r="P110" s="3" t="str">
        <f>IF($A110="","",IF(countif('Mens Lineup'!P$3:P1000,CONCATENATE("=",$A110))=0,"",P$2))</f>
        <v/>
      </c>
      <c r="Q110" s="3" t="str">
        <f>IF($A110="","",IF(countif('Mens Lineup'!Q$3:Q1000,CONCATENATE("=",$A110))=0,"",Q$2))</f>
        <v/>
      </c>
      <c r="R110" s="3" t="str">
        <f>IF($A110="","",IF(countif('Mens Lineup'!R$3:R1000,CONCATENATE("=",$A110))=0,"",R$2))</f>
        <v/>
      </c>
      <c r="S110" s="3" t="str">
        <f>IF($A110="","",IF(countif('Mens Lineup'!S$3:S1000,CONCATENATE("=",$A110))=0,"",S$2))</f>
        <v/>
      </c>
      <c r="W110" s="3" t="str">
        <f>IFERROR(__xludf.DUMMYFUNCTION("JOIN("","",FILTER(B110:S110,B110:S110&lt;&gt;""""))"),"100 Free,200 Free,100 Back,200 Back,100 Fly,200 Fly")</f>
        <v>100 Free,200 Free,100 Back,200 Back,100 Fly,200 Fly</v>
      </c>
    </row>
    <row r="111">
      <c r="A111" s="3" t="s">
        <v>138</v>
      </c>
      <c r="B111" s="3" t="str">
        <f>IF($A111="","",IF(countif('Mens Lineup'!B$3:B1000,CONCATENATE("=",$A111))=0,"",B$2))</f>
        <v/>
      </c>
      <c r="C111" s="3" t="str">
        <f>IF($A111="","",IF(countif('Mens Lineup'!C$3:C1000,CONCATENATE("=",$A111))=0,"",C$2))</f>
        <v>100 Free</v>
      </c>
      <c r="D111" s="3" t="str">
        <f>IF($A111="","",IF(countif('Mens Lineup'!D$3:D1000,CONCATENATE("=",$A111))=0,"",D$2))</f>
        <v>200 Free</v>
      </c>
      <c r="E111" s="3" t="str">
        <f>IF($A111="","",IF(countif('Mens Lineup'!E$3:E1000,CONCATENATE("=",$A111))=0,"",E$2))</f>
        <v>500 Free</v>
      </c>
      <c r="F111" s="3" t="str">
        <f>IF($A111="","",IF(countif('Mens Lineup'!F$3:F1000,CONCATENATE("=",$A111))=0,"",F$2))</f>
        <v/>
      </c>
      <c r="G111" s="3" t="str">
        <f>IF($A111="","",IF(countif('Mens Lineup'!G$3:G1000,CONCATENATE("=",$A111))=0,"",G$2))</f>
        <v>100 Back</v>
      </c>
      <c r="H111" s="3" t="str">
        <f>IF($A111="","",IF(countif('Mens Lineup'!H$3:H1000,CONCATENATE("=",$A111))=0,"",H$2))</f>
        <v>200 Back</v>
      </c>
      <c r="I111" s="3" t="str">
        <f>IF($A111="","",IF(countif('Mens Lineup'!I$3:I1000,CONCATENATE("=",$A111))=0,"",I$2))</f>
        <v/>
      </c>
      <c r="J111" s="3" t="str">
        <f>IF($A111="","",IF(countif('Mens Lineup'!J$3:J1000,CONCATENATE("=",$A111))=0,"",J$2))</f>
        <v/>
      </c>
      <c r="K111" s="3" t="str">
        <f>IF($A111="","",IF(countif('Mens Lineup'!K$3:K1000,CONCATENATE("=",$A111))=0,"",K$2))</f>
        <v/>
      </c>
      <c r="L111" s="3" t="str">
        <f>IF($A111="","",IF(countif('Mens Lineup'!L$3:L1000,CONCATENATE("=",$A111))=0,"",L$2))</f>
        <v/>
      </c>
      <c r="M111" s="3" t="str">
        <f>IF($A111="","",IF(countif('Mens Lineup'!M$3:M1000,CONCATENATE("=",$A111))=0,"",M$2))</f>
        <v/>
      </c>
      <c r="N111" s="3" t="str">
        <f>IF($A111="","",IF(countif('Mens Lineup'!N$3:N1000,CONCATENATE("=",$A111))=0,"",N$2))</f>
        <v>400 IM</v>
      </c>
      <c r="O111" s="3" t="str">
        <f>IF($A111="","",IF(countif('Mens Lineup'!O$3:O1000,CONCATENATE("=",$A111))=0,"",O$2))</f>
        <v/>
      </c>
      <c r="P111" s="3" t="str">
        <f>IF($A111="","",IF(countif('Mens Lineup'!P$3:P1000,CONCATENATE("=",$A111))=0,"",P$2))</f>
        <v/>
      </c>
      <c r="Q111" s="3" t="str">
        <f>IF($A111="","",IF(countif('Mens Lineup'!Q$3:Q1000,CONCATENATE("=",$A111))=0,"",Q$2))</f>
        <v/>
      </c>
      <c r="R111" s="3" t="str">
        <f>IF($A111="","",IF(countif('Mens Lineup'!R$3:R1000,CONCATENATE("=",$A111))=0,"",R$2))</f>
        <v/>
      </c>
      <c r="S111" s="3" t="str">
        <f>IF($A111="","",IF(countif('Mens Lineup'!S$3:S1000,CONCATENATE("=",$A111))=0,"",S$2))</f>
        <v/>
      </c>
      <c r="W111" s="3" t="str">
        <f>IFERROR(__xludf.DUMMYFUNCTION("JOIN("","",FILTER(B111:S111,B111:S111&lt;&gt;""""))"),"100 Free,200 Free,500 Free,100 Back,200 Back,400 IM")</f>
        <v>100 Free,200 Free,500 Free,100 Back,200 Back,400 IM</v>
      </c>
    </row>
    <row r="112">
      <c r="A112" s="3" t="s">
        <v>139</v>
      </c>
      <c r="B112" s="3" t="str">
        <f>IF($A112="","",IF(countif('Mens Lineup'!B$3:B1000,CONCATENATE("=",$A112))=0,"",B$2))</f>
        <v/>
      </c>
      <c r="C112" s="3" t="str">
        <f>IF($A112="","",IF(countif('Mens Lineup'!C$3:C1000,CONCATENATE("=",$A112))=0,"",C$2))</f>
        <v>100 Free</v>
      </c>
      <c r="D112" s="3" t="str">
        <f>IF($A112="","",IF(countif('Mens Lineup'!D$3:D1000,CONCATENATE("=",$A112))=0,"",D$2))</f>
        <v>200 Free</v>
      </c>
      <c r="E112" s="3" t="str">
        <f>IF($A112="","",IF(countif('Mens Lineup'!E$3:E1000,CONCATENATE("=",$A112))=0,"",E$2))</f>
        <v/>
      </c>
      <c r="F112" s="3" t="str">
        <f>IF($A112="","",IF(countif('Mens Lineup'!F$3:F1000,CONCATENATE("=",$A112))=0,"",F$2))</f>
        <v/>
      </c>
      <c r="G112" s="3" t="str">
        <f>IF($A112="","",IF(countif('Mens Lineup'!G$3:G1000,CONCATENATE("=",$A112))=0,"",G$2))</f>
        <v/>
      </c>
      <c r="H112" s="3" t="str">
        <f>IF($A112="","",IF(countif('Mens Lineup'!H$3:H1000,CONCATENATE("=",$A112))=0,"",H$2))</f>
        <v/>
      </c>
      <c r="I112" s="3" t="str">
        <f>IF($A112="","",IF(countif('Mens Lineup'!I$3:I1000,CONCATENATE("=",$A112))=0,"",I$2))</f>
        <v/>
      </c>
      <c r="J112" s="3" t="str">
        <f>IF($A112="","",IF(countif('Mens Lineup'!J$3:J1000,CONCATENATE("=",$A112))=0,"",J$2))</f>
        <v/>
      </c>
      <c r="K112" s="3" t="str">
        <f>IF($A112="","",IF(countif('Mens Lineup'!K$3:K1000,CONCATENATE("=",$A112))=0,"",K$2))</f>
        <v>100 Fly</v>
      </c>
      <c r="L112" s="3" t="str">
        <f>IF($A112="","",IF(countif('Mens Lineup'!L$3:L1000,CONCATENATE("=",$A112))=0,"",L$2))</f>
        <v/>
      </c>
      <c r="M112" s="3" t="str">
        <f>IF($A112="","",IF(countif('Mens Lineup'!M$3:M1000,CONCATENATE("=",$A112))=0,"",M$2))</f>
        <v>200 IM</v>
      </c>
      <c r="N112" s="3" t="str">
        <f>IF($A112="","",IF(countif('Mens Lineup'!N$3:N1000,CONCATENATE("=",$A112))=0,"",N$2))</f>
        <v/>
      </c>
      <c r="O112" s="3" t="str">
        <f>IF($A112="","",IF(countif('Mens Lineup'!O$3:O1000,CONCATENATE("=",$A112))=0,"",O$2))</f>
        <v/>
      </c>
      <c r="P112" s="3" t="str">
        <f>IF($A112="","",IF(countif('Mens Lineup'!P$3:P1000,CONCATENATE("=",$A112))=0,"",P$2))</f>
        <v/>
      </c>
      <c r="Q112" s="3" t="str">
        <f>IF($A112="","",IF(countif('Mens Lineup'!Q$3:Q1000,CONCATENATE("=",$A112))=0,"",Q$2))</f>
        <v/>
      </c>
      <c r="R112" s="3" t="str">
        <f>IF($A112="","",IF(countif('Mens Lineup'!R$3:R1000,CONCATENATE("=",$A112))=0,"",R$2))</f>
        <v/>
      </c>
      <c r="S112" s="3" t="str">
        <f>IF($A112="","",IF(countif('Mens Lineup'!S$3:S1000,CONCATENATE("=",$A112))=0,"",S$2))</f>
        <v/>
      </c>
      <c r="W112" s="3" t="str">
        <f>IFERROR(__xludf.DUMMYFUNCTION("JOIN("","",FILTER(B112:S112,B112:S112&lt;&gt;""""))"),"100 Free,200 Free,100 Fly,200 IM")</f>
        <v>100 Free,200 Free,100 Fly,200 IM</v>
      </c>
    </row>
    <row r="113">
      <c r="A113" s="3" t="s">
        <v>140</v>
      </c>
      <c r="B113" s="3" t="str">
        <f>IF($A113="","",IF(countif('Mens Lineup'!B$3:B1000,CONCATENATE("=",$A113))=0,"",B$2))</f>
        <v/>
      </c>
      <c r="C113" s="3" t="str">
        <f>IF($A113="","",IF(countif('Mens Lineup'!C$3:C1000,CONCATENATE("=",$A113))=0,"",C$2))</f>
        <v>100 Free</v>
      </c>
      <c r="D113" s="3" t="str">
        <f>IF($A113="","",IF(countif('Mens Lineup'!D$3:D1000,CONCATENATE("=",$A113))=0,"",D$2))</f>
        <v>200 Free</v>
      </c>
      <c r="E113" s="3" t="str">
        <f>IF($A113="","",IF(countif('Mens Lineup'!E$3:E1000,CONCATENATE("=",$A113))=0,"",E$2))</f>
        <v/>
      </c>
      <c r="F113" s="3" t="str">
        <f>IF($A113="","",IF(countif('Mens Lineup'!F$3:F1000,CONCATENATE("=",$A113))=0,"",F$2))</f>
        <v/>
      </c>
      <c r="G113" s="3" t="str">
        <f>IF($A113="","",IF(countif('Mens Lineup'!G$3:G1000,CONCATENATE("=",$A113))=0,"",G$2))</f>
        <v>100 Back</v>
      </c>
      <c r="H113" s="3" t="str">
        <f>IF($A113="","",IF(countif('Mens Lineup'!H$3:H1000,CONCATENATE("=",$A113))=0,"",H$2))</f>
        <v>200 Back</v>
      </c>
      <c r="I113" s="3" t="str">
        <f>IF($A113="","",IF(countif('Mens Lineup'!I$3:I1000,CONCATENATE("=",$A113))=0,"",I$2))</f>
        <v/>
      </c>
      <c r="J113" s="3" t="str">
        <f>IF($A113="","",IF(countif('Mens Lineup'!J$3:J1000,CONCATENATE("=",$A113))=0,"",J$2))</f>
        <v/>
      </c>
      <c r="K113" s="3" t="str">
        <f>IF($A113="","",IF(countif('Mens Lineup'!K$3:K1000,CONCATENATE("=",$A113))=0,"",K$2))</f>
        <v>100 Fly</v>
      </c>
      <c r="L113" s="3" t="str">
        <f>IF($A113="","",IF(countif('Mens Lineup'!L$3:L1000,CONCATENATE("=",$A113))=0,"",L$2))</f>
        <v>200 Fly</v>
      </c>
      <c r="M113" s="3" t="str">
        <f>IF($A113="","",IF(countif('Mens Lineup'!M$3:M1000,CONCATENATE("=",$A113))=0,"",M$2))</f>
        <v/>
      </c>
      <c r="N113" s="3" t="str">
        <f>IF($A113="","",IF(countif('Mens Lineup'!N$3:N1000,CONCATENATE("=",$A113))=0,"",N$2))</f>
        <v/>
      </c>
      <c r="O113" s="3" t="str">
        <f>IF($A113="","",IF(countif('Mens Lineup'!O$3:O1000,CONCATENATE("=",$A113))=0,"",O$2))</f>
        <v/>
      </c>
      <c r="P113" s="3" t="str">
        <f>IF($A113="","",IF(countif('Mens Lineup'!P$3:P1000,CONCATENATE("=",$A113))=0,"",P$2))</f>
        <v/>
      </c>
      <c r="Q113" s="3" t="str">
        <f>IF($A113="","",IF(countif('Mens Lineup'!Q$3:Q1000,CONCATENATE("=",$A113))=0,"",Q$2))</f>
        <v/>
      </c>
      <c r="R113" s="3" t="str">
        <f>IF($A113="","",IF(countif('Mens Lineup'!R$3:R1000,CONCATENATE("=",$A113))=0,"",R$2))</f>
        <v/>
      </c>
      <c r="S113" s="3" t="str">
        <f>IF($A113="","",IF(countif('Mens Lineup'!S$3:S1000,CONCATENATE("=",$A113))=0,"",S$2))</f>
        <v/>
      </c>
      <c r="W113" s="3" t="str">
        <f>IFERROR(__xludf.DUMMYFUNCTION("JOIN("","",FILTER(B113:S113,B113:S113&lt;&gt;""""))"),"100 Free,200 Free,100 Back,200 Back,100 Fly,200 Fly")</f>
        <v>100 Free,200 Free,100 Back,200 Back,100 Fly,200 Fly</v>
      </c>
    </row>
    <row r="114">
      <c r="A114" s="3" t="s">
        <v>141</v>
      </c>
      <c r="B114" s="3" t="str">
        <f>IF($A114="","",IF(countif('Mens Lineup'!B$3:B1000,CONCATENATE("=",$A114))=0,"",B$2))</f>
        <v/>
      </c>
      <c r="C114" s="3" t="str">
        <f>IF($A114="","",IF(countif('Mens Lineup'!C$3:C1000,CONCATENATE("=",$A114))=0,"",C$2))</f>
        <v>100 Free</v>
      </c>
      <c r="D114" s="3" t="str">
        <f>IF($A114="","",IF(countif('Mens Lineup'!D$3:D1000,CONCATENATE("=",$A114))=0,"",D$2))</f>
        <v/>
      </c>
      <c r="E114" s="3" t="str">
        <f>IF($A114="","",IF(countif('Mens Lineup'!E$3:E1000,CONCATENATE("=",$A114))=0,"",E$2))</f>
        <v/>
      </c>
      <c r="F114" s="3" t="str">
        <f>IF($A114="","",IF(countif('Mens Lineup'!F$3:F1000,CONCATENATE("=",$A114))=0,"",F$2))</f>
        <v/>
      </c>
      <c r="G114" s="3" t="str">
        <f>IF($A114="","",IF(countif('Mens Lineup'!G$3:G1000,CONCATENATE("=",$A114))=0,"",G$2))</f>
        <v/>
      </c>
      <c r="H114" s="3" t="str">
        <f>IF($A114="","",IF(countif('Mens Lineup'!H$3:H1000,CONCATENATE("=",$A114))=0,"",H$2))</f>
        <v/>
      </c>
      <c r="I114" s="3" t="str">
        <f>IF($A114="","",IF(countif('Mens Lineup'!I$3:I1000,CONCATENATE("=",$A114))=0,"",I$2))</f>
        <v/>
      </c>
      <c r="J114" s="3" t="str">
        <f>IF($A114="","",IF(countif('Mens Lineup'!J$3:J1000,CONCATENATE("=",$A114))=0,"",J$2))</f>
        <v>200 Breast</v>
      </c>
      <c r="K114" s="3" t="str">
        <f>IF($A114="","",IF(countif('Mens Lineup'!K$3:K1000,CONCATENATE("=",$A114))=0,"",K$2))</f>
        <v>100 Fly</v>
      </c>
      <c r="L114" s="3" t="str">
        <f>IF($A114="","",IF(countif('Mens Lineup'!L$3:L1000,CONCATENATE("=",$A114))=0,"",L$2))</f>
        <v>200 Fly</v>
      </c>
      <c r="M114" s="3" t="str">
        <f>IF($A114="","",IF(countif('Mens Lineup'!M$3:M1000,CONCATENATE("=",$A114))=0,"",M$2))</f>
        <v>200 IM</v>
      </c>
      <c r="N114" s="3" t="str">
        <f>IF($A114="","",IF(countif('Mens Lineup'!N$3:N1000,CONCATENATE("=",$A114))=0,"",N$2))</f>
        <v>400 IM</v>
      </c>
      <c r="O114" s="3" t="str">
        <f>IF($A114="","",IF(countif('Mens Lineup'!O$3:O1000,CONCATENATE("=",$A114))=0,"",O$2))</f>
        <v/>
      </c>
      <c r="P114" s="3" t="str">
        <f>IF($A114="","",IF(countif('Mens Lineup'!P$3:P1000,CONCATENATE("=",$A114))=0,"",P$2))</f>
        <v/>
      </c>
      <c r="Q114" s="3" t="str">
        <f>IF($A114="","",IF(countif('Mens Lineup'!Q$3:Q1000,CONCATENATE("=",$A114))=0,"",Q$2))</f>
        <v/>
      </c>
      <c r="R114" s="3" t="str">
        <f>IF($A114="","",IF(countif('Mens Lineup'!R$3:R1000,CONCATENATE("=",$A114))=0,"",R$2))</f>
        <v/>
      </c>
      <c r="S114" s="3" t="str">
        <f>IF($A114="","",IF(countif('Mens Lineup'!S$3:S1000,CONCATENATE("=",$A114))=0,"",S$2))</f>
        <v/>
      </c>
      <c r="W114" s="3" t="str">
        <f>IFERROR(__xludf.DUMMYFUNCTION("JOIN("","",FILTER(B114:S114,B114:S114&lt;&gt;""""))"),"100 Free,200 Breast,100 Fly,200 Fly,200 IM,400 IM")</f>
        <v>100 Free,200 Breast,100 Fly,200 Fly,200 IM,400 IM</v>
      </c>
    </row>
    <row r="115">
      <c r="A115" s="3" t="s">
        <v>142</v>
      </c>
      <c r="B115" s="3" t="str">
        <f>IF($A115="","",IF(countif('Mens Lineup'!B$3:B1000,CONCATENATE("=",$A115))=0,"",B$2))</f>
        <v/>
      </c>
      <c r="C115" s="3" t="str">
        <f>IF($A115="","",IF(countif('Mens Lineup'!C$3:C1000,CONCATENATE("=",$A115))=0,"",C$2))</f>
        <v>100 Free</v>
      </c>
      <c r="D115" s="3" t="str">
        <f>IF($A115="","",IF(countif('Mens Lineup'!D$3:D1000,CONCATENATE("=",$A115))=0,"",D$2))</f>
        <v>200 Free</v>
      </c>
      <c r="E115" s="3" t="str">
        <f>IF($A115="","",IF(countif('Mens Lineup'!E$3:E1000,CONCATENATE("=",$A115))=0,"",E$2))</f>
        <v/>
      </c>
      <c r="F115" s="3" t="str">
        <f>IF($A115="","",IF(countif('Mens Lineup'!F$3:F1000,CONCATENATE("=",$A115))=0,"",F$2))</f>
        <v/>
      </c>
      <c r="G115" s="3" t="str">
        <f>IF($A115="","",IF(countif('Mens Lineup'!G$3:G1000,CONCATENATE("=",$A115))=0,"",G$2))</f>
        <v>100 Back</v>
      </c>
      <c r="H115" s="3" t="str">
        <f>IF($A115="","",IF(countif('Mens Lineup'!H$3:H1000,CONCATENATE("=",$A115))=0,"",H$2))</f>
        <v/>
      </c>
      <c r="I115" s="3" t="str">
        <f>IF($A115="","",IF(countif('Mens Lineup'!I$3:I1000,CONCATENATE("=",$A115))=0,"",I$2))</f>
        <v/>
      </c>
      <c r="J115" s="3" t="str">
        <f>IF($A115="","",IF(countif('Mens Lineup'!J$3:J1000,CONCATENATE("=",$A115))=0,"",J$2))</f>
        <v/>
      </c>
      <c r="K115" s="3" t="str">
        <f>IF($A115="","",IF(countif('Mens Lineup'!K$3:K1000,CONCATENATE("=",$A115))=0,"",K$2))</f>
        <v>100 Fly</v>
      </c>
      <c r="L115" s="3" t="str">
        <f>IF($A115="","",IF(countif('Mens Lineup'!L$3:L1000,CONCATENATE("=",$A115))=0,"",L$2))</f>
        <v>200 Fly</v>
      </c>
      <c r="M115" s="3" t="str">
        <f>IF($A115="","",IF(countif('Mens Lineup'!M$3:M1000,CONCATENATE("=",$A115))=0,"",M$2))</f>
        <v>200 IM</v>
      </c>
      <c r="N115" s="3" t="str">
        <f>IF($A115="","",IF(countif('Mens Lineup'!N$3:N1000,CONCATENATE("=",$A115))=0,"",N$2))</f>
        <v/>
      </c>
      <c r="O115" s="3" t="str">
        <f>IF($A115="","",IF(countif('Mens Lineup'!O$3:O1000,CONCATENATE("=",$A115))=0,"",O$2))</f>
        <v/>
      </c>
      <c r="P115" s="3" t="str">
        <f>IF($A115="","",IF(countif('Mens Lineup'!P$3:P1000,CONCATENATE("=",$A115))=0,"",P$2))</f>
        <v/>
      </c>
      <c r="Q115" s="3" t="str">
        <f>IF($A115="","",IF(countif('Mens Lineup'!Q$3:Q1000,CONCATENATE("=",$A115))=0,"",Q$2))</f>
        <v/>
      </c>
      <c r="R115" s="3" t="str">
        <f>IF($A115="","",IF(countif('Mens Lineup'!R$3:R1000,CONCATENATE("=",$A115))=0,"",R$2))</f>
        <v/>
      </c>
      <c r="S115" s="3" t="str">
        <f>IF($A115="","",IF(countif('Mens Lineup'!S$3:S1000,CONCATENATE("=",$A115))=0,"",S$2))</f>
        <v/>
      </c>
      <c r="W115" s="3" t="str">
        <f>IFERROR(__xludf.DUMMYFUNCTION("JOIN("","",FILTER(B115:S115,B115:S115&lt;&gt;""""))"),"100 Free,200 Free,100 Back,100 Fly,200 Fly,200 IM")</f>
        <v>100 Free,200 Free,100 Back,100 Fly,200 Fly,200 IM</v>
      </c>
    </row>
    <row r="116">
      <c r="A116" s="3" t="s">
        <v>143</v>
      </c>
      <c r="B116" s="3" t="str">
        <f>IF($A116="","",IF(countif('Mens Lineup'!B$3:B1000,CONCATENATE("=",$A116))=0,"",B$2))</f>
        <v/>
      </c>
      <c r="C116" s="3" t="str">
        <f>IF($A116="","",IF(countif('Mens Lineup'!C$3:C1000,CONCATENATE("=",$A116))=0,"",C$2))</f>
        <v>100 Free</v>
      </c>
      <c r="D116" s="3" t="str">
        <f>IF($A116="","",IF(countif('Mens Lineup'!D$3:D1000,CONCATENATE("=",$A116))=0,"",D$2))</f>
        <v/>
      </c>
      <c r="E116" s="3" t="str">
        <f>IF($A116="","",IF(countif('Mens Lineup'!E$3:E1000,CONCATENATE("=",$A116))=0,"",E$2))</f>
        <v/>
      </c>
      <c r="F116" s="3" t="str">
        <f>IF($A116="","",IF(countif('Mens Lineup'!F$3:F1000,CONCATENATE("=",$A116))=0,"",F$2))</f>
        <v/>
      </c>
      <c r="G116" s="3" t="str">
        <f>IF($A116="","",IF(countif('Mens Lineup'!G$3:G1000,CONCATENATE("=",$A116))=0,"",G$2))</f>
        <v/>
      </c>
      <c r="H116" s="3" t="str">
        <f>IF($A116="","",IF(countif('Mens Lineup'!H$3:H1000,CONCATENATE("=",$A116))=0,"",H$2))</f>
        <v/>
      </c>
      <c r="I116" s="3" t="str">
        <f>IF($A116="","",IF(countif('Mens Lineup'!I$3:I1000,CONCATENATE("=",$A116))=0,"",I$2))</f>
        <v>100 Breast</v>
      </c>
      <c r="J116" s="3" t="str">
        <f>IF($A116="","",IF(countif('Mens Lineup'!J$3:J1000,CONCATENATE("=",$A116))=0,"",J$2))</f>
        <v>200 Breast</v>
      </c>
      <c r="K116" s="3" t="str">
        <f>IF($A116="","",IF(countif('Mens Lineup'!K$3:K1000,CONCATENATE("=",$A116))=0,"",K$2))</f>
        <v/>
      </c>
      <c r="L116" s="3" t="str">
        <f>IF($A116="","",IF(countif('Mens Lineup'!L$3:L1000,CONCATENATE("=",$A116))=0,"",L$2))</f>
        <v/>
      </c>
      <c r="M116" s="3" t="str">
        <f>IF($A116="","",IF(countif('Mens Lineup'!M$3:M1000,CONCATENATE("=",$A116))=0,"",M$2))</f>
        <v>200 IM</v>
      </c>
      <c r="N116" s="3" t="str">
        <f>IF($A116="","",IF(countif('Mens Lineup'!N$3:N1000,CONCATENATE("=",$A116))=0,"",N$2))</f>
        <v>400 IM</v>
      </c>
      <c r="O116" s="3" t="str">
        <f>IF($A116="","",IF(countif('Mens Lineup'!O$3:O1000,CONCATENATE("=",$A116))=0,"",O$2))</f>
        <v/>
      </c>
      <c r="P116" s="3" t="str">
        <f>IF($A116="","",IF(countif('Mens Lineup'!P$3:P1000,CONCATENATE("=",$A116))=0,"",P$2))</f>
        <v/>
      </c>
      <c r="Q116" s="3" t="str">
        <f>IF($A116="","",IF(countif('Mens Lineup'!Q$3:Q1000,CONCATENATE("=",$A116))=0,"",Q$2))</f>
        <v/>
      </c>
      <c r="R116" s="3" t="str">
        <f>IF($A116="","",IF(countif('Mens Lineup'!R$3:R1000,CONCATENATE("=",$A116))=0,"",R$2))</f>
        <v/>
      </c>
      <c r="S116" s="3" t="str">
        <f>IF($A116="","",IF(countif('Mens Lineup'!S$3:S1000,CONCATENATE("=",$A116))=0,"",S$2))</f>
        <v/>
      </c>
      <c r="W116" s="3" t="str">
        <f>IFERROR(__xludf.DUMMYFUNCTION("JOIN("","",FILTER(B116:S116,B116:S116&lt;&gt;""""))"),"100 Free,100 Breast,200 Breast,200 IM,400 IM")</f>
        <v>100 Free,100 Breast,200 Breast,200 IM,400 IM</v>
      </c>
    </row>
    <row r="117">
      <c r="A117" s="3" t="s">
        <v>144</v>
      </c>
      <c r="B117" s="3" t="str">
        <f>IF($A117="","",IF(countif('Mens Lineup'!B$3:B1000,CONCATENATE("=",$A117))=0,"",B$2))</f>
        <v/>
      </c>
      <c r="C117" s="3" t="str">
        <f>IF($A117="","",IF(countif('Mens Lineup'!C$3:C1000,CONCATENATE("=",$A117))=0,"",C$2))</f>
        <v>100 Free</v>
      </c>
      <c r="D117" s="3" t="str">
        <f>IF($A117="","",IF(countif('Mens Lineup'!D$3:D1000,CONCATENATE("=",$A117))=0,"",D$2))</f>
        <v>200 Free</v>
      </c>
      <c r="E117" s="3" t="str">
        <f>IF($A117="","",IF(countif('Mens Lineup'!E$3:E1000,CONCATENATE("=",$A117))=0,"",E$2))</f>
        <v>500 Free</v>
      </c>
      <c r="F117" s="3" t="str">
        <f>IF($A117="","",IF(countif('Mens Lineup'!F$3:F1000,CONCATENATE("=",$A117))=0,"",F$2))</f>
        <v/>
      </c>
      <c r="G117" s="3" t="str">
        <f>IF($A117="","",IF(countif('Mens Lineup'!G$3:G1000,CONCATENATE("=",$A117))=0,"",G$2))</f>
        <v/>
      </c>
      <c r="H117" s="3" t="str">
        <f>IF($A117="","",IF(countif('Mens Lineup'!H$3:H1000,CONCATENATE("=",$A117))=0,"",H$2))</f>
        <v/>
      </c>
      <c r="I117" s="3" t="str">
        <f>IF($A117="","",IF(countif('Mens Lineup'!I$3:I1000,CONCATENATE("=",$A117))=0,"",I$2))</f>
        <v/>
      </c>
      <c r="J117" s="3" t="str">
        <f>IF($A117="","",IF(countif('Mens Lineup'!J$3:J1000,CONCATENATE("=",$A117))=0,"",J$2))</f>
        <v/>
      </c>
      <c r="K117" s="3" t="str">
        <f>IF($A117="","",IF(countif('Mens Lineup'!K$3:K1000,CONCATENATE("=",$A117))=0,"",K$2))</f>
        <v>100 Fly</v>
      </c>
      <c r="L117" s="3" t="str">
        <f>IF($A117="","",IF(countif('Mens Lineup'!L$3:L1000,CONCATENATE("=",$A117))=0,"",L$2))</f>
        <v>200 Fly</v>
      </c>
      <c r="M117" s="3" t="str">
        <f>IF($A117="","",IF(countif('Mens Lineup'!M$3:M1000,CONCATENATE("=",$A117))=0,"",M$2))</f>
        <v>200 IM</v>
      </c>
      <c r="N117" s="3" t="str">
        <f>IF($A117="","",IF(countif('Mens Lineup'!N$3:N1000,CONCATENATE("=",$A117))=0,"",N$2))</f>
        <v/>
      </c>
      <c r="O117" s="3" t="str">
        <f>IF($A117="","",IF(countif('Mens Lineup'!O$3:O1000,CONCATENATE("=",$A117))=0,"",O$2))</f>
        <v/>
      </c>
      <c r="P117" s="3" t="str">
        <f>IF($A117="","",IF(countif('Mens Lineup'!P$3:P1000,CONCATENATE("=",$A117))=0,"",P$2))</f>
        <v/>
      </c>
      <c r="Q117" s="3" t="str">
        <f>IF($A117="","",IF(countif('Mens Lineup'!Q$3:Q1000,CONCATENATE("=",$A117))=0,"",Q$2))</f>
        <v/>
      </c>
      <c r="R117" s="3" t="str">
        <f>IF($A117="","",IF(countif('Mens Lineup'!R$3:R1000,CONCATENATE("=",$A117))=0,"",R$2))</f>
        <v/>
      </c>
      <c r="S117" s="3" t="str">
        <f>IF($A117="","",IF(countif('Mens Lineup'!S$3:S1000,CONCATENATE("=",$A117))=0,"",S$2))</f>
        <v/>
      </c>
      <c r="W117" s="3" t="str">
        <f>IFERROR(__xludf.DUMMYFUNCTION("JOIN("","",FILTER(B117:S117,B117:S117&lt;&gt;""""))"),"100 Free,200 Free,500 Free,100 Fly,200 Fly,200 IM")</f>
        <v>100 Free,200 Free,500 Free,100 Fly,200 Fly,200 IM</v>
      </c>
    </row>
    <row r="118">
      <c r="A118" s="3" t="s">
        <v>145</v>
      </c>
      <c r="B118" s="3" t="str">
        <f>IF($A118="","",IF(countif('Mens Lineup'!B$3:B1000,CONCATENATE("=",$A118))=0,"",B$2))</f>
        <v/>
      </c>
      <c r="C118" s="3" t="str">
        <f>IF($A118="","",IF(countif('Mens Lineup'!C$3:C1000,CONCATENATE("=",$A118))=0,"",C$2))</f>
        <v>100 Free</v>
      </c>
      <c r="D118" s="3" t="str">
        <f>IF($A118="","",IF(countif('Mens Lineup'!D$3:D1000,CONCATENATE("=",$A118))=0,"",D$2))</f>
        <v/>
      </c>
      <c r="E118" s="3" t="str">
        <f>IF($A118="","",IF(countif('Mens Lineup'!E$3:E1000,CONCATENATE("=",$A118))=0,"",E$2))</f>
        <v/>
      </c>
      <c r="F118" s="3" t="str">
        <f>IF($A118="","",IF(countif('Mens Lineup'!F$3:F1000,CONCATENATE("=",$A118))=0,"",F$2))</f>
        <v/>
      </c>
      <c r="G118" s="3" t="str">
        <f>IF($A118="","",IF(countif('Mens Lineup'!G$3:G1000,CONCATENATE("=",$A118))=0,"",G$2))</f>
        <v/>
      </c>
      <c r="H118" s="3" t="str">
        <f>IF($A118="","",IF(countif('Mens Lineup'!H$3:H1000,CONCATENATE("=",$A118))=0,"",H$2))</f>
        <v/>
      </c>
      <c r="I118" s="3" t="str">
        <f>IF($A118="","",IF(countif('Mens Lineup'!I$3:I1000,CONCATENATE("=",$A118))=0,"",I$2))</f>
        <v/>
      </c>
      <c r="J118" s="3" t="str">
        <f>IF($A118="","",IF(countif('Mens Lineup'!J$3:J1000,CONCATENATE("=",$A118))=0,"",J$2))</f>
        <v>200 Breast</v>
      </c>
      <c r="K118" s="3" t="str">
        <f>IF($A118="","",IF(countif('Mens Lineup'!K$3:K1000,CONCATENATE("=",$A118))=0,"",K$2))</f>
        <v/>
      </c>
      <c r="L118" s="3" t="str">
        <f>IF($A118="","",IF(countif('Mens Lineup'!L$3:L1000,CONCATENATE("=",$A118))=0,"",L$2))</f>
        <v/>
      </c>
      <c r="M118" s="3" t="str">
        <f>IF($A118="","",IF(countif('Mens Lineup'!M$3:M1000,CONCATENATE("=",$A118))=0,"",M$2))</f>
        <v>200 IM</v>
      </c>
      <c r="N118" s="3" t="str">
        <f>IF($A118="","",IF(countif('Mens Lineup'!N$3:N1000,CONCATENATE("=",$A118))=0,"",N$2))</f>
        <v/>
      </c>
      <c r="O118" s="3" t="str">
        <f>IF($A118="","",IF(countif('Mens Lineup'!O$3:O1000,CONCATENATE("=",$A118))=0,"",O$2))</f>
        <v/>
      </c>
      <c r="P118" s="3" t="str">
        <f>IF($A118="","",IF(countif('Mens Lineup'!P$3:P1000,CONCATENATE("=",$A118))=0,"",P$2))</f>
        <v/>
      </c>
      <c r="Q118" s="3" t="str">
        <f>IF($A118="","",IF(countif('Mens Lineup'!Q$3:Q1000,CONCATENATE("=",$A118))=0,"",Q$2))</f>
        <v/>
      </c>
      <c r="R118" s="3" t="str">
        <f>IF($A118="","",IF(countif('Mens Lineup'!R$3:R1000,CONCATENATE("=",$A118))=0,"",R$2))</f>
        <v/>
      </c>
      <c r="S118" s="3" t="str">
        <f>IF($A118="","",IF(countif('Mens Lineup'!S$3:S1000,CONCATENATE("=",$A118))=0,"",S$2))</f>
        <v/>
      </c>
      <c r="W118" s="3" t="str">
        <f>IFERROR(__xludf.DUMMYFUNCTION("JOIN("","",FILTER(B118:S118,B118:S118&lt;&gt;""""))"),"100 Free,200 Breast,200 IM")</f>
        <v>100 Free,200 Breast,200 IM</v>
      </c>
    </row>
    <row r="119">
      <c r="A119" s="3" t="s">
        <v>146</v>
      </c>
      <c r="B119" s="3" t="str">
        <f>IF($A119="","",IF(countif('Mens Lineup'!B$3:B1000,CONCATENATE("=",$A119))=0,"",B$2))</f>
        <v/>
      </c>
      <c r="C119" s="3" t="str">
        <f>IF($A119="","",IF(countif('Mens Lineup'!C$3:C1000,CONCATENATE("=",$A119))=0,"",C$2))</f>
        <v>100 Free</v>
      </c>
      <c r="D119" s="3" t="str">
        <f>IF($A119="","",IF(countif('Mens Lineup'!D$3:D1000,CONCATENATE("=",$A119))=0,"",D$2))</f>
        <v/>
      </c>
      <c r="E119" s="3" t="str">
        <f>IF($A119="","",IF(countif('Mens Lineup'!E$3:E1000,CONCATENATE("=",$A119))=0,"",E$2))</f>
        <v/>
      </c>
      <c r="F119" s="3" t="str">
        <f>IF($A119="","",IF(countif('Mens Lineup'!F$3:F1000,CONCATENATE("=",$A119))=0,"",F$2))</f>
        <v/>
      </c>
      <c r="G119" s="3" t="str">
        <f>IF($A119="","",IF(countif('Mens Lineup'!G$3:G1000,CONCATENATE("=",$A119))=0,"",G$2))</f>
        <v>100 Back</v>
      </c>
      <c r="H119" s="3" t="str">
        <f>IF($A119="","",IF(countif('Mens Lineup'!H$3:H1000,CONCATENATE("=",$A119))=0,"",H$2))</f>
        <v/>
      </c>
      <c r="I119" s="3" t="str">
        <f>IF($A119="","",IF(countif('Mens Lineup'!I$3:I1000,CONCATENATE("=",$A119))=0,"",I$2))</f>
        <v>100 Breast</v>
      </c>
      <c r="J119" s="3" t="str">
        <f>IF($A119="","",IF(countif('Mens Lineup'!J$3:J1000,CONCATENATE("=",$A119))=0,"",J$2))</f>
        <v>200 Breast</v>
      </c>
      <c r="K119" s="3" t="str">
        <f>IF($A119="","",IF(countif('Mens Lineup'!K$3:K1000,CONCATENATE("=",$A119))=0,"",K$2))</f>
        <v/>
      </c>
      <c r="L119" s="3" t="str">
        <f>IF($A119="","",IF(countif('Mens Lineup'!L$3:L1000,CONCATENATE("=",$A119))=0,"",L$2))</f>
        <v/>
      </c>
      <c r="M119" s="3" t="str">
        <f>IF($A119="","",IF(countif('Mens Lineup'!M$3:M1000,CONCATENATE("=",$A119))=0,"",M$2))</f>
        <v>200 IM</v>
      </c>
      <c r="N119" s="3" t="str">
        <f>IF($A119="","",IF(countif('Mens Lineup'!N$3:N1000,CONCATENATE("=",$A119))=0,"",N$2))</f>
        <v>400 IM</v>
      </c>
      <c r="O119" s="3" t="str">
        <f>IF($A119="","",IF(countif('Mens Lineup'!O$3:O1000,CONCATENATE("=",$A119))=0,"",O$2))</f>
        <v/>
      </c>
      <c r="P119" s="3" t="str">
        <f>IF($A119="","",IF(countif('Mens Lineup'!P$3:P1000,CONCATENATE("=",$A119))=0,"",P$2))</f>
        <v/>
      </c>
      <c r="Q119" s="3" t="str">
        <f>IF($A119="","",IF(countif('Mens Lineup'!Q$3:Q1000,CONCATENATE("=",$A119))=0,"",Q$2))</f>
        <v/>
      </c>
      <c r="R119" s="3" t="str">
        <f>IF($A119="","",IF(countif('Mens Lineup'!R$3:R1000,CONCATENATE("=",$A119))=0,"",R$2))</f>
        <v/>
      </c>
      <c r="S119" s="3" t="str">
        <f>IF($A119="","",IF(countif('Mens Lineup'!S$3:S1000,CONCATENATE("=",$A119))=0,"",S$2))</f>
        <v/>
      </c>
      <c r="W119" s="3" t="str">
        <f>IFERROR(__xludf.DUMMYFUNCTION("JOIN("","",FILTER(B119:S119,B119:S119&lt;&gt;""""))"),"100 Free,100 Back,100 Breast,200 Breast,200 IM,400 IM")</f>
        <v>100 Free,100 Back,100 Breast,200 Breast,200 IM,400 IM</v>
      </c>
    </row>
    <row r="120">
      <c r="A120" s="3" t="s">
        <v>147</v>
      </c>
      <c r="B120" s="3" t="str">
        <f>IF($A120="","",IF(countif('Mens Lineup'!B$3:B1000,CONCATENATE("=",$A120))=0,"",B$2))</f>
        <v/>
      </c>
      <c r="C120" s="3" t="str">
        <f>IF($A120="","",IF(countif('Mens Lineup'!C$3:C1000,CONCATENATE("=",$A120))=0,"",C$2))</f>
        <v>100 Free</v>
      </c>
      <c r="D120" s="3" t="str">
        <f>IF($A120="","",IF(countif('Mens Lineup'!D$3:D1000,CONCATENATE("=",$A120))=0,"",D$2))</f>
        <v/>
      </c>
      <c r="E120" s="3" t="str">
        <f>IF($A120="","",IF(countif('Mens Lineup'!E$3:E1000,CONCATENATE("=",$A120))=0,"",E$2))</f>
        <v/>
      </c>
      <c r="F120" s="3" t="str">
        <f>IF($A120="","",IF(countif('Mens Lineup'!F$3:F1000,CONCATENATE("=",$A120))=0,"",F$2))</f>
        <v/>
      </c>
      <c r="G120" s="3" t="str">
        <f>IF($A120="","",IF(countif('Mens Lineup'!G$3:G1000,CONCATENATE("=",$A120))=0,"",G$2))</f>
        <v>100 Back</v>
      </c>
      <c r="H120" s="3" t="str">
        <f>IF($A120="","",IF(countif('Mens Lineup'!H$3:H1000,CONCATENATE("=",$A120))=0,"",H$2))</f>
        <v/>
      </c>
      <c r="I120" s="3" t="str">
        <f>IF($A120="","",IF(countif('Mens Lineup'!I$3:I1000,CONCATENATE("=",$A120))=0,"",I$2))</f>
        <v>100 Breast</v>
      </c>
      <c r="J120" s="3" t="str">
        <f>IF($A120="","",IF(countif('Mens Lineup'!J$3:J1000,CONCATENATE("=",$A120))=0,"",J$2))</f>
        <v/>
      </c>
      <c r="K120" s="3" t="str">
        <f>IF($A120="","",IF(countif('Mens Lineup'!K$3:K1000,CONCATENATE("=",$A120))=0,"",K$2))</f>
        <v>100 Fly</v>
      </c>
      <c r="L120" s="3" t="str">
        <f>IF($A120="","",IF(countif('Mens Lineup'!L$3:L1000,CONCATENATE("=",$A120))=0,"",L$2))</f>
        <v>200 Fly</v>
      </c>
      <c r="M120" s="3" t="str">
        <f>IF($A120="","",IF(countif('Mens Lineup'!M$3:M1000,CONCATENATE("=",$A120))=0,"",M$2))</f>
        <v>200 IM</v>
      </c>
      <c r="N120" s="3" t="str">
        <f>IF($A120="","",IF(countif('Mens Lineup'!N$3:N1000,CONCATENATE("=",$A120))=0,"",N$2))</f>
        <v/>
      </c>
      <c r="O120" s="3" t="str">
        <f>IF($A120="","",IF(countif('Mens Lineup'!O$3:O1000,CONCATENATE("=",$A120))=0,"",O$2))</f>
        <v/>
      </c>
      <c r="P120" s="3" t="str">
        <f>IF($A120="","",IF(countif('Mens Lineup'!P$3:P1000,CONCATENATE("=",$A120))=0,"",P$2))</f>
        <v/>
      </c>
      <c r="Q120" s="3" t="str">
        <f>IF($A120="","",IF(countif('Mens Lineup'!Q$3:Q1000,CONCATENATE("=",$A120))=0,"",Q$2))</f>
        <v/>
      </c>
      <c r="R120" s="3" t="str">
        <f>IF($A120="","",IF(countif('Mens Lineup'!R$3:R1000,CONCATENATE("=",$A120))=0,"",R$2))</f>
        <v/>
      </c>
      <c r="S120" s="3" t="str">
        <f>IF($A120="","",IF(countif('Mens Lineup'!S$3:S1000,CONCATENATE("=",$A120))=0,"",S$2))</f>
        <v/>
      </c>
      <c r="W120" s="3" t="str">
        <f>IFERROR(__xludf.DUMMYFUNCTION("JOIN("","",FILTER(B120:S120,B120:S120&lt;&gt;""""))"),"100 Free,100 Back,100 Breast,100 Fly,200 Fly,200 IM")</f>
        <v>100 Free,100 Back,100 Breast,100 Fly,200 Fly,200 IM</v>
      </c>
    </row>
    <row r="121">
      <c r="A121" s="3" t="s">
        <v>148</v>
      </c>
      <c r="B121" s="3" t="str">
        <f>IF($A121="","",IF(countif('Mens Lineup'!B$3:B1000,CONCATENATE("=",$A121))=0,"",B$2))</f>
        <v/>
      </c>
      <c r="C121" s="3" t="str">
        <f>IF($A121="","",IF(countif('Mens Lineup'!C$3:C1000,CONCATENATE("=",$A121))=0,"",C$2))</f>
        <v>100 Free</v>
      </c>
      <c r="D121" s="3" t="str">
        <f>IF($A121="","",IF(countif('Mens Lineup'!D$3:D1000,CONCATENATE("=",$A121))=0,"",D$2))</f>
        <v/>
      </c>
      <c r="E121" s="3" t="str">
        <f>IF($A121="","",IF(countif('Mens Lineup'!E$3:E1000,CONCATENATE("=",$A121))=0,"",E$2))</f>
        <v/>
      </c>
      <c r="F121" s="3" t="str">
        <f>IF($A121="","",IF(countif('Mens Lineup'!F$3:F1000,CONCATENATE("=",$A121))=0,"",F$2))</f>
        <v/>
      </c>
      <c r="G121" s="3" t="str">
        <f>IF($A121="","",IF(countif('Mens Lineup'!G$3:G1000,CONCATENATE("=",$A121))=0,"",G$2))</f>
        <v>100 Back</v>
      </c>
      <c r="H121" s="3" t="str">
        <f>IF($A121="","",IF(countif('Mens Lineup'!H$3:H1000,CONCATENATE("=",$A121))=0,"",H$2))</f>
        <v/>
      </c>
      <c r="I121" s="3" t="str">
        <f>IF($A121="","",IF(countif('Mens Lineup'!I$3:I1000,CONCATENATE("=",$A121))=0,"",I$2))</f>
        <v>100 Breast</v>
      </c>
      <c r="J121" s="3" t="str">
        <f>IF($A121="","",IF(countif('Mens Lineup'!J$3:J1000,CONCATENATE("=",$A121))=0,"",J$2))</f>
        <v>200 Breast</v>
      </c>
      <c r="K121" s="3" t="str">
        <f>IF($A121="","",IF(countif('Mens Lineup'!K$3:K1000,CONCATENATE("=",$A121))=0,"",K$2))</f>
        <v>100 Fly</v>
      </c>
      <c r="L121" s="3" t="str">
        <f>IF($A121="","",IF(countif('Mens Lineup'!L$3:L1000,CONCATENATE("=",$A121))=0,"",L$2))</f>
        <v/>
      </c>
      <c r="M121" s="3" t="str">
        <f>IF($A121="","",IF(countif('Mens Lineup'!M$3:M1000,CONCATENATE("=",$A121))=0,"",M$2))</f>
        <v>200 IM</v>
      </c>
      <c r="N121" s="3" t="str">
        <f>IF($A121="","",IF(countif('Mens Lineup'!N$3:N1000,CONCATENATE("=",$A121))=0,"",N$2))</f>
        <v/>
      </c>
      <c r="O121" s="3" t="str">
        <f>IF($A121="","",IF(countif('Mens Lineup'!O$3:O1000,CONCATENATE("=",$A121))=0,"",O$2))</f>
        <v/>
      </c>
      <c r="P121" s="3" t="str">
        <f>IF($A121="","",IF(countif('Mens Lineup'!P$3:P1000,CONCATENATE("=",$A121))=0,"",P$2))</f>
        <v/>
      </c>
      <c r="Q121" s="3" t="str">
        <f>IF($A121="","",IF(countif('Mens Lineup'!Q$3:Q1000,CONCATENATE("=",$A121))=0,"",Q$2))</f>
        <v/>
      </c>
      <c r="R121" s="3" t="str">
        <f>IF($A121="","",IF(countif('Mens Lineup'!R$3:R1000,CONCATENATE("=",$A121))=0,"",R$2))</f>
        <v/>
      </c>
      <c r="S121" s="3" t="str">
        <f>IF($A121="","",IF(countif('Mens Lineup'!S$3:S1000,CONCATENATE("=",$A121))=0,"",S$2))</f>
        <v/>
      </c>
      <c r="W121" s="3" t="str">
        <f>IFERROR(__xludf.DUMMYFUNCTION("JOIN("","",FILTER(B121:S121,B121:S121&lt;&gt;""""))"),"100 Free,100 Back,100 Breast,200 Breast,100 Fly,200 IM")</f>
        <v>100 Free,100 Back,100 Breast,200 Breast,100 Fly,200 IM</v>
      </c>
    </row>
    <row r="122">
      <c r="A122" s="3" t="s">
        <v>149</v>
      </c>
      <c r="B122" s="3" t="str">
        <f>IF($A122="","",IF(countif('Mens Lineup'!B$3:B1000,CONCATENATE("=",$A122))=0,"",B$2))</f>
        <v/>
      </c>
      <c r="C122" s="3" t="str">
        <f>IF($A122="","",IF(countif('Mens Lineup'!C$3:C1000,CONCATENATE("=",$A122))=0,"",C$2))</f>
        <v>100 Free</v>
      </c>
      <c r="D122" s="3" t="str">
        <f>IF($A122="","",IF(countif('Mens Lineup'!D$3:D1000,CONCATENATE("=",$A122))=0,"",D$2))</f>
        <v>200 Free</v>
      </c>
      <c r="E122" s="3" t="str">
        <f>IF($A122="","",IF(countif('Mens Lineup'!E$3:E1000,CONCATENATE("=",$A122))=0,"",E$2))</f>
        <v/>
      </c>
      <c r="F122" s="3" t="str">
        <f>IF($A122="","",IF(countif('Mens Lineup'!F$3:F1000,CONCATENATE("=",$A122))=0,"",F$2))</f>
        <v/>
      </c>
      <c r="G122" s="3" t="str">
        <f>IF($A122="","",IF(countif('Mens Lineup'!G$3:G1000,CONCATENATE("=",$A122))=0,"",G$2))</f>
        <v>100 Back</v>
      </c>
      <c r="H122" s="3" t="str">
        <f>IF($A122="","",IF(countif('Mens Lineup'!H$3:H1000,CONCATENATE("=",$A122))=0,"",H$2))</f>
        <v>200 Back</v>
      </c>
      <c r="I122" s="3" t="str">
        <f>IF($A122="","",IF(countif('Mens Lineup'!I$3:I1000,CONCATENATE("=",$A122))=0,"",I$2))</f>
        <v/>
      </c>
      <c r="J122" s="3" t="str">
        <f>IF($A122="","",IF(countif('Mens Lineup'!J$3:J1000,CONCATENATE("=",$A122))=0,"",J$2))</f>
        <v/>
      </c>
      <c r="K122" s="3" t="str">
        <f>IF($A122="","",IF(countif('Mens Lineup'!K$3:K1000,CONCATENATE("=",$A122))=0,"",K$2))</f>
        <v>100 Fly</v>
      </c>
      <c r="L122" s="3" t="str">
        <f>IF($A122="","",IF(countif('Mens Lineup'!L$3:L1000,CONCATENATE("=",$A122))=0,"",L$2))</f>
        <v/>
      </c>
      <c r="M122" s="3" t="str">
        <f>IF($A122="","",IF(countif('Mens Lineup'!M$3:M1000,CONCATENATE("=",$A122))=0,"",M$2))</f>
        <v/>
      </c>
      <c r="N122" s="3" t="str">
        <f>IF($A122="","",IF(countif('Mens Lineup'!N$3:N1000,CONCATENATE("=",$A122))=0,"",N$2))</f>
        <v/>
      </c>
      <c r="O122" s="3" t="str">
        <f>IF($A122="","",IF(countif('Mens Lineup'!O$3:O1000,CONCATENATE("=",$A122))=0,"",O$2))</f>
        <v/>
      </c>
      <c r="P122" s="3" t="str">
        <f>IF($A122="","",IF(countif('Mens Lineup'!P$3:P1000,CONCATENATE("=",$A122))=0,"",P$2))</f>
        <v/>
      </c>
      <c r="Q122" s="3" t="str">
        <f>IF($A122="","",IF(countif('Mens Lineup'!Q$3:Q1000,CONCATENATE("=",$A122))=0,"",Q$2))</f>
        <v/>
      </c>
      <c r="R122" s="3" t="str">
        <f>IF($A122="","",IF(countif('Mens Lineup'!R$3:R1000,CONCATENATE("=",$A122))=0,"",R$2))</f>
        <v/>
      </c>
      <c r="S122" s="3" t="str">
        <f>IF($A122="","",IF(countif('Mens Lineup'!S$3:S1000,CONCATENATE("=",$A122))=0,"",S$2))</f>
        <v/>
      </c>
      <c r="W122" s="3" t="str">
        <f>IFERROR(__xludf.DUMMYFUNCTION("JOIN("","",FILTER(B122:S122,B122:S122&lt;&gt;""""))"),"100 Free,200 Free,100 Back,200 Back,100 Fly")</f>
        <v>100 Free,200 Free,100 Back,200 Back,100 Fly</v>
      </c>
    </row>
    <row r="123">
      <c r="A123" s="3" t="s">
        <v>150</v>
      </c>
      <c r="B123" s="3" t="str">
        <f>IF($A123="","",IF(countif('Mens Lineup'!B$3:B1000,CONCATENATE("=",$A123))=0,"",B$2))</f>
        <v/>
      </c>
      <c r="C123" s="3" t="str">
        <f>IF($A123="","",IF(countif('Mens Lineup'!C$3:C1000,CONCATENATE("=",$A123))=0,"",C$2))</f>
        <v>100 Free</v>
      </c>
      <c r="D123" s="3" t="str">
        <f>IF($A123="","",IF(countif('Mens Lineup'!D$3:D1000,CONCATENATE("=",$A123))=0,"",D$2))</f>
        <v/>
      </c>
      <c r="E123" s="3" t="str">
        <f>IF($A123="","",IF(countif('Mens Lineup'!E$3:E1000,CONCATENATE("=",$A123))=0,"",E$2))</f>
        <v>500 Free</v>
      </c>
      <c r="F123" s="3" t="str">
        <f>IF($A123="","",IF(countif('Mens Lineup'!F$3:F1000,CONCATENATE("=",$A123))=0,"",F$2))</f>
        <v/>
      </c>
      <c r="G123" s="3" t="str">
        <f>IF($A123="","",IF(countif('Mens Lineup'!G$3:G1000,CONCATENATE("=",$A123))=0,"",G$2))</f>
        <v/>
      </c>
      <c r="H123" s="3" t="str">
        <f>IF($A123="","",IF(countif('Mens Lineup'!H$3:H1000,CONCATENATE("=",$A123))=0,"",H$2))</f>
        <v/>
      </c>
      <c r="I123" s="3" t="str">
        <f>IF($A123="","",IF(countif('Mens Lineup'!I$3:I1000,CONCATENATE("=",$A123))=0,"",I$2))</f>
        <v>100 Breast</v>
      </c>
      <c r="J123" s="3" t="str">
        <f>IF($A123="","",IF(countif('Mens Lineup'!J$3:J1000,CONCATENATE("=",$A123))=0,"",J$2))</f>
        <v>200 Breast</v>
      </c>
      <c r="K123" s="3" t="str">
        <f>IF($A123="","",IF(countif('Mens Lineup'!K$3:K1000,CONCATENATE("=",$A123))=0,"",K$2))</f>
        <v/>
      </c>
      <c r="L123" s="3" t="str">
        <f>IF($A123="","",IF(countif('Mens Lineup'!L$3:L1000,CONCATENATE("=",$A123))=0,"",L$2))</f>
        <v/>
      </c>
      <c r="M123" s="3" t="str">
        <f>IF($A123="","",IF(countif('Mens Lineup'!M$3:M1000,CONCATENATE("=",$A123))=0,"",M$2))</f>
        <v>200 IM</v>
      </c>
      <c r="N123" s="3" t="str">
        <f>IF($A123="","",IF(countif('Mens Lineup'!N$3:N1000,CONCATENATE("=",$A123))=0,"",N$2))</f>
        <v>400 IM</v>
      </c>
      <c r="O123" s="3" t="str">
        <f>IF($A123="","",IF(countif('Mens Lineup'!O$3:O1000,CONCATENATE("=",$A123))=0,"",O$2))</f>
        <v/>
      </c>
      <c r="P123" s="3" t="str">
        <f>IF($A123="","",IF(countif('Mens Lineup'!P$3:P1000,CONCATENATE("=",$A123))=0,"",P$2))</f>
        <v/>
      </c>
      <c r="Q123" s="3" t="str">
        <f>IF($A123="","",IF(countif('Mens Lineup'!Q$3:Q1000,CONCATENATE("=",$A123))=0,"",Q$2))</f>
        <v/>
      </c>
      <c r="R123" s="3" t="str">
        <f>IF($A123="","",IF(countif('Mens Lineup'!R$3:R1000,CONCATENATE("=",$A123))=0,"",R$2))</f>
        <v/>
      </c>
      <c r="S123" s="3" t="str">
        <f>IF($A123="","",IF(countif('Mens Lineup'!S$3:S1000,CONCATENATE("=",$A123))=0,"",S$2))</f>
        <v/>
      </c>
      <c r="W123" s="3" t="str">
        <f>IFERROR(__xludf.DUMMYFUNCTION("JOIN("","",FILTER(B123:S123,B123:S123&lt;&gt;""""))"),"100 Free,500 Free,100 Breast,200 Breast,200 IM,400 IM")</f>
        <v>100 Free,500 Free,100 Breast,200 Breast,200 IM,400 IM</v>
      </c>
    </row>
    <row r="124">
      <c r="A124" s="3" t="s">
        <v>151</v>
      </c>
      <c r="B124" s="3" t="str">
        <f>IF($A124="","",IF(countif('Mens Lineup'!B$3:B1000,CONCATENATE("=",$A124))=0,"",B$2))</f>
        <v/>
      </c>
      <c r="C124" s="3" t="str">
        <f>IF($A124="","",IF(countif('Mens Lineup'!C$3:C1000,CONCATENATE("=",$A124))=0,"",C$2))</f>
        <v>100 Free</v>
      </c>
      <c r="D124" s="3" t="str">
        <f>IF($A124="","",IF(countif('Mens Lineup'!D$3:D1000,CONCATENATE("=",$A124))=0,"",D$2))</f>
        <v/>
      </c>
      <c r="E124" s="3" t="str">
        <f>IF($A124="","",IF(countif('Mens Lineup'!E$3:E1000,CONCATENATE("=",$A124))=0,"",E$2))</f>
        <v/>
      </c>
      <c r="F124" s="3" t="str">
        <f>IF($A124="","",IF(countif('Mens Lineup'!F$3:F1000,CONCATENATE("=",$A124))=0,"",F$2))</f>
        <v/>
      </c>
      <c r="G124" s="3" t="str">
        <f>IF($A124="","",IF(countif('Mens Lineup'!G$3:G1000,CONCATENATE("=",$A124))=0,"",G$2))</f>
        <v/>
      </c>
      <c r="H124" s="3" t="str">
        <f>IF($A124="","",IF(countif('Mens Lineup'!H$3:H1000,CONCATENATE("=",$A124))=0,"",H$2))</f>
        <v/>
      </c>
      <c r="I124" s="3" t="str">
        <f>IF($A124="","",IF(countif('Mens Lineup'!I$3:I1000,CONCATENATE("=",$A124))=0,"",I$2))</f>
        <v/>
      </c>
      <c r="J124" s="3" t="str">
        <f>IF($A124="","",IF(countif('Mens Lineup'!J$3:J1000,CONCATENATE("=",$A124))=0,"",J$2))</f>
        <v>200 Breast</v>
      </c>
      <c r="K124" s="3" t="str">
        <f>IF($A124="","",IF(countif('Mens Lineup'!K$3:K1000,CONCATENATE("=",$A124))=0,"",K$2))</f>
        <v>100 Fly</v>
      </c>
      <c r="L124" s="3" t="str">
        <f>IF($A124="","",IF(countif('Mens Lineup'!L$3:L1000,CONCATENATE("=",$A124))=0,"",L$2))</f>
        <v>200 Fly</v>
      </c>
      <c r="M124" s="3" t="str">
        <f>IF($A124="","",IF(countif('Mens Lineup'!M$3:M1000,CONCATENATE("=",$A124))=0,"",M$2))</f>
        <v>200 IM</v>
      </c>
      <c r="N124" s="3" t="str">
        <f>IF($A124="","",IF(countif('Mens Lineup'!N$3:N1000,CONCATENATE("=",$A124))=0,"",N$2))</f>
        <v>400 IM</v>
      </c>
      <c r="O124" s="3" t="str">
        <f>IF($A124="","",IF(countif('Mens Lineup'!O$3:O1000,CONCATENATE("=",$A124))=0,"",O$2))</f>
        <v/>
      </c>
      <c r="P124" s="3" t="str">
        <f>IF($A124="","",IF(countif('Mens Lineup'!P$3:P1000,CONCATENATE("=",$A124))=0,"",P$2))</f>
        <v/>
      </c>
      <c r="Q124" s="3" t="str">
        <f>IF($A124="","",IF(countif('Mens Lineup'!Q$3:Q1000,CONCATENATE("=",$A124))=0,"",Q$2))</f>
        <v/>
      </c>
      <c r="R124" s="3" t="str">
        <f>IF($A124="","",IF(countif('Mens Lineup'!R$3:R1000,CONCATENATE("=",$A124))=0,"",R$2))</f>
        <v/>
      </c>
      <c r="S124" s="3" t="str">
        <f>IF($A124="","",IF(countif('Mens Lineup'!S$3:S1000,CONCATENATE("=",$A124))=0,"",S$2))</f>
        <v/>
      </c>
      <c r="W124" s="3" t="str">
        <f>IFERROR(__xludf.DUMMYFUNCTION("JOIN("","",FILTER(B124:S124,B124:S124&lt;&gt;""""))"),"100 Free,200 Breast,100 Fly,200 Fly,200 IM,400 IM")</f>
        <v>100 Free,200 Breast,100 Fly,200 Fly,200 IM,400 IM</v>
      </c>
    </row>
    <row r="125">
      <c r="A125" s="3" t="s">
        <v>152</v>
      </c>
      <c r="B125" s="3" t="str">
        <f>IF($A125="","",IF(countif('Mens Lineup'!B$3:B1000,CONCATENATE("=",$A125))=0,"",B$2))</f>
        <v/>
      </c>
      <c r="C125" s="3" t="str">
        <f>IF($A125="","",IF(countif('Mens Lineup'!C$3:C1000,CONCATENATE("=",$A125))=0,"",C$2))</f>
        <v>100 Free</v>
      </c>
      <c r="D125" s="3" t="str">
        <f>IF($A125="","",IF(countif('Mens Lineup'!D$3:D1000,CONCATENATE("=",$A125))=0,"",D$2))</f>
        <v/>
      </c>
      <c r="E125" s="3" t="str">
        <f>IF($A125="","",IF(countif('Mens Lineup'!E$3:E1000,CONCATENATE("=",$A125))=0,"",E$2))</f>
        <v/>
      </c>
      <c r="F125" s="3" t="str">
        <f>IF($A125="","",IF(countif('Mens Lineup'!F$3:F1000,CONCATENATE("=",$A125))=0,"",F$2))</f>
        <v/>
      </c>
      <c r="G125" s="3" t="str">
        <f>IF($A125="","",IF(countif('Mens Lineup'!G$3:G1000,CONCATENATE("=",$A125))=0,"",G$2))</f>
        <v>100 Back</v>
      </c>
      <c r="H125" s="3" t="str">
        <f>IF($A125="","",IF(countif('Mens Lineup'!H$3:H1000,CONCATENATE("=",$A125))=0,"",H$2))</f>
        <v/>
      </c>
      <c r="I125" s="3" t="str">
        <f>IF($A125="","",IF(countif('Mens Lineup'!I$3:I1000,CONCATENATE("=",$A125))=0,"",I$2))</f>
        <v>100 Breast</v>
      </c>
      <c r="J125" s="3" t="str">
        <f>IF($A125="","",IF(countif('Mens Lineup'!J$3:J1000,CONCATENATE("=",$A125))=0,"",J$2))</f>
        <v>200 Breast</v>
      </c>
      <c r="K125" s="3" t="str">
        <f>IF($A125="","",IF(countif('Mens Lineup'!K$3:K1000,CONCATENATE("=",$A125))=0,"",K$2))</f>
        <v>100 Fly</v>
      </c>
      <c r="L125" s="3" t="str">
        <f>IF($A125="","",IF(countif('Mens Lineup'!L$3:L1000,CONCATENATE("=",$A125))=0,"",L$2))</f>
        <v/>
      </c>
      <c r="M125" s="3" t="str">
        <f>IF($A125="","",IF(countif('Mens Lineup'!M$3:M1000,CONCATENATE("=",$A125))=0,"",M$2))</f>
        <v>200 IM</v>
      </c>
      <c r="N125" s="3" t="str">
        <f>IF($A125="","",IF(countif('Mens Lineup'!N$3:N1000,CONCATENATE("=",$A125))=0,"",N$2))</f>
        <v/>
      </c>
      <c r="O125" s="3" t="str">
        <f>IF($A125="","",IF(countif('Mens Lineup'!O$3:O1000,CONCATENATE("=",$A125))=0,"",O$2))</f>
        <v/>
      </c>
      <c r="P125" s="3" t="str">
        <f>IF($A125="","",IF(countif('Mens Lineup'!P$3:P1000,CONCATENATE("=",$A125))=0,"",P$2))</f>
        <v/>
      </c>
      <c r="Q125" s="3" t="str">
        <f>IF($A125="","",IF(countif('Mens Lineup'!Q$3:Q1000,CONCATENATE("=",$A125))=0,"",Q$2))</f>
        <v/>
      </c>
      <c r="R125" s="3" t="str">
        <f>IF($A125="","",IF(countif('Mens Lineup'!R$3:R1000,CONCATENATE("=",$A125))=0,"",R$2))</f>
        <v/>
      </c>
      <c r="S125" s="3" t="str">
        <f>IF($A125="","",IF(countif('Mens Lineup'!S$3:S1000,CONCATENATE("=",$A125))=0,"",S$2))</f>
        <v/>
      </c>
      <c r="W125" s="3" t="str">
        <f>IFERROR(__xludf.DUMMYFUNCTION("JOIN("","",FILTER(B125:S125,B125:S125&lt;&gt;""""))"),"100 Free,100 Back,100 Breast,200 Breast,100 Fly,200 IM")</f>
        <v>100 Free,100 Back,100 Breast,200 Breast,100 Fly,200 IM</v>
      </c>
    </row>
    <row r="126">
      <c r="A126" s="3" t="s">
        <v>153</v>
      </c>
      <c r="B126" s="3" t="str">
        <f>IF($A126="","",IF(countif('Mens Lineup'!B$3:B1000,CONCATENATE("=",$A126))=0,"",B$2))</f>
        <v/>
      </c>
      <c r="C126" s="3" t="str">
        <f>IF($A126="","",IF(countif('Mens Lineup'!C$3:C1000,CONCATENATE("=",$A126))=0,"",C$2))</f>
        <v>100 Free</v>
      </c>
      <c r="D126" s="3" t="str">
        <f>IF($A126="","",IF(countif('Mens Lineup'!D$3:D1000,CONCATENATE("=",$A126))=0,"",D$2))</f>
        <v/>
      </c>
      <c r="E126" s="3" t="str">
        <f>IF($A126="","",IF(countif('Mens Lineup'!E$3:E1000,CONCATENATE("=",$A126))=0,"",E$2))</f>
        <v>500 Free</v>
      </c>
      <c r="F126" s="3" t="str">
        <f>IF($A126="","",IF(countif('Mens Lineup'!F$3:F1000,CONCATENATE("=",$A126))=0,"",F$2))</f>
        <v/>
      </c>
      <c r="G126" s="3" t="str">
        <f>IF($A126="","",IF(countif('Mens Lineup'!G$3:G1000,CONCATENATE("=",$A126))=0,"",G$2))</f>
        <v/>
      </c>
      <c r="H126" s="3" t="str">
        <f>IF($A126="","",IF(countif('Mens Lineup'!H$3:H1000,CONCATENATE("=",$A126))=0,"",H$2))</f>
        <v/>
      </c>
      <c r="I126" s="3" t="str">
        <f>IF($A126="","",IF(countif('Mens Lineup'!I$3:I1000,CONCATENATE("=",$A126))=0,"",I$2))</f>
        <v/>
      </c>
      <c r="J126" s="3" t="str">
        <f>IF($A126="","",IF(countif('Mens Lineup'!J$3:J1000,CONCATENATE("=",$A126))=0,"",J$2))</f>
        <v/>
      </c>
      <c r="K126" s="3" t="str">
        <f>IF($A126="","",IF(countif('Mens Lineup'!K$3:K1000,CONCATENATE("=",$A126))=0,"",K$2))</f>
        <v>100 Fly</v>
      </c>
      <c r="L126" s="3" t="str">
        <f>IF($A126="","",IF(countif('Mens Lineup'!L$3:L1000,CONCATENATE("=",$A126))=0,"",L$2))</f>
        <v>200 Fly</v>
      </c>
      <c r="M126" s="3" t="str">
        <f>IF($A126="","",IF(countif('Mens Lineup'!M$3:M1000,CONCATENATE("=",$A126))=0,"",M$2))</f>
        <v/>
      </c>
      <c r="N126" s="3" t="str">
        <f>IF($A126="","",IF(countif('Mens Lineup'!N$3:N1000,CONCATENATE("=",$A126))=0,"",N$2))</f>
        <v/>
      </c>
      <c r="O126" s="3" t="str">
        <f>IF($A126="","",IF(countif('Mens Lineup'!O$3:O1000,CONCATENATE("=",$A126))=0,"",O$2))</f>
        <v/>
      </c>
      <c r="P126" s="3" t="str">
        <f>IF($A126="","",IF(countif('Mens Lineup'!P$3:P1000,CONCATENATE("=",$A126))=0,"",P$2))</f>
        <v/>
      </c>
      <c r="Q126" s="3" t="str">
        <f>IF($A126="","",IF(countif('Mens Lineup'!Q$3:Q1000,CONCATENATE("=",$A126))=0,"",Q$2))</f>
        <v/>
      </c>
      <c r="R126" s="3" t="str">
        <f>IF($A126="","",IF(countif('Mens Lineup'!R$3:R1000,CONCATENATE("=",$A126))=0,"",R$2))</f>
        <v/>
      </c>
      <c r="S126" s="3" t="str">
        <f>IF($A126="","",IF(countif('Mens Lineup'!S$3:S1000,CONCATENATE("=",$A126))=0,"",S$2))</f>
        <v/>
      </c>
      <c r="W126" s="3" t="str">
        <f>IFERROR(__xludf.DUMMYFUNCTION("JOIN("","",FILTER(B126:S126,B126:S126&lt;&gt;""""))"),"100 Free,500 Free,100 Fly,200 Fly")</f>
        <v>100 Free,500 Free,100 Fly,200 Fly</v>
      </c>
    </row>
    <row r="127">
      <c r="A127" s="3" t="s">
        <v>154</v>
      </c>
      <c r="B127" s="3" t="str">
        <f>IF($A127="","",IF(countif('Mens Lineup'!B$3:B1000,CONCATENATE("=",$A127))=0,"",B$2))</f>
        <v/>
      </c>
      <c r="C127" s="3" t="str">
        <f>IF($A127="","",IF(countif('Mens Lineup'!C$3:C1000,CONCATENATE("=",$A127))=0,"",C$2))</f>
        <v>100 Free</v>
      </c>
      <c r="D127" s="3" t="str">
        <f>IF($A127="","",IF(countif('Mens Lineup'!D$3:D1000,CONCATENATE("=",$A127))=0,"",D$2))</f>
        <v/>
      </c>
      <c r="E127" s="3" t="str">
        <f>IF($A127="","",IF(countif('Mens Lineup'!E$3:E1000,CONCATENATE("=",$A127))=0,"",E$2))</f>
        <v/>
      </c>
      <c r="F127" s="3" t="str">
        <f>IF($A127="","",IF(countif('Mens Lineup'!F$3:F1000,CONCATENATE("=",$A127))=0,"",F$2))</f>
        <v/>
      </c>
      <c r="G127" s="3" t="str">
        <f>IF($A127="","",IF(countif('Mens Lineup'!G$3:G1000,CONCATENATE("=",$A127))=0,"",G$2))</f>
        <v>100 Back</v>
      </c>
      <c r="H127" s="3" t="str">
        <f>IF($A127="","",IF(countif('Mens Lineup'!H$3:H1000,CONCATENATE("=",$A127))=0,"",H$2))</f>
        <v/>
      </c>
      <c r="I127" s="3" t="str">
        <f>IF($A127="","",IF(countif('Mens Lineup'!I$3:I1000,CONCATENATE("=",$A127))=0,"",I$2))</f>
        <v>100 Breast</v>
      </c>
      <c r="J127" s="3" t="str">
        <f>IF($A127="","",IF(countif('Mens Lineup'!J$3:J1000,CONCATENATE("=",$A127))=0,"",J$2))</f>
        <v>200 Breast</v>
      </c>
      <c r="K127" s="3" t="str">
        <f>IF($A127="","",IF(countif('Mens Lineup'!K$3:K1000,CONCATENATE("=",$A127))=0,"",K$2))</f>
        <v/>
      </c>
      <c r="L127" s="3" t="str">
        <f>IF($A127="","",IF(countif('Mens Lineup'!L$3:L1000,CONCATENATE("=",$A127))=0,"",L$2))</f>
        <v/>
      </c>
      <c r="M127" s="3" t="str">
        <f>IF($A127="","",IF(countif('Mens Lineup'!M$3:M1000,CONCATENATE("=",$A127))=0,"",M$2))</f>
        <v>200 IM</v>
      </c>
      <c r="N127" s="3" t="str">
        <f>IF($A127="","",IF(countif('Mens Lineup'!N$3:N1000,CONCATENATE("=",$A127))=0,"",N$2))</f>
        <v>400 IM</v>
      </c>
      <c r="O127" s="3" t="str">
        <f>IF($A127="","",IF(countif('Mens Lineup'!O$3:O1000,CONCATENATE("=",$A127))=0,"",O$2))</f>
        <v/>
      </c>
      <c r="P127" s="3" t="str">
        <f>IF($A127="","",IF(countif('Mens Lineup'!P$3:P1000,CONCATENATE("=",$A127))=0,"",P$2))</f>
        <v/>
      </c>
      <c r="Q127" s="3" t="str">
        <f>IF($A127="","",IF(countif('Mens Lineup'!Q$3:Q1000,CONCATENATE("=",$A127))=0,"",Q$2))</f>
        <v/>
      </c>
      <c r="R127" s="3" t="str">
        <f>IF($A127="","",IF(countif('Mens Lineup'!R$3:R1000,CONCATENATE("=",$A127))=0,"",R$2))</f>
        <v/>
      </c>
      <c r="S127" s="3" t="str">
        <f>IF($A127="","",IF(countif('Mens Lineup'!S$3:S1000,CONCATENATE("=",$A127))=0,"",S$2))</f>
        <v/>
      </c>
      <c r="W127" s="3" t="str">
        <f>IFERROR(__xludf.DUMMYFUNCTION("JOIN("","",FILTER(B127:S127,B127:S127&lt;&gt;""""))"),"100 Free,100 Back,100 Breast,200 Breast,200 IM,400 IM")</f>
        <v>100 Free,100 Back,100 Breast,200 Breast,200 IM,400 IM</v>
      </c>
    </row>
    <row r="128">
      <c r="A128" s="3" t="s">
        <v>155</v>
      </c>
      <c r="B128" s="3" t="str">
        <f>IF($A128="","",IF(countif('Mens Lineup'!B$3:B1000,CONCATENATE("=",$A128))=0,"",B$2))</f>
        <v/>
      </c>
      <c r="C128" s="3" t="str">
        <f>IF($A128="","",IF(countif('Mens Lineup'!C$3:C1000,CONCATENATE("=",$A128))=0,"",C$2))</f>
        <v>100 Free</v>
      </c>
      <c r="D128" s="3" t="str">
        <f>IF($A128="","",IF(countif('Mens Lineup'!D$3:D1000,CONCATENATE("=",$A128))=0,"",D$2))</f>
        <v/>
      </c>
      <c r="E128" s="3" t="str">
        <f>IF($A128="","",IF(countif('Mens Lineup'!E$3:E1000,CONCATENATE("=",$A128))=0,"",E$2))</f>
        <v/>
      </c>
      <c r="F128" s="3" t="str">
        <f>IF($A128="","",IF(countif('Mens Lineup'!F$3:F1000,CONCATENATE("=",$A128))=0,"",F$2))</f>
        <v/>
      </c>
      <c r="G128" s="3" t="str">
        <f>IF($A128="","",IF(countif('Mens Lineup'!G$3:G1000,CONCATENATE("=",$A128))=0,"",G$2))</f>
        <v/>
      </c>
      <c r="H128" s="3" t="str">
        <f>IF($A128="","",IF(countif('Mens Lineup'!H$3:H1000,CONCATENATE("=",$A128))=0,"",H$2))</f>
        <v/>
      </c>
      <c r="I128" s="3" t="str">
        <f>IF($A128="","",IF(countif('Mens Lineup'!I$3:I1000,CONCATENATE("=",$A128))=0,"",I$2))</f>
        <v>100 Breast</v>
      </c>
      <c r="J128" s="3" t="str">
        <f>IF($A128="","",IF(countif('Mens Lineup'!J$3:J1000,CONCATENATE("=",$A128))=0,"",J$2))</f>
        <v>200 Breast</v>
      </c>
      <c r="K128" s="3" t="str">
        <f>IF($A128="","",IF(countif('Mens Lineup'!K$3:K1000,CONCATENATE("=",$A128))=0,"",K$2))</f>
        <v/>
      </c>
      <c r="L128" s="3" t="str">
        <f>IF($A128="","",IF(countif('Mens Lineup'!L$3:L1000,CONCATENATE("=",$A128))=0,"",L$2))</f>
        <v>200 Fly</v>
      </c>
      <c r="M128" s="3" t="str">
        <f>IF($A128="","",IF(countif('Mens Lineup'!M$3:M1000,CONCATENATE("=",$A128))=0,"",M$2))</f>
        <v>200 IM</v>
      </c>
      <c r="N128" s="3" t="str">
        <f>IF($A128="","",IF(countif('Mens Lineup'!N$3:N1000,CONCATENATE("=",$A128))=0,"",N$2))</f>
        <v>400 IM</v>
      </c>
      <c r="O128" s="3" t="str">
        <f>IF($A128="","",IF(countif('Mens Lineup'!O$3:O1000,CONCATENATE("=",$A128))=0,"",O$2))</f>
        <v/>
      </c>
      <c r="P128" s="3" t="str">
        <f>IF($A128="","",IF(countif('Mens Lineup'!P$3:P1000,CONCATENATE("=",$A128))=0,"",P$2))</f>
        <v/>
      </c>
      <c r="Q128" s="3" t="str">
        <f>IF($A128="","",IF(countif('Mens Lineup'!Q$3:Q1000,CONCATENATE("=",$A128))=0,"",Q$2))</f>
        <v/>
      </c>
      <c r="R128" s="3" t="str">
        <f>IF($A128="","",IF(countif('Mens Lineup'!R$3:R1000,CONCATENATE("=",$A128))=0,"",R$2))</f>
        <v/>
      </c>
      <c r="S128" s="3" t="str">
        <f>IF($A128="","",IF(countif('Mens Lineup'!S$3:S1000,CONCATENATE("=",$A128))=0,"",S$2))</f>
        <v/>
      </c>
      <c r="W128" s="3" t="str">
        <f>IFERROR(__xludf.DUMMYFUNCTION("JOIN("","",FILTER(B128:S128,B128:S128&lt;&gt;""""))"),"100 Free,100 Breast,200 Breast,200 Fly,200 IM,400 IM")</f>
        <v>100 Free,100 Breast,200 Breast,200 Fly,200 IM,400 IM</v>
      </c>
    </row>
    <row r="129">
      <c r="A129" s="3" t="s">
        <v>156</v>
      </c>
      <c r="B129" s="3" t="str">
        <f>IF($A129="","",IF(countif('Mens Lineup'!B$3:B1000,CONCATENATE("=",$A129))=0,"",B$2))</f>
        <v/>
      </c>
      <c r="C129" s="3" t="str">
        <f>IF($A129="","",IF(countif('Mens Lineup'!C$3:C1000,CONCATENATE("=",$A129))=0,"",C$2))</f>
        <v>100 Free</v>
      </c>
      <c r="D129" s="3" t="str">
        <f>IF($A129="","",IF(countif('Mens Lineup'!D$3:D1000,CONCATENATE("=",$A129))=0,"",D$2))</f>
        <v>200 Free</v>
      </c>
      <c r="E129" s="3" t="str">
        <f>IF($A129="","",IF(countif('Mens Lineup'!E$3:E1000,CONCATENATE("=",$A129))=0,"",E$2))</f>
        <v/>
      </c>
      <c r="F129" s="3" t="str">
        <f>IF($A129="","",IF(countif('Mens Lineup'!F$3:F1000,CONCATENATE("=",$A129))=0,"",F$2))</f>
        <v/>
      </c>
      <c r="G129" s="3" t="str">
        <f>IF($A129="","",IF(countif('Mens Lineup'!G$3:G1000,CONCATENATE("=",$A129))=0,"",G$2))</f>
        <v/>
      </c>
      <c r="H129" s="3" t="str">
        <f>IF($A129="","",IF(countif('Mens Lineup'!H$3:H1000,CONCATENATE("=",$A129))=0,"",H$2))</f>
        <v/>
      </c>
      <c r="I129" s="3" t="str">
        <f>IF($A129="","",IF(countif('Mens Lineup'!I$3:I1000,CONCATENATE("=",$A129))=0,"",I$2))</f>
        <v/>
      </c>
      <c r="J129" s="3" t="str">
        <f>IF($A129="","",IF(countif('Mens Lineup'!J$3:J1000,CONCATENATE("=",$A129))=0,"",J$2))</f>
        <v/>
      </c>
      <c r="K129" s="3" t="str">
        <f>IF($A129="","",IF(countif('Mens Lineup'!K$3:K1000,CONCATENATE("=",$A129))=0,"",K$2))</f>
        <v>100 Fly</v>
      </c>
      <c r="L129" s="3" t="str">
        <f>IF($A129="","",IF(countif('Mens Lineup'!L$3:L1000,CONCATENATE("=",$A129))=0,"",L$2))</f>
        <v>200 Fly</v>
      </c>
      <c r="M129" s="3" t="str">
        <f>IF($A129="","",IF(countif('Mens Lineup'!M$3:M1000,CONCATENATE("=",$A129))=0,"",M$2))</f>
        <v>200 IM</v>
      </c>
      <c r="N129" s="3" t="str">
        <f>IF($A129="","",IF(countif('Mens Lineup'!N$3:N1000,CONCATENATE("=",$A129))=0,"",N$2))</f>
        <v/>
      </c>
      <c r="O129" s="3" t="str">
        <f>IF($A129="","",IF(countif('Mens Lineup'!O$3:O1000,CONCATENATE("=",$A129))=0,"",O$2))</f>
        <v>1000 Free</v>
      </c>
      <c r="P129" s="3" t="str">
        <f>IF($A129="","",IF(countif('Mens Lineup'!P$3:P1000,CONCATENATE("=",$A129))=0,"",P$2))</f>
        <v/>
      </c>
      <c r="Q129" s="3" t="str">
        <f>IF($A129="","",IF(countif('Mens Lineup'!Q$3:Q1000,CONCATENATE("=",$A129))=0,"",Q$2))</f>
        <v/>
      </c>
      <c r="R129" s="3" t="str">
        <f>IF($A129="","",IF(countif('Mens Lineup'!R$3:R1000,CONCATENATE("=",$A129))=0,"",R$2))</f>
        <v/>
      </c>
      <c r="S129" s="3" t="str">
        <f>IF($A129="","",IF(countif('Mens Lineup'!S$3:S1000,CONCATENATE("=",$A129))=0,"",S$2))</f>
        <v/>
      </c>
      <c r="W129" s="3" t="str">
        <f>IFERROR(__xludf.DUMMYFUNCTION("JOIN("","",FILTER(B129:S129,B129:S129&lt;&gt;""""))"),"100 Free,200 Free,100 Fly,200 Fly,200 IM,1000 Free")</f>
        <v>100 Free,200 Free,100 Fly,200 Fly,200 IM,1000 Free</v>
      </c>
    </row>
    <row r="130">
      <c r="A130" s="3" t="s">
        <v>157</v>
      </c>
      <c r="B130" s="3" t="str">
        <f>IF($A130="","",IF(countif('Mens Lineup'!B$3:B1000,CONCATENATE("=",$A130))=0,"",B$2))</f>
        <v/>
      </c>
      <c r="C130" s="3" t="str">
        <f>IF($A130="","",IF(countif('Mens Lineup'!C$3:C1000,CONCATENATE("=",$A130))=0,"",C$2))</f>
        <v>100 Free</v>
      </c>
      <c r="D130" s="3" t="str">
        <f>IF($A130="","",IF(countif('Mens Lineup'!D$3:D1000,CONCATENATE("=",$A130))=0,"",D$2))</f>
        <v/>
      </c>
      <c r="E130" s="3" t="str">
        <f>IF($A130="","",IF(countif('Mens Lineup'!E$3:E1000,CONCATENATE("=",$A130))=0,"",E$2))</f>
        <v/>
      </c>
      <c r="F130" s="3" t="str">
        <f>IF($A130="","",IF(countif('Mens Lineup'!F$3:F1000,CONCATENATE("=",$A130))=0,"",F$2))</f>
        <v/>
      </c>
      <c r="G130" s="3" t="str">
        <f>IF($A130="","",IF(countif('Mens Lineup'!G$3:G1000,CONCATENATE("=",$A130))=0,"",G$2))</f>
        <v/>
      </c>
      <c r="H130" s="3" t="str">
        <f>IF($A130="","",IF(countif('Mens Lineup'!H$3:H1000,CONCATENATE("=",$A130))=0,"",H$2))</f>
        <v/>
      </c>
      <c r="I130" s="3" t="str">
        <f>IF($A130="","",IF(countif('Mens Lineup'!I$3:I1000,CONCATENATE("=",$A130))=0,"",I$2))</f>
        <v/>
      </c>
      <c r="J130" s="3" t="str">
        <f>IF($A130="","",IF(countif('Mens Lineup'!J$3:J1000,CONCATENATE("=",$A130))=0,"",J$2))</f>
        <v>200 Breast</v>
      </c>
      <c r="K130" s="3" t="str">
        <f>IF($A130="","",IF(countif('Mens Lineup'!K$3:K1000,CONCATENATE("=",$A130))=0,"",K$2))</f>
        <v/>
      </c>
      <c r="L130" s="3" t="str">
        <f>IF($A130="","",IF(countif('Mens Lineup'!L$3:L1000,CONCATENATE("=",$A130))=0,"",L$2))</f>
        <v/>
      </c>
      <c r="M130" s="3" t="str">
        <f>IF($A130="","",IF(countif('Mens Lineup'!M$3:M1000,CONCATENATE("=",$A130))=0,"",M$2))</f>
        <v>200 IM</v>
      </c>
      <c r="N130" s="3" t="str">
        <f>IF($A130="","",IF(countif('Mens Lineup'!N$3:N1000,CONCATENATE("=",$A130))=0,"",N$2))</f>
        <v/>
      </c>
      <c r="O130" s="3" t="str">
        <f>IF($A130="","",IF(countif('Mens Lineup'!O$3:O1000,CONCATENATE("=",$A130))=0,"",O$2))</f>
        <v/>
      </c>
      <c r="P130" s="3" t="str">
        <f>IF($A130="","",IF(countif('Mens Lineup'!P$3:P1000,CONCATENATE("=",$A130))=0,"",P$2))</f>
        <v/>
      </c>
      <c r="Q130" s="3" t="str">
        <f>IF($A130="","",IF(countif('Mens Lineup'!Q$3:Q1000,CONCATENATE("=",$A130))=0,"",Q$2))</f>
        <v/>
      </c>
      <c r="R130" s="3" t="str">
        <f>IF($A130="","",IF(countif('Mens Lineup'!R$3:R1000,CONCATENATE("=",$A130))=0,"",R$2))</f>
        <v/>
      </c>
      <c r="S130" s="3" t="str">
        <f>IF($A130="","",IF(countif('Mens Lineup'!S$3:S1000,CONCATENATE("=",$A130))=0,"",S$2))</f>
        <v/>
      </c>
      <c r="W130" s="3" t="str">
        <f>IFERROR(__xludf.DUMMYFUNCTION("JOIN("","",FILTER(B130:S130,B130:S130&lt;&gt;""""))"),"100 Free,200 Breast,200 IM")</f>
        <v>100 Free,200 Breast,200 IM</v>
      </c>
    </row>
    <row r="131">
      <c r="A131" s="3" t="s">
        <v>158</v>
      </c>
      <c r="B131" s="3" t="str">
        <f>IF($A131="","",IF(countif('Mens Lineup'!B$3:B1000,CONCATENATE("=",$A131))=0,"",B$2))</f>
        <v/>
      </c>
      <c r="C131" s="3" t="str">
        <f>IF($A131="","",IF(countif('Mens Lineup'!C$3:C1000,CONCATENATE("=",$A131))=0,"",C$2))</f>
        <v>100 Free</v>
      </c>
      <c r="D131" s="3" t="str">
        <f>IF($A131="","",IF(countif('Mens Lineup'!D$3:D1000,CONCATENATE("=",$A131))=0,"",D$2))</f>
        <v/>
      </c>
      <c r="E131" s="3" t="str">
        <f>IF($A131="","",IF(countif('Mens Lineup'!E$3:E1000,CONCATENATE("=",$A131))=0,"",E$2))</f>
        <v/>
      </c>
      <c r="F131" s="3" t="str">
        <f>IF($A131="","",IF(countif('Mens Lineup'!F$3:F1000,CONCATENATE("=",$A131))=0,"",F$2))</f>
        <v/>
      </c>
      <c r="G131" s="3" t="str">
        <f>IF($A131="","",IF(countif('Mens Lineup'!G$3:G1000,CONCATENATE("=",$A131))=0,"",G$2))</f>
        <v>100 Back</v>
      </c>
      <c r="H131" s="3" t="str">
        <f>IF($A131="","",IF(countif('Mens Lineup'!H$3:H1000,CONCATENATE("=",$A131))=0,"",H$2))</f>
        <v>200 Back</v>
      </c>
      <c r="I131" s="3" t="str">
        <f>IF($A131="","",IF(countif('Mens Lineup'!I$3:I1000,CONCATENATE("=",$A131))=0,"",I$2))</f>
        <v/>
      </c>
      <c r="J131" s="3" t="str">
        <f>IF($A131="","",IF(countif('Mens Lineup'!J$3:J1000,CONCATENATE("=",$A131))=0,"",J$2))</f>
        <v/>
      </c>
      <c r="K131" s="3" t="str">
        <f>IF($A131="","",IF(countif('Mens Lineup'!K$3:K1000,CONCATENATE("=",$A131))=0,"",K$2))</f>
        <v/>
      </c>
      <c r="L131" s="3" t="str">
        <f>IF($A131="","",IF(countif('Mens Lineup'!L$3:L1000,CONCATENATE("=",$A131))=0,"",L$2))</f>
        <v/>
      </c>
      <c r="M131" s="3" t="str">
        <f>IF($A131="","",IF(countif('Mens Lineup'!M$3:M1000,CONCATENATE("=",$A131))=0,"",M$2))</f>
        <v/>
      </c>
      <c r="N131" s="3" t="str">
        <f>IF($A131="","",IF(countif('Mens Lineup'!N$3:N1000,CONCATENATE("=",$A131))=0,"",N$2))</f>
        <v/>
      </c>
      <c r="O131" s="3" t="str">
        <f>IF($A131="","",IF(countif('Mens Lineup'!O$3:O1000,CONCATENATE("=",$A131))=0,"",O$2))</f>
        <v/>
      </c>
      <c r="P131" s="3" t="str">
        <f>IF($A131="","",IF(countif('Mens Lineup'!P$3:P1000,CONCATENATE("=",$A131))=0,"",P$2))</f>
        <v/>
      </c>
      <c r="Q131" s="3" t="str">
        <f>IF($A131="","",IF(countif('Mens Lineup'!Q$3:Q1000,CONCATENATE("=",$A131))=0,"",Q$2))</f>
        <v/>
      </c>
      <c r="R131" s="3" t="str">
        <f>IF($A131="","",IF(countif('Mens Lineup'!R$3:R1000,CONCATENATE("=",$A131))=0,"",R$2))</f>
        <v/>
      </c>
      <c r="S131" s="3" t="str">
        <f>IF($A131="","",IF(countif('Mens Lineup'!S$3:S1000,CONCATENATE("=",$A131))=0,"",S$2))</f>
        <v/>
      </c>
      <c r="W131" s="3" t="str">
        <f>IFERROR(__xludf.DUMMYFUNCTION("JOIN("","",FILTER(B131:S131,B131:S131&lt;&gt;""""))"),"100 Free,100 Back,200 Back")</f>
        <v>100 Free,100 Back,200 Back</v>
      </c>
    </row>
    <row r="132">
      <c r="A132" s="3" t="s">
        <v>159</v>
      </c>
      <c r="B132" s="3" t="str">
        <f>IF($A132="","",IF(countif('Mens Lineup'!B$3:B1000,CONCATENATE("=",$A132))=0,"",B$2))</f>
        <v/>
      </c>
      <c r="C132" s="3" t="str">
        <f>IF($A132="","",IF(countif('Mens Lineup'!C$3:C1000,CONCATENATE("=",$A132))=0,"",C$2))</f>
        <v>100 Free</v>
      </c>
      <c r="D132" s="3" t="str">
        <f>IF($A132="","",IF(countif('Mens Lineup'!D$3:D1000,CONCATENATE("=",$A132))=0,"",D$2))</f>
        <v>200 Free</v>
      </c>
      <c r="E132" s="3" t="str">
        <f>IF($A132="","",IF(countif('Mens Lineup'!E$3:E1000,CONCATENATE("=",$A132))=0,"",E$2))</f>
        <v>500 Free</v>
      </c>
      <c r="F132" s="3" t="str">
        <f>IF($A132="","",IF(countif('Mens Lineup'!F$3:F1000,CONCATENATE("=",$A132))=0,"",F$2))</f>
        <v/>
      </c>
      <c r="G132" s="3" t="str">
        <f>IF($A132="","",IF(countif('Mens Lineup'!G$3:G1000,CONCATENATE("=",$A132))=0,"",G$2))</f>
        <v>100 Back</v>
      </c>
      <c r="H132" s="3" t="str">
        <f>IF($A132="","",IF(countif('Mens Lineup'!H$3:H1000,CONCATENATE("=",$A132))=0,"",H$2))</f>
        <v>200 Back</v>
      </c>
      <c r="I132" s="3" t="str">
        <f>IF($A132="","",IF(countif('Mens Lineup'!I$3:I1000,CONCATENATE("=",$A132))=0,"",I$2))</f>
        <v/>
      </c>
      <c r="J132" s="3" t="str">
        <f>IF($A132="","",IF(countif('Mens Lineup'!J$3:J1000,CONCATENATE("=",$A132))=0,"",J$2))</f>
        <v/>
      </c>
      <c r="K132" s="3" t="str">
        <f>IF($A132="","",IF(countif('Mens Lineup'!K$3:K1000,CONCATENATE("=",$A132))=0,"",K$2))</f>
        <v/>
      </c>
      <c r="L132" s="3" t="str">
        <f>IF($A132="","",IF(countif('Mens Lineup'!L$3:L1000,CONCATENATE("=",$A132))=0,"",L$2))</f>
        <v/>
      </c>
      <c r="M132" s="3" t="str">
        <f>IF($A132="","",IF(countif('Mens Lineup'!M$3:M1000,CONCATENATE("=",$A132))=0,"",M$2))</f>
        <v/>
      </c>
      <c r="N132" s="3" t="str">
        <f>IF($A132="","",IF(countif('Mens Lineup'!N$3:N1000,CONCATENATE("=",$A132))=0,"",N$2))</f>
        <v/>
      </c>
      <c r="O132" s="3" t="str">
        <f>IF($A132="","",IF(countif('Mens Lineup'!O$3:O1000,CONCATENATE("=",$A132))=0,"",O$2))</f>
        <v/>
      </c>
      <c r="P132" s="3" t="str">
        <f>IF($A132="","",IF(countif('Mens Lineup'!P$3:P1000,CONCATENATE("=",$A132))=0,"",P$2))</f>
        <v/>
      </c>
      <c r="Q132" s="3" t="str">
        <f>IF($A132="","",IF(countif('Mens Lineup'!Q$3:Q1000,CONCATENATE("=",$A132))=0,"",Q$2))</f>
        <v/>
      </c>
      <c r="R132" s="3" t="str">
        <f>IF($A132="","",IF(countif('Mens Lineup'!R$3:R1000,CONCATENATE("=",$A132))=0,"",R$2))</f>
        <v/>
      </c>
      <c r="S132" s="3" t="str">
        <f>IF($A132="","",IF(countif('Mens Lineup'!S$3:S1000,CONCATENATE("=",$A132))=0,"",S$2))</f>
        <v/>
      </c>
      <c r="W132" s="3" t="str">
        <f>IFERROR(__xludf.DUMMYFUNCTION("JOIN("","",FILTER(B132:S132,B132:S132&lt;&gt;""""))"),"100 Free,200 Free,500 Free,100 Back,200 Back")</f>
        <v>100 Free,200 Free,500 Free,100 Back,200 Back</v>
      </c>
    </row>
    <row r="133">
      <c r="A133" s="3" t="s">
        <v>160</v>
      </c>
      <c r="B133" s="3" t="str">
        <f>IF($A133="","",IF(countif('Mens Lineup'!B$3:B1000,CONCATENATE("=",$A133))=0,"",B$2))</f>
        <v/>
      </c>
      <c r="C133" s="3" t="str">
        <f>IF($A133="","",IF(countif('Mens Lineup'!C$3:C1000,CONCATENATE("=",$A133))=0,"",C$2))</f>
        <v>100 Free</v>
      </c>
      <c r="D133" s="3" t="str">
        <f>IF($A133="","",IF(countif('Mens Lineup'!D$3:D1000,CONCATENATE("=",$A133))=0,"",D$2))</f>
        <v/>
      </c>
      <c r="E133" s="3" t="str">
        <f>IF($A133="","",IF(countif('Mens Lineup'!E$3:E1000,CONCATENATE("=",$A133))=0,"",E$2))</f>
        <v/>
      </c>
      <c r="F133" s="3" t="str">
        <f>IF($A133="","",IF(countif('Mens Lineup'!F$3:F1000,CONCATENATE("=",$A133))=0,"",F$2))</f>
        <v/>
      </c>
      <c r="G133" s="3" t="str">
        <f>IF($A133="","",IF(countif('Mens Lineup'!G$3:G1000,CONCATENATE("=",$A133))=0,"",G$2))</f>
        <v/>
      </c>
      <c r="H133" s="3" t="str">
        <f>IF($A133="","",IF(countif('Mens Lineup'!H$3:H1000,CONCATENATE("=",$A133))=0,"",H$2))</f>
        <v/>
      </c>
      <c r="I133" s="3" t="str">
        <f>IF($A133="","",IF(countif('Mens Lineup'!I$3:I1000,CONCATENATE("=",$A133))=0,"",I$2))</f>
        <v>100 Breast</v>
      </c>
      <c r="J133" s="3" t="str">
        <f>IF($A133="","",IF(countif('Mens Lineup'!J$3:J1000,CONCATENATE("=",$A133))=0,"",J$2))</f>
        <v>200 Breast</v>
      </c>
      <c r="K133" s="3" t="str">
        <f>IF($A133="","",IF(countif('Mens Lineup'!K$3:K1000,CONCATENATE("=",$A133))=0,"",K$2))</f>
        <v/>
      </c>
      <c r="L133" s="3" t="str">
        <f>IF($A133="","",IF(countif('Mens Lineup'!L$3:L1000,CONCATENATE("=",$A133))=0,"",L$2))</f>
        <v/>
      </c>
      <c r="M133" s="3" t="str">
        <f>IF($A133="","",IF(countif('Mens Lineup'!M$3:M1000,CONCATENATE("=",$A133))=0,"",M$2))</f>
        <v>200 IM</v>
      </c>
      <c r="N133" s="3" t="str">
        <f>IF($A133="","",IF(countif('Mens Lineup'!N$3:N1000,CONCATENATE("=",$A133))=0,"",N$2))</f>
        <v>400 IM</v>
      </c>
      <c r="O133" s="3" t="str">
        <f>IF($A133="","",IF(countif('Mens Lineup'!O$3:O1000,CONCATENATE("=",$A133))=0,"",O$2))</f>
        <v/>
      </c>
      <c r="P133" s="3" t="str">
        <f>IF($A133="","",IF(countif('Mens Lineup'!P$3:P1000,CONCATENATE("=",$A133))=0,"",P$2))</f>
        <v/>
      </c>
      <c r="Q133" s="3" t="str">
        <f>IF($A133="","",IF(countif('Mens Lineup'!Q$3:Q1000,CONCATENATE("=",$A133))=0,"",Q$2))</f>
        <v/>
      </c>
      <c r="R133" s="3" t="str">
        <f>IF($A133="","",IF(countif('Mens Lineup'!R$3:R1000,CONCATENATE("=",$A133))=0,"",R$2))</f>
        <v/>
      </c>
      <c r="S133" s="3" t="str">
        <f>IF($A133="","",IF(countif('Mens Lineup'!S$3:S1000,CONCATENATE("=",$A133))=0,"",S$2))</f>
        <v/>
      </c>
      <c r="W133" s="3" t="str">
        <f>IFERROR(__xludf.DUMMYFUNCTION("JOIN("","",FILTER(B133:S133,B133:S133&lt;&gt;""""))"),"100 Free,100 Breast,200 Breast,200 IM,400 IM")</f>
        <v>100 Free,100 Breast,200 Breast,200 IM,400 IM</v>
      </c>
    </row>
    <row r="134">
      <c r="A134" s="3" t="s">
        <v>161</v>
      </c>
      <c r="B134" s="3" t="str">
        <f>IF($A134="","",IF(countif('Mens Lineup'!B$3:B1000,CONCATENATE("=",$A134))=0,"",B$2))</f>
        <v/>
      </c>
      <c r="C134" s="3" t="str">
        <f>IF($A134="","",IF(countif('Mens Lineup'!C$3:C1000,CONCATENATE("=",$A134))=0,"",C$2))</f>
        <v>100 Free</v>
      </c>
      <c r="D134" s="3" t="str">
        <f>IF($A134="","",IF(countif('Mens Lineup'!D$3:D1000,CONCATENATE("=",$A134))=0,"",D$2))</f>
        <v>200 Free</v>
      </c>
      <c r="E134" s="3" t="str">
        <f>IF($A134="","",IF(countif('Mens Lineup'!E$3:E1000,CONCATENATE("=",$A134))=0,"",E$2))</f>
        <v>500 Free</v>
      </c>
      <c r="F134" s="3" t="str">
        <f>IF($A134="","",IF(countif('Mens Lineup'!F$3:F1000,CONCATENATE("=",$A134))=0,"",F$2))</f>
        <v/>
      </c>
      <c r="G134" s="3" t="str">
        <f>IF($A134="","",IF(countif('Mens Lineup'!G$3:G1000,CONCATENATE("=",$A134))=0,"",G$2))</f>
        <v>100 Back</v>
      </c>
      <c r="H134" s="3" t="str">
        <f>IF($A134="","",IF(countif('Mens Lineup'!H$3:H1000,CONCATENATE("=",$A134))=0,"",H$2))</f>
        <v>200 Back</v>
      </c>
      <c r="I134" s="3" t="str">
        <f>IF($A134="","",IF(countif('Mens Lineup'!I$3:I1000,CONCATENATE("=",$A134))=0,"",I$2))</f>
        <v/>
      </c>
      <c r="J134" s="3" t="str">
        <f>IF($A134="","",IF(countif('Mens Lineup'!J$3:J1000,CONCATENATE("=",$A134))=0,"",J$2))</f>
        <v/>
      </c>
      <c r="K134" s="3" t="str">
        <f>IF($A134="","",IF(countif('Mens Lineup'!K$3:K1000,CONCATENATE("=",$A134))=0,"",K$2))</f>
        <v/>
      </c>
      <c r="L134" s="3" t="str">
        <f>IF($A134="","",IF(countif('Mens Lineup'!L$3:L1000,CONCATENATE("=",$A134))=0,"",L$2))</f>
        <v/>
      </c>
      <c r="M134" s="3" t="str">
        <f>IF($A134="","",IF(countif('Mens Lineup'!M$3:M1000,CONCATENATE("=",$A134))=0,"",M$2))</f>
        <v/>
      </c>
      <c r="N134" s="3" t="str">
        <f>IF($A134="","",IF(countif('Mens Lineup'!N$3:N1000,CONCATENATE("=",$A134))=0,"",N$2))</f>
        <v/>
      </c>
      <c r="O134" s="3" t="str">
        <f>IF($A134="","",IF(countif('Mens Lineup'!O$3:O1000,CONCATENATE("=",$A134))=0,"",O$2))</f>
        <v>1000 Free</v>
      </c>
      <c r="P134" s="3" t="str">
        <f>IF($A134="","",IF(countif('Mens Lineup'!P$3:P1000,CONCATENATE("=",$A134))=0,"",P$2))</f>
        <v/>
      </c>
      <c r="Q134" s="3" t="str">
        <f>IF($A134="","",IF(countif('Mens Lineup'!Q$3:Q1000,CONCATENATE("=",$A134))=0,"",Q$2))</f>
        <v/>
      </c>
      <c r="R134" s="3" t="str">
        <f>IF($A134="","",IF(countif('Mens Lineup'!R$3:R1000,CONCATENATE("=",$A134))=0,"",R$2))</f>
        <v/>
      </c>
      <c r="S134" s="3" t="str">
        <f>IF($A134="","",IF(countif('Mens Lineup'!S$3:S1000,CONCATENATE("=",$A134))=0,"",S$2))</f>
        <v/>
      </c>
      <c r="W134" s="3" t="str">
        <f>IFERROR(__xludf.DUMMYFUNCTION("JOIN("","",FILTER(B134:S134,B134:S134&lt;&gt;""""))"),"100 Free,200 Free,500 Free,100 Back,200 Back,1000 Free")</f>
        <v>100 Free,200 Free,500 Free,100 Back,200 Back,1000 Free</v>
      </c>
    </row>
    <row r="135">
      <c r="A135" s="3" t="s">
        <v>162</v>
      </c>
      <c r="B135" s="3" t="str">
        <f>IF($A135="","",IF(countif('Mens Lineup'!B$3:B1000,CONCATENATE("=",$A135))=0,"",B$2))</f>
        <v/>
      </c>
      <c r="C135" s="3" t="str">
        <f>IF($A135="","",IF(countif('Mens Lineup'!C$3:C1000,CONCATENATE("=",$A135))=0,"",C$2))</f>
        <v>100 Free</v>
      </c>
      <c r="D135" s="3" t="str">
        <f>IF($A135="","",IF(countif('Mens Lineup'!D$3:D1000,CONCATENATE("=",$A135))=0,"",D$2))</f>
        <v/>
      </c>
      <c r="E135" s="3" t="str">
        <f>IF($A135="","",IF(countif('Mens Lineup'!E$3:E1000,CONCATENATE("=",$A135))=0,"",E$2))</f>
        <v/>
      </c>
      <c r="F135" s="3" t="str">
        <f>IF($A135="","",IF(countif('Mens Lineup'!F$3:F1000,CONCATENATE("=",$A135))=0,"",F$2))</f>
        <v/>
      </c>
      <c r="G135" s="3" t="str">
        <f>IF($A135="","",IF(countif('Mens Lineup'!G$3:G1000,CONCATENATE("=",$A135))=0,"",G$2))</f>
        <v/>
      </c>
      <c r="H135" s="3" t="str">
        <f>IF($A135="","",IF(countif('Mens Lineup'!H$3:H1000,CONCATENATE("=",$A135))=0,"",H$2))</f>
        <v/>
      </c>
      <c r="I135" s="3" t="str">
        <f>IF($A135="","",IF(countif('Mens Lineup'!I$3:I1000,CONCATENATE("=",$A135))=0,"",I$2))</f>
        <v>100 Breast</v>
      </c>
      <c r="J135" s="3" t="str">
        <f>IF($A135="","",IF(countif('Mens Lineup'!J$3:J1000,CONCATENATE("=",$A135))=0,"",J$2))</f>
        <v/>
      </c>
      <c r="K135" s="3" t="str">
        <f>IF($A135="","",IF(countif('Mens Lineup'!K$3:K1000,CONCATENATE("=",$A135))=0,"",K$2))</f>
        <v/>
      </c>
      <c r="L135" s="3" t="str">
        <f>IF($A135="","",IF(countif('Mens Lineup'!L$3:L1000,CONCATENATE("=",$A135))=0,"",L$2))</f>
        <v/>
      </c>
      <c r="M135" s="3" t="str">
        <f>IF($A135="","",IF(countif('Mens Lineup'!M$3:M1000,CONCATENATE("=",$A135))=0,"",M$2))</f>
        <v/>
      </c>
      <c r="N135" s="3" t="str">
        <f>IF($A135="","",IF(countif('Mens Lineup'!N$3:N1000,CONCATENATE("=",$A135))=0,"",N$2))</f>
        <v/>
      </c>
      <c r="O135" s="3" t="str">
        <f>IF($A135="","",IF(countif('Mens Lineup'!O$3:O1000,CONCATENATE("=",$A135))=0,"",O$2))</f>
        <v/>
      </c>
      <c r="P135" s="3" t="str">
        <f>IF($A135="","",IF(countif('Mens Lineup'!P$3:P1000,CONCATENATE("=",$A135))=0,"",P$2))</f>
        <v/>
      </c>
      <c r="Q135" s="3" t="str">
        <f>IF($A135="","",IF(countif('Mens Lineup'!Q$3:Q1000,CONCATENATE("=",$A135))=0,"",Q$2))</f>
        <v/>
      </c>
      <c r="R135" s="3" t="str">
        <f>IF($A135="","",IF(countif('Mens Lineup'!R$3:R1000,CONCATENATE("=",$A135))=0,"",R$2))</f>
        <v/>
      </c>
      <c r="S135" s="3" t="str">
        <f>IF($A135="","",IF(countif('Mens Lineup'!S$3:S1000,CONCATENATE("=",$A135))=0,"",S$2))</f>
        <v/>
      </c>
      <c r="W135" s="3" t="str">
        <f>IFERROR(__xludf.DUMMYFUNCTION("JOIN("","",FILTER(B135:S135,B135:S135&lt;&gt;""""))"),"100 Free,100 Breast")</f>
        <v>100 Free,100 Breast</v>
      </c>
    </row>
    <row r="136">
      <c r="A136" s="3" t="s">
        <v>163</v>
      </c>
      <c r="B136" s="3" t="str">
        <f>IF($A136="","",IF(countif('Mens Lineup'!B$3:B1000,CONCATENATE("=",$A136))=0,"",B$2))</f>
        <v/>
      </c>
      <c r="C136" s="3" t="str">
        <f>IF($A136="","",IF(countif('Mens Lineup'!C$3:C1000,CONCATENATE("=",$A136))=0,"",C$2))</f>
        <v>100 Free</v>
      </c>
      <c r="D136" s="3" t="str">
        <f>IF($A136="","",IF(countif('Mens Lineup'!D$3:D1000,CONCATENATE("=",$A136))=0,"",D$2))</f>
        <v/>
      </c>
      <c r="E136" s="3" t="str">
        <f>IF($A136="","",IF(countif('Mens Lineup'!E$3:E1000,CONCATENATE("=",$A136))=0,"",E$2))</f>
        <v/>
      </c>
      <c r="F136" s="3" t="str">
        <f>IF($A136="","",IF(countif('Mens Lineup'!F$3:F1000,CONCATENATE("=",$A136))=0,"",F$2))</f>
        <v/>
      </c>
      <c r="G136" s="3" t="str">
        <f>IF($A136="","",IF(countif('Mens Lineup'!G$3:G1000,CONCATENATE("=",$A136))=0,"",G$2))</f>
        <v>100 Back</v>
      </c>
      <c r="H136" s="3" t="str">
        <f>IF($A136="","",IF(countif('Mens Lineup'!H$3:H1000,CONCATENATE("=",$A136))=0,"",H$2))</f>
        <v>200 Back</v>
      </c>
      <c r="I136" s="3" t="str">
        <f>IF($A136="","",IF(countif('Mens Lineup'!I$3:I1000,CONCATENATE("=",$A136))=0,"",I$2))</f>
        <v/>
      </c>
      <c r="J136" s="3" t="str">
        <f>IF($A136="","",IF(countif('Mens Lineup'!J$3:J1000,CONCATENATE("=",$A136))=0,"",J$2))</f>
        <v/>
      </c>
      <c r="K136" s="3" t="str">
        <f>IF($A136="","",IF(countif('Mens Lineup'!K$3:K1000,CONCATENATE("=",$A136))=0,"",K$2))</f>
        <v/>
      </c>
      <c r="L136" s="3" t="str">
        <f>IF($A136="","",IF(countif('Mens Lineup'!L$3:L1000,CONCATENATE("=",$A136))=0,"",L$2))</f>
        <v/>
      </c>
      <c r="M136" s="3" t="str">
        <f>IF($A136="","",IF(countif('Mens Lineup'!M$3:M1000,CONCATENATE("=",$A136))=0,"",M$2))</f>
        <v/>
      </c>
      <c r="N136" s="3" t="str">
        <f>IF($A136="","",IF(countif('Mens Lineup'!N$3:N1000,CONCATENATE("=",$A136))=0,"",N$2))</f>
        <v/>
      </c>
      <c r="O136" s="3" t="str">
        <f>IF($A136="","",IF(countif('Mens Lineup'!O$3:O1000,CONCATENATE("=",$A136))=0,"",O$2))</f>
        <v/>
      </c>
      <c r="P136" s="3" t="str">
        <f>IF($A136="","",IF(countif('Mens Lineup'!P$3:P1000,CONCATENATE("=",$A136))=0,"",P$2))</f>
        <v/>
      </c>
      <c r="Q136" s="3" t="str">
        <f>IF($A136="","",IF(countif('Mens Lineup'!Q$3:Q1000,CONCATENATE("=",$A136))=0,"",Q$2))</f>
        <v/>
      </c>
      <c r="R136" s="3" t="str">
        <f>IF($A136="","",IF(countif('Mens Lineup'!R$3:R1000,CONCATENATE("=",$A136))=0,"",R$2))</f>
        <v/>
      </c>
      <c r="S136" s="3" t="str">
        <f>IF($A136="","",IF(countif('Mens Lineup'!S$3:S1000,CONCATENATE("=",$A136))=0,"",S$2))</f>
        <v/>
      </c>
      <c r="W136" s="3" t="str">
        <f>IFERROR(__xludf.DUMMYFUNCTION("JOIN("","",FILTER(B136:S136,B136:S136&lt;&gt;""""))"),"100 Free,100 Back,200 Back")</f>
        <v>100 Free,100 Back,200 Back</v>
      </c>
    </row>
    <row r="137">
      <c r="A137" s="3" t="s">
        <v>164</v>
      </c>
      <c r="B137" s="3" t="str">
        <f>IF($A137="","",IF(countif('Mens Lineup'!B$3:B1000,CONCATENATE("=",$A137))=0,"",B$2))</f>
        <v/>
      </c>
      <c r="C137" s="3" t="str">
        <f>IF($A137="","",IF(countif('Mens Lineup'!C$3:C1000,CONCATENATE("=",$A137))=0,"",C$2))</f>
        <v>100 Free</v>
      </c>
      <c r="D137" s="3" t="str">
        <f>IF($A137="","",IF(countif('Mens Lineup'!D$3:D1000,CONCATENATE("=",$A137))=0,"",D$2))</f>
        <v>200 Free</v>
      </c>
      <c r="E137" s="3" t="str">
        <f>IF($A137="","",IF(countif('Mens Lineup'!E$3:E1000,CONCATENATE("=",$A137))=0,"",E$2))</f>
        <v/>
      </c>
      <c r="F137" s="3" t="str">
        <f>IF($A137="","",IF(countif('Mens Lineup'!F$3:F1000,CONCATENATE("=",$A137))=0,"",F$2))</f>
        <v>1650 Free</v>
      </c>
      <c r="G137" s="3" t="str">
        <f>IF($A137="","",IF(countif('Mens Lineup'!G$3:G1000,CONCATENATE("=",$A137))=0,"",G$2))</f>
        <v/>
      </c>
      <c r="H137" s="3" t="str">
        <f>IF($A137="","",IF(countif('Mens Lineup'!H$3:H1000,CONCATENATE("=",$A137))=0,"",H$2))</f>
        <v/>
      </c>
      <c r="I137" s="3" t="str">
        <f>IF($A137="","",IF(countif('Mens Lineup'!I$3:I1000,CONCATENATE("=",$A137))=0,"",I$2))</f>
        <v/>
      </c>
      <c r="J137" s="3" t="str">
        <f>IF($A137="","",IF(countif('Mens Lineup'!J$3:J1000,CONCATENATE("=",$A137))=0,"",J$2))</f>
        <v/>
      </c>
      <c r="K137" s="3" t="str">
        <f>IF($A137="","",IF(countif('Mens Lineup'!K$3:K1000,CONCATENATE("=",$A137))=0,"",K$2))</f>
        <v/>
      </c>
      <c r="L137" s="3" t="str">
        <f>IF($A137="","",IF(countif('Mens Lineup'!L$3:L1000,CONCATENATE("=",$A137))=0,"",L$2))</f>
        <v/>
      </c>
      <c r="M137" s="3" t="str">
        <f>IF($A137="","",IF(countif('Mens Lineup'!M$3:M1000,CONCATENATE("=",$A137))=0,"",M$2))</f>
        <v/>
      </c>
      <c r="N137" s="3" t="str">
        <f>IF($A137="","",IF(countif('Mens Lineup'!N$3:N1000,CONCATENATE("=",$A137))=0,"",N$2))</f>
        <v/>
      </c>
      <c r="O137" s="3" t="str">
        <f>IF($A137="","",IF(countif('Mens Lineup'!O$3:O1000,CONCATENATE("=",$A137))=0,"",O$2))</f>
        <v>1000 Free</v>
      </c>
      <c r="P137" s="3" t="str">
        <f>IF($A137="","",IF(countif('Mens Lineup'!P$3:P1000,CONCATENATE("=",$A137))=0,"",P$2))</f>
        <v/>
      </c>
      <c r="Q137" s="3" t="str">
        <f>IF($A137="","",IF(countif('Mens Lineup'!Q$3:Q1000,CONCATENATE("=",$A137))=0,"",Q$2))</f>
        <v/>
      </c>
      <c r="R137" s="3" t="str">
        <f>IF($A137="","",IF(countif('Mens Lineup'!R$3:R1000,CONCATENATE("=",$A137))=0,"",R$2))</f>
        <v/>
      </c>
      <c r="S137" s="3" t="str">
        <f>IF($A137="","",IF(countif('Mens Lineup'!S$3:S1000,CONCATENATE("=",$A137))=0,"",S$2))</f>
        <v/>
      </c>
      <c r="W137" s="3" t="str">
        <f>IFERROR(__xludf.DUMMYFUNCTION("JOIN("","",FILTER(B137:S137,B137:S137&lt;&gt;""""))"),"100 Free,200 Free,1650 Free,1000 Free")</f>
        <v>100 Free,200 Free,1650 Free,1000 Free</v>
      </c>
    </row>
    <row r="138">
      <c r="A138" s="3" t="s">
        <v>165</v>
      </c>
      <c r="B138" s="3" t="str">
        <f>IF($A138="","",IF(countif('Mens Lineup'!B$3:B1000,CONCATENATE("=",$A138))=0,"",B$2))</f>
        <v/>
      </c>
      <c r="C138" s="3" t="str">
        <f>IF($A138="","",IF(countif('Mens Lineup'!C$3:C1000,CONCATENATE("=",$A138))=0,"",C$2))</f>
        <v>100 Free</v>
      </c>
      <c r="D138" s="3" t="str">
        <f>IF($A138="","",IF(countif('Mens Lineup'!D$3:D1000,CONCATENATE("=",$A138))=0,"",D$2))</f>
        <v>200 Free</v>
      </c>
      <c r="E138" s="3" t="str">
        <f>IF($A138="","",IF(countif('Mens Lineup'!E$3:E1000,CONCATENATE("=",$A138))=0,"",E$2))</f>
        <v/>
      </c>
      <c r="F138" s="3" t="str">
        <f>IF($A138="","",IF(countif('Mens Lineup'!F$3:F1000,CONCATENATE("=",$A138))=0,"",F$2))</f>
        <v/>
      </c>
      <c r="G138" s="3" t="str">
        <f>IF($A138="","",IF(countif('Mens Lineup'!G$3:G1000,CONCATENATE("=",$A138))=0,"",G$2))</f>
        <v/>
      </c>
      <c r="H138" s="3" t="str">
        <f>IF($A138="","",IF(countif('Mens Lineup'!H$3:H1000,CONCATENATE("=",$A138))=0,"",H$2))</f>
        <v>200 Back</v>
      </c>
      <c r="I138" s="3" t="str">
        <f>IF($A138="","",IF(countif('Mens Lineup'!I$3:I1000,CONCATENATE("=",$A138))=0,"",I$2))</f>
        <v/>
      </c>
      <c r="J138" s="3" t="str">
        <f>IF($A138="","",IF(countif('Mens Lineup'!J$3:J1000,CONCATENATE("=",$A138))=0,"",J$2))</f>
        <v/>
      </c>
      <c r="K138" s="3" t="str">
        <f>IF($A138="","",IF(countif('Mens Lineup'!K$3:K1000,CONCATENATE("=",$A138))=0,"",K$2))</f>
        <v>100 Fly</v>
      </c>
      <c r="L138" s="3" t="str">
        <f>IF($A138="","",IF(countif('Mens Lineup'!L$3:L1000,CONCATENATE("=",$A138))=0,"",L$2))</f>
        <v>200 Fly</v>
      </c>
      <c r="M138" s="3" t="str">
        <f>IF($A138="","",IF(countif('Mens Lineup'!M$3:M1000,CONCATENATE("=",$A138))=0,"",M$2))</f>
        <v/>
      </c>
      <c r="N138" s="3" t="str">
        <f>IF($A138="","",IF(countif('Mens Lineup'!N$3:N1000,CONCATENATE("=",$A138))=0,"",N$2))</f>
        <v/>
      </c>
      <c r="O138" s="3" t="str">
        <f>IF($A138="","",IF(countif('Mens Lineup'!O$3:O1000,CONCATENATE("=",$A138))=0,"",O$2))</f>
        <v/>
      </c>
      <c r="P138" s="3" t="str">
        <f>IF($A138="","",IF(countif('Mens Lineup'!P$3:P1000,CONCATENATE("=",$A138))=0,"",P$2))</f>
        <v/>
      </c>
      <c r="Q138" s="3" t="str">
        <f>IF($A138="","",IF(countif('Mens Lineup'!Q$3:Q1000,CONCATENATE("=",$A138))=0,"",Q$2))</f>
        <v/>
      </c>
      <c r="R138" s="3" t="str">
        <f>IF($A138="","",IF(countif('Mens Lineup'!R$3:R1000,CONCATENATE("=",$A138))=0,"",R$2))</f>
        <v/>
      </c>
      <c r="S138" s="3" t="str">
        <f>IF($A138="","",IF(countif('Mens Lineup'!S$3:S1000,CONCATENATE("=",$A138))=0,"",S$2))</f>
        <v/>
      </c>
      <c r="W138" s="3" t="str">
        <f>IFERROR(__xludf.DUMMYFUNCTION("JOIN("","",FILTER(B138:S138,B138:S138&lt;&gt;""""))"),"100 Free,200 Free,200 Back,100 Fly,200 Fly")</f>
        <v>100 Free,200 Free,200 Back,100 Fly,200 Fly</v>
      </c>
    </row>
    <row r="139">
      <c r="A139" s="3" t="s">
        <v>166</v>
      </c>
      <c r="B139" s="3" t="str">
        <f>IF($A139="","",IF(countif('Mens Lineup'!B$3:B1000,CONCATENATE("=",$A139))=0,"",B$2))</f>
        <v/>
      </c>
      <c r="C139" s="3" t="str">
        <f>IF($A139="","",IF(countif('Mens Lineup'!C$3:C1000,CONCATENATE("=",$A139))=0,"",C$2))</f>
        <v>100 Free</v>
      </c>
      <c r="D139" s="3" t="str">
        <f>IF($A139="","",IF(countif('Mens Lineup'!D$3:D1000,CONCATENATE("=",$A139))=0,"",D$2))</f>
        <v/>
      </c>
      <c r="E139" s="3" t="str">
        <f>IF($A139="","",IF(countif('Mens Lineup'!E$3:E1000,CONCATENATE("=",$A139))=0,"",E$2))</f>
        <v/>
      </c>
      <c r="F139" s="3" t="str">
        <f>IF($A139="","",IF(countif('Mens Lineup'!F$3:F1000,CONCATENATE("=",$A139))=0,"",F$2))</f>
        <v/>
      </c>
      <c r="G139" s="3" t="str">
        <f>IF($A139="","",IF(countif('Mens Lineup'!G$3:G1000,CONCATENATE("=",$A139))=0,"",G$2))</f>
        <v>100 Back</v>
      </c>
      <c r="H139" s="3" t="str">
        <f>IF($A139="","",IF(countif('Mens Lineup'!H$3:H1000,CONCATENATE("=",$A139))=0,"",H$2))</f>
        <v>200 Back</v>
      </c>
      <c r="I139" s="3" t="str">
        <f>IF($A139="","",IF(countif('Mens Lineup'!I$3:I1000,CONCATENATE("=",$A139))=0,"",I$2))</f>
        <v/>
      </c>
      <c r="J139" s="3" t="str">
        <f>IF($A139="","",IF(countif('Mens Lineup'!J$3:J1000,CONCATENATE("=",$A139))=0,"",J$2))</f>
        <v/>
      </c>
      <c r="K139" s="3" t="str">
        <f>IF($A139="","",IF(countif('Mens Lineup'!K$3:K1000,CONCATENATE("=",$A139))=0,"",K$2))</f>
        <v>100 Fly</v>
      </c>
      <c r="L139" s="3" t="str">
        <f>IF($A139="","",IF(countif('Mens Lineup'!L$3:L1000,CONCATENATE("=",$A139))=0,"",L$2))</f>
        <v>200 Fly</v>
      </c>
      <c r="M139" s="3" t="str">
        <f>IF($A139="","",IF(countif('Mens Lineup'!M$3:M1000,CONCATENATE("=",$A139))=0,"",M$2))</f>
        <v/>
      </c>
      <c r="N139" s="3" t="str">
        <f>IF($A139="","",IF(countif('Mens Lineup'!N$3:N1000,CONCATENATE("=",$A139))=0,"",N$2))</f>
        <v/>
      </c>
      <c r="O139" s="3" t="str">
        <f>IF($A139="","",IF(countif('Mens Lineup'!O$3:O1000,CONCATENATE("=",$A139))=0,"",O$2))</f>
        <v/>
      </c>
      <c r="P139" s="3" t="str">
        <f>IF($A139="","",IF(countif('Mens Lineup'!P$3:P1000,CONCATENATE("=",$A139))=0,"",P$2))</f>
        <v/>
      </c>
      <c r="Q139" s="3" t="str">
        <f>IF($A139="","",IF(countif('Mens Lineup'!Q$3:Q1000,CONCATENATE("=",$A139))=0,"",Q$2))</f>
        <v/>
      </c>
      <c r="R139" s="3" t="str">
        <f>IF($A139="","",IF(countif('Mens Lineup'!R$3:R1000,CONCATENATE("=",$A139))=0,"",R$2))</f>
        <v/>
      </c>
      <c r="S139" s="3" t="str">
        <f>IF($A139="","",IF(countif('Mens Lineup'!S$3:S1000,CONCATENATE("=",$A139))=0,"",S$2))</f>
        <v/>
      </c>
      <c r="W139" s="3" t="str">
        <f>IFERROR(__xludf.DUMMYFUNCTION("JOIN("","",FILTER(B139:S139,B139:S139&lt;&gt;""""))"),"100 Free,100 Back,200 Back,100 Fly,200 Fly")</f>
        <v>100 Free,100 Back,200 Back,100 Fly,200 Fly</v>
      </c>
    </row>
    <row r="140">
      <c r="A140" s="3" t="s">
        <v>167</v>
      </c>
      <c r="B140" s="3" t="str">
        <f>IF($A140="","",IF(countif('Mens Lineup'!B$3:B1000,CONCATENATE("=",$A140))=0,"",B$2))</f>
        <v/>
      </c>
      <c r="C140" s="3" t="str">
        <f>IF($A140="","",IF(countif('Mens Lineup'!C$3:C1000,CONCATENATE("=",$A140))=0,"",C$2))</f>
        <v>100 Free</v>
      </c>
      <c r="D140" s="3" t="str">
        <f>IF($A140="","",IF(countif('Mens Lineup'!D$3:D1000,CONCATENATE("=",$A140))=0,"",D$2))</f>
        <v/>
      </c>
      <c r="E140" s="3" t="str">
        <f>IF($A140="","",IF(countif('Mens Lineup'!E$3:E1000,CONCATENATE("=",$A140))=0,"",E$2))</f>
        <v/>
      </c>
      <c r="F140" s="3" t="str">
        <f>IF($A140="","",IF(countif('Mens Lineup'!F$3:F1000,CONCATENATE("=",$A140))=0,"",F$2))</f>
        <v/>
      </c>
      <c r="G140" s="3" t="str">
        <f>IF($A140="","",IF(countif('Mens Lineup'!G$3:G1000,CONCATENATE("=",$A140))=0,"",G$2))</f>
        <v/>
      </c>
      <c r="H140" s="3" t="str">
        <f>IF($A140="","",IF(countif('Mens Lineup'!H$3:H1000,CONCATENATE("=",$A140))=0,"",H$2))</f>
        <v/>
      </c>
      <c r="I140" s="3" t="str">
        <f>IF($A140="","",IF(countif('Mens Lineup'!I$3:I1000,CONCATENATE("=",$A140))=0,"",I$2))</f>
        <v>100 Breast</v>
      </c>
      <c r="J140" s="3" t="str">
        <f>IF($A140="","",IF(countif('Mens Lineup'!J$3:J1000,CONCATENATE("=",$A140))=0,"",J$2))</f>
        <v/>
      </c>
      <c r="K140" s="3" t="str">
        <f>IF($A140="","",IF(countif('Mens Lineup'!K$3:K1000,CONCATENATE("=",$A140))=0,"",K$2))</f>
        <v/>
      </c>
      <c r="L140" s="3" t="str">
        <f>IF($A140="","",IF(countif('Mens Lineup'!L$3:L1000,CONCATENATE("=",$A140))=0,"",L$2))</f>
        <v/>
      </c>
      <c r="M140" s="3" t="str">
        <f>IF($A140="","",IF(countif('Mens Lineup'!M$3:M1000,CONCATENATE("=",$A140))=0,"",M$2))</f>
        <v/>
      </c>
      <c r="N140" s="3" t="str">
        <f>IF($A140="","",IF(countif('Mens Lineup'!N$3:N1000,CONCATENATE("=",$A140))=0,"",N$2))</f>
        <v/>
      </c>
      <c r="O140" s="3" t="str">
        <f>IF($A140="","",IF(countif('Mens Lineup'!O$3:O1000,CONCATENATE("=",$A140))=0,"",O$2))</f>
        <v/>
      </c>
      <c r="P140" s="3" t="str">
        <f>IF($A140="","",IF(countif('Mens Lineup'!P$3:P1000,CONCATENATE("=",$A140))=0,"",P$2))</f>
        <v/>
      </c>
      <c r="Q140" s="3" t="str">
        <f>IF($A140="","",IF(countif('Mens Lineup'!Q$3:Q1000,CONCATENATE("=",$A140))=0,"",Q$2))</f>
        <v/>
      </c>
      <c r="R140" s="3" t="str">
        <f>IF($A140="","",IF(countif('Mens Lineup'!R$3:R1000,CONCATENATE("=",$A140))=0,"",R$2))</f>
        <v/>
      </c>
      <c r="S140" s="3" t="str">
        <f>IF($A140="","",IF(countif('Mens Lineup'!S$3:S1000,CONCATENATE("=",$A140))=0,"",S$2))</f>
        <v/>
      </c>
      <c r="W140" s="3" t="str">
        <f>IFERROR(__xludf.DUMMYFUNCTION("JOIN("","",FILTER(B140:S140,B140:S140&lt;&gt;""""))"),"100 Free,100 Breast")</f>
        <v>100 Free,100 Breast</v>
      </c>
    </row>
    <row r="141">
      <c r="A141" s="3" t="s">
        <v>168</v>
      </c>
      <c r="B141" s="3" t="str">
        <f>IF($A141="","",IF(countif('Mens Lineup'!B$3:B1000,CONCATENATE("=",$A141))=0,"",B$2))</f>
        <v/>
      </c>
      <c r="C141" s="3" t="str">
        <f>IF($A141="","",IF(countif('Mens Lineup'!C$3:C1000,CONCATENATE("=",$A141))=0,"",C$2))</f>
        <v/>
      </c>
      <c r="D141" s="3" t="str">
        <f>IF($A141="","",IF(countif('Mens Lineup'!D$3:D1000,CONCATENATE("=",$A141))=0,"",D$2))</f>
        <v>200 Free</v>
      </c>
      <c r="E141" s="3" t="str">
        <f>IF($A141="","",IF(countif('Mens Lineup'!E$3:E1000,CONCATENATE("=",$A141))=0,"",E$2))</f>
        <v>500 Free</v>
      </c>
      <c r="F141" s="3" t="str">
        <f>IF($A141="","",IF(countif('Mens Lineup'!F$3:F1000,CONCATENATE("=",$A141))=0,"",F$2))</f>
        <v>1650 Free</v>
      </c>
      <c r="G141" s="3" t="str">
        <f>IF($A141="","",IF(countif('Mens Lineup'!G$3:G1000,CONCATENATE("=",$A141))=0,"",G$2))</f>
        <v/>
      </c>
      <c r="H141" s="3" t="str">
        <f>IF($A141="","",IF(countif('Mens Lineup'!H$3:H1000,CONCATENATE("=",$A141))=0,"",H$2))</f>
        <v/>
      </c>
      <c r="I141" s="3" t="str">
        <f>IF($A141="","",IF(countif('Mens Lineup'!I$3:I1000,CONCATENATE("=",$A141))=0,"",I$2))</f>
        <v/>
      </c>
      <c r="J141" s="3" t="str">
        <f>IF($A141="","",IF(countif('Mens Lineup'!J$3:J1000,CONCATENATE("=",$A141))=0,"",J$2))</f>
        <v/>
      </c>
      <c r="K141" s="3" t="str">
        <f>IF($A141="","",IF(countif('Mens Lineup'!K$3:K1000,CONCATENATE("=",$A141))=0,"",K$2))</f>
        <v>100 Fly</v>
      </c>
      <c r="L141" s="3" t="str">
        <f>IF($A141="","",IF(countif('Mens Lineup'!L$3:L1000,CONCATENATE("=",$A141))=0,"",L$2))</f>
        <v>200 Fly</v>
      </c>
      <c r="M141" s="3" t="str">
        <f>IF($A141="","",IF(countif('Mens Lineup'!M$3:M1000,CONCATENATE("=",$A141))=0,"",M$2))</f>
        <v/>
      </c>
      <c r="N141" s="3" t="str">
        <f>IF($A141="","",IF(countif('Mens Lineup'!N$3:N1000,CONCATENATE("=",$A141))=0,"",N$2))</f>
        <v/>
      </c>
      <c r="O141" s="3" t="str">
        <f>IF($A141="","",IF(countif('Mens Lineup'!O$3:O1000,CONCATENATE("=",$A141))=0,"",O$2))</f>
        <v>1000 Free</v>
      </c>
      <c r="P141" s="3" t="str">
        <f>IF($A141="","",IF(countif('Mens Lineup'!P$3:P1000,CONCATENATE("=",$A141))=0,"",P$2))</f>
        <v/>
      </c>
      <c r="Q141" s="3" t="str">
        <f>IF($A141="","",IF(countif('Mens Lineup'!Q$3:Q1000,CONCATENATE("=",$A141))=0,"",Q$2))</f>
        <v/>
      </c>
      <c r="R141" s="3" t="str">
        <f>IF($A141="","",IF(countif('Mens Lineup'!R$3:R1000,CONCATENATE("=",$A141))=0,"",R$2))</f>
        <v/>
      </c>
      <c r="S141" s="3" t="str">
        <f>IF($A141="","",IF(countif('Mens Lineup'!S$3:S1000,CONCATENATE("=",$A141))=0,"",S$2))</f>
        <v/>
      </c>
      <c r="W141" s="3" t="str">
        <f>IFERROR(__xludf.DUMMYFUNCTION("JOIN("","",FILTER(B141:S141,B141:S141&lt;&gt;""""))"),"200 Free,500 Free,1650 Free,100 Fly,200 Fly,1000 Free")</f>
        <v>200 Free,500 Free,1650 Free,100 Fly,200 Fly,1000 Free</v>
      </c>
    </row>
    <row r="142">
      <c r="A142" s="3" t="s">
        <v>169</v>
      </c>
      <c r="B142" s="3" t="str">
        <f>IF($A142="","",IF(countif('Mens Lineup'!B$3:B1000,CONCATENATE("=",$A142))=0,"",B$2))</f>
        <v/>
      </c>
      <c r="C142" s="3" t="str">
        <f>IF($A142="","",IF(countif('Mens Lineup'!C$3:C1000,CONCATENATE("=",$A142))=0,"",C$2))</f>
        <v/>
      </c>
      <c r="D142" s="3" t="str">
        <f>IF($A142="","",IF(countif('Mens Lineup'!D$3:D1000,CONCATENATE("=",$A142))=0,"",D$2))</f>
        <v>200 Free</v>
      </c>
      <c r="E142" s="3" t="str">
        <f>IF($A142="","",IF(countif('Mens Lineup'!E$3:E1000,CONCATENATE("=",$A142))=0,"",E$2))</f>
        <v/>
      </c>
      <c r="F142" s="3" t="str">
        <f>IF($A142="","",IF(countif('Mens Lineup'!F$3:F1000,CONCATENATE("=",$A142))=0,"",F$2))</f>
        <v/>
      </c>
      <c r="G142" s="3" t="str">
        <f>IF($A142="","",IF(countif('Mens Lineup'!G$3:G1000,CONCATENATE("=",$A142))=0,"",G$2))</f>
        <v>100 Back</v>
      </c>
      <c r="H142" s="3" t="str">
        <f>IF($A142="","",IF(countif('Mens Lineup'!H$3:H1000,CONCATENATE("=",$A142))=0,"",H$2))</f>
        <v>200 Back</v>
      </c>
      <c r="I142" s="3" t="str">
        <f>IF($A142="","",IF(countif('Mens Lineup'!I$3:I1000,CONCATENATE("=",$A142))=0,"",I$2))</f>
        <v/>
      </c>
      <c r="J142" s="3" t="str">
        <f>IF($A142="","",IF(countif('Mens Lineup'!J$3:J1000,CONCATENATE("=",$A142))=0,"",J$2))</f>
        <v/>
      </c>
      <c r="K142" s="3" t="str">
        <f>IF($A142="","",IF(countif('Mens Lineup'!K$3:K1000,CONCATENATE("=",$A142))=0,"",K$2))</f>
        <v/>
      </c>
      <c r="L142" s="3" t="str">
        <f>IF($A142="","",IF(countif('Mens Lineup'!L$3:L1000,CONCATENATE("=",$A142))=0,"",L$2))</f>
        <v>200 Fly</v>
      </c>
      <c r="M142" s="3" t="str">
        <f>IF($A142="","",IF(countif('Mens Lineup'!M$3:M1000,CONCATENATE("=",$A142))=0,"",M$2))</f>
        <v>200 IM</v>
      </c>
      <c r="N142" s="3" t="str">
        <f>IF($A142="","",IF(countif('Mens Lineup'!N$3:N1000,CONCATENATE("=",$A142))=0,"",N$2))</f>
        <v>400 IM</v>
      </c>
      <c r="O142" s="3" t="str">
        <f>IF($A142="","",IF(countif('Mens Lineup'!O$3:O1000,CONCATENATE("=",$A142))=0,"",O$2))</f>
        <v/>
      </c>
      <c r="P142" s="3" t="str">
        <f>IF($A142="","",IF(countif('Mens Lineup'!P$3:P1000,CONCATENATE("=",$A142))=0,"",P$2))</f>
        <v/>
      </c>
      <c r="Q142" s="3" t="str">
        <f>IF($A142="","",IF(countif('Mens Lineup'!Q$3:Q1000,CONCATENATE("=",$A142))=0,"",Q$2))</f>
        <v/>
      </c>
      <c r="R142" s="3" t="str">
        <f>IF($A142="","",IF(countif('Mens Lineup'!R$3:R1000,CONCATENATE("=",$A142))=0,"",R$2))</f>
        <v/>
      </c>
      <c r="S142" s="3" t="str">
        <f>IF($A142="","",IF(countif('Mens Lineup'!S$3:S1000,CONCATENATE("=",$A142))=0,"",S$2))</f>
        <v/>
      </c>
      <c r="W142" s="3" t="str">
        <f>IFERROR(__xludf.DUMMYFUNCTION("JOIN("","",FILTER(B142:S142,B142:S142&lt;&gt;""""))"),"200 Free,100 Back,200 Back,200 Fly,200 IM,400 IM")</f>
        <v>200 Free,100 Back,200 Back,200 Fly,200 IM,400 IM</v>
      </c>
    </row>
    <row r="143">
      <c r="A143" s="3" t="s">
        <v>170</v>
      </c>
      <c r="B143" s="3" t="str">
        <f>IF($A143="","",IF(countif('Mens Lineup'!B$3:B1000,CONCATENATE("=",$A143))=0,"",B$2))</f>
        <v/>
      </c>
      <c r="C143" s="3" t="str">
        <f>IF($A143="","",IF(countif('Mens Lineup'!C$3:C1000,CONCATENATE("=",$A143))=0,"",C$2))</f>
        <v/>
      </c>
      <c r="D143" s="3" t="str">
        <f>IF($A143="","",IF(countif('Mens Lineup'!D$3:D1000,CONCATENATE("=",$A143))=0,"",D$2))</f>
        <v>200 Free</v>
      </c>
      <c r="E143" s="3" t="str">
        <f>IF($A143="","",IF(countif('Mens Lineup'!E$3:E1000,CONCATENATE("=",$A143))=0,"",E$2))</f>
        <v>500 Free</v>
      </c>
      <c r="F143" s="3" t="str">
        <f>IF($A143="","",IF(countif('Mens Lineup'!F$3:F1000,CONCATENATE("=",$A143))=0,"",F$2))</f>
        <v>1650 Free</v>
      </c>
      <c r="G143" s="3" t="str">
        <f>IF($A143="","",IF(countif('Mens Lineup'!G$3:G1000,CONCATENATE("=",$A143))=0,"",G$2))</f>
        <v/>
      </c>
      <c r="H143" s="3" t="str">
        <f>IF($A143="","",IF(countif('Mens Lineup'!H$3:H1000,CONCATENATE("=",$A143))=0,"",H$2))</f>
        <v/>
      </c>
      <c r="I143" s="3" t="str">
        <f>IF($A143="","",IF(countif('Mens Lineup'!I$3:I1000,CONCATENATE("=",$A143))=0,"",I$2))</f>
        <v/>
      </c>
      <c r="J143" s="3" t="str">
        <f>IF($A143="","",IF(countif('Mens Lineup'!J$3:J1000,CONCATENATE("=",$A143))=0,"",J$2))</f>
        <v/>
      </c>
      <c r="K143" s="3" t="str">
        <f>IF($A143="","",IF(countif('Mens Lineup'!K$3:K1000,CONCATENATE("=",$A143))=0,"",K$2))</f>
        <v/>
      </c>
      <c r="L143" s="3" t="str">
        <f>IF($A143="","",IF(countif('Mens Lineup'!L$3:L1000,CONCATENATE("=",$A143))=0,"",L$2))</f>
        <v/>
      </c>
      <c r="M143" s="3" t="str">
        <f>IF($A143="","",IF(countif('Mens Lineup'!M$3:M1000,CONCATENATE("=",$A143))=0,"",M$2))</f>
        <v>200 IM</v>
      </c>
      <c r="N143" s="3" t="str">
        <f>IF($A143="","",IF(countif('Mens Lineup'!N$3:N1000,CONCATENATE("=",$A143))=0,"",N$2))</f>
        <v>400 IM</v>
      </c>
      <c r="O143" s="3" t="str">
        <f>IF($A143="","",IF(countif('Mens Lineup'!O$3:O1000,CONCATENATE("=",$A143))=0,"",O$2))</f>
        <v/>
      </c>
      <c r="P143" s="3" t="str">
        <f>IF($A143="","",IF(countif('Mens Lineup'!P$3:P1000,CONCATENATE("=",$A143))=0,"",P$2))</f>
        <v/>
      </c>
      <c r="Q143" s="3" t="str">
        <f>IF($A143="","",IF(countif('Mens Lineup'!Q$3:Q1000,CONCATENATE("=",$A143))=0,"",Q$2))</f>
        <v/>
      </c>
      <c r="R143" s="3" t="str">
        <f>IF($A143="","",IF(countif('Mens Lineup'!R$3:R1000,CONCATENATE("=",$A143))=0,"",R$2))</f>
        <v/>
      </c>
      <c r="S143" s="3" t="str">
        <f>IF($A143="","",IF(countif('Mens Lineup'!S$3:S1000,CONCATENATE("=",$A143))=0,"",S$2))</f>
        <v/>
      </c>
      <c r="W143" s="3" t="str">
        <f>IFERROR(__xludf.DUMMYFUNCTION("JOIN("","",FILTER(B143:S143,B143:S143&lt;&gt;""""))"),"200 Free,500 Free,1650 Free,200 IM,400 IM")</f>
        <v>200 Free,500 Free,1650 Free,200 IM,400 IM</v>
      </c>
    </row>
    <row r="144">
      <c r="A144" s="3" t="s">
        <v>171</v>
      </c>
      <c r="B144" s="3" t="str">
        <f>IF($A144="","",IF(countif('Mens Lineup'!B$3:B1000,CONCATENATE("=",$A144))=0,"",B$2))</f>
        <v/>
      </c>
      <c r="C144" s="3" t="str">
        <f>IF($A144="","",IF(countif('Mens Lineup'!C$3:C1000,CONCATENATE("=",$A144))=0,"",C$2))</f>
        <v/>
      </c>
      <c r="D144" s="3" t="str">
        <f>IF($A144="","",IF(countif('Mens Lineup'!D$3:D1000,CONCATENATE("=",$A144))=0,"",D$2))</f>
        <v>200 Free</v>
      </c>
      <c r="E144" s="3" t="str">
        <f>IF($A144="","",IF(countif('Mens Lineup'!E$3:E1000,CONCATENATE("=",$A144))=0,"",E$2))</f>
        <v>500 Free</v>
      </c>
      <c r="F144" s="3" t="str">
        <f>IF($A144="","",IF(countif('Mens Lineup'!F$3:F1000,CONCATENATE("=",$A144))=0,"",F$2))</f>
        <v>1650 Free</v>
      </c>
      <c r="G144" s="3" t="str">
        <f>IF($A144="","",IF(countif('Mens Lineup'!G$3:G1000,CONCATENATE("=",$A144))=0,"",G$2))</f>
        <v/>
      </c>
      <c r="H144" s="3" t="str">
        <f>IF($A144="","",IF(countif('Mens Lineup'!H$3:H1000,CONCATENATE("=",$A144))=0,"",H$2))</f>
        <v/>
      </c>
      <c r="I144" s="3" t="str">
        <f>IF($A144="","",IF(countif('Mens Lineup'!I$3:I1000,CONCATENATE("=",$A144))=0,"",I$2))</f>
        <v/>
      </c>
      <c r="J144" s="3" t="str">
        <f>IF($A144="","",IF(countif('Mens Lineup'!J$3:J1000,CONCATENATE("=",$A144))=0,"",J$2))</f>
        <v>200 Breast</v>
      </c>
      <c r="K144" s="3" t="str">
        <f>IF($A144="","",IF(countif('Mens Lineup'!K$3:K1000,CONCATENATE("=",$A144))=0,"",K$2))</f>
        <v/>
      </c>
      <c r="L144" s="3" t="str">
        <f>IF($A144="","",IF(countif('Mens Lineup'!L$3:L1000,CONCATENATE("=",$A144))=0,"",L$2))</f>
        <v/>
      </c>
      <c r="M144" s="3" t="str">
        <f>IF($A144="","",IF(countif('Mens Lineup'!M$3:M1000,CONCATENATE("=",$A144))=0,"",M$2))</f>
        <v/>
      </c>
      <c r="N144" s="3" t="str">
        <f>IF($A144="","",IF(countif('Mens Lineup'!N$3:N1000,CONCATENATE("=",$A144))=0,"",N$2))</f>
        <v>400 IM</v>
      </c>
      <c r="O144" s="3" t="str">
        <f>IF($A144="","",IF(countif('Mens Lineup'!O$3:O1000,CONCATENATE("=",$A144))=0,"",O$2))</f>
        <v>1000 Free</v>
      </c>
      <c r="P144" s="3" t="str">
        <f>IF($A144="","",IF(countif('Mens Lineup'!P$3:P1000,CONCATENATE("=",$A144))=0,"",P$2))</f>
        <v/>
      </c>
      <c r="Q144" s="3" t="str">
        <f>IF($A144="","",IF(countif('Mens Lineup'!Q$3:Q1000,CONCATENATE("=",$A144))=0,"",Q$2))</f>
        <v/>
      </c>
      <c r="R144" s="3" t="str">
        <f>IF($A144="","",IF(countif('Mens Lineup'!R$3:R1000,CONCATENATE("=",$A144))=0,"",R$2))</f>
        <v/>
      </c>
      <c r="S144" s="3" t="str">
        <f>IF($A144="","",IF(countif('Mens Lineup'!S$3:S1000,CONCATENATE("=",$A144))=0,"",S$2))</f>
        <v/>
      </c>
      <c r="W144" s="3" t="str">
        <f>IFERROR(__xludf.DUMMYFUNCTION("JOIN("","",FILTER(B144:S144,B144:S144&lt;&gt;""""))"),"200 Free,500 Free,1650 Free,200 Breast,400 IM,1000 Free")</f>
        <v>200 Free,500 Free,1650 Free,200 Breast,400 IM,1000 Free</v>
      </c>
    </row>
    <row r="145">
      <c r="A145" s="3" t="s">
        <v>172</v>
      </c>
      <c r="B145" s="3" t="str">
        <f>IF($A145="","",IF(countif('Mens Lineup'!B$3:B1000,CONCATENATE("=",$A145))=0,"",B$2))</f>
        <v/>
      </c>
      <c r="C145" s="3" t="str">
        <f>IF($A145="","",IF(countif('Mens Lineup'!C$3:C1000,CONCATENATE("=",$A145))=0,"",C$2))</f>
        <v/>
      </c>
      <c r="D145" s="3" t="str">
        <f>IF($A145="","",IF(countif('Mens Lineup'!D$3:D1000,CONCATENATE("=",$A145))=0,"",D$2))</f>
        <v>200 Free</v>
      </c>
      <c r="E145" s="3" t="str">
        <f>IF($A145="","",IF(countif('Mens Lineup'!E$3:E1000,CONCATENATE("=",$A145))=0,"",E$2))</f>
        <v>500 Free</v>
      </c>
      <c r="F145" s="3" t="str">
        <f>IF($A145="","",IF(countif('Mens Lineup'!F$3:F1000,CONCATENATE("=",$A145))=0,"",F$2))</f>
        <v/>
      </c>
      <c r="G145" s="3" t="str">
        <f>IF($A145="","",IF(countif('Mens Lineup'!G$3:G1000,CONCATENATE("=",$A145))=0,"",G$2))</f>
        <v>100 Back</v>
      </c>
      <c r="H145" s="3" t="str">
        <f>IF($A145="","",IF(countif('Mens Lineup'!H$3:H1000,CONCATENATE("=",$A145))=0,"",H$2))</f>
        <v>200 Back</v>
      </c>
      <c r="I145" s="3" t="str">
        <f>IF($A145="","",IF(countif('Mens Lineup'!I$3:I1000,CONCATENATE("=",$A145))=0,"",I$2))</f>
        <v/>
      </c>
      <c r="J145" s="3" t="str">
        <f>IF($A145="","",IF(countif('Mens Lineup'!J$3:J1000,CONCATENATE("=",$A145))=0,"",J$2))</f>
        <v/>
      </c>
      <c r="K145" s="3" t="str">
        <f>IF($A145="","",IF(countif('Mens Lineup'!K$3:K1000,CONCATENATE("=",$A145))=0,"",K$2))</f>
        <v/>
      </c>
      <c r="L145" s="3" t="str">
        <f>IF($A145="","",IF(countif('Mens Lineup'!L$3:L1000,CONCATENATE("=",$A145))=0,"",L$2))</f>
        <v/>
      </c>
      <c r="M145" s="3" t="str">
        <f>IF($A145="","",IF(countif('Mens Lineup'!M$3:M1000,CONCATENATE("=",$A145))=0,"",M$2))</f>
        <v>200 IM</v>
      </c>
      <c r="N145" s="3" t="str">
        <f>IF($A145="","",IF(countif('Mens Lineup'!N$3:N1000,CONCATENATE("=",$A145))=0,"",N$2))</f>
        <v>400 IM</v>
      </c>
      <c r="O145" s="3" t="str">
        <f>IF($A145="","",IF(countif('Mens Lineup'!O$3:O1000,CONCATENATE("=",$A145))=0,"",O$2))</f>
        <v/>
      </c>
      <c r="P145" s="3" t="str">
        <f>IF($A145="","",IF(countif('Mens Lineup'!P$3:P1000,CONCATENATE("=",$A145))=0,"",P$2))</f>
        <v/>
      </c>
      <c r="Q145" s="3" t="str">
        <f>IF($A145="","",IF(countif('Mens Lineup'!Q$3:Q1000,CONCATENATE("=",$A145))=0,"",Q$2))</f>
        <v/>
      </c>
      <c r="R145" s="3" t="str">
        <f>IF($A145="","",IF(countif('Mens Lineup'!R$3:R1000,CONCATENATE("=",$A145))=0,"",R$2))</f>
        <v/>
      </c>
      <c r="S145" s="3" t="str">
        <f>IF($A145="","",IF(countif('Mens Lineup'!S$3:S1000,CONCATENATE("=",$A145))=0,"",S$2))</f>
        <v/>
      </c>
      <c r="W145" s="3" t="str">
        <f>IFERROR(__xludf.DUMMYFUNCTION("JOIN("","",FILTER(B145:S145,B145:S145&lt;&gt;""""))"),"200 Free,500 Free,100 Back,200 Back,200 IM,400 IM")</f>
        <v>200 Free,500 Free,100 Back,200 Back,200 IM,400 IM</v>
      </c>
    </row>
    <row r="146">
      <c r="A146" s="3" t="s">
        <v>173</v>
      </c>
      <c r="B146" s="3" t="str">
        <f>IF($A146="","",IF(countif('Mens Lineup'!B$3:B1000,CONCATENATE("=",$A146))=0,"",B$2))</f>
        <v/>
      </c>
      <c r="C146" s="3" t="str">
        <f>IF($A146="","",IF(countif('Mens Lineup'!C$3:C1000,CONCATENATE("=",$A146))=0,"",C$2))</f>
        <v/>
      </c>
      <c r="D146" s="3" t="str">
        <f>IF($A146="","",IF(countif('Mens Lineup'!D$3:D1000,CONCATENATE("=",$A146))=0,"",D$2))</f>
        <v>200 Free</v>
      </c>
      <c r="E146" s="3" t="str">
        <f>IF($A146="","",IF(countif('Mens Lineup'!E$3:E1000,CONCATENATE("=",$A146))=0,"",E$2))</f>
        <v>500 Free</v>
      </c>
      <c r="F146" s="3" t="str">
        <f>IF($A146="","",IF(countif('Mens Lineup'!F$3:F1000,CONCATENATE("=",$A146))=0,"",F$2))</f>
        <v>1650 Free</v>
      </c>
      <c r="G146" s="3" t="str">
        <f>IF($A146="","",IF(countif('Mens Lineup'!G$3:G1000,CONCATENATE("=",$A146))=0,"",G$2))</f>
        <v/>
      </c>
      <c r="H146" s="3" t="str">
        <f>IF($A146="","",IF(countif('Mens Lineup'!H$3:H1000,CONCATENATE("=",$A146))=0,"",H$2))</f>
        <v>200 Back</v>
      </c>
      <c r="I146" s="3" t="str">
        <f>IF($A146="","",IF(countif('Mens Lineup'!I$3:I1000,CONCATENATE("=",$A146))=0,"",I$2))</f>
        <v/>
      </c>
      <c r="J146" s="3" t="str">
        <f>IF($A146="","",IF(countif('Mens Lineup'!J$3:J1000,CONCATENATE("=",$A146))=0,"",J$2))</f>
        <v/>
      </c>
      <c r="K146" s="3" t="str">
        <f>IF($A146="","",IF(countif('Mens Lineup'!K$3:K1000,CONCATENATE("=",$A146))=0,"",K$2))</f>
        <v/>
      </c>
      <c r="L146" s="3" t="str">
        <f>IF($A146="","",IF(countif('Mens Lineup'!L$3:L1000,CONCATENATE("=",$A146))=0,"",L$2))</f>
        <v/>
      </c>
      <c r="M146" s="3" t="str">
        <f>IF($A146="","",IF(countif('Mens Lineup'!M$3:M1000,CONCATENATE("=",$A146))=0,"",M$2))</f>
        <v/>
      </c>
      <c r="N146" s="3" t="str">
        <f>IF($A146="","",IF(countif('Mens Lineup'!N$3:N1000,CONCATENATE("=",$A146))=0,"",N$2))</f>
        <v>400 IM</v>
      </c>
      <c r="O146" s="3" t="str">
        <f>IF($A146="","",IF(countif('Mens Lineup'!O$3:O1000,CONCATENATE("=",$A146))=0,"",O$2))</f>
        <v>1000 Free</v>
      </c>
      <c r="P146" s="3" t="str">
        <f>IF($A146="","",IF(countif('Mens Lineup'!P$3:P1000,CONCATENATE("=",$A146))=0,"",P$2))</f>
        <v/>
      </c>
      <c r="Q146" s="3" t="str">
        <f>IF($A146="","",IF(countif('Mens Lineup'!Q$3:Q1000,CONCATENATE("=",$A146))=0,"",Q$2))</f>
        <v/>
      </c>
      <c r="R146" s="3" t="str">
        <f>IF($A146="","",IF(countif('Mens Lineup'!R$3:R1000,CONCATENATE("=",$A146))=0,"",R$2))</f>
        <v/>
      </c>
      <c r="S146" s="3" t="str">
        <f>IF($A146="","",IF(countif('Mens Lineup'!S$3:S1000,CONCATENATE("=",$A146))=0,"",S$2))</f>
        <v/>
      </c>
      <c r="W146" s="3" t="str">
        <f>IFERROR(__xludf.DUMMYFUNCTION("JOIN("","",FILTER(B146:S146,B146:S146&lt;&gt;""""))"),"200 Free,500 Free,1650 Free,200 Back,400 IM,1000 Free")</f>
        <v>200 Free,500 Free,1650 Free,200 Back,400 IM,1000 Free</v>
      </c>
    </row>
    <row r="147">
      <c r="A147" s="3" t="s">
        <v>174</v>
      </c>
      <c r="B147" s="3" t="str">
        <f>IF($A147="","",IF(countif('Mens Lineup'!B$3:B1000,CONCATENATE("=",$A147))=0,"",B$2))</f>
        <v/>
      </c>
      <c r="C147" s="3" t="str">
        <f>IF($A147="","",IF(countif('Mens Lineup'!C$3:C1000,CONCATENATE("=",$A147))=0,"",C$2))</f>
        <v/>
      </c>
      <c r="D147" s="3" t="str">
        <f>IF($A147="","",IF(countif('Mens Lineup'!D$3:D1000,CONCATENATE("=",$A147))=0,"",D$2))</f>
        <v>200 Free</v>
      </c>
      <c r="E147" s="3" t="str">
        <f>IF($A147="","",IF(countif('Mens Lineup'!E$3:E1000,CONCATENATE("=",$A147))=0,"",E$2))</f>
        <v/>
      </c>
      <c r="F147" s="3" t="str">
        <f>IF($A147="","",IF(countif('Mens Lineup'!F$3:F1000,CONCATENATE("=",$A147))=0,"",F$2))</f>
        <v/>
      </c>
      <c r="G147" s="3" t="str">
        <f>IF($A147="","",IF(countif('Mens Lineup'!G$3:G1000,CONCATENATE("=",$A147))=0,"",G$2))</f>
        <v>100 Back</v>
      </c>
      <c r="H147" s="3" t="str">
        <f>IF($A147="","",IF(countif('Mens Lineup'!H$3:H1000,CONCATENATE("=",$A147))=0,"",H$2))</f>
        <v>200 Back</v>
      </c>
      <c r="I147" s="3" t="str">
        <f>IF($A147="","",IF(countif('Mens Lineup'!I$3:I1000,CONCATENATE("=",$A147))=0,"",I$2))</f>
        <v/>
      </c>
      <c r="J147" s="3" t="str">
        <f>IF($A147="","",IF(countif('Mens Lineup'!J$3:J1000,CONCATENATE("=",$A147))=0,"",J$2))</f>
        <v/>
      </c>
      <c r="K147" s="3" t="str">
        <f>IF($A147="","",IF(countif('Mens Lineup'!K$3:K1000,CONCATENATE("=",$A147))=0,"",K$2))</f>
        <v/>
      </c>
      <c r="L147" s="3" t="str">
        <f>IF($A147="","",IF(countif('Mens Lineup'!L$3:L1000,CONCATENATE("=",$A147))=0,"",L$2))</f>
        <v>200 Fly</v>
      </c>
      <c r="M147" s="3" t="str">
        <f>IF($A147="","",IF(countif('Mens Lineup'!M$3:M1000,CONCATENATE("=",$A147))=0,"",M$2))</f>
        <v>200 IM</v>
      </c>
      <c r="N147" s="3" t="str">
        <f>IF($A147="","",IF(countif('Mens Lineup'!N$3:N1000,CONCATENATE("=",$A147))=0,"",N$2))</f>
        <v>400 IM</v>
      </c>
      <c r="O147" s="3" t="str">
        <f>IF($A147="","",IF(countif('Mens Lineup'!O$3:O1000,CONCATENATE("=",$A147))=0,"",O$2))</f>
        <v/>
      </c>
      <c r="P147" s="3" t="str">
        <f>IF($A147="","",IF(countif('Mens Lineup'!P$3:P1000,CONCATENATE("=",$A147))=0,"",P$2))</f>
        <v/>
      </c>
      <c r="Q147" s="3" t="str">
        <f>IF($A147="","",IF(countif('Mens Lineup'!Q$3:Q1000,CONCATENATE("=",$A147))=0,"",Q$2))</f>
        <v/>
      </c>
      <c r="R147" s="3" t="str">
        <f>IF($A147="","",IF(countif('Mens Lineup'!R$3:R1000,CONCATENATE("=",$A147))=0,"",R$2))</f>
        <v/>
      </c>
      <c r="S147" s="3" t="str">
        <f>IF($A147="","",IF(countif('Mens Lineup'!S$3:S1000,CONCATENATE("=",$A147))=0,"",S$2))</f>
        <v/>
      </c>
      <c r="W147" s="3" t="str">
        <f>IFERROR(__xludf.DUMMYFUNCTION("JOIN("","",FILTER(B147:S147,B147:S147&lt;&gt;""""))"),"200 Free,100 Back,200 Back,200 Fly,200 IM,400 IM")</f>
        <v>200 Free,100 Back,200 Back,200 Fly,200 IM,400 IM</v>
      </c>
    </row>
    <row r="148">
      <c r="A148" s="3" t="s">
        <v>175</v>
      </c>
      <c r="B148" s="3" t="str">
        <f>IF($A148="","",IF(countif('Mens Lineup'!B$3:B1000,CONCATENATE("=",$A148))=0,"",B$2))</f>
        <v/>
      </c>
      <c r="C148" s="3" t="str">
        <f>IF($A148="","",IF(countif('Mens Lineup'!C$3:C1000,CONCATENATE("=",$A148))=0,"",C$2))</f>
        <v/>
      </c>
      <c r="D148" s="3" t="str">
        <f>IF($A148="","",IF(countif('Mens Lineup'!D$3:D1000,CONCATENATE("=",$A148))=0,"",D$2))</f>
        <v>200 Free</v>
      </c>
      <c r="E148" s="3" t="str">
        <f>IF($A148="","",IF(countif('Mens Lineup'!E$3:E1000,CONCATENATE("=",$A148))=0,"",E$2))</f>
        <v>500 Free</v>
      </c>
      <c r="F148" s="3" t="str">
        <f>IF($A148="","",IF(countif('Mens Lineup'!F$3:F1000,CONCATENATE("=",$A148))=0,"",F$2))</f>
        <v/>
      </c>
      <c r="G148" s="3" t="str">
        <f>IF($A148="","",IF(countif('Mens Lineup'!G$3:G1000,CONCATENATE("=",$A148))=0,"",G$2))</f>
        <v/>
      </c>
      <c r="H148" s="3" t="str">
        <f>IF($A148="","",IF(countif('Mens Lineup'!H$3:H1000,CONCATENATE("=",$A148))=0,"",H$2))</f>
        <v>200 Back</v>
      </c>
      <c r="I148" s="3" t="str">
        <f>IF($A148="","",IF(countif('Mens Lineup'!I$3:I1000,CONCATENATE("=",$A148))=0,"",I$2))</f>
        <v/>
      </c>
      <c r="J148" s="3" t="str">
        <f>IF($A148="","",IF(countif('Mens Lineup'!J$3:J1000,CONCATENATE("=",$A148))=0,"",J$2))</f>
        <v/>
      </c>
      <c r="K148" s="3" t="str">
        <f>IF($A148="","",IF(countif('Mens Lineup'!K$3:K1000,CONCATENATE("=",$A148))=0,"",K$2))</f>
        <v>100 Fly</v>
      </c>
      <c r="L148" s="3" t="str">
        <f>IF($A148="","",IF(countif('Mens Lineup'!L$3:L1000,CONCATENATE("=",$A148))=0,"",L$2))</f>
        <v>200 Fly</v>
      </c>
      <c r="M148" s="3" t="str">
        <f>IF($A148="","",IF(countif('Mens Lineup'!M$3:M1000,CONCATENATE("=",$A148))=0,"",M$2))</f>
        <v/>
      </c>
      <c r="N148" s="3" t="str">
        <f>IF($A148="","",IF(countif('Mens Lineup'!N$3:N1000,CONCATENATE("=",$A148))=0,"",N$2))</f>
        <v/>
      </c>
      <c r="O148" s="3" t="str">
        <f>IF($A148="","",IF(countif('Mens Lineup'!O$3:O1000,CONCATENATE("=",$A148))=0,"",O$2))</f>
        <v>1000 Free</v>
      </c>
      <c r="P148" s="3" t="str">
        <f>IF($A148="","",IF(countif('Mens Lineup'!P$3:P1000,CONCATENATE("=",$A148))=0,"",P$2))</f>
        <v/>
      </c>
      <c r="Q148" s="3" t="str">
        <f>IF($A148="","",IF(countif('Mens Lineup'!Q$3:Q1000,CONCATENATE("=",$A148))=0,"",Q$2))</f>
        <v/>
      </c>
      <c r="R148" s="3" t="str">
        <f>IF($A148="","",IF(countif('Mens Lineup'!R$3:R1000,CONCATENATE("=",$A148))=0,"",R$2))</f>
        <v/>
      </c>
      <c r="S148" s="3" t="str">
        <f>IF($A148="","",IF(countif('Mens Lineup'!S$3:S1000,CONCATENATE("=",$A148))=0,"",S$2))</f>
        <v/>
      </c>
      <c r="W148" s="3" t="str">
        <f>IFERROR(__xludf.DUMMYFUNCTION("JOIN("","",FILTER(B148:S148,B148:S148&lt;&gt;""""))"),"200 Free,500 Free,200 Back,100 Fly,200 Fly,1000 Free")</f>
        <v>200 Free,500 Free,200 Back,100 Fly,200 Fly,1000 Free</v>
      </c>
    </row>
    <row r="149">
      <c r="A149" s="3" t="s">
        <v>176</v>
      </c>
      <c r="B149" s="3" t="str">
        <f>IF($A149="","",IF(countif('Mens Lineup'!B$3:B1000,CONCATENATE("=",$A149))=0,"",B$2))</f>
        <v/>
      </c>
      <c r="C149" s="3" t="str">
        <f>IF($A149="","",IF(countif('Mens Lineup'!C$3:C1000,CONCATENATE("=",$A149))=0,"",C$2))</f>
        <v/>
      </c>
      <c r="D149" s="3" t="str">
        <f>IF($A149="","",IF(countif('Mens Lineup'!D$3:D1000,CONCATENATE("=",$A149))=0,"",D$2))</f>
        <v>200 Free</v>
      </c>
      <c r="E149" s="3" t="str">
        <f>IF($A149="","",IF(countif('Mens Lineup'!E$3:E1000,CONCATENATE("=",$A149))=0,"",E$2))</f>
        <v>500 Free</v>
      </c>
      <c r="F149" s="3" t="str">
        <f>IF($A149="","",IF(countif('Mens Lineup'!F$3:F1000,CONCATENATE("=",$A149))=0,"",F$2))</f>
        <v/>
      </c>
      <c r="G149" s="3" t="str">
        <f>IF($A149="","",IF(countif('Mens Lineup'!G$3:G1000,CONCATENATE("=",$A149))=0,"",G$2))</f>
        <v>100 Back</v>
      </c>
      <c r="H149" s="3" t="str">
        <f>IF($A149="","",IF(countif('Mens Lineup'!H$3:H1000,CONCATENATE("=",$A149))=0,"",H$2))</f>
        <v>200 Back</v>
      </c>
      <c r="I149" s="3" t="str">
        <f>IF($A149="","",IF(countif('Mens Lineup'!I$3:I1000,CONCATENATE("=",$A149))=0,"",I$2))</f>
        <v/>
      </c>
      <c r="J149" s="3" t="str">
        <f>IF($A149="","",IF(countif('Mens Lineup'!J$3:J1000,CONCATENATE("=",$A149))=0,"",J$2))</f>
        <v/>
      </c>
      <c r="K149" s="3" t="str">
        <f>IF($A149="","",IF(countif('Mens Lineup'!K$3:K1000,CONCATENATE("=",$A149))=0,"",K$2))</f>
        <v/>
      </c>
      <c r="L149" s="3" t="str">
        <f>IF($A149="","",IF(countif('Mens Lineup'!L$3:L1000,CONCATENATE("=",$A149))=0,"",L$2))</f>
        <v/>
      </c>
      <c r="M149" s="3" t="str">
        <f>IF($A149="","",IF(countif('Mens Lineup'!M$3:M1000,CONCATENATE("=",$A149))=0,"",M$2))</f>
        <v/>
      </c>
      <c r="N149" s="3" t="str">
        <f>IF($A149="","",IF(countif('Mens Lineup'!N$3:N1000,CONCATENATE("=",$A149))=0,"",N$2))</f>
        <v>400 IM</v>
      </c>
      <c r="O149" s="3" t="str">
        <f>IF($A149="","",IF(countif('Mens Lineup'!O$3:O1000,CONCATENATE("=",$A149))=0,"",O$2))</f>
        <v>1000 Free</v>
      </c>
      <c r="P149" s="3" t="str">
        <f>IF($A149="","",IF(countif('Mens Lineup'!P$3:P1000,CONCATENATE("=",$A149))=0,"",P$2))</f>
        <v/>
      </c>
      <c r="Q149" s="3" t="str">
        <f>IF($A149="","",IF(countif('Mens Lineup'!Q$3:Q1000,CONCATENATE("=",$A149))=0,"",Q$2))</f>
        <v/>
      </c>
      <c r="R149" s="3" t="str">
        <f>IF($A149="","",IF(countif('Mens Lineup'!R$3:R1000,CONCATENATE("=",$A149))=0,"",R$2))</f>
        <v/>
      </c>
      <c r="S149" s="3" t="str">
        <f>IF($A149="","",IF(countif('Mens Lineup'!S$3:S1000,CONCATENATE("=",$A149))=0,"",S$2))</f>
        <v/>
      </c>
      <c r="W149" s="3" t="str">
        <f>IFERROR(__xludf.DUMMYFUNCTION("JOIN("","",FILTER(B149:S149,B149:S149&lt;&gt;""""))"),"200 Free,500 Free,100 Back,200 Back,400 IM,1000 Free")</f>
        <v>200 Free,500 Free,100 Back,200 Back,400 IM,1000 Free</v>
      </c>
    </row>
    <row r="150">
      <c r="A150" s="3" t="s">
        <v>177</v>
      </c>
      <c r="B150" s="3" t="str">
        <f>IF($A150="","",IF(countif('Mens Lineup'!B$3:B1000,CONCATENATE("=",$A150))=0,"",B$2))</f>
        <v/>
      </c>
      <c r="C150" s="3" t="str">
        <f>IF($A150="","",IF(countif('Mens Lineup'!C$3:C1000,CONCATENATE("=",$A150))=0,"",C$2))</f>
        <v/>
      </c>
      <c r="D150" s="3" t="str">
        <f>IF($A150="","",IF(countif('Mens Lineup'!D$3:D1000,CONCATENATE("=",$A150))=0,"",D$2))</f>
        <v>200 Free</v>
      </c>
      <c r="E150" s="3" t="str">
        <f>IF($A150="","",IF(countif('Mens Lineup'!E$3:E1000,CONCATENATE("=",$A150))=0,"",E$2))</f>
        <v/>
      </c>
      <c r="F150" s="3" t="str">
        <f>IF($A150="","",IF(countif('Mens Lineup'!F$3:F1000,CONCATENATE("=",$A150))=0,"",F$2))</f>
        <v/>
      </c>
      <c r="G150" s="3" t="str">
        <f>IF($A150="","",IF(countif('Mens Lineup'!G$3:G1000,CONCATENATE("=",$A150))=0,"",G$2))</f>
        <v>100 Back</v>
      </c>
      <c r="H150" s="3" t="str">
        <f>IF($A150="","",IF(countif('Mens Lineup'!H$3:H1000,CONCATENATE("=",$A150))=0,"",H$2))</f>
        <v>200 Back</v>
      </c>
      <c r="I150" s="3" t="str">
        <f>IF($A150="","",IF(countif('Mens Lineup'!I$3:I1000,CONCATENATE("=",$A150))=0,"",I$2))</f>
        <v/>
      </c>
      <c r="J150" s="3" t="str">
        <f>IF($A150="","",IF(countif('Mens Lineup'!J$3:J1000,CONCATENATE("=",$A150))=0,"",J$2))</f>
        <v/>
      </c>
      <c r="K150" s="3" t="str">
        <f>IF($A150="","",IF(countif('Mens Lineup'!K$3:K1000,CONCATENATE("=",$A150))=0,"",K$2))</f>
        <v>100 Fly</v>
      </c>
      <c r="L150" s="3" t="str">
        <f>IF($A150="","",IF(countif('Mens Lineup'!L$3:L1000,CONCATENATE("=",$A150))=0,"",L$2))</f>
        <v>200 Fly</v>
      </c>
      <c r="M150" s="3" t="str">
        <f>IF($A150="","",IF(countif('Mens Lineup'!M$3:M1000,CONCATENATE("=",$A150))=0,"",M$2))</f>
        <v>200 IM</v>
      </c>
      <c r="N150" s="3" t="str">
        <f>IF($A150="","",IF(countif('Mens Lineup'!N$3:N1000,CONCATENATE("=",$A150))=0,"",N$2))</f>
        <v/>
      </c>
      <c r="O150" s="3" t="str">
        <f>IF($A150="","",IF(countif('Mens Lineup'!O$3:O1000,CONCATENATE("=",$A150))=0,"",O$2))</f>
        <v/>
      </c>
      <c r="P150" s="3" t="str">
        <f>IF($A150="","",IF(countif('Mens Lineup'!P$3:P1000,CONCATENATE("=",$A150))=0,"",P$2))</f>
        <v/>
      </c>
      <c r="Q150" s="3" t="str">
        <f>IF($A150="","",IF(countif('Mens Lineup'!Q$3:Q1000,CONCATENATE("=",$A150))=0,"",Q$2))</f>
        <v/>
      </c>
      <c r="R150" s="3" t="str">
        <f>IF($A150="","",IF(countif('Mens Lineup'!R$3:R1000,CONCATENATE("=",$A150))=0,"",R$2))</f>
        <v/>
      </c>
      <c r="S150" s="3" t="str">
        <f>IF($A150="","",IF(countif('Mens Lineup'!S$3:S1000,CONCATENATE("=",$A150))=0,"",S$2))</f>
        <v/>
      </c>
      <c r="W150" s="3" t="str">
        <f>IFERROR(__xludf.DUMMYFUNCTION("JOIN("","",FILTER(B150:S150,B150:S150&lt;&gt;""""))"),"200 Free,100 Back,200 Back,100 Fly,200 Fly,200 IM")</f>
        <v>200 Free,100 Back,200 Back,100 Fly,200 Fly,200 IM</v>
      </c>
    </row>
    <row r="151">
      <c r="A151" s="3" t="s">
        <v>178</v>
      </c>
      <c r="B151" s="3" t="str">
        <f>IF($A151="","",IF(countif('Mens Lineup'!B$3:B1000,CONCATENATE("=",$A151))=0,"",B$2))</f>
        <v/>
      </c>
      <c r="C151" s="3" t="str">
        <f>IF($A151="","",IF(countif('Mens Lineup'!C$3:C1000,CONCATENATE("=",$A151))=0,"",C$2))</f>
        <v/>
      </c>
      <c r="D151" s="3" t="str">
        <f>IF($A151="","",IF(countif('Mens Lineup'!D$3:D1000,CONCATENATE("=",$A151))=0,"",D$2))</f>
        <v>200 Free</v>
      </c>
      <c r="E151" s="3" t="str">
        <f>IF($A151="","",IF(countif('Mens Lineup'!E$3:E1000,CONCATENATE("=",$A151))=0,"",E$2))</f>
        <v>500 Free</v>
      </c>
      <c r="F151" s="3" t="str">
        <f>IF($A151="","",IF(countif('Mens Lineup'!F$3:F1000,CONCATENATE("=",$A151))=0,"",F$2))</f>
        <v/>
      </c>
      <c r="G151" s="3" t="str">
        <f>IF($A151="","",IF(countif('Mens Lineup'!G$3:G1000,CONCATENATE("=",$A151))=0,"",G$2))</f>
        <v>100 Back</v>
      </c>
      <c r="H151" s="3" t="str">
        <f>IF($A151="","",IF(countif('Mens Lineup'!H$3:H1000,CONCATENATE("=",$A151))=0,"",H$2))</f>
        <v>200 Back</v>
      </c>
      <c r="I151" s="3" t="str">
        <f>IF($A151="","",IF(countif('Mens Lineup'!I$3:I1000,CONCATENATE("=",$A151))=0,"",I$2))</f>
        <v/>
      </c>
      <c r="J151" s="3" t="str">
        <f>IF($A151="","",IF(countif('Mens Lineup'!J$3:J1000,CONCATENATE("=",$A151))=0,"",J$2))</f>
        <v/>
      </c>
      <c r="K151" s="3" t="str">
        <f>IF($A151="","",IF(countif('Mens Lineup'!K$3:K1000,CONCATENATE("=",$A151))=0,"",K$2))</f>
        <v/>
      </c>
      <c r="L151" s="3" t="str">
        <f>IF($A151="","",IF(countif('Mens Lineup'!L$3:L1000,CONCATENATE("=",$A151))=0,"",L$2))</f>
        <v/>
      </c>
      <c r="M151" s="3" t="str">
        <f>IF($A151="","",IF(countif('Mens Lineup'!M$3:M1000,CONCATENATE("=",$A151))=0,"",M$2))</f>
        <v>200 IM</v>
      </c>
      <c r="N151" s="3" t="str">
        <f>IF($A151="","",IF(countif('Mens Lineup'!N$3:N1000,CONCATENATE("=",$A151))=0,"",N$2))</f>
        <v>400 IM</v>
      </c>
      <c r="O151" s="3" t="str">
        <f>IF($A151="","",IF(countif('Mens Lineup'!O$3:O1000,CONCATENATE("=",$A151))=0,"",O$2))</f>
        <v/>
      </c>
      <c r="P151" s="3" t="str">
        <f>IF($A151="","",IF(countif('Mens Lineup'!P$3:P1000,CONCATENATE("=",$A151))=0,"",P$2))</f>
        <v/>
      </c>
      <c r="Q151" s="3" t="str">
        <f>IF($A151="","",IF(countif('Mens Lineup'!Q$3:Q1000,CONCATENATE("=",$A151))=0,"",Q$2))</f>
        <v/>
      </c>
      <c r="R151" s="3" t="str">
        <f>IF($A151="","",IF(countif('Mens Lineup'!R$3:R1000,CONCATENATE("=",$A151))=0,"",R$2))</f>
        <v/>
      </c>
      <c r="S151" s="3" t="str">
        <f>IF($A151="","",IF(countif('Mens Lineup'!S$3:S1000,CONCATENATE("=",$A151))=0,"",S$2))</f>
        <v/>
      </c>
      <c r="W151" s="3" t="str">
        <f>IFERROR(__xludf.DUMMYFUNCTION("JOIN("","",FILTER(B151:S151,B151:S151&lt;&gt;""""))"),"200 Free,500 Free,100 Back,200 Back,200 IM,400 IM")</f>
        <v>200 Free,500 Free,100 Back,200 Back,200 IM,400 IM</v>
      </c>
    </row>
    <row r="152">
      <c r="A152" s="3" t="s">
        <v>179</v>
      </c>
      <c r="B152" s="3" t="str">
        <f>IF($A152="","",IF(countif('Mens Lineup'!B$3:B1000,CONCATENATE("=",$A152))=0,"",B$2))</f>
        <v/>
      </c>
      <c r="C152" s="3" t="str">
        <f>IF($A152="","",IF(countif('Mens Lineup'!C$3:C1000,CONCATENATE("=",$A152))=0,"",C$2))</f>
        <v/>
      </c>
      <c r="D152" s="3" t="str">
        <f>IF($A152="","",IF(countif('Mens Lineup'!D$3:D1000,CONCATENATE("=",$A152))=0,"",D$2))</f>
        <v>200 Free</v>
      </c>
      <c r="E152" s="3" t="str">
        <f>IF($A152="","",IF(countif('Mens Lineup'!E$3:E1000,CONCATENATE("=",$A152))=0,"",E$2))</f>
        <v>500 Free</v>
      </c>
      <c r="F152" s="3" t="str">
        <f>IF($A152="","",IF(countif('Mens Lineup'!F$3:F1000,CONCATENATE("=",$A152))=0,"",F$2))</f>
        <v/>
      </c>
      <c r="G152" s="3" t="str">
        <f>IF($A152="","",IF(countif('Mens Lineup'!G$3:G1000,CONCATENATE("=",$A152))=0,"",G$2))</f>
        <v>100 Back</v>
      </c>
      <c r="H152" s="3" t="str">
        <f>IF($A152="","",IF(countif('Mens Lineup'!H$3:H1000,CONCATENATE("=",$A152))=0,"",H$2))</f>
        <v/>
      </c>
      <c r="I152" s="3" t="str">
        <f>IF($A152="","",IF(countif('Mens Lineup'!I$3:I1000,CONCATENATE("=",$A152))=0,"",I$2))</f>
        <v/>
      </c>
      <c r="J152" s="3" t="str">
        <f>IF($A152="","",IF(countif('Mens Lineup'!J$3:J1000,CONCATENATE("=",$A152))=0,"",J$2))</f>
        <v/>
      </c>
      <c r="K152" s="3" t="str">
        <f>IF($A152="","",IF(countif('Mens Lineup'!K$3:K1000,CONCATENATE("=",$A152))=0,"",K$2))</f>
        <v>100 Fly</v>
      </c>
      <c r="L152" s="3" t="str">
        <f>IF($A152="","",IF(countif('Mens Lineup'!L$3:L1000,CONCATENATE("=",$A152))=0,"",L$2))</f>
        <v/>
      </c>
      <c r="M152" s="3" t="str">
        <f>IF($A152="","",IF(countif('Mens Lineup'!M$3:M1000,CONCATENATE("=",$A152))=0,"",M$2))</f>
        <v>200 IM</v>
      </c>
      <c r="N152" s="3" t="str">
        <f>IF($A152="","",IF(countif('Mens Lineup'!N$3:N1000,CONCATENATE("=",$A152))=0,"",N$2))</f>
        <v/>
      </c>
      <c r="O152" s="3" t="str">
        <f>IF($A152="","",IF(countif('Mens Lineup'!O$3:O1000,CONCATENATE("=",$A152))=0,"",O$2))</f>
        <v>1000 Free</v>
      </c>
      <c r="P152" s="3" t="str">
        <f>IF($A152="","",IF(countif('Mens Lineup'!P$3:P1000,CONCATENATE("=",$A152))=0,"",P$2))</f>
        <v/>
      </c>
      <c r="Q152" s="3" t="str">
        <f>IF($A152="","",IF(countif('Mens Lineup'!Q$3:Q1000,CONCATENATE("=",$A152))=0,"",Q$2))</f>
        <v/>
      </c>
      <c r="R152" s="3" t="str">
        <f>IF($A152="","",IF(countif('Mens Lineup'!R$3:R1000,CONCATENATE("=",$A152))=0,"",R$2))</f>
        <v/>
      </c>
      <c r="S152" s="3" t="str">
        <f>IF($A152="","",IF(countif('Mens Lineup'!S$3:S1000,CONCATENATE("=",$A152))=0,"",S$2))</f>
        <v/>
      </c>
      <c r="W152" s="3" t="str">
        <f>IFERROR(__xludf.DUMMYFUNCTION("JOIN("","",FILTER(B152:S152,B152:S152&lt;&gt;""""))"),"200 Free,500 Free,100 Back,100 Fly,200 IM,1000 Free")</f>
        <v>200 Free,500 Free,100 Back,100 Fly,200 IM,1000 Free</v>
      </c>
    </row>
    <row r="153">
      <c r="A153" s="3" t="s">
        <v>180</v>
      </c>
      <c r="B153" s="3" t="str">
        <f>IF($A153="","",IF(countif('Mens Lineup'!B$3:B1000,CONCATENATE("=",$A153))=0,"",B$2))</f>
        <v/>
      </c>
      <c r="C153" s="3" t="str">
        <f>IF($A153="","",IF(countif('Mens Lineup'!C$3:C1000,CONCATENATE("=",$A153))=0,"",C$2))</f>
        <v/>
      </c>
      <c r="D153" s="3" t="str">
        <f>IF($A153="","",IF(countif('Mens Lineup'!D$3:D1000,CONCATENATE("=",$A153))=0,"",D$2))</f>
        <v>200 Free</v>
      </c>
      <c r="E153" s="3" t="str">
        <f>IF($A153="","",IF(countif('Mens Lineup'!E$3:E1000,CONCATENATE("=",$A153))=0,"",E$2))</f>
        <v>500 Free</v>
      </c>
      <c r="F153" s="3" t="str">
        <f>IF($A153="","",IF(countif('Mens Lineup'!F$3:F1000,CONCATENATE("=",$A153))=0,"",F$2))</f>
        <v/>
      </c>
      <c r="G153" s="3" t="str">
        <f>IF($A153="","",IF(countif('Mens Lineup'!G$3:G1000,CONCATENATE("=",$A153))=0,"",G$2))</f>
        <v/>
      </c>
      <c r="H153" s="3" t="str">
        <f>IF($A153="","",IF(countif('Mens Lineup'!H$3:H1000,CONCATENATE("=",$A153))=0,"",H$2))</f>
        <v/>
      </c>
      <c r="I153" s="3" t="str">
        <f>IF($A153="","",IF(countif('Mens Lineup'!I$3:I1000,CONCATENATE("=",$A153))=0,"",I$2))</f>
        <v/>
      </c>
      <c r="J153" s="3" t="str">
        <f>IF($A153="","",IF(countif('Mens Lineup'!J$3:J1000,CONCATENATE("=",$A153))=0,"",J$2))</f>
        <v/>
      </c>
      <c r="K153" s="3" t="str">
        <f>IF($A153="","",IF(countif('Mens Lineup'!K$3:K1000,CONCATENATE("=",$A153))=0,"",K$2))</f>
        <v/>
      </c>
      <c r="L153" s="3" t="str">
        <f>IF($A153="","",IF(countif('Mens Lineup'!L$3:L1000,CONCATENATE("=",$A153))=0,"",L$2))</f>
        <v>200 Fly</v>
      </c>
      <c r="M153" s="3" t="str">
        <f>IF($A153="","",IF(countif('Mens Lineup'!M$3:M1000,CONCATENATE("=",$A153))=0,"",M$2))</f>
        <v/>
      </c>
      <c r="N153" s="3" t="str">
        <f>IF($A153="","",IF(countif('Mens Lineup'!N$3:N1000,CONCATENATE("=",$A153))=0,"",N$2))</f>
        <v>400 IM</v>
      </c>
      <c r="O153" s="3" t="str">
        <f>IF($A153="","",IF(countif('Mens Lineup'!O$3:O1000,CONCATENATE("=",$A153))=0,"",O$2))</f>
        <v/>
      </c>
      <c r="P153" s="3" t="str">
        <f>IF($A153="","",IF(countif('Mens Lineup'!P$3:P1000,CONCATENATE("=",$A153))=0,"",P$2))</f>
        <v/>
      </c>
      <c r="Q153" s="3" t="str">
        <f>IF($A153="","",IF(countif('Mens Lineup'!Q$3:Q1000,CONCATENATE("=",$A153))=0,"",Q$2))</f>
        <v/>
      </c>
      <c r="R153" s="3" t="str">
        <f>IF($A153="","",IF(countif('Mens Lineup'!R$3:R1000,CONCATENATE("=",$A153))=0,"",R$2))</f>
        <v/>
      </c>
      <c r="S153" s="3" t="str">
        <f>IF($A153="","",IF(countif('Mens Lineup'!S$3:S1000,CONCATENATE("=",$A153))=0,"",S$2))</f>
        <v/>
      </c>
      <c r="W153" s="3" t="str">
        <f>IFERROR(__xludf.DUMMYFUNCTION("JOIN("","",FILTER(B153:S153,B153:S153&lt;&gt;""""))"),"200 Free,500 Free,200 Fly,400 IM")</f>
        <v>200 Free,500 Free,200 Fly,400 IM</v>
      </c>
    </row>
    <row r="154">
      <c r="A154" s="3" t="s">
        <v>181</v>
      </c>
      <c r="B154" s="3" t="str">
        <f>IF($A154="","",IF(countif('Mens Lineup'!B$3:B1000,CONCATENATE("=",$A154))=0,"",B$2))</f>
        <v/>
      </c>
      <c r="C154" s="3" t="str">
        <f>IF($A154="","",IF(countif('Mens Lineup'!C$3:C1000,CONCATENATE("=",$A154))=0,"",C$2))</f>
        <v/>
      </c>
      <c r="D154" s="3" t="str">
        <f>IF($A154="","",IF(countif('Mens Lineup'!D$3:D1000,CONCATENATE("=",$A154))=0,"",D$2))</f>
        <v>200 Free</v>
      </c>
      <c r="E154" s="3" t="str">
        <f>IF($A154="","",IF(countif('Mens Lineup'!E$3:E1000,CONCATENATE("=",$A154))=0,"",E$2))</f>
        <v>500 Free</v>
      </c>
      <c r="F154" s="3" t="str">
        <f>IF($A154="","",IF(countif('Mens Lineup'!F$3:F1000,CONCATENATE("=",$A154))=0,"",F$2))</f>
        <v/>
      </c>
      <c r="G154" s="3" t="str">
        <f>IF($A154="","",IF(countif('Mens Lineup'!G$3:G1000,CONCATENATE("=",$A154))=0,"",G$2))</f>
        <v/>
      </c>
      <c r="H154" s="3" t="str">
        <f>IF($A154="","",IF(countif('Mens Lineup'!H$3:H1000,CONCATENATE("=",$A154))=0,"",H$2))</f>
        <v>200 Back</v>
      </c>
      <c r="I154" s="3" t="str">
        <f>IF($A154="","",IF(countif('Mens Lineup'!I$3:I1000,CONCATENATE("=",$A154))=0,"",I$2))</f>
        <v/>
      </c>
      <c r="J154" s="3" t="str">
        <f>IF($A154="","",IF(countif('Mens Lineup'!J$3:J1000,CONCATENATE("=",$A154))=0,"",J$2))</f>
        <v/>
      </c>
      <c r="K154" s="3" t="str">
        <f>IF($A154="","",IF(countif('Mens Lineup'!K$3:K1000,CONCATENATE("=",$A154))=0,"",K$2))</f>
        <v/>
      </c>
      <c r="L154" s="3" t="str">
        <f>IF($A154="","",IF(countif('Mens Lineup'!L$3:L1000,CONCATENATE("=",$A154))=0,"",L$2))</f>
        <v>200 Fly</v>
      </c>
      <c r="M154" s="3" t="str">
        <f>IF($A154="","",IF(countif('Mens Lineup'!M$3:M1000,CONCATENATE("=",$A154))=0,"",M$2))</f>
        <v/>
      </c>
      <c r="N154" s="3" t="str">
        <f>IF($A154="","",IF(countif('Mens Lineup'!N$3:N1000,CONCATENATE("=",$A154))=0,"",N$2))</f>
        <v>400 IM</v>
      </c>
      <c r="O154" s="3" t="str">
        <f>IF($A154="","",IF(countif('Mens Lineup'!O$3:O1000,CONCATENATE("=",$A154))=0,"",O$2))</f>
        <v>1000 Free</v>
      </c>
      <c r="P154" s="3" t="str">
        <f>IF($A154="","",IF(countif('Mens Lineup'!P$3:P1000,CONCATENATE("=",$A154))=0,"",P$2))</f>
        <v/>
      </c>
      <c r="Q154" s="3" t="str">
        <f>IF($A154="","",IF(countif('Mens Lineup'!Q$3:Q1000,CONCATENATE("=",$A154))=0,"",Q$2))</f>
        <v/>
      </c>
      <c r="R154" s="3" t="str">
        <f>IF($A154="","",IF(countif('Mens Lineup'!R$3:R1000,CONCATENATE("=",$A154))=0,"",R$2))</f>
        <v/>
      </c>
      <c r="S154" s="3" t="str">
        <f>IF($A154="","",IF(countif('Mens Lineup'!S$3:S1000,CONCATENATE("=",$A154))=0,"",S$2))</f>
        <v/>
      </c>
      <c r="W154" s="3" t="str">
        <f>IFERROR(__xludf.DUMMYFUNCTION("JOIN("","",FILTER(B154:S154,B154:S154&lt;&gt;""""))"),"200 Free,500 Free,200 Back,200 Fly,400 IM,1000 Free")</f>
        <v>200 Free,500 Free,200 Back,200 Fly,400 IM,1000 Free</v>
      </c>
    </row>
    <row r="155">
      <c r="A155" s="3" t="s">
        <v>182</v>
      </c>
      <c r="B155" s="3" t="str">
        <f>IF($A155="","",IF(countif('Mens Lineup'!B$3:B1000,CONCATENATE("=",$A155))=0,"",B$2))</f>
        <v/>
      </c>
      <c r="C155" s="3" t="str">
        <f>IF($A155="","",IF(countif('Mens Lineup'!C$3:C1000,CONCATENATE("=",$A155))=0,"",C$2))</f>
        <v/>
      </c>
      <c r="D155" s="3" t="str">
        <f>IF($A155="","",IF(countif('Mens Lineup'!D$3:D1000,CONCATENATE("=",$A155))=0,"",D$2))</f>
        <v>200 Free</v>
      </c>
      <c r="E155" s="3" t="str">
        <f>IF($A155="","",IF(countif('Mens Lineup'!E$3:E1000,CONCATENATE("=",$A155))=0,"",E$2))</f>
        <v>500 Free</v>
      </c>
      <c r="F155" s="3" t="str">
        <f>IF($A155="","",IF(countif('Mens Lineup'!F$3:F1000,CONCATENATE("=",$A155))=0,"",F$2))</f>
        <v/>
      </c>
      <c r="G155" s="3" t="str">
        <f>IF($A155="","",IF(countif('Mens Lineup'!G$3:G1000,CONCATENATE("=",$A155))=0,"",G$2))</f>
        <v>100 Back</v>
      </c>
      <c r="H155" s="3" t="str">
        <f>IF($A155="","",IF(countif('Mens Lineup'!H$3:H1000,CONCATENATE("=",$A155))=0,"",H$2))</f>
        <v>200 Back</v>
      </c>
      <c r="I155" s="3" t="str">
        <f>IF($A155="","",IF(countif('Mens Lineup'!I$3:I1000,CONCATENATE("=",$A155))=0,"",I$2))</f>
        <v/>
      </c>
      <c r="J155" s="3" t="str">
        <f>IF($A155="","",IF(countif('Mens Lineup'!J$3:J1000,CONCATENATE("=",$A155))=0,"",J$2))</f>
        <v/>
      </c>
      <c r="K155" s="3" t="str">
        <f>IF($A155="","",IF(countif('Mens Lineup'!K$3:K1000,CONCATENATE("=",$A155))=0,"",K$2))</f>
        <v/>
      </c>
      <c r="L155" s="3" t="str">
        <f>IF($A155="","",IF(countif('Mens Lineup'!L$3:L1000,CONCATENATE("=",$A155))=0,"",L$2))</f>
        <v/>
      </c>
      <c r="M155" s="3" t="str">
        <f>IF($A155="","",IF(countif('Mens Lineup'!M$3:M1000,CONCATENATE("=",$A155))=0,"",M$2))</f>
        <v>200 IM</v>
      </c>
      <c r="N155" s="3" t="str">
        <f>IF($A155="","",IF(countif('Mens Lineup'!N$3:N1000,CONCATENATE("=",$A155))=0,"",N$2))</f>
        <v>400 IM</v>
      </c>
      <c r="O155" s="3" t="str">
        <f>IF($A155="","",IF(countif('Mens Lineup'!O$3:O1000,CONCATENATE("=",$A155))=0,"",O$2))</f>
        <v/>
      </c>
      <c r="P155" s="3" t="str">
        <f>IF($A155="","",IF(countif('Mens Lineup'!P$3:P1000,CONCATENATE("=",$A155))=0,"",P$2))</f>
        <v/>
      </c>
      <c r="Q155" s="3" t="str">
        <f>IF($A155="","",IF(countif('Mens Lineup'!Q$3:Q1000,CONCATENATE("=",$A155))=0,"",Q$2))</f>
        <v/>
      </c>
      <c r="R155" s="3" t="str">
        <f>IF($A155="","",IF(countif('Mens Lineup'!R$3:R1000,CONCATENATE("=",$A155))=0,"",R$2))</f>
        <v/>
      </c>
      <c r="S155" s="3" t="str">
        <f>IF($A155="","",IF(countif('Mens Lineup'!S$3:S1000,CONCATENATE("=",$A155))=0,"",S$2))</f>
        <v/>
      </c>
      <c r="W155" s="3" t="str">
        <f>IFERROR(__xludf.DUMMYFUNCTION("JOIN("","",FILTER(B155:S155,B155:S155&lt;&gt;""""))"),"200 Free,500 Free,100 Back,200 Back,200 IM,400 IM")</f>
        <v>200 Free,500 Free,100 Back,200 Back,200 IM,400 IM</v>
      </c>
    </row>
    <row r="156">
      <c r="A156" s="3" t="s">
        <v>183</v>
      </c>
      <c r="B156" s="3" t="str">
        <f>IF($A156="","",IF(countif('Mens Lineup'!B$3:B1000,CONCATENATE("=",$A156))=0,"",B$2))</f>
        <v/>
      </c>
      <c r="C156" s="3" t="str">
        <f>IF($A156="","",IF(countif('Mens Lineup'!C$3:C1000,CONCATENATE("=",$A156))=0,"",C$2))</f>
        <v/>
      </c>
      <c r="D156" s="3" t="str">
        <f>IF($A156="","",IF(countif('Mens Lineup'!D$3:D1000,CONCATENATE("=",$A156))=0,"",D$2))</f>
        <v>200 Free</v>
      </c>
      <c r="E156" s="3" t="str">
        <f>IF($A156="","",IF(countif('Mens Lineup'!E$3:E1000,CONCATENATE("=",$A156))=0,"",E$2))</f>
        <v>500 Free</v>
      </c>
      <c r="F156" s="3" t="str">
        <f>IF($A156="","",IF(countif('Mens Lineup'!F$3:F1000,CONCATENATE("=",$A156))=0,"",F$2))</f>
        <v>1650 Free</v>
      </c>
      <c r="G156" s="3" t="str">
        <f>IF($A156="","",IF(countif('Mens Lineup'!G$3:G1000,CONCATENATE("=",$A156))=0,"",G$2))</f>
        <v/>
      </c>
      <c r="H156" s="3" t="str">
        <f>IF($A156="","",IF(countif('Mens Lineup'!H$3:H1000,CONCATENATE("=",$A156))=0,"",H$2))</f>
        <v>200 Back</v>
      </c>
      <c r="I156" s="3" t="str">
        <f>IF($A156="","",IF(countif('Mens Lineup'!I$3:I1000,CONCATENATE("=",$A156))=0,"",I$2))</f>
        <v/>
      </c>
      <c r="J156" s="3" t="str">
        <f>IF($A156="","",IF(countif('Mens Lineup'!J$3:J1000,CONCATENATE("=",$A156))=0,"",J$2))</f>
        <v/>
      </c>
      <c r="K156" s="3" t="str">
        <f>IF($A156="","",IF(countif('Mens Lineup'!K$3:K1000,CONCATENATE("=",$A156))=0,"",K$2))</f>
        <v/>
      </c>
      <c r="L156" s="3" t="str">
        <f>IF($A156="","",IF(countif('Mens Lineup'!L$3:L1000,CONCATENATE("=",$A156))=0,"",L$2))</f>
        <v>200 Fly</v>
      </c>
      <c r="M156" s="3" t="str">
        <f>IF($A156="","",IF(countif('Mens Lineup'!M$3:M1000,CONCATENATE("=",$A156))=0,"",M$2))</f>
        <v/>
      </c>
      <c r="N156" s="3" t="str">
        <f>IF($A156="","",IF(countif('Mens Lineup'!N$3:N1000,CONCATENATE("=",$A156))=0,"",N$2))</f>
        <v/>
      </c>
      <c r="O156" s="3" t="str">
        <f>IF($A156="","",IF(countif('Mens Lineup'!O$3:O1000,CONCATENATE("=",$A156))=0,"",O$2))</f>
        <v>1000 Free</v>
      </c>
      <c r="P156" s="3" t="str">
        <f>IF($A156="","",IF(countif('Mens Lineup'!P$3:P1000,CONCATENATE("=",$A156))=0,"",P$2))</f>
        <v/>
      </c>
      <c r="Q156" s="3" t="str">
        <f>IF($A156="","",IF(countif('Mens Lineup'!Q$3:Q1000,CONCATENATE("=",$A156))=0,"",Q$2))</f>
        <v/>
      </c>
      <c r="R156" s="3" t="str">
        <f>IF($A156="","",IF(countif('Mens Lineup'!R$3:R1000,CONCATENATE("=",$A156))=0,"",R$2))</f>
        <v/>
      </c>
      <c r="S156" s="3" t="str">
        <f>IF($A156="","",IF(countif('Mens Lineup'!S$3:S1000,CONCATENATE("=",$A156))=0,"",S$2))</f>
        <v/>
      </c>
      <c r="W156" s="3" t="str">
        <f>IFERROR(__xludf.DUMMYFUNCTION("JOIN("","",FILTER(B156:S156,B156:S156&lt;&gt;""""))"),"200 Free,500 Free,1650 Free,200 Back,200 Fly,1000 Free")</f>
        <v>200 Free,500 Free,1650 Free,200 Back,200 Fly,1000 Free</v>
      </c>
    </row>
    <row r="157">
      <c r="A157" s="3" t="s">
        <v>184</v>
      </c>
      <c r="B157" s="3" t="str">
        <f>IF($A157="","",IF(countif('Mens Lineup'!B$3:B1000,CONCATENATE("=",$A157))=0,"",B$2))</f>
        <v/>
      </c>
      <c r="C157" s="3" t="str">
        <f>IF($A157="","",IF(countif('Mens Lineup'!C$3:C1000,CONCATENATE("=",$A157))=0,"",C$2))</f>
        <v/>
      </c>
      <c r="D157" s="3" t="str">
        <f>IF($A157="","",IF(countif('Mens Lineup'!D$3:D1000,CONCATENATE("=",$A157))=0,"",D$2))</f>
        <v>200 Free</v>
      </c>
      <c r="E157" s="3" t="str">
        <f>IF($A157="","",IF(countif('Mens Lineup'!E$3:E1000,CONCATENATE("=",$A157))=0,"",E$2))</f>
        <v>500 Free</v>
      </c>
      <c r="F157" s="3" t="str">
        <f>IF($A157="","",IF(countif('Mens Lineup'!F$3:F1000,CONCATENATE("=",$A157))=0,"",F$2))</f>
        <v>1650 Free</v>
      </c>
      <c r="G157" s="3" t="str">
        <f>IF($A157="","",IF(countif('Mens Lineup'!G$3:G1000,CONCATENATE("=",$A157))=0,"",G$2))</f>
        <v>100 Back</v>
      </c>
      <c r="H157" s="3" t="str">
        <f>IF($A157="","",IF(countif('Mens Lineup'!H$3:H1000,CONCATENATE("=",$A157))=0,"",H$2))</f>
        <v/>
      </c>
      <c r="I157" s="3" t="str">
        <f>IF($A157="","",IF(countif('Mens Lineup'!I$3:I1000,CONCATENATE("=",$A157))=0,"",I$2))</f>
        <v/>
      </c>
      <c r="J157" s="3" t="str">
        <f>IF($A157="","",IF(countif('Mens Lineup'!J$3:J1000,CONCATENATE("=",$A157))=0,"",J$2))</f>
        <v/>
      </c>
      <c r="K157" s="3" t="str">
        <f>IF($A157="","",IF(countif('Mens Lineup'!K$3:K1000,CONCATENATE("=",$A157))=0,"",K$2))</f>
        <v/>
      </c>
      <c r="L157" s="3" t="str">
        <f>IF($A157="","",IF(countif('Mens Lineup'!L$3:L1000,CONCATENATE("=",$A157))=0,"",L$2))</f>
        <v/>
      </c>
      <c r="M157" s="3" t="str">
        <f>IF($A157="","",IF(countif('Mens Lineup'!M$3:M1000,CONCATENATE("=",$A157))=0,"",M$2))</f>
        <v/>
      </c>
      <c r="N157" s="3" t="str">
        <f>IF($A157="","",IF(countif('Mens Lineup'!N$3:N1000,CONCATENATE("=",$A157))=0,"",N$2))</f>
        <v/>
      </c>
      <c r="O157" s="3" t="str">
        <f>IF($A157="","",IF(countif('Mens Lineup'!O$3:O1000,CONCATENATE("=",$A157))=0,"",O$2))</f>
        <v/>
      </c>
      <c r="P157" s="3" t="str">
        <f>IF($A157="","",IF(countif('Mens Lineup'!P$3:P1000,CONCATENATE("=",$A157))=0,"",P$2))</f>
        <v/>
      </c>
      <c r="Q157" s="3" t="str">
        <f>IF($A157="","",IF(countif('Mens Lineup'!Q$3:Q1000,CONCATENATE("=",$A157))=0,"",Q$2))</f>
        <v/>
      </c>
      <c r="R157" s="3" t="str">
        <f>IF($A157="","",IF(countif('Mens Lineup'!R$3:R1000,CONCATENATE("=",$A157))=0,"",R$2))</f>
        <v/>
      </c>
      <c r="S157" s="3" t="str">
        <f>IF($A157="","",IF(countif('Mens Lineup'!S$3:S1000,CONCATENATE("=",$A157))=0,"",S$2))</f>
        <v/>
      </c>
      <c r="W157" s="3" t="str">
        <f>IFERROR(__xludf.DUMMYFUNCTION("JOIN("","",FILTER(B157:S157,B157:S157&lt;&gt;""""))"),"200 Free,500 Free,1650 Free,100 Back")</f>
        <v>200 Free,500 Free,1650 Free,100 Back</v>
      </c>
    </row>
    <row r="158">
      <c r="A158" s="3" t="s">
        <v>185</v>
      </c>
      <c r="B158" s="3" t="str">
        <f>IF($A158="","",IF(countif('Mens Lineup'!B$3:B1000,CONCATENATE("=",$A158))=0,"",B$2))</f>
        <v/>
      </c>
      <c r="C158" s="3" t="str">
        <f>IF($A158="","",IF(countif('Mens Lineup'!C$3:C1000,CONCATENATE("=",$A158))=0,"",C$2))</f>
        <v/>
      </c>
      <c r="D158" s="3" t="str">
        <f>IF($A158="","",IF(countif('Mens Lineup'!D$3:D1000,CONCATENATE("=",$A158))=0,"",D$2))</f>
        <v>200 Free</v>
      </c>
      <c r="E158" s="3" t="str">
        <f>IF($A158="","",IF(countif('Mens Lineup'!E$3:E1000,CONCATENATE("=",$A158))=0,"",E$2))</f>
        <v>500 Free</v>
      </c>
      <c r="F158" s="3" t="str">
        <f>IF($A158="","",IF(countif('Mens Lineup'!F$3:F1000,CONCATENATE("=",$A158))=0,"",F$2))</f>
        <v>1650 Free</v>
      </c>
      <c r="G158" s="3" t="str">
        <f>IF($A158="","",IF(countif('Mens Lineup'!G$3:G1000,CONCATENATE("=",$A158))=0,"",G$2))</f>
        <v/>
      </c>
      <c r="H158" s="3" t="str">
        <f>IF($A158="","",IF(countif('Mens Lineup'!H$3:H1000,CONCATENATE("=",$A158))=0,"",H$2))</f>
        <v>200 Back</v>
      </c>
      <c r="I158" s="3" t="str">
        <f>IF($A158="","",IF(countif('Mens Lineup'!I$3:I1000,CONCATENATE("=",$A158))=0,"",I$2))</f>
        <v/>
      </c>
      <c r="J158" s="3" t="str">
        <f>IF($A158="","",IF(countif('Mens Lineup'!J$3:J1000,CONCATENATE("=",$A158))=0,"",J$2))</f>
        <v/>
      </c>
      <c r="K158" s="3" t="str">
        <f>IF($A158="","",IF(countif('Mens Lineup'!K$3:K1000,CONCATENATE("=",$A158))=0,"",K$2))</f>
        <v/>
      </c>
      <c r="L158" s="3" t="str">
        <f>IF($A158="","",IF(countif('Mens Lineup'!L$3:L1000,CONCATENATE("=",$A158))=0,"",L$2))</f>
        <v/>
      </c>
      <c r="M158" s="3" t="str">
        <f>IF($A158="","",IF(countif('Mens Lineup'!M$3:M1000,CONCATENATE("=",$A158))=0,"",M$2))</f>
        <v>200 IM</v>
      </c>
      <c r="N158" s="3" t="str">
        <f>IF($A158="","",IF(countif('Mens Lineup'!N$3:N1000,CONCATENATE("=",$A158))=0,"",N$2))</f>
        <v>400 IM</v>
      </c>
      <c r="O158" s="3" t="str">
        <f>IF($A158="","",IF(countif('Mens Lineup'!O$3:O1000,CONCATENATE("=",$A158))=0,"",O$2))</f>
        <v/>
      </c>
      <c r="P158" s="3" t="str">
        <f>IF($A158="","",IF(countif('Mens Lineup'!P$3:P1000,CONCATENATE("=",$A158))=0,"",P$2))</f>
        <v/>
      </c>
      <c r="Q158" s="3" t="str">
        <f>IF($A158="","",IF(countif('Mens Lineup'!Q$3:Q1000,CONCATENATE("=",$A158))=0,"",Q$2))</f>
        <v/>
      </c>
      <c r="R158" s="3" t="str">
        <f>IF($A158="","",IF(countif('Mens Lineup'!R$3:R1000,CONCATENATE("=",$A158))=0,"",R$2))</f>
        <v/>
      </c>
      <c r="S158" s="3" t="str">
        <f>IF($A158="","",IF(countif('Mens Lineup'!S$3:S1000,CONCATENATE("=",$A158))=0,"",S$2))</f>
        <v/>
      </c>
      <c r="W158" s="3" t="str">
        <f>IFERROR(__xludf.DUMMYFUNCTION("JOIN("","",FILTER(B158:S158,B158:S158&lt;&gt;""""))"),"200 Free,500 Free,1650 Free,200 Back,200 IM,400 IM")</f>
        <v>200 Free,500 Free,1650 Free,200 Back,200 IM,400 IM</v>
      </c>
    </row>
    <row r="159">
      <c r="A159" s="3" t="s">
        <v>186</v>
      </c>
      <c r="B159" s="3" t="str">
        <f>IF($A159="","",IF(countif('Mens Lineup'!B$3:B1000,CONCATENATE("=",$A159))=0,"",B$2))</f>
        <v/>
      </c>
      <c r="C159" s="3" t="str">
        <f>IF($A159="","",IF(countif('Mens Lineup'!C$3:C1000,CONCATENATE("=",$A159))=0,"",C$2))</f>
        <v/>
      </c>
      <c r="D159" s="3" t="str">
        <f>IF($A159="","",IF(countif('Mens Lineup'!D$3:D1000,CONCATENATE("=",$A159))=0,"",D$2))</f>
        <v>200 Free</v>
      </c>
      <c r="E159" s="3" t="str">
        <f>IF($A159="","",IF(countif('Mens Lineup'!E$3:E1000,CONCATENATE("=",$A159))=0,"",E$2))</f>
        <v>500 Free</v>
      </c>
      <c r="F159" s="3" t="str">
        <f>IF($A159="","",IF(countif('Mens Lineup'!F$3:F1000,CONCATENATE("=",$A159))=0,"",F$2))</f>
        <v/>
      </c>
      <c r="G159" s="3" t="str">
        <f>IF($A159="","",IF(countif('Mens Lineup'!G$3:G1000,CONCATENATE("=",$A159))=0,"",G$2))</f>
        <v>100 Back</v>
      </c>
      <c r="H159" s="3" t="str">
        <f>IF($A159="","",IF(countif('Mens Lineup'!H$3:H1000,CONCATENATE("=",$A159))=0,"",H$2))</f>
        <v>200 Back</v>
      </c>
      <c r="I159" s="3" t="str">
        <f>IF($A159="","",IF(countif('Mens Lineup'!I$3:I1000,CONCATENATE("=",$A159))=0,"",I$2))</f>
        <v/>
      </c>
      <c r="J159" s="3" t="str">
        <f>IF($A159="","",IF(countif('Mens Lineup'!J$3:J1000,CONCATENATE("=",$A159))=0,"",J$2))</f>
        <v/>
      </c>
      <c r="K159" s="3" t="str">
        <f>IF($A159="","",IF(countif('Mens Lineup'!K$3:K1000,CONCATENATE("=",$A159))=0,"",K$2))</f>
        <v>100 Fly</v>
      </c>
      <c r="L159" s="3" t="str">
        <f>IF($A159="","",IF(countif('Mens Lineup'!L$3:L1000,CONCATENATE("=",$A159))=0,"",L$2))</f>
        <v/>
      </c>
      <c r="M159" s="3" t="str">
        <f>IF($A159="","",IF(countif('Mens Lineup'!M$3:M1000,CONCATENATE("=",$A159))=0,"",M$2))</f>
        <v>200 IM</v>
      </c>
      <c r="N159" s="3" t="str">
        <f>IF($A159="","",IF(countif('Mens Lineup'!N$3:N1000,CONCATENATE("=",$A159))=0,"",N$2))</f>
        <v/>
      </c>
      <c r="O159" s="3" t="str">
        <f>IF($A159="","",IF(countif('Mens Lineup'!O$3:O1000,CONCATENATE("=",$A159))=0,"",O$2))</f>
        <v/>
      </c>
      <c r="P159" s="3" t="str">
        <f>IF($A159="","",IF(countif('Mens Lineup'!P$3:P1000,CONCATENATE("=",$A159))=0,"",P$2))</f>
        <v/>
      </c>
      <c r="Q159" s="3" t="str">
        <f>IF($A159="","",IF(countif('Mens Lineup'!Q$3:Q1000,CONCATENATE("=",$A159))=0,"",Q$2))</f>
        <v/>
      </c>
      <c r="R159" s="3" t="str">
        <f>IF($A159="","",IF(countif('Mens Lineup'!R$3:R1000,CONCATENATE("=",$A159))=0,"",R$2))</f>
        <v/>
      </c>
      <c r="S159" s="3" t="str">
        <f>IF($A159="","",IF(countif('Mens Lineup'!S$3:S1000,CONCATENATE("=",$A159))=0,"",S$2))</f>
        <v/>
      </c>
      <c r="W159" s="3" t="str">
        <f>IFERROR(__xludf.DUMMYFUNCTION("JOIN("","",FILTER(B159:S159,B159:S159&lt;&gt;""""))"),"200 Free,500 Free,100 Back,200 Back,100 Fly,200 IM")</f>
        <v>200 Free,500 Free,100 Back,200 Back,100 Fly,200 IM</v>
      </c>
    </row>
    <row r="160">
      <c r="A160" s="3" t="s">
        <v>187</v>
      </c>
      <c r="B160" s="3" t="str">
        <f>IF($A160="","",IF(countif('Mens Lineup'!B$3:B1000,CONCATENATE("=",$A160))=0,"",B$2))</f>
        <v/>
      </c>
      <c r="C160" s="3" t="str">
        <f>IF($A160="","",IF(countif('Mens Lineup'!C$3:C1000,CONCATENATE("=",$A160))=0,"",C$2))</f>
        <v/>
      </c>
      <c r="D160" s="3" t="str">
        <f>IF($A160="","",IF(countif('Mens Lineup'!D$3:D1000,CONCATENATE("=",$A160))=0,"",D$2))</f>
        <v>200 Free</v>
      </c>
      <c r="E160" s="3" t="str">
        <f>IF($A160="","",IF(countif('Mens Lineup'!E$3:E1000,CONCATENATE("=",$A160))=0,"",E$2))</f>
        <v>500 Free</v>
      </c>
      <c r="F160" s="3" t="str">
        <f>IF($A160="","",IF(countif('Mens Lineup'!F$3:F1000,CONCATENATE("=",$A160))=0,"",F$2))</f>
        <v/>
      </c>
      <c r="G160" s="3" t="str">
        <f>IF($A160="","",IF(countif('Mens Lineup'!G$3:G1000,CONCATENATE("=",$A160))=0,"",G$2))</f>
        <v/>
      </c>
      <c r="H160" s="3" t="str">
        <f>IF($A160="","",IF(countif('Mens Lineup'!H$3:H1000,CONCATENATE("=",$A160))=0,"",H$2))</f>
        <v>200 Back</v>
      </c>
      <c r="I160" s="3" t="str">
        <f>IF($A160="","",IF(countif('Mens Lineup'!I$3:I1000,CONCATENATE("=",$A160))=0,"",I$2))</f>
        <v/>
      </c>
      <c r="J160" s="3" t="str">
        <f>IF($A160="","",IF(countif('Mens Lineup'!J$3:J1000,CONCATENATE("=",$A160))=0,"",J$2))</f>
        <v/>
      </c>
      <c r="K160" s="3" t="str">
        <f>IF($A160="","",IF(countif('Mens Lineup'!K$3:K1000,CONCATENATE("=",$A160))=0,"",K$2))</f>
        <v>100 Fly</v>
      </c>
      <c r="L160" s="3" t="str">
        <f>IF($A160="","",IF(countif('Mens Lineup'!L$3:L1000,CONCATENATE("=",$A160))=0,"",L$2))</f>
        <v>200 Fly</v>
      </c>
      <c r="M160" s="3" t="str">
        <f>IF($A160="","",IF(countif('Mens Lineup'!M$3:M1000,CONCATENATE("=",$A160))=0,"",M$2))</f>
        <v/>
      </c>
      <c r="N160" s="3" t="str">
        <f>IF($A160="","",IF(countif('Mens Lineup'!N$3:N1000,CONCATENATE("=",$A160))=0,"",N$2))</f>
        <v/>
      </c>
      <c r="O160" s="3" t="str">
        <f>IF($A160="","",IF(countif('Mens Lineup'!O$3:O1000,CONCATENATE("=",$A160))=0,"",O$2))</f>
        <v>1000 Free</v>
      </c>
      <c r="P160" s="3" t="str">
        <f>IF($A160="","",IF(countif('Mens Lineup'!P$3:P1000,CONCATENATE("=",$A160))=0,"",P$2))</f>
        <v/>
      </c>
      <c r="Q160" s="3" t="str">
        <f>IF($A160="","",IF(countif('Mens Lineup'!Q$3:Q1000,CONCATENATE("=",$A160))=0,"",Q$2))</f>
        <v/>
      </c>
      <c r="R160" s="3" t="str">
        <f>IF($A160="","",IF(countif('Mens Lineup'!R$3:R1000,CONCATENATE("=",$A160))=0,"",R$2))</f>
        <v/>
      </c>
      <c r="S160" s="3" t="str">
        <f>IF($A160="","",IF(countif('Mens Lineup'!S$3:S1000,CONCATENATE("=",$A160))=0,"",S$2))</f>
        <v/>
      </c>
      <c r="W160" s="3" t="str">
        <f>IFERROR(__xludf.DUMMYFUNCTION("JOIN("","",FILTER(B160:S160,B160:S160&lt;&gt;""""))"),"200 Free,500 Free,200 Back,100 Fly,200 Fly,1000 Free")</f>
        <v>200 Free,500 Free,200 Back,100 Fly,200 Fly,1000 Free</v>
      </c>
    </row>
    <row r="161">
      <c r="A161" s="3" t="s">
        <v>188</v>
      </c>
      <c r="B161" s="3" t="str">
        <f>IF($A161="","",IF(countif('Mens Lineup'!B$3:B1000,CONCATENATE("=",$A161))=0,"",B$2))</f>
        <v/>
      </c>
      <c r="C161" s="3" t="str">
        <f>IF($A161="","",IF(countif('Mens Lineup'!C$3:C1000,CONCATENATE("=",$A161))=0,"",C$2))</f>
        <v/>
      </c>
      <c r="D161" s="3" t="str">
        <f>IF($A161="","",IF(countif('Mens Lineup'!D$3:D1000,CONCATENATE("=",$A161))=0,"",D$2))</f>
        <v>200 Free</v>
      </c>
      <c r="E161" s="3" t="str">
        <f>IF($A161="","",IF(countif('Mens Lineup'!E$3:E1000,CONCATENATE("=",$A161))=0,"",E$2))</f>
        <v>500 Free</v>
      </c>
      <c r="F161" s="3" t="str">
        <f>IF($A161="","",IF(countif('Mens Lineup'!F$3:F1000,CONCATENATE("=",$A161))=0,"",F$2))</f>
        <v>1650 Free</v>
      </c>
      <c r="G161" s="3" t="str">
        <f>IF($A161="","",IF(countif('Mens Lineup'!G$3:G1000,CONCATENATE("=",$A161))=0,"",G$2))</f>
        <v/>
      </c>
      <c r="H161" s="3" t="str">
        <f>IF($A161="","",IF(countif('Mens Lineup'!H$3:H1000,CONCATENATE("=",$A161))=0,"",H$2))</f>
        <v/>
      </c>
      <c r="I161" s="3" t="str">
        <f>IF($A161="","",IF(countif('Mens Lineup'!I$3:I1000,CONCATENATE("=",$A161))=0,"",I$2))</f>
        <v/>
      </c>
      <c r="J161" s="3" t="str">
        <f>IF($A161="","",IF(countif('Mens Lineup'!J$3:J1000,CONCATENATE("=",$A161))=0,"",J$2))</f>
        <v/>
      </c>
      <c r="K161" s="3" t="str">
        <f>IF($A161="","",IF(countif('Mens Lineup'!K$3:K1000,CONCATENATE("=",$A161))=0,"",K$2))</f>
        <v/>
      </c>
      <c r="L161" s="3" t="str">
        <f>IF($A161="","",IF(countif('Mens Lineup'!L$3:L1000,CONCATENATE("=",$A161))=0,"",L$2))</f>
        <v>200 Fly</v>
      </c>
      <c r="M161" s="3" t="str">
        <f>IF($A161="","",IF(countif('Mens Lineup'!M$3:M1000,CONCATENATE("=",$A161))=0,"",M$2))</f>
        <v/>
      </c>
      <c r="N161" s="3" t="str">
        <f>IF($A161="","",IF(countif('Mens Lineup'!N$3:N1000,CONCATENATE("=",$A161))=0,"",N$2))</f>
        <v>400 IM</v>
      </c>
      <c r="O161" s="3" t="str">
        <f>IF($A161="","",IF(countif('Mens Lineup'!O$3:O1000,CONCATENATE("=",$A161))=0,"",O$2))</f>
        <v>1000 Free</v>
      </c>
      <c r="P161" s="3" t="str">
        <f>IF($A161="","",IF(countif('Mens Lineup'!P$3:P1000,CONCATENATE("=",$A161))=0,"",P$2))</f>
        <v/>
      </c>
      <c r="Q161" s="3" t="str">
        <f>IF($A161="","",IF(countif('Mens Lineup'!Q$3:Q1000,CONCATENATE("=",$A161))=0,"",Q$2))</f>
        <v/>
      </c>
      <c r="R161" s="3" t="str">
        <f>IF($A161="","",IF(countif('Mens Lineup'!R$3:R1000,CONCATENATE("=",$A161))=0,"",R$2))</f>
        <v/>
      </c>
      <c r="S161" s="3" t="str">
        <f>IF($A161="","",IF(countif('Mens Lineup'!S$3:S1000,CONCATENATE("=",$A161))=0,"",S$2))</f>
        <v/>
      </c>
      <c r="W161" s="3" t="str">
        <f>IFERROR(__xludf.DUMMYFUNCTION("JOIN("","",FILTER(B161:S161,B161:S161&lt;&gt;""""))"),"200 Free,500 Free,1650 Free,200 Fly,400 IM,1000 Free")</f>
        <v>200 Free,500 Free,1650 Free,200 Fly,400 IM,1000 Free</v>
      </c>
    </row>
    <row r="162">
      <c r="A162" s="3" t="s">
        <v>189</v>
      </c>
      <c r="B162" s="3" t="str">
        <f>IF($A162="","",IF(countif('Mens Lineup'!B$3:B1000,CONCATENATE("=",$A162))=0,"",B$2))</f>
        <v/>
      </c>
      <c r="C162" s="3" t="str">
        <f>IF($A162="","",IF(countif('Mens Lineup'!C$3:C1000,CONCATENATE("=",$A162))=0,"",C$2))</f>
        <v/>
      </c>
      <c r="D162" s="3" t="str">
        <f>IF($A162="","",IF(countif('Mens Lineup'!D$3:D1000,CONCATENATE("=",$A162))=0,"",D$2))</f>
        <v>200 Free</v>
      </c>
      <c r="E162" s="3" t="str">
        <f>IF($A162="","",IF(countif('Mens Lineup'!E$3:E1000,CONCATENATE("=",$A162))=0,"",E$2))</f>
        <v>500 Free</v>
      </c>
      <c r="F162" s="3" t="str">
        <f>IF($A162="","",IF(countif('Mens Lineup'!F$3:F1000,CONCATENATE("=",$A162))=0,"",F$2))</f>
        <v/>
      </c>
      <c r="G162" s="3" t="str">
        <f>IF($A162="","",IF(countif('Mens Lineup'!G$3:G1000,CONCATENATE("=",$A162))=0,"",G$2))</f>
        <v>100 Back</v>
      </c>
      <c r="H162" s="3" t="str">
        <f>IF($A162="","",IF(countif('Mens Lineup'!H$3:H1000,CONCATENATE("=",$A162))=0,"",H$2))</f>
        <v>200 Back</v>
      </c>
      <c r="I162" s="3" t="str">
        <f>IF($A162="","",IF(countif('Mens Lineup'!I$3:I1000,CONCATENATE("=",$A162))=0,"",I$2))</f>
        <v/>
      </c>
      <c r="J162" s="3" t="str">
        <f>IF($A162="","",IF(countif('Mens Lineup'!J$3:J1000,CONCATENATE("=",$A162))=0,"",J$2))</f>
        <v/>
      </c>
      <c r="K162" s="3" t="str">
        <f>IF($A162="","",IF(countif('Mens Lineup'!K$3:K1000,CONCATENATE("=",$A162))=0,"",K$2))</f>
        <v/>
      </c>
      <c r="L162" s="3" t="str">
        <f>IF($A162="","",IF(countif('Mens Lineup'!L$3:L1000,CONCATENATE("=",$A162))=0,"",L$2))</f>
        <v>200 Fly</v>
      </c>
      <c r="M162" s="3" t="str">
        <f>IF($A162="","",IF(countif('Mens Lineup'!M$3:M1000,CONCATENATE("=",$A162))=0,"",M$2))</f>
        <v>200 IM</v>
      </c>
      <c r="N162" s="3" t="str">
        <f>IF($A162="","",IF(countif('Mens Lineup'!N$3:N1000,CONCATENATE("=",$A162))=0,"",N$2))</f>
        <v/>
      </c>
      <c r="O162" s="3" t="str">
        <f>IF($A162="","",IF(countif('Mens Lineup'!O$3:O1000,CONCATENATE("=",$A162))=0,"",O$2))</f>
        <v/>
      </c>
      <c r="P162" s="3" t="str">
        <f>IF($A162="","",IF(countif('Mens Lineup'!P$3:P1000,CONCATENATE("=",$A162))=0,"",P$2))</f>
        <v/>
      </c>
      <c r="Q162" s="3" t="str">
        <f>IF($A162="","",IF(countif('Mens Lineup'!Q$3:Q1000,CONCATENATE("=",$A162))=0,"",Q$2))</f>
        <v/>
      </c>
      <c r="R162" s="3" t="str">
        <f>IF($A162="","",IF(countif('Mens Lineup'!R$3:R1000,CONCATENATE("=",$A162))=0,"",R$2))</f>
        <v/>
      </c>
      <c r="S162" s="3" t="str">
        <f>IF($A162="","",IF(countif('Mens Lineup'!S$3:S1000,CONCATENATE("=",$A162))=0,"",S$2))</f>
        <v/>
      </c>
      <c r="W162" s="3" t="str">
        <f>IFERROR(__xludf.DUMMYFUNCTION("JOIN("","",FILTER(B162:S162,B162:S162&lt;&gt;""""))"),"200 Free,500 Free,100 Back,200 Back,200 Fly,200 IM")</f>
        <v>200 Free,500 Free,100 Back,200 Back,200 Fly,200 IM</v>
      </c>
    </row>
    <row r="163">
      <c r="A163" s="3" t="s">
        <v>190</v>
      </c>
      <c r="B163" s="3" t="str">
        <f>IF($A163="","",IF(countif('Mens Lineup'!B$3:B1000,CONCATENATE("=",$A163))=0,"",B$2))</f>
        <v/>
      </c>
      <c r="C163" s="3" t="str">
        <f>IF($A163="","",IF(countif('Mens Lineup'!C$3:C1000,CONCATENATE("=",$A163))=0,"",C$2))</f>
        <v/>
      </c>
      <c r="D163" s="3" t="str">
        <f>IF($A163="","",IF(countif('Mens Lineup'!D$3:D1000,CONCATENATE("=",$A163))=0,"",D$2))</f>
        <v>200 Free</v>
      </c>
      <c r="E163" s="3" t="str">
        <f>IF($A163="","",IF(countif('Mens Lineup'!E$3:E1000,CONCATENATE("=",$A163))=0,"",E$2))</f>
        <v>500 Free</v>
      </c>
      <c r="F163" s="3" t="str">
        <f>IF($A163="","",IF(countif('Mens Lineup'!F$3:F1000,CONCATENATE("=",$A163))=0,"",F$2))</f>
        <v/>
      </c>
      <c r="G163" s="3" t="str">
        <f>IF($A163="","",IF(countif('Mens Lineup'!G$3:G1000,CONCATENATE("=",$A163))=0,"",G$2))</f>
        <v>100 Back</v>
      </c>
      <c r="H163" s="3" t="str">
        <f>IF($A163="","",IF(countif('Mens Lineup'!H$3:H1000,CONCATENATE("=",$A163))=0,"",H$2))</f>
        <v>200 Back</v>
      </c>
      <c r="I163" s="3" t="str">
        <f>IF($A163="","",IF(countif('Mens Lineup'!I$3:I1000,CONCATENATE("=",$A163))=0,"",I$2))</f>
        <v/>
      </c>
      <c r="J163" s="3" t="str">
        <f>IF($A163="","",IF(countif('Mens Lineup'!J$3:J1000,CONCATENATE("=",$A163))=0,"",J$2))</f>
        <v/>
      </c>
      <c r="K163" s="3" t="str">
        <f>IF($A163="","",IF(countif('Mens Lineup'!K$3:K1000,CONCATENATE("=",$A163))=0,"",K$2))</f>
        <v/>
      </c>
      <c r="L163" s="3" t="str">
        <f>IF($A163="","",IF(countif('Mens Lineup'!L$3:L1000,CONCATENATE("=",$A163))=0,"",L$2))</f>
        <v/>
      </c>
      <c r="M163" s="3" t="str">
        <f>IF($A163="","",IF(countif('Mens Lineup'!M$3:M1000,CONCATENATE("=",$A163))=0,"",M$2))</f>
        <v/>
      </c>
      <c r="N163" s="3" t="str">
        <f>IF($A163="","",IF(countif('Mens Lineup'!N$3:N1000,CONCATENATE("=",$A163))=0,"",N$2))</f>
        <v>400 IM</v>
      </c>
      <c r="O163" s="3" t="str">
        <f>IF($A163="","",IF(countif('Mens Lineup'!O$3:O1000,CONCATENATE("=",$A163))=0,"",O$2))</f>
        <v>1000 Free</v>
      </c>
      <c r="P163" s="3" t="str">
        <f>IF($A163="","",IF(countif('Mens Lineup'!P$3:P1000,CONCATENATE("=",$A163))=0,"",P$2))</f>
        <v/>
      </c>
      <c r="Q163" s="3" t="str">
        <f>IF($A163="","",IF(countif('Mens Lineup'!Q$3:Q1000,CONCATENATE("=",$A163))=0,"",Q$2))</f>
        <v/>
      </c>
      <c r="R163" s="3" t="str">
        <f>IF($A163="","",IF(countif('Mens Lineup'!R$3:R1000,CONCATENATE("=",$A163))=0,"",R$2))</f>
        <v/>
      </c>
      <c r="S163" s="3" t="str">
        <f>IF($A163="","",IF(countif('Mens Lineup'!S$3:S1000,CONCATENATE("=",$A163))=0,"",S$2))</f>
        <v/>
      </c>
      <c r="W163" s="3" t="str">
        <f>IFERROR(__xludf.DUMMYFUNCTION("JOIN("","",FILTER(B163:S163,B163:S163&lt;&gt;""""))"),"200 Free,500 Free,100 Back,200 Back,400 IM,1000 Free")</f>
        <v>200 Free,500 Free,100 Back,200 Back,400 IM,1000 Free</v>
      </c>
    </row>
    <row r="164">
      <c r="A164" s="3" t="s">
        <v>191</v>
      </c>
      <c r="B164" s="3" t="str">
        <f>IF($A164="","",IF(countif('Mens Lineup'!B$3:B1000,CONCATENATE("=",$A164))=0,"",B$2))</f>
        <v/>
      </c>
      <c r="C164" s="3" t="str">
        <f>IF($A164="","",IF(countif('Mens Lineup'!C$3:C1000,CONCATENATE("=",$A164))=0,"",C$2))</f>
        <v/>
      </c>
      <c r="D164" s="3" t="str">
        <f>IF($A164="","",IF(countif('Mens Lineup'!D$3:D1000,CONCATENATE("=",$A164))=0,"",D$2))</f>
        <v>200 Free</v>
      </c>
      <c r="E164" s="3" t="str">
        <f>IF($A164="","",IF(countif('Mens Lineup'!E$3:E1000,CONCATENATE("=",$A164))=0,"",E$2))</f>
        <v>500 Free</v>
      </c>
      <c r="F164" s="3" t="str">
        <f>IF($A164="","",IF(countif('Mens Lineup'!F$3:F1000,CONCATENATE("=",$A164))=0,"",F$2))</f>
        <v/>
      </c>
      <c r="G164" s="3" t="str">
        <f>IF($A164="","",IF(countif('Mens Lineup'!G$3:G1000,CONCATENATE("=",$A164))=0,"",G$2))</f>
        <v>100 Back</v>
      </c>
      <c r="H164" s="3" t="str">
        <f>IF($A164="","",IF(countif('Mens Lineup'!H$3:H1000,CONCATENATE("=",$A164))=0,"",H$2))</f>
        <v/>
      </c>
      <c r="I164" s="3" t="str">
        <f>IF($A164="","",IF(countif('Mens Lineup'!I$3:I1000,CONCATENATE("=",$A164))=0,"",I$2))</f>
        <v/>
      </c>
      <c r="J164" s="3" t="str">
        <f>IF($A164="","",IF(countif('Mens Lineup'!J$3:J1000,CONCATENATE("=",$A164))=0,"",J$2))</f>
        <v/>
      </c>
      <c r="K164" s="3" t="str">
        <f>IF($A164="","",IF(countif('Mens Lineup'!K$3:K1000,CONCATENATE("=",$A164))=0,"",K$2))</f>
        <v>100 Fly</v>
      </c>
      <c r="L164" s="3" t="str">
        <f>IF($A164="","",IF(countif('Mens Lineup'!L$3:L1000,CONCATENATE("=",$A164))=0,"",L$2))</f>
        <v>200 Fly</v>
      </c>
      <c r="M164" s="3" t="str">
        <f>IF($A164="","",IF(countif('Mens Lineup'!M$3:M1000,CONCATENATE("=",$A164))=0,"",M$2))</f>
        <v>200 IM</v>
      </c>
      <c r="N164" s="3" t="str">
        <f>IF($A164="","",IF(countif('Mens Lineup'!N$3:N1000,CONCATENATE("=",$A164))=0,"",N$2))</f>
        <v/>
      </c>
      <c r="O164" s="3" t="str">
        <f>IF($A164="","",IF(countif('Mens Lineup'!O$3:O1000,CONCATENATE("=",$A164))=0,"",O$2))</f>
        <v/>
      </c>
      <c r="P164" s="3" t="str">
        <f>IF($A164="","",IF(countif('Mens Lineup'!P$3:P1000,CONCATENATE("=",$A164))=0,"",P$2))</f>
        <v/>
      </c>
      <c r="Q164" s="3" t="str">
        <f>IF($A164="","",IF(countif('Mens Lineup'!Q$3:Q1000,CONCATENATE("=",$A164))=0,"",Q$2))</f>
        <v/>
      </c>
      <c r="R164" s="3" t="str">
        <f>IF($A164="","",IF(countif('Mens Lineup'!R$3:R1000,CONCATENATE("=",$A164))=0,"",R$2))</f>
        <v/>
      </c>
      <c r="S164" s="3" t="str">
        <f>IF($A164="","",IF(countif('Mens Lineup'!S$3:S1000,CONCATENATE("=",$A164))=0,"",S$2))</f>
        <v/>
      </c>
      <c r="W164" s="3" t="str">
        <f>IFERROR(__xludf.DUMMYFUNCTION("JOIN("","",FILTER(B164:S164,B164:S164&lt;&gt;""""))"),"200 Free,500 Free,100 Back,100 Fly,200 Fly,200 IM")</f>
        <v>200 Free,500 Free,100 Back,100 Fly,200 Fly,200 IM</v>
      </c>
    </row>
    <row r="165">
      <c r="A165" s="3" t="s">
        <v>192</v>
      </c>
      <c r="B165" s="3" t="str">
        <f>IF($A165="","",IF(countif('Mens Lineup'!B$3:B1000,CONCATENATE("=",$A165))=0,"",B$2))</f>
        <v/>
      </c>
      <c r="C165" s="3" t="str">
        <f>IF($A165="","",IF(countif('Mens Lineup'!C$3:C1000,CONCATENATE("=",$A165))=0,"",C$2))</f>
        <v/>
      </c>
      <c r="D165" s="3" t="str">
        <f>IF($A165="","",IF(countif('Mens Lineup'!D$3:D1000,CONCATENATE("=",$A165))=0,"",D$2))</f>
        <v>200 Free</v>
      </c>
      <c r="E165" s="3" t="str">
        <f>IF($A165="","",IF(countif('Mens Lineup'!E$3:E1000,CONCATENATE("=",$A165))=0,"",E$2))</f>
        <v/>
      </c>
      <c r="F165" s="3" t="str">
        <f>IF($A165="","",IF(countif('Mens Lineup'!F$3:F1000,CONCATENATE("=",$A165))=0,"",F$2))</f>
        <v/>
      </c>
      <c r="G165" s="3" t="str">
        <f>IF($A165="","",IF(countif('Mens Lineup'!G$3:G1000,CONCATENATE("=",$A165))=0,"",G$2))</f>
        <v>100 Back</v>
      </c>
      <c r="H165" s="3" t="str">
        <f>IF($A165="","",IF(countif('Mens Lineup'!H$3:H1000,CONCATENATE("=",$A165))=0,"",H$2))</f>
        <v>200 Back</v>
      </c>
      <c r="I165" s="3" t="str">
        <f>IF($A165="","",IF(countif('Mens Lineup'!I$3:I1000,CONCATENATE("=",$A165))=0,"",I$2))</f>
        <v/>
      </c>
      <c r="J165" s="3" t="str">
        <f>IF($A165="","",IF(countif('Mens Lineup'!J$3:J1000,CONCATENATE("=",$A165))=0,"",J$2))</f>
        <v/>
      </c>
      <c r="K165" s="3" t="str">
        <f>IF($A165="","",IF(countif('Mens Lineup'!K$3:K1000,CONCATENATE("=",$A165))=0,"",K$2))</f>
        <v>100 Fly</v>
      </c>
      <c r="L165" s="3" t="str">
        <f>IF($A165="","",IF(countif('Mens Lineup'!L$3:L1000,CONCATENATE("=",$A165))=0,"",L$2))</f>
        <v>200 Fly</v>
      </c>
      <c r="M165" s="3" t="str">
        <f>IF($A165="","",IF(countif('Mens Lineup'!M$3:M1000,CONCATENATE("=",$A165))=0,"",M$2))</f>
        <v/>
      </c>
      <c r="N165" s="3" t="str">
        <f>IF($A165="","",IF(countif('Mens Lineup'!N$3:N1000,CONCATENATE("=",$A165))=0,"",N$2))</f>
        <v/>
      </c>
      <c r="O165" s="3" t="str">
        <f>IF($A165="","",IF(countif('Mens Lineup'!O$3:O1000,CONCATENATE("=",$A165))=0,"",O$2))</f>
        <v>1000 Free</v>
      </c>
      <c r="P165" s="3" t="str">
        <f>IF($A165="","",IF(countif('Mens Lineup'!P$3:P1000,CONCATENATE("=",$A165))=0,"",P$2))</f>
        <v/>
      </c>
      <c r="Q165" s="3" t="str">
        <f>IF($A165="","",IF(countif('Mens Lineup'!Q$3:Q1000,CONCATENATE("=",$A165))=0,"",Q$2))</f>
        <v/>
      </c>
      <c r="R165" s="3" t="str">
        <f>IF($A165="","",IF(countif('Mens Lineup'!R$3:R1000,CONCATENATE("=",$A165))=0,"",R$2))</f>
        <v/>
      </c>
      <c r="S165" s="3" t="str">
        <f>IF($A165="","",IF(countif('Mens Lineup'!S$3:S1000,CONCATENATE("=",$A165))=0,"",S$2))</f>
        <v/>
      </c>
      <c r="W165" s="3" t="str">
        <f>IFERROR(__xludf.DUMMYFUNCTION("JOIN("","",FILTER(B165:S165,B165:S165&lt;&gt;""""))"),"200 Free,100 Back,200 Back,100 Fly,200 Fly,1000 Free")</f>
        <v>200 Free,100 Back,200 Back,100 Fly,200 Fly,1000 Free</v>
      </c>
    </row>
    <row r="166">
      <c r="A166" s="3" t="s">
        <v>193</v>
      </c>
      <c r="B166" s="3" t="str">
        <f>IF($A166="","",IF(countif('Mens Lineup'!B$3:B1000,CONCATENATE("=",$A166))=0,"",B$2))</f>
        <v/>
      </c>
      <c r="C166" s="3" t="str">
        <f>IF($A166="","",IF(countif('Mens Lineup'!C$3:C1000,CONCATENATE("=",$A166))=0,"",C$2))</f>
        <v/>
      </c>
      <c r="D166" s="3" t="str">
        <f>IF($A166="","",IF(countif('Mens Lineup'!D$3:D1000,CONCATENATE("=",$A166))=0,"",D$2))</f>
        <v>200 Free</v>
      </c>
      <c r="E166" s="3" t="str">
        <f>IF($A166="","",IF(countif('Mens Lineup'!E$3:E1000,CONCATENATE("=",$A166))=0,"",E$2))</f>
        <v>500 Free</v>
      </c>
      <c r="F166" s="3" t="str">
        <f>IF($A166="","",IF(countif('Mens Lineup'!F$3:F1000,CONCATENATE("=",$A166))=0,"",F$2))</f>
        <v>1650 Free</v>
      </c>
      <c r="G166" s="3" t="str">
        <f>IF($A166="","",IF(countif('Mens Lineup'!G$3:G1000,CONCATENATE("=",$A166))=0,"",G$2))</f>
        <v/>
      </c>
      <c r="H166" s="3" t="str">
        <f>IF($A166="","",IF(countif('Mens Lineup'!H$3:H1000,CONCATENATE("=",$A166))=0,"",H$2))</f>
        <v/>
      </c>
      <c r="I166" s="3" t="str">
        <f>IF($A166="","",IF(countif('Mens Lineup'!I$3:I1000,CONCATENATE("=",$A166))=0,"",I$2))</f>
        <v/>
      </c>
      <c r="J166" s="3" t="str">
        <f>IF($A166="","",IF(countif('Mens Lineup'!J$3:J1000,CONCATENATE("=",$A166))=0,"",J$2))</f>
        <v/>
      </c>
      <c r="K166" s="3" t="str">
        <f>IF($A166="","",IF(countif('Mens Lineup'!K$3:K1000,CONCATENATE("=",$A166))=0,"",K$2))</f>
        <v/>
      </c>
      <c r="L166" s="3" t="str">
        <f>IF($A166="","",IF(countif('Mens Lineup'!L$3:L1000,CONCATENATE("=",$A166))=0,"",L$2))</f>
        <v>200 Fly</v>
      </c>
      <c r="M166" s="3" t="str">
        <f>IF($A166="","",IF(countif('Mens Lineup'!M$3:M1000,CONCATENATE("=",$A166))=0,"",M$2))</f>
        <v/>
      </c>
      <c r="N166" s="3" t="str">
        <f>IF($A166="","",IF(countif('Mens Lineup'!N$3:N1000,CONCATENATE("=",$A166))=0,"",N$2))</f>
        <v>400 IM</v>
      </c>
      <c r="O166" s="3" t="str">
        <f>IF($A166="","",IF(countif('Mens Lineup'!O$3:O1000,CONCATENATE("=",$A166))=0,"",O$2))</f>
        <v>1000 Free</v>
      </c>
      <c r="P166" s="3" t="str">
        <f>IF($A166="","",IF(countif('Mens Lineup'!P$3:P1000,CONCATENATE("=",$A166))=0,"",P$2))</f>
        <v/>
      </c>
      <c r="Q166" s="3" t="str">
        <f>IF($A166="","",IF(countif('Mens Lineup'!Q$3:Q1000,CONCATENATE("=",$A166))=0,"",Q$2))</f>
        <v/>
      </c>
      <c r="R166" s="3" t="str">
        <f>IF($A166="","",IF(countif('Mens Lineup'!R$3:R1000,CONCATENATE("=",$A166))=0,"",R$2))</f>
        <v/>
      </c>
      <c r="S166" s="3" t="str">
        <f>IF($A166="","",IF(countif('Mens Lineup'!S$3:S1000,CONCATENATE("=",$A166))=0,"",S$2))</f>
        <v/>
      </c>
      <c r="W166" s="3" t="str">
        <f>IFERROR(__xludf.DUMMYFUNCTION("JOIN("","",FILTER(B166:S166,B166:S166&lt;&gt;""""))"),"200 Free,500 Free,1650 Free,200 Fly,400 IM,1000 Free")</f>
        <v>200 Free,500 Free,1650 Free,200 Fly,400 IM,1000 Free</v>
      </c>
    </row>
    <row r="167">
      <c r="A167" s="3" t="s">
        <v>194</v>
      </c>
      <c r="B167" s="3" t="str">
        <f>IF($A167="","",IF(countif('Mens Lineup'!B$3:B1000,CONCATENATE("=",$A167))=0,"",B$2))</f>
        <v/>
      </c>
      <c r="C167" s="3" t="str">
        <f>IF($A167="","",IF(countif('Mens Lineup'!C$3:C1000,CONCATENATE("=",$A167))=0,"",C$2))</f>
        <v/>
      </c>
      <c r="D167" s="3" t="str">
        <f>IF($A167="","",IF(countif('Mens Lineup'!D$3:D1000,CONCATENATE("=",$A167))=0,"",D$2))</f>
        <v>200 Free</v>
      </c>
      <c r="E167" s="3" t="str">
        <f>IF($A167="","",IF(countif('Mens Lineup'!E$3:E1000,CONCATENATE("=",$A167))=0,"",E$2))</f>
        <v>500 Free</v>
      </c>
      <c r="F167" s="3" t="str">
        <f>IF($A167="","",IF(countif('Mens Lineup'!F$3:F1000,CONCATENATE("=",$A167))=0,"",F$2))</f>
        <v>1650 Free</v>
      </c>
      <c r="G167" s="3" t="str">
        <f>IF($A167="","",IF(countif('Mens Lineup'!G$3:G1000,CONCATENATE("=",$A167))=0,"",G$2))</f>
        <v/>
      </c>
      <c r="H167" s="3" t="str">
        <f>IF($A167="","",IF(countif('Mens Lineup'!H$3:H1000,CONCATENATE("=",$A167))=0,"",H$2))</f>
        <v/>
      </c>
      <c r="I167" s="3" t="str">
        <f>IF($A167="","",IF(countif('Mens Lineup'!I$3:I1000,CONCATENATE("=",$A167))=0,"",I$2))</f>
        <v/>
      </c>
      <c r="J167" s="3" t="str">
        <f>IF($A167="","",IF(countif('Mens Lineup'!J$3:J1000,CONCATENATE("=",$A167))=0,"",J$2))</f>
        <v/>
      </c>
      <c r="K167" s="3" t="str">
        <f>IF($A167="","",IF(countif('Mens Lineup'!K$3:K1000,CONCATENATE("=",$A167))=0,"",K$2))</f>
        <v/>
      </c>
      <c r="L167" s="3" t="str">
        <f>IF($A167="","",IF(countif('Mens Lineup'!L$3:L1000,CONCATENATE("=",$A167))=0,"",L$2))</f>
        <v>200 Fly</v>
      </c>
      <c r="M167" s="3" t="str">
        <f>IF($A167="","",IF(countif('Mens Lineup'!M$3:M1000,CONCATENATE("=",$A167))=0,"",M$2))</f>
        <v>200 IM</v>
      </c>
      <c r="N167" s="3" t="str">
        <f>IF($A167="","",IF(countif('Mens Lineup'!N$3:N1000,CONCATENATE("=",$A167))=0,"",N$2))</f>
        <v/>
      </c>
      <c r="O167" s="3" t="str">
        <f>IF($A167="","",IF(countif('Mens Lineup'!O$3:O1000,CONCATENATE("=",$A167))=0,"",O$2))</f>
        <v>1000 Free</v>
      </c>
      <c r="P167" s="3" t="str">
        <f>IF($A167="","",IF(countif('Mens Lineup'!P$3:P1000,CONCATENATE("=",$A167))=0,"",P$2))</f>
        <v/>
      </c>
      <c r="Q167" s="3" t="str">
        <f>IF($A167="","",IF(countif('Mens Lineup'!Q$3:Q1000,CONCATENATE("=",$A167))=0,"",Q$2))</f>
        <v/>
      </c>
      <c r="R167" s="3" t="str">
        <f>IF($A167="","",IF(countif('Mens Lineup'!R$3:R1000,CONCATENATE("=",$A167))=0,"",R$2))</f>
        <v/>
      </c>
      <c r="S167" s="3" t="str">
        <f>IF($A167="","",IF(countif('Mens Lineup'!S$3:S1000,CONCATENATE("=",$A167))=0,"",S$2))</f>
        <v/>
      </c>
      <c r="W167" s="3" t="str">
        <f>IFERROR(__xludf.DUMMYFUNCTION("JOIN("","",FILTER(B167:S167,B167:S167&lt;&gt;""""))"),"200 Free,500 Free,1650 Free,200 Fly,200 IM,1000 Free")</f>
        <v>200 Free,500 Free,1650 Free,200 Fly,200 IM,1000 Free</v>
      </c>
    </row>
    <row r="168">
      <c r="A168" s="3" t="s">
        <v>195</v>
      </c>
      <c r="B168" s="3" t="str">
        <f>IF($A168="","",IF(countif('Mens Lineup'!B$3:B1000,CONCATENATE("=",$A168))=0,"",B$2))</f>
        <v/>
      </c>
      <c r="C168" s="3" t="str">
        <f>IF($A168="","",IF(countif('Mens Lineup'!C$3:C1000,CONCATENATE("=",$A168))=0,"",C$2))</f>
        <v/>
      </c>
      <c r="D168" s="3" t="str">
        <f>IF($A168="","",IF(countif('Mens Lineup'!D$3:D1000,CONCATENATE("=",$A168))=0,"",D$2))</f>
        <v>200 Free</v>
      </c>
      <c r="E168" s="3" t="str">
        <f>IF($A168="","",IF(countif('Mens Lineup'!E$3:E1000,CONCATENATE("=",$A168))=0,"",E$2))</f>
        <v>500 Free</v>
      </c>
      <c r="F168" s="3" t="str">
        <f>IF($A168="","",IF(countif('Mens Lineup'!F$3:F1000,CONCATENATE("=",$A168))=0,"",F$2))</f>
        <v>1650 Free</v>
      </c>
      <c r="G168" s="3" t="str">
        <f>IF($A168="","",IF(countif('Mens Lineup'!G$3:G1000,CONCATENATE("=",$A168))=0,"",G$2))</f>
        <v>100 Back</v>
      </c>
      <c r="H168" s="3" t="str">
        <f>IF($A168="","",IF(countif('Mens Lineup'!H$3:H1000,CONCATENATE("=",$A168))=0,"",H$2))</f>
        <v>200 Back</v>
      </c>
      <c r="I168" s="3" t="str">
        <f>IF($A168="","",IF(countif('Mens Lineup'!I$3:I1000,CONCATENATE("=",$A168))=0,"",I$2))</f>
        <v/>
      </c>
      <c r="J168" s="3" t="str">
        <f>IF($A168="","",IF(countif('Mens Lineup'!J$3:J1000,CONCATENATE("=",$A168))=0,"",J$2))</f>
        <v/>
      </c>
      <c r="K168" s="3" t="str">
        <f>IF($A168="","",IF(countif('Mens Lineup'!K$3:K1000,CONCATENATE("=",$A168))=0,"",K$2))</f>
        <v/>
      </c>
      <c r="L168" s="3" t="str">
        <f>IF($A168="","",IF(countif('Mens Lineup'!L$3:L1000,CONCATENATE("=",$A168))=0,"",L$2))</f>
        <v/>
      </c>
      <c r="M168" s="3" t="str">
        <f>IF($A168="","",IF(countif('Mens Lineup'!M$3:M1000,CONCATENATE("=",$A168))=0,"",M$2))</f>
        <v/>
      </c>
      <c r="N168" s="3" t="str">
        <f>IF($A168="","",IF(countif('Mens Lineup'!N$3:N1000,CONCATENATE("=",$A168))=0,"",N$2))</f>
        <v/>
      </c>
      <c r="O168" s="3" t="str">
        <f>IF($A168="","",IF(countif('Mens Lineup'!O$3:O1000,CONCATENATE("=",$A168))=0,"",O$2))</f>
        <v>1000 Free</v>
      </c>
      <c r="P168" s="3" t="str">
        <f>IF($A168="","",IF(countif('Mens Lineup'!P$3:P1000,CONCATENATE("=",$A168))=0,"",P$2))</f>
        <v/>
      </c>
      <c r="Q168" s="3" t="str">
        <f>IF($A168="","",IF(countif('Mens Lineup'!Q$3:Q1000,CONCATENATE("=",$A168))=0,"",Q$2))</f>
        <v/>
      </c>
      <c r="R168" s="3" t="str">
        <f>IF($A168="","",IF(countif('Mens Lineup'!R$3:R1000,CONCATENATE("=",$A168))=0,"",R$2))</f>
        <v/>
      </c>
      <c r="S168" s="3" t="str">
        <f>IF($A168="","",IF(countif('Mens Lineup'!S$3:S1000,CONCATENATE("=",$A168))=0,"",S$2))</f>
        <v/>
      </c>
      <c r="W168" s="3" t="str">
        <f>IFERROR(__xludf.DUMMYFUNCTION("JOIN("","",FILTER(B168:S168,B168:S168&lt;&gt;""""))"),"200 Free,500 Free,1650 Free,100 Back,200 Back,1000 Free")</f>
        <v>200 Free,500 Free,1650 Free,100 Back,200 Back,1000 Free</v>
      </c>
    </row>
    <row r="169">
      <c r="A169" s="3" t="s">
        <v>196</v>
      </c>
      <c r="B169" s="3" t="str">
        <f>IF($A169="","",IF(countif('Mens Lineup'!B$3:B1000,CONCATENATE("=",$A169))=0,"",B$2))</f>
        <v/>
      </c>
      <c r="C169" s="3" t="str">
        <f>IF($A169="","",IF(countif('Mens Lineup'!C$3:C1000,CONCATENATE("=",$A169))=0,"",C$2))</f>
        <v/>
      </c>
      <c r="D169" s="3" t="str">
        <f>IF($A169="","",IF(countif('Mens Lineup'!D$3:D1000,CONCATENATE("=",$A169))=0,"",D$2))</f>
        <v>200 Free</v>
      </c>
      <c r="E169" s="3" t="str">
        <f>IF($A169="","",IF(countif('Mens Lineup'!E$3:E1000,CONCATENATE("=",$A169))=0,"",E$2))</f>
        <v>500 Free</v>
      </c>
      <c r="F169" s="3" t="str">
        <f>IF($A169="","",IF(countif('Mens Lineup'!F$3:F1000,CONCATENATE("=",$A169))=0,"",F$2))</f>
        <v/>
      </c>
      <c r="G169" s="3" t="str">
        <f>IF($A169="","",IF(countif('Mens Lineup'!G$3:G1000,CONCATENATE("=",$A169))=0,"",G$2))</f>
        <v>100 Back</v>
      </c>
      <c r="H169" s="3" t="str">
        <f>IF($A169="","",IF(countif('Mens Lineup'!H$3:H1000,CONCATENATE("=",$A169))=0,"",H$2))</f>
        <v>200 Back</v>
      </c>
      <c r="I169" s="3" t="str">
        <f>IF($A169="","",IF(countif('Mens Lineup'!I$3:I1000,CONCATENATE("=",$A169))=0,"",I$2))</f>
        <v/>
      </c>
      <c r="J169" s="3" t="str">
        <f>IF($A169="","",IF(countif('Mens Lineup'!J$3:J1000,CONCATENATE("=",$A169))=0,"",J$2))</f>
        <v/>
      </c>
      <c r="K169" s="3" t="str">
        <f>IF($A169="","",IF(countif('Mens Lineup'!K$3:K1000,CONCATENATE("=",$A169))=0,"",K$2))</f>
        <v/>
      </c>
      <c r="L169" s="3" t="str">
        <f>IF($A169="","",IF(countif('Mens Lineup'!L$3:L1000,CONCATENATE("=",$A169))=0,"",L$2))</f>
        <v/>
      </c>
      <c r="M169" s="3" t="str">
        <f>IF($A169="","",IF(countif('Mens Lineup'!M$3:M1000,CONCATENATE("=",$A169))=0,"",M$2))</f>
        <v/>
      </c>
      <c r="N169" s="3" t="str">
        <f>IF($A169="","",IF(countif('Mens Lineup'!N$3:N1000,CONCATENATE("=",$A169))=0,"",N$2))</f>
        <v>400 IM</v>
      </c>
      <c r="O169" s="3" t="str">
        <f>IF($A169="","",IF(countif('Mens Lineup'!O$3:O1000,CONCATENATE("=",$A169))=0,"",O$2))</f>
        <v/>
      </c>
      <c r="P169" s="3" t="str">
        <f>IF($A169="","",IF(countif('Mens Lineup'!P$3:P1000,CONCATENATE("=",$A169))=0,"",P$2))</f>
        <v/>
      </c>
      <c r="Q169" s="3" t="str">
        <f>IF($A169="","",IF(countif('Mens Lineup'!Q$3:Q1000,CONCATENATE("=",$A169))=0,"",Q$2))</f>
        <v/>
      </c>
      <c r="R169" s="3" t="str">
        <f>IF($A169="","",IF(countif('Mens Lineup'!R$3:R1000,CONCATENATE("=",$A169))=0,"",R$2))</f>
        <v/>
      </c>
      <c r="S169" s="3" t="str">
        <f>IF($A169="","",IF(countif('Mens Lineup'!S$3:S1000,CONCATENATE("=",$A169))=0,"",S$2))</f>
        <v/>
      </c>
      <c r="W169" s="3" t="str">
        <f>IFERROR(__xludf.DUMMYFUNCTION("JOIN("","",FILTER(B169:S169,B169:S169&lt;&gt;""""))"),"200 Free,500 Free,100 Back,200 Back,400 IM")</f>
        <v>200 Free,500 Free,100 Back,200 Back,400 IM</v>
      </c>
    </row>
    <row r="170">
      <c r="A170" s="3" t="s">
        <v>197</v>
      </c>
      <c r="B170" s="3" t="str">
        <f>IF($A170="","",IF(countif('Mens Lineup'!B$3:B1000,CONCATENATE("=",$A170))=0,"",B$2))</f>
        <v/>
      </c>
      <c r="C170" s="3" t="str">
        <f>IF($A170="","",IF(countif('Mens Lineup'!C$3:C1000,CONCATENATE("=",$A170))=0,"",C$2))</f>
        <v/>
      </c>
      <c r="D170" s="3" t="str">
        <f>IF($A170="","",IF(countif('Mens Lineup'!D$3:D1000,CONCATENATE("=",$A170))=0,"",D$2))</f>
        <v>200 Free</v>
      </c>
      <c r="E170" s="3" t="str">
        <f>IF($A170="","",IF(countif('Mens Lineup'!E$3:E1000,CONCATENATE("=",$A170))=0,"",E$2))</f>
        <v/>
      </c>
      <c r="F170" s="3" t="str">
        <f>IF($A170="","",IF(countif('Mens Lineup'!F$3:F1000,CONCATENATE("=",$A170))=0,"",F$2))</f>
        <v/>
      </c>
      <c r="G170" s="3" t="str">
        <f>IF($A170="","",IF(countif('Mens Lineup'!G$3:G1000,CONCATENATE("=",$A170))=0,"",G$2))</f>
        <v/>
      </c>
      <c r="H170" s="3" t="str">
        <f>IF($A170="","",IF(countif('Mens Lineup'!H$3:H1000,CONCATENATE("=",$A170))=0,"",H$2))</f>
        <v/>
      </c>
      <c r="I170" s="3" t="str">
        <f>IF($A170="","",IF(countif('Mens Lineup'!I$3:I1000,CONCATENATE("=",$A170))=0,"",I$2))</f>
        <v>100 Breast</v>
      </c>
      <c r="J170" s="3" t="str">
        <f>IF($A170="","",IF(countif('Mens Lineup'!J$3:J1000,CONCATENATE("=",$A170))=0,"",J$2))</f>
        <v>200 Breast</v>
      </c>
      <c r="K170" s="3" t="str">
        <f>IF($A170="","",IF(countif('Mens Lineup'!K$3:K1000,CONCATENATE("=",$A170))=0,"",K$2))</f>
        <v/>
      </c>
      <c r="L170" s="3" t="str">
        <f>IF($A170="","",IF(countif('Mens Lineup'!L$3:L1000,CONCATENATE("=",$A170))=0,"",L$2))</f>
        <v/>
      </c>
      <c r="M170" s="3" t="str">
        <f>IF($A170="","",IF(countif('Mens Lineup'!M$3:M1000,CONCATENATE("=",$A170))=0,"",M$2))</f>
        <v/>
      </c>
      <c r="N170" s="3" t="str">
        <f>IF($A170="","",IF(countif('Mens Lineup'!N$3:N1000,CONCATENATE("=",$A170))=0,"",N$2))</f>
        <v/>
      </c>
      <c r="O170" s="3" t="str">
        <f>IF($A170="","",IF(countif('Mens Lineup'!O$3:O1000,CONCATENATE("=",$A170))=0,"",O$2))</f>
        <v/>
      </c>
      <c r="P170" s="3" t="str">
        <f>IF($A170="","",IF(countif('Mens Lineup'!P$3:P1000,CONCATENATE("=",$A170))=0,"",P$2))</f>
        <v/>
      </c>
      <c r="Q170" s="3" t="str">
        <f>IF($A170="","",IF(countif('Mens Lineup'!Q$3:Q1000,CONCATENATE("=",$A170))=0,"",Q$2))</f>
        <v/>
      </c>
      <c r="R170" s="3" t="str">
        <f>IF($A170="","",IF(countif('Mens Lineup'!R$3:R1000,CONCATENATE("=",$A170))=0,"",R$2))</f>
        <v/>
      </c>
      <c r="S170" s="3" t="str">
        <f>IF($A170="","",IF(countif('Mens Lineup'!S$3:S1000,CONCATENATE("=",$A170))=0,"",S$2))</f>
        <v/>
      </c>
      <c r="W170" s="3" t="str">
        <f>IFERROR(__xludf.DUMMYFUNCTION("JOIN("","",FILTER(B170:S170,B170:S170&lt;&gt;""""))"),"200 Free,100 Breast,200 Breast")</f>
        <v>200 Free,100 Breast,200 Breast</v>
      </c>
    </row>
    <row r="171">
      <c r="A171" s="3" t="s">
        <v>198</v>
      </c>
      <c r="B171" s="3" t="str">
        <f>IF($A171="","",IF(countif('Mens Lineup'!B$3:B1000,CONCATENATE("=",$A171))=0,"",B$2))</f>
        <v/>
      </c>
      <c r="C171" s="3" t="str">
        <f>IF($A171="","",IF(countif('Mens Lineup'!C$3:C1000,CONCATENATE("=",$A171))=0,"",C$2))</f>
        <v/>
      </c>
      <c r="D171" s="3" t="str">
        <f>IF($A171="","",IF(countif('Mens Lineup'!D$3:D1000,CONCATENATE("=",$A171))=0,"",D$2))</f>
        <v>200 Free</v>
      </c>
      <c r="E171" s="3" t="str">
        <f>IF($A171="","",IF(countif('Mens Lineup'!E$3:E1000,CONCATENATE("=",$A171))=0,"",E$2))</f>
        <v/>
      </c>
      <c r="F171" s="3" t="str">
        <f>IF($A171="","",IF(countif('Mens Lineup'!F$3:F1000,CONCATENATE("=",$A171))=0,"",F$2))</f>
        <v/>
      </c>
      <c r="G171" s="3" t="str">
        <f>IF($A171="","",IF(countif('Mens Lineup'!G$3:G1000,CONCATENATE("=",$A171))=0,"",G$2))</f>
        <v/>
      </c>
      <c r="H171" s="3" t="str">
        <f>IF($A171="","",IF(countif('Mens Lineup'!H$3:H1000,CONCATENATE("=",$A171))=0,"",H$2))</f>
        <v/>
      </c>
      <c r="I171" s="3" t="str">
        <f>IF($A171="","",IF(countif('Mens Lineup'!I$3:I1000,CONCATENATE("=",$A171))=0,"",I$2))</f>
        <v>100 Breast</v>
      </c>
      <c r="J171" s="3" t="str">
        <f>IF($A171="","",IF(countif('Mens Lineup'!J$3:J1000,CONCATENATE("=",$A171))=0,"",J$2))</f>
        <v>200 Breast</v>
      </c>
      <c r="K171" s="3" t="str">
        <f>IF($A171="","",IF(countif('Mens Lineup'!K$3:K1000,CONCATENATE("=",$A171))=0,"",K$2))</f>
        <v/>
      </c>
      <c r="L171" s="3" t="str">
        <f>IF($A171="","",IF(countif('Mens Lineup'!L$3:L1000,CONCATENATE("=",$A171))=0,"",L$2))</f>
        <v/>
      </c>
      <c r="M171" s="3" t="str">
        <f>IF($A171="","",IF(countif('Mens Lineup'!M$3:M1000,CONCATENATE("=",$A171))=0,"",M$2))</f>
        <v>200 IM</v>
      </c>
      <c r="N171" s="3" t="str">
        <f>IF($A171="","",IF(countif('Mens Lineup'!N$3:N1000,CONCATENATE("=",$A171))=0,"",N$2))</f>
        <v/>
      </c>
      <c r="O171" s="3" t="str">
        <f>IF($A171="","",IF(countif('Mens Lineup'!O$3:O1000,CONCATENATE("=",$A171))=0,"",O$2))</f>
        <v/>
      </c>
      <c r="P171" s="3" t="str">
        <f>IF($A171="","",IF(countif('Mens Lineup'!P$3:P1000,CONCATENATE("=",$A171))=0,"",P$2))</f>
        <v/>
      </c>
      <c r="Q171" s="3" t="str">
        <f>IF($A171="","",IF(countif('Mens Lineup'!Q$3:Q1000,CONCATENATE("=",$A171))=0,"",Q$2))</f>
        <v/>
      </c>
      <c r="R171" s="3" t="str">
        <f>IF($A171="","",IF(countif('Mens Lineup'!R$3:R1000,CONCATENATE("=",$A171))=0,"",R$2))</f>
        <v/>
      </c>
      <c r="S171" s="3" t="str">
        <f>IF($A171="","",IF(countif('Mens Lineup'!S$3:S1000,CONCATENATE("=",$A171))=0,"",S$2))</f>
        <v/>
      </c>
      <c r="W171" s="3" t="str">
        <f>IFERROR(__xludf.DUMMYFUNCTION("JOIN("","",FILTER(B171:S171,B171:S171&lt;&gt;""""))"),"200 Free,100 Breast,200 Breast,200 IM")</f>
        <v>200 Free,100 Breast,200 Breast,200 IM</v>
      </c>
    </row>
    <row r="172">
      <c r="A172" s="3" t="s">
        <v>199</v>
      </c>
      <c r="B172" s="3" t="str">
        <f>IF($A172="","",IF(countif('Mens Lineup'!B$3:B1000,CONCATENATE("=",$A172))=0,"",B$2))</f>
        <v/>
      </c>
      <c r="C172" s="3" t="str">
        <f>IF($A172="","",IF(countif('Mens Lineup'!C$3:C1000,CONCATENATE("=",$A172))=0,"",C$2))</f>
        <v/>
      </c>
      <c r="D172" s="3" t="str">
        <f>IF($A172="","",IF(countif('Mens Lineup'!D$3:D1000,CONCATENATE("=",$A172))=0,"",D$2))</f>
        <v>200 Free</v>
      </c>
      <c r="E172" s="3" t="str">
        <f>IF($A172="","",IF(countif('Mens Lineup'!E$3:E1000,CONCATENATE("=",$A172))=0,"",E$2))</f>
        <v>500 Free</v>
      </c>
      <c r="F172" s="3" t="str">
        <f>IF($A172="","",IF(countif('Mens Lineup'!F$3:F1000,CONCATENATE("=",$A172))=0,"",F$2))</f>
        <v/>
      </c>
      <c r="G172" s="3" t="str">
        <f>IF($A172="","",IF(countif('Mens Lineup'!G$3:G1000,CONCATENATE("=",$A172))=0,"",G$2))</f>
        <v>100 Back</v>
      </c>
      <c r="H172" s="3" t="str">
        <f>IF($A172="","",IF(countif('Mens Lineup'!H$3:H1000,CONCATENATE("=",$A172))=0,"",H$2))</f>
        <v>200 Back</v>
      </c>
      <c r="I172" s="3" t="str">
        <f>IF($A172="","",IF(countif('Mens Lineup'!I$3:I1000,CONCATENATE("=",$A172))=0,"",I$2))</f>
        <v/>
      </c>
      <c r="J172" s="3" t="str">
        <f>IF($A172="","",IF(countif('Mens Lineup'!J$3:J1000,CONCATENATE("=",$A172))=0,"",J$2))</f>
        <v/>
      </c>
      <c r="K172" s="3" t="str">
        <f>IF($A172="","",IF(countif('Mens Lineup'!K$3:K1000,CONCATENATE("=",$A172))=0,"",K$2))</f>
        <v/>
      </c>
      <c r="L172" s="3" t="str">
        <f>IF($A172="","",IF(countif('Mens Lineup'!L$3:L1000,CONCATENATE("=",$A172))=0,"",L$2))</f>
        <v/>
      </c>
      <c r="M172" s="3" t="str">
        <f>IF($A172="","",IF(countif('Mens Lineup'!M$3:M1000,CONCATENATE("=",$A172))=0,"",M$2))</f>
        <v/>
      </c>
      <c r="N172" s="3" t="str">
        <f>IF($A172="","",IF(countif('Mens Lineup'!N$3:N1000,CONCATENATE("=",$A172))=0,"",N$2))</f>
        <v>400 IM</v>
      </c>
      <c r="O172" s="3" t="str">
        <f>IF($A172="","",IF(countif('Mens Lineup'!O$3:O1000,CONCATENATE("=",$A172))=0,"",O$2))</f>
        <v>1000 Free</v>
      </c>
      <c r="P172" s="3" t="str">
        <f>IF($A172="","",IF(countif('Mens Lineup'!P$3:P1000,CONCATENATE("=",$A172))=0,"",P$2))</f>
        <v/>
      </c>
      <c r="Q172" s="3" t="str">
        <f>IF($A172="","",IF(countif('Mens Lineup'!Q$3:Q1000,CONCATENATE("=",$A172))=0,"",Q$2))</f>
        <v/>
      </c>
      <c r="R172" s="3" t="str">
        <f>IF($A172="","",IF(countif('Mens Lineup'!R$3:R1000,CONCATENATE("=",$A172))=0,"",R$2))</f>
        <v/>
      </c>
      <c r="S172" s="3" t="str">
        <f>IF($A172="","",IF(countif('Mens Lineup'!S$3:S1000,CONCATENATE("=",$A172))=0,"",S$2))</f>
        <v/>
      </c>
      <c r="W172" s="3" t="str">
        <f>IFERROR(__xludf.DUMMYFUNCTION("JOIN("","",FILTER(B172:S172,B172:S172&lt;&gt;""""))"),"200 Free,500 Free,100 Back,200 Back,400 IM,1000 Free")</f>
        <v>200 Free,500 Free,100 Back,200 Back,400 IM,1000 Free</v>
      </c>
    </row>
    <row r="173">
      <c r="A173" s="3" t="s">
        <v>200</v>
      </c>
      <c r="B173" s="3" t="str">
        <f>IF($A173="","",IF(countif('Mens Lineup'!B$3:B1000,CONCATENATE("=",$A173))=0,"",B$2))</f>
        <v/>
      </c>
      <c r="C173" s="3" t="str">
        <f>IF($A173="","",IF(countif('Mens Lineup'!C$3:C1000,CONCATENATE("=",$A173))=0,"",C$2))</f>
        <v/>
      </c>
      <c r="D173" s="3" t="str">
        <f>IF($A173="","",IF(countif('Mens Lineup'!D$3:D1000,CONCATENATE("=",$A173))=0,"",D$2))</f>
        <v>200 Free</v>
      </c>
      <c r="E173" s="3" t="str">
        <f>IF($A173="","",IF(countif('Mens Lineup'!E$3:E1000,CONCATENATE("=",$A173))=0,"",E$2))</f>
        <v/>
      </c>
      <c r="F173" s="3" t="str">
        <f>IF($A173="","",IF(countif('Mens Lineup'!F$3:F1000,CONCATENATE("=",$A173))=0,"",F$2))</f>
        <v/>
      </c>
      <c r="G173" s="3" t="str">
        <f>IF($A173="","",IF(countif('Mens Lineup'!G$3:G1000,CONCATENATE("=",$A173))=0,"",G$2))</f>
        <v>100 Back</v>
      </c>
      <c r="H173" s="3" t="str">
        <f>IF($A173="","",IF(countif('Mens Lineup'!H$3:H1000,CONCATENATE("=",$A173))=0,"",H$2))</f>
        <v>200 Back</v>
      </c>
      <c r="I173" s="3" t="str">
        <f>IF($A173="","",IF(countif('Mens Lineup'!I$3:I1000,CONCATENATE("=",$A173))=0,"",I$2))</f>
        <v/>
      </c>
      <c r="J173" s="3" t="str">
        <f>IF($A173="","",IF(countif('Mens Lineup'!J$3:J1000,CONCATENATE("=",$A173))=0,"",J$2))</f>
        <v/>
      </c>
      <c r="K173" s="3" t="str">
        <f>IF($A173="","",IF(countif('Mens Lineup'!K$3:K1000,CONCATENATE("=",$A173))=0,"",K$2))</f>
        <v>100 Fly</v>
      </c>
      <c r="L173" s="3" t="str">
        <f>IF($A173="","",IF(countif('Mens Lineup'!L$3:L1000,CONCATENATE("=",$A173))=0,"",L$2))</f>
        <v>200 Fly</v>
      </c>
      <c r="M173" s="3" t="str">
        <f>IF($A173="","",IF(countif('Mens Lineup'!M$3:M1000,CONCATENATE("=",$A173))=0,"",M$2))</f>
        <v/>
      </c>
      <c r="N173" s="3" t="str">
        <f>IF($A173="","",IF(countif('Mens Lineup'!N$3:N1000,CONCATENATE("=",$A173))=0,"",N$2))</f>
        <v/>
      </c>
      <c r="O173" s="3" t="str">
        <f>IF($A173="","",IF(countif('Mens Lineup'!O$3:O1000,CONCATENATE("=",$A173))=0,"",O$2))</f>
        <v/>
      </c>
      <c r="P173" s="3" t="str">
        <f>IF($A173="","",IF(countif('Mens Lineup'!P$3:P1000,CONCATENATE("=",$A173))=0,"",P$2))</f>
        <v/>
      </c>
      <c r="Q173" s="3" t="str">
        <f>IF($A173="","",IF(countif('Mens Lineup'!Q$3:Q1000,CONCATENATE("=",$A173))=0,"",Q$2))</f>
        <v/>
      </c>
      <c r="R173" s="3" t="str">
        <f>IF($A173="","",IF(countif('Mens Lineup'!R$3:R1000,CONCATENATE("=",$A173))=0,"",R$2))</f>
        <v/>
      </c>
      <c r="S173" s="3" t="str">
        <f>IF($A173="","",IF(countif('Mens Lineup'!S$3:S1000,CONCATENATE("=",$A173))=0,"",S$2))</f>
        <v/>
      </c>
      <c r="W173" s="3" t="str">
        <f>IFERROR(__xludf.DUMMYFUNCTION("JOIN("","",FILTER(B173:S173,B173:S173&lt;&gt;""""))"),"200 Free,100 Back,200 Back,100 Fly,200 Fly")</f>
        <v>200 Free,100 Back,200 Back,100 Fly,200 Fly</v>
      </c>
    </row>
    <row r="174">
      <c r="A174" s="3" t="s">
        <v>201</v>
      </c>
      <c r="B174" s="3" t="str">
        <f>IF($A174="","",IF(countif('Mens Lineup'!B$3:B1000,CONCATENATE("=",$A174))=0,"",B$2))</f>
        <v/>
      </c>
      <c r="C174" s="3" t="str">
        <f>IF($A174="","",IF(countif('Mens Lineup'!C$3:C1000,CONCATENATE("=",$A174))=0,"",C$2))</f>
        <v/>
      </c>
      <c r="D174" s="3" t="str">
        <f>IF($A174="","",IF(countif('Mens Lineup'!D$3:D1000,CONCATENATE("=",$A174))=0,"",D$2))</f>
        <v>200 Free</v>
      </c>
      <c r="E174" s="3" t="str">
        <f>IF($A174="","",IF(countif('Mens Lineup'!E$3:E1000,CONCATENATE("=",$A174))=0,"",E$2))</f>
        <v>500 Free</v>
      </c>
      <c r="F174" s="3" t="str">
        <f>IF($A174="","",IF(countif('Mens Lineup'!F$3:F1000,CONCATENATE("=",$A174))=0,"",F$2))</f>
        <v>1650 Free</v>
      </c>
      <c r="G174" s="3" t="str">
        <f>IF($A174="","",IF(countif('Mens Lineup'!G$3:G1000,CONCATENATE("=",$A174))=0,"",G$2))</f>
        <v/>
      </c>
      <c r="H174" s="3" t="str">
        <f>IF($A174="","",IF(countif('Mens Lineup'!H$3:H1000,CONCATENATE("=",$A174))=0,"",H$2))</f>
        <v/>
      </c>
      <c r="I174" s="3" t="str">
        <f>IF($A174="","",IF(countif('Mens Lineup'!I$3:I1000,CONCATENATE("=",$A174))=0,"",I$2))</f>
        <v>100 Breast</v>
      </c>
      <c r="J174" s="3" t="str">
        <f>IF($A174="","",IF(countif('Mens Lineup'!J$3:J1000,CONCATENATE("=",$A174))=0,"",J$2))</f>
        <v>200 Breast</v>
      </c>
      <c r="K174" s="3" t="str">
        <f>IF($A174="","",IF(countif('Mens Lineup'!K$3:K1000,CONCATENATE("=",$A174))=0,"",K$2))</f>
        <v/>
      </c>
      <c r="L174" s="3" t="str">
        <f>IF($A174="","",IF(countif('Mens Lineup'!L$3:L1000,CONCATENATE("=",$A174))=0,"",L$2))</f>
        <v/>
      </c>
      <c r="M174" s="3" t="str">
        <f>IF($A174="","",IF(countif('Mens Lineup'!M$3:M1000,CONCATENATE("=",$A174))=0,"",M$2))</f>
        <v/>
      </c>
      <c r="N174" s="3" t="str">
        <f>IF($A174="","",IF(countif('Mens Lineup'!N$3:N1000,CONCATENATE("=",$A174))=0,"",N$2))</f>
        <v/>
      </c>
      <c r="O174" s="3" t="str">
        <f>IF($A174="","",IF(countif('Mens Lineup'!O$3:O1000,CONCATENATE("=",$A174))=0,"",O$2))</f>
        <v>1000 Free</v>
      </c>
      <c r="P174" s="3" t="str">
        <f>IF($A174="","",IF(countif('Mens Lineup'!P$3:P1000,CONCATENATE("=",$A174))=0,"",P$2))</f>
        <v/>
      </c>
      <c r="Q174" s="3" t="str">
        <f>IF($A174="","",IF(countif('Mens Lineup'!Q$3:Q1000,CONCATENATE("=",$A174))=0,"",Q$2))</f>
        <v/>
      </c>
      <c r="R174" s="3" t="str">
        <f>IF($A174="","",IF(countif('Mens Lineup'!R$3:R1000,CONCATENATE("=",$A174))=0,"",R$2))</f>
        <v/>
      </c>
      <c r="S174" s="3" t="str">
        <f>IF($A174="","",IF(countif('Mens Lineup'!S$3:S1000,CONCATENATE("=",$A174))=0,"",S$2))</f>
        <v/>
      </c>
      <c r="W174" s="3" t="str">
        <f>IFERROR(__xludf.DUMMYFUNCTION("JOIN("","",FILTER(B174:S174,B174:S174&lt;&gt;""""))"),"200 Free,500 Free,1650 Free,100 Breast,200 Breast,1000 Free")</f>
        <v>200 Free,500 Free,1650 Free,100 Breast,200 Breast,1000 Free</v>
      </c>
    </row>
    <row r="175">
      <c r="A175" s="3" t="s">
        <v>202</v>
      </c>
      <c r="B175" s="3" t="str">
        <f>IF($A175="","",IF(countif('Mens Lineup'!B$3:B1000,CONCATENATE("=",$A175))=0,"",B$2))</f>
        <v/>
      </c>
      <c r="C175" s="3" t="str">
        <f>IF($A175="","",IF(countif('Mens Lineup'!C$3:C1000,CONCATENATE("=",$A175))=0,"",C$2))</f>
        <v/>
      </c>
      <c r="D175" s="3" t="str">
        <f>IF($A175="","",IF(countif('Mens Lineup'!D$3:D1000,CONCATENATE("=",$A175))=0,"",D$2))</f>
        <v>200 Free</v>
      </c>
      <c r="E175" s="3" t="str">
        <f>IF($A175="","",IF(countif('Mens Lineup'!E$3:E1000,CONCATENATE("=",$A175))=0,"",E$2))</f>
        <v>500 Free</v>
      </c>
      <c r="F175" s="3" t="str">
        <f>IF($A175="","",IF(countif('Mens Lineup'!F$3:F1000,CONCATENATE("=",$A175))=0,"",F$2))</f>
        <v>1650 Free</v>
      </c>
      <c r="G175" s="3" t="str">
        <f>IF($A175="","",IF(countif('Mens Lineup'!G$3:G1000,CONCATENATE("=",$A175))=0,"",G$2))</f>
        <v/>
      </c>
      <c r="H175" s="3" t="str">
        <f>IF($A175="","",IF(countif('Mens Lineup'!H$3:H1000,CONCATENATE("=",$A175))=0,"",H$2))</f>
        <v/>
      </c>
      <c r="I175" s="3" t="str">
        <f>IF($A175="","",IF(countif('Mens Lineup'!I$3:I1000,CONCATENATE("=",$A175))=0,"",I$2))</f>
        <v/>
      </c>
      <c r="J175" s="3" t="str">
        <f>IF($A175="","",IF(countif('Mens Lineup'!J$3:J1000,CONCATENATE("=",$A175))=0,"",J$2))</f>
        <v/>
      </c>
      <c r="K175" s="3" t="str">
        <f>IF($A175="","",IF(countif('Mens Lineup'!K$3:K1000,CONCATENATE("=",$A175))=0,"",K$2))</f>
        <v/>
      </c>
      <c r="L175" s="3" t="str">
        <f>IF($A175="","",IF(countif('Mens Lineup'!L$3:L1000,CONCATENATE("=",$A175))=0,"",L$2))</f>
        <v/>
      </c>
      <c r="M175" s="3" t="str">
        <f>IF($A175="","",IF(countif('Mens Lineup'!M$3:M1000,CONCATENATE("=",$A175))=0,"",M$2))</f>
        <v/>
      </c>
      <c r="N175" s="3" t="str">
        <f>IF($A175="","",IF(countif('Mens Lineup'!N$3:N1000,CONCATENATE("=",$A175))=0,"",N$2))</f>
        <v/>
      </c>
      <c r="O175" s="3" t="str">
        <f>IF($A175="","",IF(countif('Mens Lineup'!O$3:O1000,CONCATENATE("=",$A175))=0,"",O$2))</f>
        <v>1000 Free</v>
      </c>
      <c r="P175" s="3" t="str">
        <f>IF($A175="","",IF(countif('Mens Lineup'!P$3:P1000,CONCATENATE("=",$A175))=0,"",P$2))</f>
        <v/>
      </c>
      <c r="Q175" s="3" t="str">
        <f>IF($A175="","",IF(countif('Mens Lineup'!Q$3:Q1000,CONCATENATE("=",$A175))=0,"",Q$2))</f>
        <v/>
      </c>
      <c r="R175" s="3" t="str">
        <f>IF($A175="","",IF(countif('Mens Lineup'!R$3:R1000,CONCATENATE("=",$A175))=0,"",R$2))</f>
        <v/>
      </c>
      <c r="S175" s="3" t="str">
        <f>IF($A175="","",IF(countif('Mens Lineup'!S$3:S1000,CONCATENATE("=",$A175))=0,"",S$2))</f>
        <v/>
      </c>
      <c r="W175" s="3" t="str">
        <f>IFERROR(__xludf.DUMMYFUNCTION("JOIN("","",FILTER(B175:S175,B175:S175&lt;&gt;""""))"),"200 Free,500 Free,1650 Free,1000 Free")</f>
        <v>200 Free,500 Free,1650 Free,1000 Free</v>
      </c>
    </row>
    <row r="176">
      <c r="A176" s="3" t="s">
        <v>203</v>
      </c>
      <c r="B176" s="3" t="str">
        <f>IF($A176="","",IF(countif('Mens Lineup'!B$3:B1000,CONCATENATE("=",$A176))=0,"",B$2))</f>
        <v/>
      </c>
      <c r="C176" s="3" t="str">
        <f>IF($A176="","",IF(countif('Mens Lineup'!C$3:C1000,CONCATENATE("=",$A176))=0,"",C$2))</f>
        <v/>
      </c>
      <c r="D176" s="3" t="str">
        <f>IF($A176="","",IF(countif('Mens Lineup'!D$3:D1000,CONCATENATE("=",$A176))=0,"",D$2))</f>
        <v>200 Free</v>
      </c>
      <c r="E176" s="3" t="str">
        <f>IF($A176="","",IF(countif('Mens Lineup'!E$3:E1000,CONCATENATE("=",$A176))=0,"",E$2))</f>
        <v/>
      </c>
      <c r="F176" s="3" t="str">
        <f>IF($A176="","",IF(countif('Mens Lineup'!F$3:F1000,CONCATENATE("=",$A176))=0,"",F$2))</f>
        <v>1650 Free</v>
      </c>
      <c r="G176" s="3" t="str">
        <f>IF($A176="","",IF(countif('Mens Lineup'!G$3:G1000,CONCATENATE("=",$A176))=0,"",G$2))</f>
        <v/>
      </c>
      <c r="H176" s="3" t="str">
        <f>IF($A176="","",IF(countif('Mens Lineup'!H$3:H1000,CONCATENATE("=",$A176))=0,"",H$2))</f>
        <v/>
      </c>
      <c r="I176" s="3" t="str">
        <f>IF($A176="","",IF(countif('Mens Lineup'!I$3:I1000,CONCATENATE("=",$A176))=0,"",I$2))</f>
        <v/>
      </c>
      <c r="J176" s="3" t="str">
        <f>IF($A176="","",IF(countif('Mens Lineup'!J$3:J1000,CONCATENATE("=",$A176))=0,"",J$2))</f>
        <v/>
      </c>
      <c r="K176" s="3" t="str">
        <f>IF($A176="","",IF(countif('Mens Lineup'!K$3:K1000,CONCATENATE("=",$A176))=0,"",K$2))</f>
        <v/>
      </c>
      <c r="L176" s="3" t="str">
        <f>IF($A176="","",IF(countif('Mens Lineup'!L$3:L1000,CONCATENATE("=",$A176))=0,"",L$2))</f>
        <v/>
      </c>
      <c r="M176" s="3" t="str">
        <f>IF($A176="","",IF(countif('Mens Lineup'!M$3:M1000,CONCATENATE("=",$A176))=0,"",M$2))</f>
        <v/>
      </c>
      <c r="N176" s="3" t="str">
        <f>IF($A176="","",IF(countif('Mens Lineup'!N$3:N1000,CONCATENATE("=",$A176))=0,"",N$2))</f>
        <v/>
      </c>
      <c r="O176" s="3" t="str">
        <f>IF($A176="","",IF(countif('Mens Lineup'!O$3:O1000,CONCATENATE("=",$A176))=0,"",O$2))</f>
        <v>1000 Free</v>
      </c>
      <c r="P176" s="3" t="str">
        <f>IF($A176="","",IF(countif('Mens Lineup'!P$3:P1000,CONCATENATE("=",$A176))=0,"",P$2))</f>
        <v/>
      </c>
      <c r="Q176" s="3" t="str">
        <f>IF($A176="","",IF(countif('Mens Lineup'!Q$3:Q1000,CONCATENATE("=",$A176))=0,"",Q$2))</f>
        <v/>
      </c>
      <c r="R176" s="3" t="str">
        <f>IF($A176="","",IF(countif('Mens Lineup'!R$3:R1000,CONCATENATE("=",$A176))=0,"",R$2))</f>
        <v/>
      </c>
      <c r="S176" s="3" t="str">
        <f>IF($A176="","",IF(countif('Mens Lineup'!S$3:S1000,CONCATENATE("=",$A176))=0,"",S$2))</f>
        <v/>
      </c>
      <c r="W176" s="3" t="str">
        <f>IFERROR(__xludf.DUMMYFUNCTION("JOIN("","",FILTER(B176:S176,B176:S176&lt;&gt;""""))"),"200 Free,1650 Free,1000 Free")</f>
        <v>200 Free,1650 Free,1000 Free</v>
      </c>
    </row>
    <row r="177">
      <c r="A177" s="3" t="s">
        <v>204</v>
      </c>
      <c r="B177" s="3" t="str">
        <f>IF($A177="","",IF(countif('Mens Lineup'!B$3:B1000,CONCATENATE("=",$A177))=0,"",B$2))</f>
        <v/>
      </c>
      <c r="C177" s="3" t="str">
        <f>IF($A177="","",IF(countif('Mens Lineup'!C$3:C1000,CONCATENATE("=",$A177))=0,"",C$2))</f>
        <v/>
      </c>
      <c r="D177" s="3" t="str">
        <f>IF($A177="","",IF(countif('Mens Lineup'!D$3:D1000,CONCATENATE("=",$A177))=0,"",D$2))</f>
        <v>200 Free</v>
      </c>
      <c r="E177" s="3" t="str">
        <f>IF($A177="","",IF(countif('Mens Lineup'!E$3:E1000,CONCATENATE("=",$A177))=0,"",E$2))</f>
        <v>500 Free</v>
      </c>
      <c r="F177" s="3" t="str">
        <f>IF($A177="","",IF(countif('Mens Lineup'!F$3:F1000,CONCATENATE("=",$A177))=0,"",F$2))</f>
        <v>1650 Free</v>
      </c>
      <c r="G177" s="3" t="str">
        <f>IF($A177="","",IF(countif('Mens Lineup'!G$3:G1000,CONCATENATE("=",$A177))=0,"",G$2))</f>
        <v/>
      </c>
      <c r="H177" s="3" t="str">
        <f>IF($A177="","",IF(countif('Mens Lineup'!H$3:H1000,CONCATENATE("=",$A177))=0,"",H$2))</f>
        <v/>
      </c>
      <c r="I177" s="3" t="str">
        <f>IF($A177="","",IF(countif('Mens Lineup'!I$3:I1000,CONCATENATE("=",$A177))=0,"",I$2))</f>
        <v/>
      </c>
      <c r="J177" s="3" t="str">
        <f>IF($A177="","",IF(countif('Mens Lineup'!J$3:J1000,CONCATENATE("=",$A177))=0,"",J$2))</f>
        <v/>
      </c>
      <c r="K177" s="3" t="str">
        <f>IF($A177="","",IF(countif('Mens Lineup'!K$3:K1000,CONCATENATE("=",$A177))=0,"",K$2))</f>
        <v/>
      </c>
      <c r="L177" s="3" t="str">
        <f>IF($A177="","",IF(countif('Mens Lineup'!L$3:L1000,CONCATENATE("=",$A177))=0,"",L$2))</f>
        <v/>
      </c>
      <c r="M177" s="3" t="str">
        <f>IF($A177="","",IF(countif('Mens Lineup'!M$3:M1000,CONCATENATE("=",$A177))=0,"",M$2))</f>
        <v>200 IM</v>
      </c>
      <c r="N177" s="3" t="str">
        <f>IF($A177="","",IF(countif('Mens Lineup'!N$3:N1000,CONCATENATE("=",$A177))=0,"",N$2))</f>
        <v>400 IM</v>
      </c>
      <c r="O177" s="3" t="str">
        <f>IF($A177="","",IF(countif('Mens Lineup'!O$3:O1000,CONCATENATE("=",$A177))=0,"",O$2))</f>
        <v>1000 Free</v>
      </c>
      <c r="P177" s="3" t="str">
        <f>IF($A177="","",IF(countif('Mens Lineup'!P$3:P1000,CONCATENATE("=",$A177))=0,"",P$2))</f>
        <v/>
      </c>
      <c r="Q177" s="3" t="str">
        <f>IF($A177="","",IF(countif('Mens Lineup'!Q$3:Q1000,CONCATENATE("=",$A177))=0,"",Q$2))</f>
        <v/>
      </c>
      <c r="R177" s="3" t="str">
        <f>IF($A177="","",IF(countif('Mens Lineup'!R$3:R1000,CONCATENATE("=",$A177))=0,"",R$2))</f>
        <v/>
      </c>
      <c r="S177" s="3" t="str">
        <f>IF($A177="","",IF(countif('Mens Lineup'!S$3:S1000,CONCATENATE("=",$A177))=0,"",S$2))</f>
        <v/>
      </c>
      <c r="W177" s="3" t="str">
        <f>IFERROR(__xludf.DUMMYFUNCTION("JOIN("","",FILTER(B177:S177,B177:S177&lt;&gt;""""))"),"200 Free,500 Free,1650 Free,200 IM,400 IM,1000 Free")</f>
        <v>200 Free,500 Free,1650 Free,200 IM,400 IM,1000 Free</v>
      </c>
    </row>
    <row r="178">
      <c r="A178" s="3" t="s">
        <v>205</v>
      </c>
      <c r="B178" s="3" t="str">
        <f>IF($A178="","",IF(countif('Mens Lineup'!B$3:B1000,CONCATENATE("=",$A178))=0,"",B$2))</f>
        <v/>
      </c>
      <c r="C178" s="3" t="str">
        <f>IF($A178="","",IF(countif('Mens Lineup'!C$3:C1000,CONCATENATE("=",$A178))=0,"",C$2))</f>
        <v/>
      </c>
      <c r="D178" s="3" t="str">
        <f>IF($A178="","",IF(countif('Mens Lineup'!D$3:D1000,CONCATENATE("=",$A178))=0,"",D$2))</f>
        <v>200 Free</v>
      </c>
      <c r="E178" s="3" t="str">
        <f>IF($A178="","",IF(countif('Mens Lineup'!E$3:E1000,CONCATENATE("=",$A178))=0,"",E$2))</f>
        <v/>
      </c>
      <c r="F178" s="3" t="str">
        <f>IF($A178="","",IF(countif('Mens Lineup'!F$3:F1000,CONCATENATE("=",$A178))=0,"",F$2))</f>
        <v>1650 Free</v>
      </c>
      <c r="G178" s="3" t="str">
        <f>IF($A178="","",IF(countif('Mens Lineup'!G$3:G1000,CONCATENATE("=",$A178))=0,"",G$2))</f>
        <v/>
      </c>
      <c r="H178" s="3" t="str">
        <f>IF($A178="","",IF(countif('Mens Lineup'!H$3:H1000,CONCATENATE("=",$A178))=0,"",H$2))</f>
        <v>200 Back</v>
      </c>
      <c r="I178" s="3" t="str">
        <f>IF($A178="","",IF(countif('Mens Lineup'!I$3:I1000,CONCATENATE("=",$A178))=0,"",I$2))</f>
        <v/>
      </c>
      <c r="J178" s="3" t="str">
        <f>IF($A178="","",IF(countif('Mens Lineup'!J$3:J1000,CONCATENATE("=",$A178))=0,"",J$2))</f>
        <v/>
      </c>
      <c r="K178" s="3" t="str">
        <f>IF($A178="","",IF(countif('Mens Lineup'!K$3:K1000,CONCATENATE("=",$A178))=0,"",K$2))</f>
        <v/>
      </c>
      <c r="L178" s="3" t="str">
        <f>IF($A178="","",IF(countif('Mens Lineup'!L$3:L1000,CONCATENATE("=",$A178))=0,"",L$2))</f>
        <v/>
      </c>
      <c r="M178" s="3" t="str">
        <f>IF($A178="","",IF(countif('Mens Lineup'!M$3:M1000,CONCATENATE("=",$A178))=0,"",M$2))</f>
        <v/>
      </c>
      <c r="N178" s="3" t="str">
        <f>IF($A178="","",IF(countif('Mens Lineup'!N$3:N1000,CONCATENATE("=",$A178))=0,"",N$2))</f>
        <v>400 IM</v>
      </c>
      <c r="O178" s="3" t="str">
        <f>IF($A178="","",IF(countif('Mens Lineup'!O$3:O1000,CONCATENATE("=",$A178))=0,"",O$2))</f>
        <v>1000 Free</v>
      </c>
      <c r="P178" s="3" t="str">
        <f>IF($A178="","",IF(countif('Mens Lineup'!P$3:P1000,CONCATENATE("=",$A178))=0,"",P$2))</f>
        <v/>
      </c>
      <c r="Q178" s="3" t="str">
        <f>IF($A178="","",IF(countif('Mens Lineup'!Q$3:Q1000,CONCATENATE("=",$A178))=0,"",Q$2))</f>
        <v/>
      </c>
      <c r="R178" s="3" t="str">
        <f>IF($A178="","",IF(countif('Mens Lineup'!R$3:R1000,CONCATENATE("=",$A178))=0,"",R$2))</f>
        <v/>
      </c>
      <c r="S178" s="3" t="str">
        <f>IF($A178="","",IF(countif('Mens Lineup'!S$3:S1000,CONCATENATE("=",$A178))=0,"",S$2))</f>
        <v/>
      </c>
      <c r="W178" s="3" t="str">
        <f>IFERROR(__xludf.DUMMYFUNCTION("JOIN("","",FILTER(B178:S178,B178:S178&lt;&gt;""""))"),"200 Free,1650 Free,200 Back,400 IM,1000 Free")</f>
        <v>200 Free,1650 Free,200 Back,400 IM,1000 Free</v>
      </c>
    </row>
    <row r="179">
      <c r="A179" s="3" t="s">
        <v>206</v>
      </c>
      <c r="B179" s="3" t="str">
        <f>IF($A179="","",IF(countif('Mens Lineup'!B$3:B1000,CONCATENATE("=",$A179))=0,"",B$2))</f>
        <v/>
      </c>
      <c r="C179" s="3" t="str">
        <f>IF($A179="","",IF(countif('Mens Lineup'!C$3:C1000,CONCATENATE("=",$A179))=0,"",C$2))</f>
        <v/>
      </c>
      <c r="D179" s="3" t="str">
        <f>IF($A179="","",IF(countif('Mens Lineup'!D$3:D1000,CONCATENATE("=",$A179))=0,"",D$2))</f>
        <v>200 Free</v>
      </c>
      <c r="E179" s="3" t="str">
        <f>IF($A179="","",IF(countif('Mens Lineup'!E$3:E1000,CONCATENATE("=",$A179))=0,"",E$2))</f>
        <v/>
      </c>
      <c r="F179" s="3" t="str">
        <f>IF($A179="","",IF(countif('Mens Lineup'!F$3:F1000,CONCATENATE("=",$A179))=0,"",F$2))</f>
        <v/>
      </c>
      <c r="G179" s="3" t="str">
        <f>IF($A179="","",IF(countif('Mens Lineup'!G$3:G1000,CONCATENATE("=",$A179))=0,"",G$2))</f>
        <v>100 Back</v>
      </c>
      <c r="H179" s="3" t="str">
        <f>IF($A179="","",IF(countif('Mens Lineup'!H$3:H1000,CONCATENATE("=",$A179))=0,"",H$2))</f>
        <v/>
      </c>
      <c r="I179" s="3" t="str">
        <f>IF($A179="","",IF(countif('Mens Lineup'!I$3:I1000,CONCATENATE("=",$A179))=0,"",I$2))</f>
        <v>100 Breast</v>
      </c>
      <c r="J179" s="3" t="str">
        <f>IF($A179="","",IF(countif('Mens Lineup'!J$3:J1000,CONCATENATE("=",$A179))=0,"",J$2))</f>
        <v/>
      </c>
      <c r="K179" s="3" t="str">
        <f>IF($A179="","",IF(countif('Mens Lineup'!K$3:K1000,CONCATENATE("=",$A179))=0,"",K$2))</f>
        <v/>
      </c>
      <c r="L179" s="3" t="str">
        <f>IF($A179="","",IF(countif('Mens Lineup'!L$3:L1000,CONCATENATE("=",$A179))=0,"",L$2))</f>
        <v/>
      </c>
      <c r="M179" s="3" t="str">
        <f>IF($A179="","",IF(countif('Mens Lineup'!M$3:M1000,CONCATENATE("=",$A179))=0,"",M$2))</f>
        <v>200 IM</v>
      </c>
      <c r="N179" s="3" t="str">
        <f>IF($A179="","",IF(countif('Mens Lineup'!N$3:N1000,CONCATENATE("=",$A179))=0,"",N$2))</f>
        <v/>
      </c>
      <c r="O179" s="3" t="str">
        <f>IF($A179="","",IF(countif('Mens Lineup'!O$3:O1000,CONCATENATE("=",$A179))=0,"",O$2))</f>
        <v/>
      </c>
      <c r="P179" s="3" t="str">
        <f>IF($A179="","",IF(countif('Mens Lineup'!P$3:P1000,CONCATENATE("=",$A179))=0,"",P$2))</f>
        <v/>
      </c>
      <c r="Q179" s="3" t="str">
        <f>IF($A179="","",IF(countif('Mens Lineup'!Q$3:Q1000,CONCATENATE("=",$A179))=0,"",Q$2))</f>
        <v/>
      </c>
      <c r="R179" s="3" t="str">
        <f>IF($A179="","",IF(countif('Mens Lineup'!R$3:R1000,CONCATENATE("=",$A179))=0,"",R$2))</f>
        <v/>
      </c>
      <c r="S179" s="3" t="str">
        <f>IF($A179="","",IF(countif('Mens Lineup'!S$3:S1000,CONCATENATE("=",$A179))=0,"",S$2))</f>
        <v/>
      </c>
      <c r="W179" s="3" t="str">
        <f>IFERROR(__xludf.DUMMYFUNCTION("JOIN("","",FILTER(B179:S179,B179:S179&lt;&gt;""""))"),"200 Free,100 Back,100 Breast,200 IM")</f>
        <v>200 Free,100 Back,100 Breast,200 IM</v>
      </c>
    </row>
    <row r="180">
      <c r="A180" s="3" t="s">
        <v>207</v>
      </c>
      <c r="B180" s="3" t="str">
        <f>IF($A180="","",IF(countif('Mens Lineup'!B$3:B1000,CONCATENATE("=",$A180))=0,"",B$2))</f>
        <v/>
      </c>
      <c r="C180" s="3" t="str">
        <f>IF($A180="","",IF(countif('Mens Lineup'!C$3:C1000,CONCATENATE("=",$A180))=0,"",C$2))</f>
        <v/>
      </c>
      <c r="D180" s="3" t="str">
        <f>IF($A180="","",IF(countif('Mens Lineup'!D$3:D1000,CONCATENATE("=",$A180))=0,"",D$2))</f>
        <v>200 Free</v>
      </c>
      <c r="E180" s="3" t="str">
        <f>IF($A180="","",IF(countif('Mens Lineup'!E$3:E1000,CONCATENATE("=",$A180))=0,"",E$2))</f>
        <v/>
      </c>
      <c r="F180" s="3" t="str">
        <f>IF($A180="","",IF(countif('Mens Lineup'!F$3:F1000,CONCATENATE("=",$A180))=0,"",F$2))</f>
        <v>1650 Free</v>
      </c>
      <c r="G180" s="3" t="str">
        <f>IF($A180="","",IF(countif('Mens Lineup'!G$3:G1000,CONCATENATE("=",$A180))=0,"",G$2))</f>
        <v/>
      </c>
      <c r="H180" s="3" t="str">
        <f>IF($A180="","",IF(countif('Mens Lineup'!H$3:H1000,CONCATENATE("=",$A180))=0,"",H$2))</f>
        <v/>
      </c>
      <c r="I180" s="3" t="str">
        <f>IF($A180="","",IF(countif('Mens Lineup'!I$3:I1000,CONCATENATE("=",$A180))=0,"",I$2))</f>
        <v/>
      </c>
      <c r="J180" s="3" t="str">
        <f>IF($A180="","",IF(countif('Mens Lineup'!J$3:J1000,CONCATENATE("=",$A180))=0,"",J$2))</f>
        <v/>
      </c>
      <c r="K180" s="3" t="str">
        <f>IF($A180="","",IF(countif('Mens Lineup'!K$3:K1000,CONCATENATE("=",$A180))=0,"",K$2))</f>
        <v/>
      </c>
      <c r="L180" s="3" t="str">
        <f>IF($A180="","",IF(countif('Mens Lineup'!L$3:L1000,CONCATENATE("=",$A180))=0,"",L$2))</f>
        <v/>
      </c>
      <c r="M180" s="3" t="str">
        <f>IF($A180="","",IF(countif('Mens Lineup'!M$3:M1000,CONCATENATE("=",$A180))=0,"",M$2))</f>
        <v/>
      </c>
      <c r="N180" s="3" t="str">
        <f>IF($A180="","",IF(countif('Mens Lineup'!N$3:N1000,CONCATENATE("=",$A180))=0,"",N$2))</f>
        <v/>
      </c>
      <c r="O180" s="3" t="str">
        <f>IF($A180="","",IF(countif('Mens Lineup'!O$3:O1000,CONCATENATE("=",$A180))=0,"",O$2))</f>
        <v/>
      </c>
      <c r="P180" s="3" t="str">
        <f>IF($A180="","",IF(countif('Mens Lineup'!P$3:P1000,CONCATENATE("=",$A180))=0,"",P$2))</f>
        <v/>
      </c>
      <c r="Q180" s="3" t="str">
        <f>IF($A180="","",IF(countif('Mens Lineup'!Q$3:Q1000,CONCATENATE("=",$A180))=0,"",Q$2))</f>
        <v/>
      </c>
      <c r="R180" s="3" t="str">
        <f>IF($A180="","",IF(countif('Mens Lineup'!R$3:R1000,CONCATENATE("=",$A180))=0,"",R$2))</f>
        <v/>
      </c>
      <c r="S180" s="3" t="str">
        <f>IF($A180="","",IF(countif('Mens Lineup'!S$3:S1000,CONCATENATE("=",$A180))=0,"",S$2))</f>
        <v/>
      </c>
      <c r="W180" s="3" t="str">
        <f>IFERROR(__xludf.DUMMYFUNCTION("JOIN("","",FILTER(B180:S180,B180:S180&lt;&gt;""""))"),"200 Free,1650 Free")</f>
        <v>200 Free,1650 Free</v>
      </c>
    </row>
    <row r="181">
      <c r="A181" s="3" t="s">
        <v>208</v>
      </c>
      <c r="B181" s="3" t="str">
        <f>IF($A181="","",IF(countif('Mens Lineup'!B$3:B1000,CONCATENATE("=",$A181))=0,"",B$2))</f>
        <v/>
      </c>
      <c r="C181" s="3" t="str">
        <f>IF($A181="","",IF(countif('Mens Lineup'!C$3:C1000,CONCATENATE("=",$A181))=0,"",C$2))</f>
        <v/>
      </c>
      <c r="D181" s="3" t="str">
        <f>IF($A181="","",IF(countif('Mens Lineup'!D$3:D1000,CONCATENATE("=",$A181))=0,"",D$2))</f>
        <v/>
      </c>
      <c r="E181" s="3" t="str">
        <f>IF($A181="","",IF(countif('Mens Lineup'!E$3:E1000,CONCATENATE("=",$A181))=0,"",E$2))</f>
        <v>500 Free</v>
      </c>
      <c r="F181" s="3" t="str">
        <f>IF($A181="","",IF(countif('Mens Lineup'!F$3:F1000,CONCATENATE("=",$A181))=0,"",F$2))</f>
        <v>1650 Free</v>
      </c>
      <c r="G181" s="3" t="str">
        <f>IF($A181="","",IF(countif('Mens Lineup'!G$3:G1000,CONCATENATE("=",$A181))=0,"",G$2))</f>
        <v/>
      </c>
      <c r="H181" s="3" t="str">
        <f>IF($A181="","",IF(countif('Mens Lineup'!H$3:H1000,CONCATENATE("=",$A181))=0,"",H$2))</f>
        <v/>
      </c>
      <c r="I181" s="3" t="str">
        <f>IF($A181="","",IF(countif('Mens Lineup'!I$3:I1000,CONCATENATE("=",$A181))=0,"",I$2))</f>
        <v/>
      </c>
      <c r="J181" s="3" t="str">
        <f>IF($A181="","",IF(countif('Mens Lineup'!J$3:J1000,CONCATENATE("=",$A181))=0,"",J$2))</f>
        <v/>
      </c>
      <c r="K181" s="3" t="str">
        <f>IF($A181="","",IF(countif('Mens Lineup'!K$3:K1000,CONCATENATE("=",$A181))=0,"",K$2))</f>
        <v/>
      </c>
      <c r="L181" s="3" t="str">
        <f>IF($A181="","",IF(countif('Mens Lineup'!L$3:L1000,CONCATENATE("=",$A181))=0,"",L$2))</f>
        <v>200 Fly</v>
      </c>
      <c r="M181" s="3" t="str">
        <f>IF($A181="","",IF(countif('Mens Lineup'!M$3:M1000,CONCATENATE("=",$A181))=0,"",M$2))</f>
        <v>200 IM</v>
      </c>
      <c r="N181" s="3" t="str">
        <f>IF($A181="","",IF(countif('Mens Lineup'!N$3:N1000,CONCATENATE("=",$A181))=0,"",N$2))</f>
        <v>400 IM</v>
      </c>
      <c r="O181" s="3" t="str">
        <f>IF($A181="","",IF(countif('Mens Lineup'!O$3:O1000,CONCATENATE("=",$A181))=0,"",O$2))</f>
        <v>1000 Free</v>
      </c>
      <c r="P181" s="3" t="str">
        <f>IF($A181="","",IF(countif('Mens Lineup'!P$3:P1000,CONCATENATE("=",$A181))=0,"",P$2))</f>
        <v/>
      </c>
      <c r="Q181" s="3" t="str">
        <f>IF($A181="","",IF(countif('Mens Lineup'!Q$3:Q1000,CONCATENATE("=",$A181))=0,"",Q$2))</f>
        <v/>
      </c>
      <c r="R181" s="3" t="str">
        <f>IF($A181="","",IF(countif('Mens Lineup'!R$3:R1000,CONCATENATE("=",$A181))=0,"",R$2))</f>
        <v/>
      </c>
      <c r="S181" s="3" t="str">
        <f>IF($A181="","",IF(countif('Mens Lineup'!S$3:S1000,CONCATENATE("=",$A181))=0,"",S$2))</f>
        <v/>
      </c>
      <c r="W181" s="3" t="str">
        <f>IFERROR(__xludf.DUMMYFUNCTION("JOIN("","",FILTER(B181:S181,B181:S181&lt;&gt;""""))"),"500 Free,1650 Free,200 Fly,200 IM,400 IM,1000 Free")</f>
        <v>500 Free,1650 Free,200 Fly,200 IM,400 IM,1000 Free</v>
      </c>
    </row>
    <row r="182">
      <c r="A182" s="3" t="s">
        <v>209</v>
      </c>
      <c r="B182" s="3" t="str">
        <f>IF($A182="","",IF(countif('Mens Lineup'!B$3:B1000,CONCATENATE("=",$A182))=0,"",B$2))</f>
        <v/>
      </c>
      <c r="C182" s="3" t="str">
        <f>IF($A182="","",IF(countif('Mens Lineup'!C$3:C1000,CONCATENATE("=",$A182))=0,"",C$2))</f>
        <v/>
      </c>
      <c r="D182" s="3" t="str">
        <f>IF($A182="","",IF(countif('Mens Lineup'!D$3:D1000,CONCATENATE("=",$A182))=0,"",D$2))</f>
        <v/>
      </c>
      <c r="E182" s="3" t="str">
        <f>IF($A182="","",IF(countif('Mens Lineup'!E$3:E1000,CONCATENATE("=",$A182))=0,"",E$2))</f>
        <v>500 Free</v>
      </c>
      <c r="F182" s="3" t="str">
        <f>IF($A182="","",IF(countif('Mens Lineup'!F$3:F1000,CONCATENATE("=",$A182))=0,"",F$2))</f>
        <v/>
      </c>
      <c r="G182" s="3" t="str">
        <f>IF($A182="","",IF(countif('Mens Lineup'!G$3:G1000,CONCATENATE("=",$A182))=0,"",G$2))</f>
        <v/>
      </c>
      <c r="H182" s="3" t="str">
        <f>IF($A182="","",IF(countif('Mens Lineup'!H$3:H1000,CONCATENATE("=",$A182))=0,"",H$2))</f>
        <v/>
      </c>
      <c r="I182" s="3" t="str">
        <f>IF($A182="","",IF(countif('Mens Lineup'!I$3:I1000,CONCATENATE("=",$A182))=0,"",I$2))</f>
        <v>100 Breast</v>
      </c>
      <c r="J182" s="3" t="str">
        <f>IF($A182="","",IF(countif('Mens Lineup'!J$3:J1000,CONCATENATE("=",$A182))=0,"",J$2))</f>
        <v/>
      </c>
      <c r="K182" s="3" t="str">
        <f>IF($A182="","",IF(countif('Mens Lineup'!K$3:K1000,CONCATENATE("=",$A182))=0,"",K$2))</f>
        <v>100 Fly</v>
      </c>
      <c r="L182" s="3" t="str">
        <f>IF($A182="","",IF(countif('Mens Lineup'!L$3:L1000,CONCATENATE("=",$A182))=0,"",L$2))</f>
        <v/>
      </c>
      <c r="M182" s="3" t="str">
        <f>IF($A182="","",IF(countif('Mens Lineup'!M$3:M1000,CONCATENATE("=",$A182))=0,"",M$2))</f>
        <v>200 IM</v>
      </c>
      <c r="N182" s="3" t="str">
        <f>IF($A182="","",IF(countif('Mens Lineup'!N$3:N1000,CONCATENATE("=",$A182))=0,"",N$2))</f>
        <v>400 IM</v>
      </c>
      <c r="O182" s="3" t="str">
        <f>IF($A182="","",IF(countif('Mens Lineup'!O$3:O1000,CONCATENATE("=",$A182))=0,"",O$2))</f>
        <v>1000 Free</v>
      </c>
      <c r="P182" s="3" t="str">
        <f>IF($A182="","",IF(countif('Mens Lineup'!P$3:P1000,CONCATENATE("=",$A182))=0,"",P$2))</f>
        <v/>
      </c>
      <c r="Q182" s="3" t="str">
        <f>IF($A182="","",IF(countif('Mens Lineup'!Q$3:Q1000,CONCATENATE("=",$A182))=0,"",Q$2))</f>
        <v/>
      </c>
      <c r="R182" s="3" t="str">
        <f>IF($A182="","",IF(countif('Mens Lineup'!R$3:R1000,CONCATENATE("=",$A182))=0,"",R$2))</f>
        <v/>
      </c>
      <c r="S182" s="3" t="str">
        <f>IF($A182="","",IF(countif('Mens Lineup'!S$3:S1000,CONCATENATE("=",$A182))=0,"",S$2))</f>
        <v/>
      </c>
      <c r="W182" s="3" t="str">
        <f>IFERROR(__xludf.DUMMYFUNCTION("JOIN("","",FILTER(B182:S182,B182:S182&lt;&gt;""""))"),"500 Free,100 Breast,100 Fly,200 IM,400 IM,1000 Free")</f>
        <v>500 Free,100 Breast,100 Fly,200 IM,400 IM,1000 Free</v>
      </c>
    </row>
    <row r="183">
      <c r="A183" s="3" t="s">
        <v>210</v>
      </c>
      <c r="B183" s="3" t="str">
        <f>IF($A183="","",IF(countif('Mens Lineup'!B$3:B1000,CONCATENATE("=",$A183))=0,"",B$2))</f>
        <v/>
      </c>
      <c r="C183" s="3" t="str">
        <f>IF($A183="","",IF(countif('Mens Lineup'!C$3:C1000,CONCATENATE("=",$A183))=0,"",C$2))</f>
        <v/>
      </c>
      <c r="D183" s="3" t="str">
        <f>IF($A183="","",IF(countif('Mens Lineup'!D$3:D1000,CONCATENATE("=",$A183))=0,"",D$2))</f>
        <v/>
      </c>
      <c r="E183" s="3" t="str">
        <f>IF($A183="","",IF(countif('Mens Lineup'!E$3:E1000,CONCATENATE("=",$A183))=0,"",E$2))</f>
        <v>500 Free</v>
      </c>
      <c r="F183" s="3" t="str">
        <f>IF($A183="","",IF(countif('Mens Lineup'!F$3:F1000,CONCATENATE("=",$A183))=0,"",F$2))</f>
        <v>1650 Free</v>
      </c>
      <c r="G183" s="3" t="str">
        <f>IF($A183="","",IF(countif('Mens Lineup'!G$3:G1000,CONCATENATE("=",$A183))=0,"",G$2))</f>
        <v/>
      </c>
      <c r="H183" s="3" t="str">
        <f>IF($A183="","",IF(countif('Mens Lineup'!H$3:H1000,CONCATENATE("=",$A183))=0,"",H$2))</f>
        <v/>
      </c>
      <c r="I183" s="3" t="str">
        <f>IF($A183="","",IF(countif('Mens Lineup'!I$3:I1000,CONCATENATE("=",$A183))=0,"",I$2))</f>
        <v/>
      </c>
      <c r="J183" s="3" t="str">
        <f>IF($A183="","",IF(countif('Mens Lineup'!J$3:J1000,CONCATENATE("=",$A183))=0,"",J$2))</f>
        <v>200 Breast</v>
      </c>
      <c r="K183" s="3" t="str">
        <f>IF($A183="","",IF(countif('Mens Lineup'!K$3:K1000,CONCATENATE("=",$A183))=0,"",K$2))</f>
        <v/>
      </c>
      <c r="L183" s="3" t="str">
        <f>IF($A183="","",IF(countif('Mens Lineup'!L$3:L1000,CONCATENATE("=",$A183))=0,"",L$2))</f>
        <v/>
      </c>
      <c r="M183" s="3" t="str">
        <f>IF($A183="","",IF(countif('Mens Lineup'!M$3:M1000,CONCATENATE("=",$A183))=0,"",M$2))</f>
        <v>200 IM</v>
      </c>
      <c r="N183" s="3" t="str">
        <f>IF($A183="","",IF(countif('Mens Lineup'!N$3:N1000,CONCATENATE("=",$A183))=0,"",N$2))</f>
        <v>400 IM</v>
      </c>
      <c r="O183" s="3" t="str">
        <f>IF($A183="","",IF(countif('Mens Lineup'!O$3:O1000,CONCATENATE("=",$A183))=0,"",O$2))</f>
        <v>1000 Free</v>
      </c>
      <c r="P183" s="3" t="str">
        <f>IF($A183="","",IF(countif('Mens Lineup'!P$3:P1000,CONCATENATE("=",$A183))=0,"",P$2))</f>
        <v/>
      </c>
      <c r="Q183" s="3" t="str">
        <f>IF($A183="","",IF(countif('Mens Lineup'!Q$3:Q1000,CONCATENATE("=",$A183))=0,"",Q$2))</f>
        <v/>
      </c>
      <c r="R183" s="3" t="str">
        <f>IF($A183="","",IF(countif('Mens Lineup'!R$3:R1000,CONCATENATE("=",$A183))=0,"",R$2))</f>
        <v/>
      </c>
      <c r="S183" s="3" t="str">
        <f>IF($A183="","",IF(countif('Mens Lineup'!S$3:S1000,CONCATENATE("=",$A183))=0,"",S$2))</f>
        <v/>
      </c>
      <c r="W183" s="3" t="str">
        <f>IFERROR(__xludf.DUMMYFUNCTION("JOIN("","",FILTER(B183:S183,B183:S183&lt;&gt;""""))"),"500 Free,1650 Free,200 Breast,200 IM,400 IM,1000 Free")</f>
        <v>500 Free,1650 Free,200 Breast,200 IM,400 IM,1000 Free</v>
      </c>
    </row>
    <row r="184">
      <c r="A184" s="3" t="s">
        <v>211</v>
      </c>
      <c r="B184" s="3" t="str">
        <f>IF($A184="","",IF(countif('Mens Lineup'!B$3:B1000,CONCATENATE("=",$A184))=0,"",B$2))</f>
        <v/>
      </c>
      <c r="C184" s="3" t="str">
        <f>IF($A184="","",IF(countif('Mens Lineup'!C$3:C1000,CONCATENATE("=",$A184))=0,"",C$2))</f>
        <v/>
      </c>
      <c r="D184" s="3" t="str">
        <f>IF($A184="","",IF(countif('Mens Lineup'!D$3:D1000,CONCATENATE("=",$A184))=0,"",D$2))</f>
        <v/>
      </c>
      <c r="E184" s="3" t="str">
        <f>IF($A184="","",IF(countif('Mens Lineup'!E$3:E1000,CONCATENATE("=",$A184))=0,"",E$2))</f>
        <v>500 Free</v>
      </c>
      <c r="F184" s="3" t="str">
        <f>IF($A184="","",IF(countif('Mens Lineup'!F$3:F1000,CONCATENATE("=",$A184))=0,"",F$2))</f>
        <v>1650 Free</v>
      </c>
      <c r="G184" s="3" t="str">
        <f>IF($A184="","",IF(countif('Mens Lineup'!G$3:G1000,CONCATENATE("=",$A184))=0,"",G$2))</f>
        <v/>
      </c>
      <c r="H184" s="3" t="str">
        <f>IF($A184="","",IF(countif('Mens Lineup'!H$3:H1000,CONCATENATE("=",$A184))=0,"",H$2))</f>
        <v/>
      </c>
      <c r="I184" s="3" t="str">
        <f>IF($A184="","",IF(countif('Mens Lineup'!I$3:I1000,CONCATENATE("=",$A184))=0,"",I$2))</f>
        <v/>
      </c>
      <c r="J184" s="3" t="str">
        <f>IF($A184="","",IF(countif('Mens Lineup'!J$3:J1000,CONCATENATE("=",$A184))=0,"",J$2))</f>
        <v/>
      </c>
      <c r="K184" s="3" t="str">
        <f>IF($A184="","",IF(countif('Mens Lineup'!K$3:K1000,CONCATENATE("=",$A184))=0,"",K$2))</f>
        <v>100 Fly</v>
      </c>
      <c r="L184" s="3" t="str">
        <f>IF($A184="","",IF(countif('Mens Lineup'!L$3:L1000,CONCATENATE("=",$A184))=0,"",L$2))</f>
        <v>200 Fly</v>
      </c>
      <c r="M184" s="3" t="str">
        <f>IF($A184="","",IF(countif('Mens Lineup'!M$3:M1000,CONCATENATE("=",$A184))=0,"",M$2))</f>
        <v>200 IM</v>
      </c>
      <c r="N184" s="3" t="str">
        <f>IF($A184="","",IF(countif('Mens Lineup'!N$3:N1000,CONCATENATE("=",$A184))=0,"",N$2))</f>
        <v>400 IM</v>
      </c>
      <c r="O184" s="3" t="str">
        <f>IF($A184="","",IF(countif('Mens Lineup'!O$3:O1000,CONCATENATE("=",$A184))=0,"",O$2))</f>
        <v/>
      </c>
      <c r="P184" s="3" t="str">
        <f>IF($A184="","",IF(countif('Mens Lineup'!P$3:P1000,CONCATENATE("=",$A184))=0,"",P$2))</f>
        <v/>
      </c>
      <c r="Q184" s="3" t="str">
        <f>IF($A184="","",IF(countif('Mens Lineup'!Q$3:Q1000,CONCATENATE("=",$A184))=0,"",Q$2))</f>
        <v/>
      </c>
      <c r="R184" s="3" t="str">
        <f>IF($A184="","",IF(countif('Mens Lineup'!R$3:R1000,CONCATENATE("=",$A184))=0,"",R$2))</f>
        <v/>
      </c>
      <c r="S184" s="3" t="str">
        <f>IF($A184="","",IF(countif('Mens Lineup'!S$3:S1000,CONCATENATE("=",$A184))=0,"",S$2))</f>
        <v/>
      </c>
      <c r="W184" s="3" t="str">
        <f>IFERROR(__xludf.DUMMYFUNCTION("JOIN("","",FILTER(B184:S184,B184:S184&lt;&gt;""""))"),"500 Free,1650 Free,100 Fly,200 Fly,200 IM,400 IM")</f>
        <v>500 Free,1650 Free,100 Fly,200 Fly,200 IM,400 IM</v>
      </c>
    </row>
    <row r="185">
      <c r="A185" s="3" t="s">
        <v>212</v>
      </c>
      <c r="B185" s="3" t="str">
        <f>IF($A185="","",IF(countif('Mens Lineup'!B$3:B1000,CONCATENATE("=",$A185))=0,"",B$2))</f>
        <v/>
      </c>
      <c r="C185" s="3" t="str">
        <f>IF($A185="","",IF(countif('Mens Lineup'!C$3:C1000,CONCATENATE("=",$A185))=0,"",C$2))</f>
        <v/>
      </c>
      <c r="D185" s="3" t="str">
        <f>IF($A185="","",IF(countif('Mens Lineup'!D$3:D1000,CONCATENATE("=",$A185))=0,"",D$2))</f>
        <v/>
      </c>
      <c r="E185" s="3" t="str">
        <f>IF($A185="","",IF(countif('Mens Lineup'!E$3:E1000,CONCATENATE("=",$A185))=0,"",E$2))</f>
        <v>500 Free</v>
      </c>
      <c r="F185" s="3" t="str">
        <f>IF($A185="","",IF(countif('Mens Lineup'!F$3:F1000,CONCATENATE("=",$A185))=0,"",F$2))</f>
        <v>1650 Free</v>
      </c>
      <c r="G185" s="3" t="str">
        <f>IF($A185="","",IF(countif('Mens Lineup'!G$3:G1000,CONCATENATE("=",$A185))=0,"",G$2))</f>
        <v>100 Back</v>
      </c>
      <c r="H185" s="3" t="str">
        <f>IF($A185="","",IF(countif('Mens Lineup'!H$3:H1000,CONCATENATE("=",$A185))=0,"",H$2))</f>
        <v>200 Back</v>
      </c>
      <c r="I185" s="3" t="str">
        <f>IF($A185="","",IF(countif('Mens Lineup'!I$3:I1000,CONCATENATE("=",$A185))=0,"",I$2))</f>
        <v/>
      </c>
      <c r="J185" s="3" t="str">
        <f>IF($A185="","",IF(countif('Mens Lineup'!J$3:J1000,CONCATENATE("=",$A185))=0,"",J$2))</f>
        <v/>
      </c>
      <c r="K185" s="3" t="str">
        <f>IF($A185="","",IF(countif('Mens Lineup'!K$3:K1000,CONCATENATE("=",$A185))=0,"",K$2))</f>
        <v/>
      </c>
      <c r="L185" s="3" t="str">
        <f>IF($A185="","",IF(countif('Mens Lineup'!L$3:L1000,CONCATENATE("=",$A185))=0,"",L$2))</f>
        <v/>
      </c>
      <c r="M185" s="3" t="str">
        <f>IF($A185="","",IF(countif('Mens Lineup'!M$3:M1000,CONCATENATE("=",$A185))=0,"",M$2))</f>
        <v/>
      </c>
      <c r="N185" s="3" t="str">
        <f>IF($A185="","",IF(countif('Mens Lineup'!N$3:N1000,CONCATENATE("=",$A185))=0,"",N$2))</f>
        <v>400 IM</v>
      </c>
      <c r="O185" s="3" t="str">
        <f>IF($A185="","",IF(countif('Mens Lineup'!O$3:O1000,CONCATENATE("=",$A185))=0,"",O$2))</f>
        <v>1000 Free</v>
      </c>
      <c r="P185" s="3" t="str">
        <f>IF($A185="","",IF(countif('Mens Lineup'!P$3:P1000,CONCATENATE("=",$A185))=0,"",P$2))</f>
        <v/>
      </c>
      <c r="Q185" s="3" t="str">
        <f>IF($A185="","",IF(countif('Mens Lineup'!Q$3:Q1000,CONCATENATE("=",$A185))=0,"",Q$2))</f>
        <v/>
      </c>
      <c r="R185" s="3" t="str">
        <f>IF($A185="","",IF(countif('Mens Lineup'!R$3:R1000,CONCATENATE("=",$A185))=0,"",R$2))</f>
        <v/>
      </c>
      <c r="S185" s="3" t="str">
        <f>IF($A185="","",IF(countif('Mens Lineup'!S$3:S1000,CONCATENATE("=",$A185))=0,"",S$2))</f>
        <v/>
      </c>
      <c r="W185" s="3" t="str">
        <f>IFERROR(__xludf.DUMMYFUNCTION("JOIN("","",FILTER(B185:S185,B185:S185&lt;&gt;""""))"),"500 Free,1650 Free,100 Back,200 Back,400 IM,1000 Free")</f>
        <v>500 Free,1650 Free,100 Back,200 Back,400 IM,1000 Free</v>
      </c>
    </row>
    <row r="186">
      <c r="A186" s="3" t="s">
        <v>213</v>
      </c>
      <c r="B186" s="3" t="str">
        <f>IF($A186="","",IF(countif('Mens Lineup'!B$3:B1000,CONCATENATE("=",$A186))=0,"",B$2))</f>
        <v/>
      </c>
      <c r="C186" s="3" t="str">
        <f>IF($A186="","",IF(countif('Mens Lineup'!C$3:C1000,CONCATENATE("=",$A186))=0,"",C$2))</f>
        <v/>
      </c>
      <c r="D186" s="3" t="str">
        <f>IF($A186="","",IF(countif('Mens Lineup'!D$3:D1000,CONCATENATE("=",$A186))=0,"",D$2))</f>
        <v/>
      </c>
      <c r="E186" s="3" t="str">
        <f>IF($A186="","",IF(countif('Mens Lineup'!E$3:E1000,CONCATENATE("=",$A186))=0,"",E$2))</f>
        <v>500 Free</v>
      </c>
      <c r="F186" s="3" t="str">
        <f>IF($A186="","",IF(countif('Mens Lineup'!F$3:F1000,CONCATENATE("=",$A186))=0,"",F$2))</f>
        <v/>
      </c>
      <c r="G186" s="3" t="str">
        <f>IF($A186="","",IF(countif('Mens Lineup'!G$3:G1000,CONCATENATE("=",$A186))=0,"",G$2))</f>
        <v/>
      </c>
      <c r="H186" s="3" t="str">
        <f>IF($A186="","",IF(countif('Mens Lineup'!H$3:H1000,CONCATENATE("=",$A186))=0,"",H$2))</f>
        <v/>
      </c>
      <c r="I186" s="3" t="str">
        <f>IF($A186="","",IF(countif('Mens Lineup'!I$3:I1000,CONCATENATE("=",$A186))=0,"",I$2))</f>
        <v>100 Breast</v>
      </c>
      <c r="J186" s="3" t="str">
        <f>IF($A186="","",IF(countif('Mens Lineup'!J$3:J1000,CONCATENATE("=",$A186))=0,"",J$2))</f>
        <v>200 Breast</v>
      </c>
      <c r="K186" s="3" t="str">
        <f>IF($A186="","",IF(countif('Mens Lineup'!K$3:K1000,CONCATENATE("=",$A186))=0,"",K$2))</f>
        <v/>
      </c>
      <c r="L186" s="3" t="str">
        <f>IF($A186="","",IF(countif('Mens Lineup'!L$3:L1000,CONCATENATE("=",$A186))=0,"",L$2))</f>
        <v/>
      </c>
      <c r="M186" s="3" t="str">
        <f>IF($A186="","",IF(countif('Mens Lineup'!M$3:M1000,CONCATENATE("=",$A186))=0,"",M$2))</f>
        <v>200 IM</v>
      </c>
      <c r="N186" s="3" t="str">
        <f>IF($A186="","",IF(countif('Mens Lineup'!N$3:N1000,CONCATENATE("=",$A186))=0,"",N$2))</f>
        <v>400 IM</v>
      </c>
      <c r="O186" s="3" t="str">
        <f>IF($A186="","",IF(countif('Mens Lineup'!O$3:O1000,CONCATENATE("=",$A186))=0,"",O$2))</f>
        <v>1000 Free</v>
      </c>
      <c r="P186" s="3" t="str">
        <f>IF($A186="","",IF(countif('Mens Lineup'!P$3:P1000,CONCATENATE("=",$A186))=0,"",P$2))</f>
        <v/>
      </c>
      <c r="Q186" s="3" t="str">
        <f>IF($A186="","",IF(countif('Mens Lineup'!Q$3:Q1000,CONCATENATE("=",$A186))=0,"",Q$2))</f>
        <v/>
      </c>
      <c r="R186" s="3" t="str">
        <f>IF($A186="","",IF(countif('Mens Lineup'!R$3:R1000,CONCATENATE("=",$A186))=0,"",R$2))</f>
        <v/>
      </c>
      <c r="S186" s="3" t="str">
        <f>IF($A186="","",IF(countif('Mens Lineup'!S$3:S1000,CONCATENATE("=",$A186))=0,"",S$2))</f>
        <v/>
      </c>
      <c r="W186" s="3" t="str">
        <f>IFERROR(__xludf.DUMMYFUNCTION("JOIN("","",FILTER(B186:S186,B186:S186&lt;&gt;""""))"),"500 Free,100 Breast,200 Breast,200 IM,400 IM,1000 Free")</f>
        <v>500 Free,100 Breast,200 Breast,200 IM,400 IM,1000 Free</v>
      </c>
    </row>
    <row r="187">
      <c r="A187" s="3" t="s">
        <v>214</v>
      </c>
      <c r="B187" s="3" t="str">
        <f>IF($A187="","",IF(countif('Mens Lineup'!B$3:B1000,CONCATENATE("=",$A187))=0,"",B$2))</f>
        <v/>
      </c>
      <c r="C187" s="3" t="str">
        <f>IF($A187="","",IF(countif('Mens Lineup'!C$3:C1000,CONCATENATE("=",$A187))=0,"",C$2))</f>
        <v/>
      </c>
      <c r="D187" s="3" t="str">
        <f>IF($A187="","",IF(countif('Mens Lineup'!D$3:D1000,CONCATENATE("=",$A187))=0,"",D$2))</f>
        <v/>
      </c>
      <c r="E187" s="3" t="str">
        <f>IF($A187="","",IF(countif('Mens Lineup'!E$3:E1000,CONCATENATE("=",$A187))=0,"",E$2))</f>
        <v>500 Free</v>
      </c>
      <c r="F187" s="3" t="str">
        <f>IF($A187="","",IF(countif('Mens Lineup'!F$3:F1000,CONCATENATE("=",$A187))=0,"",F$2))</f>
        <v/>
      </c>
      <c r="G187" s="3" t="str">
        <f>IF($A187="","",IF(countif('Mens Lineup'!G$3:G1000,CONCATENATE("=",$A187))=0,"",G$2))</f>
        <v/>
      </c>
      <c r="H187" s="3" t="str">
        <f>IF($A187="","",IF(countif('Mens Lineup'!H$3:H1000,CONCATENATE("=",$A187))=0,"",H$2))</f>
        <v/>
      </c>
      <c r="I187" s="3" t="str">
        <f>IF($A187="","",IF(countif('Mens Lineup'!I$3:I1000,CONCATENATE("=",$A187))=0,"",I$2))</f>
        <v>100 Breast</v>
      </c>
      <c r="J187" s="3" t="str">
        <f>IF($A187="","",IF(countif('Mens Lineup'!J$3:J1000,CONCATENATE("=",$A187))=0,"",J$2))</f>
        <v>200 Breast</v>
      </c>
      <c r="K187" s="3" t="str">
        <f>IF($A187="","",IF(countif('Mens Lineup'!K$3:K1000,CONCATENATE("=",$A187))=0,"",K$2))</f>
        <v/>
      </c>
      <c r="L187" s="3" t="str">
        <f>IF($A187="","",IF(countif('Mens Lineup'!L$3:L1000,CONCATENATE("=",$A187))=0,"",L$2))</f>
        <v/>
      </c>
      <c r="M187" s="3" t="str">
        <f>IF($A187="","",IF(countif('Mens Lineup'!M$3:M1000,CONCATENATE("=",$A187))=0,"",M$2))</f>
        <v>200 IM</v>
      </c>
      <c r="N187" s="3" t="str">
        <f>IF($A187="","",IF(countif('Mens Lineup'!N$3:N1000,CONCATENATE("=",$A187))=0,"",N$2))</f>
        <v>400 IM</v>
      </c>
      <c r="O187" s="3" t="str">
        <f>IF($A187="","",IF(countif('Mens Lineup'!O$3:O1000,CONCATENATE("=",$A187))=0,"",O$2))</f>
        <v>1000 Free</v>
      </c>
      <c r="P187" s="3" t="str">
        <f>IF($A187="","",IF(countif('Mens Lineup'!P$3:P1000,CONCATENATE("=",$A187))=0,"",P$2))</f>
        <v/>
      </c>
      <c r="Q187" s="3" t="str">
        <f>IF($A187="","",IF(countif('Mens Lineup'!Q$3:Q1000,CONCATENATE("=",$A187))=0,"",Q$2))</f>
        <v/>
      </c>
      <c r="R187" s="3" t="str">
        <f>IF($A187="","",IF(countif('Mens Lineup'!R$3:R1000,CONCATENATE("=",$A187))=0,"",R$2))</f>
        <v/>
      </c>
      <c r="S187" s="3" t="str">
        <f>IF($A187="","",IF(countif('Mens Lineup'!S$3:S1000,CONCATENATE("=",$A187))=0,"",S$2))</f>
        <v/>
      </c>
      <c r="W187" s="3" t="str">
        <f>IFERROR(__xludf.DUMMYFUNCTION("JOIN("","",FILTER(B187:S187,B187:S187&lt;&gt;""""))"),"500 Free,100 Breast,200 Breast,200 IM,400 IM,1000 Free")</f>
        <v>500 Free,100 Breast,200 Breast,200 IM,400 IM,1000 Free</v>
      </c>
    </row>
    <row r="188">
      <c r="A188" s="3" t="s">
        <v>215</v>
      </c>
      <c r="B188" s="3" t="str">
        <f>IF($A188="","",IF(countif('Mens Lineup'!B$3:B1000,CONCATENATE("=",$A188))=0,"",B$2))</f>
        <v/>
      </c>
      <c r="C188" s="3" t="str">
        <f>IF($A188="","",IF(countif('Mens Lineup'!C$3:C1000,CONCATENATE("=",$A188))=0,"",C$2))</f>
        <v/>
      </c>
      <c r="D188" s="3" t="str">
        <f>IF($A188="","",IF(countif('Mens Lineup'!D$3:D1000,CONCATENATE("=",$A188))=0,"",D$2))</f>
        <v/>
      </c>
      <c r="E188" s="3" t="str">
        <f>IF($A188="","",IF(countif('Mens Lineup'!E$3:E1000,CONCATENATE("=",$A188))=0,"",E$2))</f>
        <v>500 Free</v>
      </c>
      <c r="F188" s="3" t="str">
        <f>IF($A188="","",IF(countif('Mens Lineup'!F$3:F1000,CONCATENATE("=",$A188))=0,"",F$2))</f>
        <v>1650 Free</v>
      </c>
      <c r="G188" s="3" t="str">
        <f>IF($A188="","",IF(countif('Mens Lineup'!G$3:G1000,CONCATENATE("=",$A188))=0,"",G$2))</f>
        <v/>
      </c>
      <c r="H188" s="3" t="str">
        <f>IF($A188="","",IF(countif('Mens Lineup'!H$3:H1000,CONCATENATE("=",$A188))=0,"",H$2))</f>
        <v>200 Back</v>
      </c>
      <c r="I188" s="3" t="str">
        <f>IF($A188="","",IF(countif('Mens Lineup'!I$3:I1000,CONCATENATE("=",$A188))=0,"",I$2))</f>
        <v/>
      </c>
      <c r="J188" s="3" t="str">
        <f>IF($A188="","",IF(countif('Mens Lineup'!J$3:J1000,CONCATENATE("=",$A188))=0,"",J$2))</f>
        <v/>
      </c>
      <c r="K188" s="3" t="str">
        <f>IF($A188="","",IF(countif('Mens Lineup'!K$3:K1000,CONCATENATE("=",$A188))=0,"",K$2))</f>
        <v/>
      </c>
      <c r="L188" s="3" t="str">
        <f>IF($A188="","",IF(countif('Mens Lineup'!L$3:L1000,CONCATENATE("=",$A188))=0,"",L$2))</f>
        <v/>
      </c>
      <c r="M188" s="3" t="str">
        <f>IF($A188="","",IF(countif('Mens Lineup'!M$3:M1000,CONCATENATE("=",$A188))=0,"",M$2))</f>
        <v>200 IM</v>
      </c>
      <c r="N188" s="3" t="str">
        <f>IF($A188="","",IF(countif('Mens Lineup'!N$3:N1000,CONCATENATE("=",$A188))=0,"",N$2))</f>
        <v>400 IM</v>
      </c>
      <c r="O188" s="3" t="str">
        <f>IF($A188="","",IF(countif('Mens Lineup'!O$3:O1000,CONCATENATE("=",$A188))=0,"",O$2))</f>
        <v>1000 Free</v>
      </c>
      <c r="P188" s="3" t="str">
        <f>IF($A188="","",IF(countif('Mens Lineup'!P$3:P1000,CONCATENATE("=",$A188))=0,"",P$2))</f>
        <v/>
      </c>
      <c r="Q188" s="3" t="str">
        <f>IF($A188="","",IF(countif('Mens Lineup'!Q$3:Q1000,CONCATENATE("=",$A188))=0,"",Q$2))</f>
        <v/>
      </c>
      <c r="R188" s="3" t="str">
        <f>IF($A188="","",IF(countif('Mens Lineup'!R$3:R1000,CONCATENATE("=",$A188))=0,"",R$2))</f>
        <v/>
      </c>
      <c r="S188" s="3" t="str">
        <f>IF($A188="","",IF(countif('Mens Lineup'!S$3:S1000,CONCATENATE("=",$A188))=0,"",S$2))</f>
        <v/>
      </c>
      <c r="W188" s="3" t="str">
        <f>IFERROR(__xludf.DUMMYFUNCTION("JOIN("","",FILTER(B188:S188,B188:S188&lt;&gt;""""))"),"500 Free,1650 Free,200 Back,200 IM,400 IM,1000 Free")</f>
        <v>500 Free,1650 Free,200 Back,200 IM,400 IM,1000 Free</v>
      </c>
    </row>
    <row r="189">
      <c r="A189" s="3" t="s">
        <v>216</v>
      </c>
      <c r="B189" s="3" t="str">
        <f>IF($A189="","",IF(countif('Mens Lineup'!B$3:B1000,CONCATENATE("=",$A189))=0,"",B$2))</f>
        <v/>
      </c>
      <c r="C189" s="3" t="str">
        <f>IF($A189="","",IF(countif('Mens Lineup'!C$3:C1000,CONCATENATE("=",$A189))=0,"",C$2))</f>
        <v/>
      </c>
      <c r="D189" s="3" t="str">
        <f>IF($A189="","",IF(countif('Mens Lineup'!D$3:D1000,CONCATENATE("=",$A189))=0,"",D$2))</f>
        <v/>
      </c>
      <c r="E189" s="3" t="str">
        <f>IF($A189="","",IF(countif('Mens Lineup'!E$3:E1000,CONCATENATE("=",$A189))=0,"",E$2))</f>
        <v>500 Free</v>
      </c>
      <c r="F189" s="3" t="str">
        <f>IF($A189="","",IF(countif('Mens Lineup'!F$3:F1000,CONCATENATE("=",$A189))=0,"",F$2))</f>
        <v>1650 Free</v>
      </c>
      <c r="G189" s="3" t="str">
        <f>IF($A189="","",IF(countif('Mens Lineup'!G$3:G1000,CONCATENATE("=",$A189))=0,"",G$2))</f>
        <v/>
      </c>
      <c r="H189" s="3" t="str">
        <f>IF($A189="","",IF(countif('Mens Lineup'!H$3:H1000,CONCATENATE("=",$A189))=0,"",H$2))</f>
        <v/>
      </c>
      <c r="I189" s="3" t="str">
        <f>IF($A189="","",IF(countif('Mens Lineup'!I$3:I1000,CONCATENATE("=",$A189))=0,"",I$2))</f>
        <v>100 Breast</v>
      </c>
      <c r="J189" s="3" t="str">
        <f>IF($A189="","",IF(countif('Mens Lineup'!J$3:J1000,CONCATENATE("=",$A189))=0,"",J$2))</f>
        <v/>
      </c>
      <c r="K189" s="3" t="str">
        <f>IF($A189="","",IF(countif('Mens Lineup'!K$3:K1000,CONCATENATE("=",$A189))=0,"",K$2))</f>
        <v>100 Fly</v>
      </c>
      <c r="L189" s="3" t="str">
        <f>IF($A189="","",IF(countif('Mens Lineup'!L$3:L1000,CONCATENATE("=",$A189))=0,"",L$2))</f>
        <v>200 Fly</v>
      </c>
      <c r="M189" s="3" t="str">
        <f>IF($A189="","",IF(countif('Mens Lineup'!M$3:M1000,CONCATENATE("=",$A189))=0,"",M$2))</f>
        <v/>
      </c>
      <c r="N189" s="3" t="str">
        <f>IF($A189="","",IF(countif('Mens Lineup'!N$3:N1000,CONCATENATE("=",$A189))=0,"",N$2))</f>
        <v/>
      </c>
      <c r="O189" s="3" t="str">
        <f>IF($A189="","",IF(countif('Mens Lineup'!O$3:O1000,CONCATENATE("=",$A189))=0,"",O$2))</f>
        <v>1000 Free</v>
      </c>
      <c r="P189" s="3" t="str">
        <f>IF($A189="","",IF(countif('Mens Lineup'!P$3:P1000,CONCATENATE("=",$A189))=0,"",P$2))</f>
        <v/>
      </c>
      <c r="Q189" s="3" t="str">
        <f>IF($A189="","",IF(countif('Mens Lineup'!Q$3:Q1000,CONCATENATE("=",$A189))=0,"",Q$2))</f>
        <v/>
      </c>
      <c r="R189" s="3" t="str">
        <f>IF($A189="","",IF(countif('Mens Lineup'!R$3:R1000,CONCATENATE("=",$A189))=0,"",R$2))</f>
        <v/>
      </c>
      <c r="S189" s="3" t="str">
        <f>IF($A189="","",IF(countif('Mens Lineup'!S$3:S1000,CONCATENATE("=",$A189))=0,"",S$2))</f>
        <v/>
      </c>
      <c r="W189" s="3" t="str">
        <f>IFERROR(__xludf.DUMMYFUNCTION("JOIN("","",FILTER(B189:S189,B189:S189&lt;&gt;""""))"),"500 Free,1650 Free,100 Breast,100 Fly,200 Fly,1000 Free")</f>
        <v>500 Free,1650 Free,100 Breast,100 Fly,200 Fly,1000 Free</v>
      </c>
    </row>
    <row r="190">
      <c r="A190" s="3" t="s">
        <v>217</v>
      </c>
      <c r="B190" s="3" t="str">
        <f>IF($A190="","",IF(countif('Mens Lineup'!B$3:B1000,CONCATENATE("=",$A190))=0,"",B$2))</f>
        <v/>
      </c>
      <c r="C190" s="3" t="str">
        <f>IF($A190="","",IF(countif('Mens Lineup'!C$3:C1000,CONCATENATE("=",$A190))=0,"",C$2))</f>
        <v/>
      </c>
      <c r="D190" s="3" t="str">
        <f>IF($A190="","",IF(countif('Mens Lineup'!D$3:D1000,CONCATENATE("=",$A190))=0,"",D$2))</f>
        <v/>
      </c>
      <c r="E190" s="3" t="str">
        <f>IF($A190="","",IF(countif('Mens Lineup'!E$3:E1000,CONCATENATE("=",$A190))=0,"",E$2))</f>
        <v>500 Free</v>
      </c>
      <c r="F190" s="3" t="str">
        <f>IF($A190="","",IF(countif('Mens Lineup'!F$3:F1000,CONCATENATE("=",$A190))=0,"",F$2))</f>
        <v>1650 Free</v>
      </c>
      <c r="G190" s="3" t="str">
        <f>IF($A190="","",IF(countif('Mens Lineup'!G$3:G1000,CONCATENATE("=",$A190))=0,"",G$2))</f>
        <v/>
      </c>
      <c r="H190" s="3" t="str">
        <f>IF($A190="","",IF(countif('Mens Lineup'!H$3:H1000,CONCATENATE("=",$A190))=0,"",H$2))</f>
        <v/>
      </c>
      <c r="I190" s="3" t="str">
        <f>IF($A190="","",IF(countif('Mens Lineup'!I$3:I1000,CONCATENATE("=",$A190))=0,"",I$2))</f>
        <v/>
      </c>
      <c r="J190" s="3" t="str">
        <f>IF($A190="","",IF(countif('Mens Lineup'!J$3:J1000,CONCATENATE("=",$A190))=0,"",J$2))</f>
        <v/>
      </c>
      <c r="K190" s="3" t="str">
        <f>IF($A190="","",IF(countif('Mens Lineup'!K$3:K1000,CONCATENATE("=",$A190))=0,"",K$2))</f>
        <v>100 Fly</v>
      </c>
      <c r="L190" s="3" t="str">
        <f>IF($A190="","",IF(countif('Mens Lineup'!L$3:L1000,CONCATENATE("=",$A190))=0,"",L$2))</f>
        <v/>
      </c>
      <c r="M190" s="3" t="str">
        <f>IF($A190="","",IF(countif('Mens Lineup'!M$3:M1000,CONCATENATE("=",$A190))=0,"",M$2))</f>
        <v>200 IM</v>
      </c>
      <c r="N190" s="3" t="str">
        <f>IF($A190="","",IF(countif('Mens Lineup'!N$3:N1000,CONCATENATE("=",$A190))=0,"",N$2))</f>
        <v>400 IM</v>
      </c>
      <c r="O190" s="3" t="str">
        <f>IF($A190="","",IF(countif('Mens Lineup'!O$3:O1000,CONCATENATE("=",$A190))=0,"",O$2))</f>
        <v>1000 Free</v>
      </c>
      <c r="P190" s="3" t="str">
        <f>IF($A190="","",IF(countif('Mens Lineup'!P$3:P1000,CONCATENATE("=",$A190))=0,"",P$2))</f>
        <v/>
      </c>
      <c r="Q190" s="3" t="str">
        <f>IF($A190="","",IF(countif('Mens Lineup'!Q$3:Q1000,CONCATENATE("=",$A190))=0,"",Q$2))</f>
        <v/>
      </c>
      <c r="R190" s="3" t="str">
        <f>IF($A190="","",IF(countif('Mens Lineup'!R$3:R1000,CONCATENATE("=",$A190))=0,"",R$2))</f>
        <v/>
      </c>
      <c r="S190" s="3" t="str">
        <f>IF($A190="","",IF(countif('Mens Lineup'!S$3:S1000,CONCATENATE("=",$A190))=0,"",S$2))</f>
        <v/>
      </c>
      <c r="W190" s="3" t="str">
        <f>IFERROR(__xludf.DUMMYFUNCTION("JOIN("","",FILTER(B190:S190,B190:S190&lt;&gt;""""))"),"500 Free,1650 Free,100 Fly,200 IM,400 IM,1000 Free")</f>
        <v>500 Free,1650 Free,100 Fly,200 IM,400 IM,1000 Free</v>
      </c>
    </row>
    <row r="191">
      <c r="A191" s="3" t="s">
        <v>218</v>
      </c>
      <c r="B191" s="3" t="str">
        <f>IF($A191="","",IF(countif('Mens Lineup'!B$3:B1000,CONCATENATE("=",$A191))=0,"",B$2))</f>
        <v/>
      </c>
      <c r="C191" s="3" t="str">
        <f>IF($A191="","",IF(countif('Mens Lineup'!C$3:C1000,CONCATENATE("=",$A191))=0,"",C$2))</f>
        <v/>
      </c>
      <c r="D191" s="3" t="str">
        <f>IF($A191="","",IF(countif('Mens Lineup'!D$3:D1000,CONCATENATE("=",$A191))=0,"",D$2))</f>
        <v/>
      </c>
      <c r="E191" s="3" t="str">
        <f>IF($A191="","",IF(countif('Mens Lineup'!E$3:E1000,CONCATENATE("=",$A191))=0,"",E$2))</f>
        <v>500 Free</v>
      </c>
      <c r="F191" s="3" t="str">
        <f>IF($A191="","",IF(countif('Mens Lineup'!F$3:F1000,CONCATENATE("=",$A191))=0,"",F$2))</f>
        <v/>
      </c>
      <c r="G191" s="3" t="str">
        <f>IF($A191="","",IF(countif('Mens Lineup'!G$3:G1000,CONCATENATE("=",$A191))=0,"",G$2))</f>
        <v/>
      </c>
      <c r="H191" s="3" t="str">
        <f>IF($A191="","",IF(countif('Mens Lineup'!H$3:H1000,CONCATENATE("=",$A191))=0,"",H$2))</f>
        <v/>
      </c>
      <c r="I191" s="3" t="str">
        <f>IF($A191="","",IF(countif('Mens Lineup'!I$3:I1000,CONCATENATE("=",$A191))=0,"",I$2))</f>
        <v>100 Breast</v>
      </c>
      <c r="J191" s="3" t="str">
        <f>IF($A191="","",IF(countif('Mens Lineup'!J$3:J1000,CONCATENATE("=",$A191))=0,"",J$2))</f>
        <v>200 Breast</v>
      </c>
      <c r="K191" s="3" t="str">
        <f>IF($A191="","",IF(countif('Mens Lineup'!K$3:K1000,CONCATENATE("=",$A191))=0,"",K$2))</f>
        <v/>
      </c>
      <c r="L191" s="3" t="str">
        <f>IF($A191="","",IF(countif('Mens Lineup'!L$3:L1000,CONCATENATE("=",$A191))=0,"",L$2))</f>
        <v/>
      </c>
      <c r="M191" s="3" t="str">
        <f>IF($A191="","",IF(countif('Mens Lineup'!M$3:M1000,CONCATENATE("=",$A191))=0,"",M$2))</f>
        <v>200 IM</v>
      </c>
      <c r="N191" s="3" t="str">
        <f>IF($A191="","",IF(countif('Mens Lineup'!N$3:N1000,CONCATENATE("=",$A191))=0,"",N$2))</f>
        <v>400 IM</v>
      </c>
      <c r="O191" s="3" t="str">
        <f>IF($A191="","",IF(countif('Mens Lineup'!O$3:O1000,CONCATENATE("=",$A191))=0,"",O$2))</f>
        <v>1000 Free</v>
      </c>
      <c r="P191" s="3" t="str">
        <f>IF($A191="","",IF(countif('Mens Lineup'!P$3:P1000,CONCATENATE("=",$A191))=0,"",P$2))</f>
        <v/>
      </c>
      <c r="Q191" s="3" t="str">
        <f>IF($A191="","",IF(countif('Mens Lineup'!Q$3:Q1000,CONCATENATE("=",$A191))=0,"",Q$2))</f>
        <v/>
      </c>
      <c r="R191" s="3" t="str">
        <f>IF($A191="","",IF(countif('Mens Lineup'!R$3:R1000,CONCATENATE("=",$A191))=0,"",R$2))</f>
        <v/>
      </c>
      <c r="S191" s="3" t="str">
        <f>IF($A191="","",IF(countif('Mens Lineup'!S$3:S1000,CONCATENATE("=",$A191))=0,"",S$2))</f>
        <v/>
      </c>
      <c r="W191" s="3" t="str">
        <f>IFERROR(__xludf.DUMMYFUNCTION("JOIN("","",FILTER(B191:S191,B191:S191&lt;&gt;""""))"),"500 Free,100 Breast,200 Breast,200 IM,400 IM,1000 Free")</f>
        <v>500 Free,100 Breast,200 Breast,200 IM,400 IM,1000 Free</v>
      </c>
    </row>
    <row r="192">
      <c r="A192" s="3" t="s">
        <v>219</v>
      </c>
      <c r="B192" s="3" t="str">
        <f>IF($A192="","",IF(countif('Mens Lineup'!B$3:B1000,CONCATENATE("=",$A192))=0,"",B$2))</f>
        <v/>
      </c>
      <c r="C192" s="3" t="str">
        <f>IF($A192="","",IF(countif('Mens Lineup'!C$3:C1000,CONCATENATE("=",$A192))=0,"",C$2))</f>
        <v/>
      </c>
      <c r="D192" s="3" t="str">
        <f>IF($A192="","",IF(countif('Mens Lineup'!D$3:D1000,CONCATENATE("=",$A192))=0,"",D$2))</f>
        <v/>
      </c>
      <c r="E192" s="3" t="str">
        <f>IF($A192="","",IF(countif('Mens Lineup'!E$3:E1000,CONCATENATE("=",$A192))=0,"",E$2))</f>
        <v>500 Free</v>
      </c>
      <c r="F192" s="3" t="str">
        <f>IF($A192="","",IF(countif('Mens Lineup'!F$3:F1000,CONCATENATE("=",$A192))=0,"",F$2))</f>
        <v>1650 Free</v>
      </c>
      <c r="G192" s="3" t="str">
        <f>IF($A192="","",IF(countif('Mens Lineup'!G$3:G1000,CONCATENATE("=",$A192))=0,"",G$2))</f>
        <v/>
      </c>
      <c r="H192" s="3" t="str">
        <f>IF($A192="","",IF(countif('Mens Lineup'!H$3:H1000,CONCATENATE("=",$A192))=0,"",H$2))</f>
        <v/>
      </c>
      <c r="I192" s="3" t="str">
        <f>IF($A192="","",IF(countif('Mens Lineup'!I$3:I1000,CONCATENATE("=",$A192))=0,"",I$2))</f>
        <v/>
      </c>
      <c r="J192" s="3" t="str">
        <f>IF($A192="","",IF(countif('Mens Lineup'!J$3:J1000,CONCATENATE("=",$A192))=0,"",J$2))</f>
        <v/>
      </c>
      <c r="K192" s="3" t="str">
        <f>IF($A192="","",IF(countif('Mens Lineup'!K$3:K1000,CONCATENATE("=",$A192))=0,"",K$2))</f>
        <v/>
      </c>
      <c r="L192" s="3" t="str">
        <f>IF($A192="","",IF(countif('Mens Lineup'!L$3:L1000,CONCATENATE("=",$A192))=0,"",L$2))</f>
        <v>200 Fly</v>
      </c>
      <c r="M192" s="3" t="str">
        <f>IF($A192="","",IF(countif('Mens Lineup'!M$3:M1000,CONCATENATE("=",$A192))=0,"",M$2))</f>
        <v>200 IM</v>
      </c>
      <c r="N192" s="3" t="str">
        <f>IF($A192="","",IF(countif('Mens Lineup'!N$3:N1000,CONCATENATE("=",$A192))=0,"",N$2))</f>
        <v>400 IM</v>
      </c>
      <c r="O192" s="3" t="str">
        <f>IF($A192="","",IF(countif('Mens Lineup'!O$3:O1000,CONCATENATE("=",$A192))=0,"",O$2))</f>
        <v>1000 Free</v>
      </c>
      <c r="P192" s="3" t="str">
        <f>IF($A192="","",IF(countif('Mens Lineup'!P$3:P1000,CONCATENATE("=",$A192))=0,"",P$2))</f>
        <v/>
      </c>
      <c r="Q192" s="3" t="str">
        <f>IF($A192="","",IF(countif('Mens Lineup'!Q$3:Q1000,CONCATENATE("=",$A192))=0,"",Q$2))</f>
        <v/>
      </c>
      <c r="R192" s="3" t="str">
        <f>IF($A192="","",IF(countif('Mens Lineup'!R$3:R1000,CONCATENATE("=",$A192))=0,"",R$2))</f>
        <v/>
      </c>
      <c r="S192" s="3" t="str">
        <f>IF($A192="","",IF(countif('Mens Lineup'!S$3:S1000,CONCATENATE("=",$A192))=0,"",S$2))</f>
        <v/>
      </c>
      <c r="W192" s="3" t="str">
        <f>IFERROR(__xludf.DUMMYFUNCTION("JOIN("","",FILTER(B192:S192,B192:S192&lt;&gt;""""))"),"500 Free,1650 Free,200 Fly,200 IM,400 IM,1000 Free")</f>
        <v>500 Free,1650 Free,200 Fly,200 IM,400 IM,1000 Free</v>
      </c>
    </row>
    <row r="193">
      <c r="A193" s="3" t="s">
        <v>220</v>
      </c>
      <c r="B193" s="3" t="str">
        <f>IF($A193="","",IF(countif('Mens Lineup'!B$3:B1000,CONCATENATE("=",$A193))=0,"",B$2))</f>
        <v/>
      </c>
      <c r="C193" s="3" t="str">
        <f>IF($A193="","",IF(countif('Mens Lineup'!C$3:C1000,CONCATENATE("=",$A193))=0,"",C$2))</f>
        <v/>
      </c>
      <c r="D193" s="3" t="str">
        <f>IF($A193="","",IF(countif('Mens Lineup'!D$3:D1000,CONCATENATE("=",$A193))=0,"",D$2))</f>
        <v/>
      </c>
      <c r="E193" s="3" t="str">
        <f>IF($A193="","",IF(countif('Mens Lineup'!E$3:E1000,CONCATENATE("=",$A193))=0,"",E$2))</f>
        <v>500 Free</v>
      </c>
      <c r="F193" s="3" t="str">
        <f>IF($A193="","",IF(countif('Mens Lineup'!F$3:F1000,CONCATENATE("=",$A193))=0,"",F$2))</f>
        <v/>
      </c>
      <c r="G193" s="3" t="str">
        <f>IF($A193="","",IF(countif('Mens Lineup'!G$3:G1000,CONCATENATE("=",$A193))=0,"",G$2))</f>
        <v/>
      </c>
      <c r="H193" s="3" t="str">
        <f>IF($A193="","",IF(countif('Mens Lineup'!H$3:H1000,CONCATENATE("=",$A193))=0,"",H$2))</f>
        <v/>
      </c>
      <c r="I193" s="3" t="str">
        <f>IF($A193="","",IF(countif('Mens Lineup'!I$3:I1000,CONCATENATE("=",$A193))=0,"",I$2))</f>
        <v>100 Breast</v>
      </c>
      <c r="J193" s="3" t="str">
        <f>IF($A193="","",IF(countif('Mens Lineup'!J$3:J1000,CONCATENATE("=",$A193))=0,"",J$2))</f>
        <v>200 Breast</v>
      </c>
      <c r="K193" s="3" t="str">
        <f>IF($A193="","",IF(countif('Mens Lineup'!K$3:K1000,CONCATENATE("=",$A193))=0,"",K$2))</f>
        <v>100 Fly</v>
      </c>
      <c r="L193" s="3" t="str">
        <f>IF($A193="","",IF(countif('Mens Lineup'!L$3:L1000,CONCATENATE("=",$A193))=0,"",L$2))</f>
        <v>200 Fly</v>
      </c>
      <c r="M193" s="3" t="str">
        <f>IF($A193="","",IF(countif('Mens Lineup'!M$3:M1000,CONCATENATE("=",$A193))=0,"",M$2))</f>
        <v>200 IM</v>
      </c>
      <c r="N193" s="3" t="str">
        <f>IF($A193="","",IF(countif('Mens Lineup'!N$3:N1000,CONCATENATE("=",$A193))=0,"",N$2))</f>
        <v/>
      </c>
      <c r="O193" s="3" t="str">
        <f>IF($A193="","",IF(countif('Mens Lineup'!O$3:O1000,CONCATENATE("=",$A193))=0,"",O$2))</f>
        <v/>
      </c>
      <c r="P193" s="3" t="str">
        <f>IF($A193="","",IF(countif('Mens Lineup'!P$3:P1000,CONCATENATE("=",$A193))=0,"",P$2))</f>
        <v/>
      </c>
      <c r="Q193" s="3" t="str">
        <f>IF($A193="","",IF(countif('Mens Lineup'!Q$3:Q1000,CONCATENATE("=",$A193))=0,"",Q$2))</f>
        <v/>
      </c>
      <c r="R193" s="3" t="str">
        <f>IF($A193="","",IF(countif('Mens Lineup'!R$3:R1000,CONCATENATE("=",$A193))=0,"",R$2))</f>
        <v/>
      </c>
      <c r="S193" s="3" t="str">
        <f>IF($A193="","",IF(countif('Mens Lineup'!S$3:S1000,CONCATENATE("=",$A193))=0,"",S$2))</f>
        <v/>
      </c>
      <c r="W193" s="3" t="str">
        <f>IFERROR(__xludf.DUMMYFUNCTION("JOIN("","",FILTER(B193:S193,B193:S193&lt;&gt;""""))"),"500 Free,100 Breast,200 Breast,100 Fly,200 Fly,200 IM")</f>
        <v>500 Free,100 Breast,200 Breast,100 Fly,200 Fly,200 IM</v>
      </c>
    </row>
    <row r="194">
      <c r="A194" s="3" t="s">
        <v>221</v>
      </c>
      <c r="B194" s="3" t="str">
        <f>IF($A194="","",IF(countif('Mens Lineup'!B$3:B1000,CONCATENATE("=",$A194))=0,"",B$2))</f>
        <v/>
      </c>
      <c r="C194" s="3" t="str">
        <f>IF($A194="","",IF(countif('Mens Lineup'!C$3:C1000,CONCATENATE("=",$A194))=0,"",C$2))</f>
        <v/>
      </c>
      <c r="D194" s="3" t="str">
        <f>IF($A194="","",IF(countif('Mens Lineup'!D$3:D1000,CONCATENATE("=",$A194))=0,"",D$2))</f>
        <v/>
      </c>
      <c r="E194" s="3" t="str">
        <f>IF($A194="","",IF(countif('Mens Lineup'!E$3:E1000,CONCATENATE("=",$A194))=0,"",E$2))</f>
        <v>500 Free</v>
      </c>
      <c r="F194" s="3" t="str">
        <f>IF($A194="","",IF(countif('Mens Lineup'!F$3:F1000,CONCATENATE("=",$A194))=0,"",F$2))</f>
        <v>1650 Free</v>
      </c>
      <c r="G194" s="3" t="str">
        <f>IF($A194="","",IF(countif('Mens Lineup'!G$3:G1000,CONCATENATE("=",$A194))=0,"",G$2))</f>
        <v/>
      </c>
      <c r="H194" s="3" t="str">
        <f>IF($A194="","",IF(countif('Mens Lineup'!H$3:H1000,CONCATENATE("=",$A194))=0,"",H$2))</f>
        <v/>
      </c>
      <c r="I194" s="3" t="str">
        <f>IF($A194="","",IF(countif('Mens Lineup'!I$3:I1000,CONCATENATE("=",$A194))=0,"",I$2))</f>
        <v>100 Breast</v>
      </c>
      <c r="J194" s="3" t="str">
        <f>IF($A194="","",IF(countif('Mens Lineup'!J$3:J1000,CONCATENATE("=",$A194))=0,"",J$2))</f>
        <v>200 Breast</v>
      </c>
      <c r="K194" s="3" t="str">
        <f>IF($A194="","",IF(countif('Mens Lineup'!K$3:K1000,CONCATENATE("=",$A194))=0,"",K$2))</f>
        <v/>
      </c>
      <c r="L194" s="3" t="str">
        <f>IF($A194="","",IF(countif('Mens Lineup'!L$3:L1000,CONCATENATE("=",$A194))=0,"",L$2))</f>
        <v/>
      </c>
      <c r="M194" s="3" t="str">
        <f>IF($A194="","",IF(countif('Mens Lineup'!M$3:M1000,CONCATENATE("=",$A194))=0,"",M$2))</f>
        <v>200 IM</v>
      </c>
      <c r="N194" s="3" t="str">
        <f>IF($A194="","",IF(countif('Mens Lineup'!N$3:N1000,CONCATENATE("=",$A194))=0,"",N$2))</f>
        <v/>
      </c>
      <c r="O194" s="3" t="str">
        <f>IF($A194="","",IF(countif('Mens Lineup'!O$3:O1000,CONCATENATE("=",$A194))=0,"",O$2))</f>
        <v>1000 Free</v>
      </c>
      <c r="P194" s="3" t="str">
        <f>IF($A194="","",IF(countif('Mens Lineup'!P$3:P1000,CONCATENATE("=",$A194))=0,"",P$2))</f>
        <v/>
      </c>
      <c r="Q194" s="3" t="str">
        <f>IF($A194="","",IF(countif('Mens Lineup'!Q$3:Q1000,CONCATENATE("=",$A194))=0,"",Q$2))</f>
        <v/>
      </c>
      <c r="R194" s="3" t="str">
        <f>IF($A194="","",IF(countif('Mens Lineup'!R$3:R1000,CONCATENATE("=",$A194))=0,"",R$2))</f>
        <v/>
      </c>
      <c r="S194" s="3" t="str">
        <f>IF($A194="","",IF(countif('Mens Lineup'!S$3:S1000,CONCATENATE("=",$A194))=0,"",S$2))</f>
        <v/>
      </c>
      <c r="W194" s="3" t="str">
        <f>IFERROR(__xludf.DUMMYFUNCTION("JOIN("","",FILTER(B194:S194,B194:S194&lt;&gt;""""))"),"500 Free,1650 Free,100 Breast,200 Breast,200 IM,1000 Free")</f>
        <v>500 Free,1650 Free,100 Breast,200 Breast,200 IM,1000 Free</v>
      </c>
    </row>
    <row r="195">
      <c r="A195" s="3" t="s">
        <v>222</v>
      </c>
      <c r="B195" s="3" t="str">
        <f>IF($A195="","",IF(countif('Mens Lineup'!B$3:B1000,CONCATENATE("=",$A195))=0,"",B$2))</f>
        <v/>
      </c>
      <c r="C195" s="3" t="str">
        <f>IF($A195="","",IF(countif('Mens Lineup'!C$3:C1000,CONCATENATE("=",$A195))=0,"",C$2))</f>
        <v/>
      </c>
      <c r="D195" s="3" t="str">
        <f>IF($A195="","",IF(countif('Mens Lineup'!D$3:D1000,CONCATENATE("=",$A195))=0,"",D$2))</f>
        <v/>
      </c>
      <c r="E195" s="3" t="str">
        <f>IF($A195="","",IF(countif('Mens Lineup'!E$3:E1000,CONCATENATE("=",$A195))=0,"",E$2))</f>
        <v>500 Free</v>
      </c>
      <c r="F195" s="3" t="str">
        <f>IF($A195="","",IF(countif('Mens Lineup'!F$3:F1000,CONCATENATE("=",$A195))=0,"",F$2))</f>
        <v/>
      </c>
      <c r="G195" s="3" t="str">
        <f>IF($A195="","",IF(countif('Mens Lineup'!G$3:G1000,CONCATENATE("=",$A195))=0,"",G$2))</f>
        <v>100 Back</v>
      </c>
      <c r="H195" s="3" t="str">
        <f>IF($A195="","",IF(countif('Mens Lineup'!H$3:H1000,CONCATENATE("=",$A195))=0,"",H$2))</f>
        <v>200 Back</v>
      </c>
      <c r="I195" s="3" t="str">
        <f>IF($A195="","",IF(countif('Mens Lineup'!I$3:I1000,CONCATENATE("=",$A195))=0,"",I$2))</f>
        <v/>
      </c>
      <c r="J195" s="3" t="str">
        <f>IF($A195="","",IF(countif('Mens Lineup'!J$3:J1000,CONCATENATE("=",$A195))=0,"",J$2))</f>
        <v/>
      </c>
      <c r="K195" s="3" t="str">
        <f>IF($A195="","",IF(countif('Mens Lineup'!K$3:K1000,CONCATENATE("=",$A195))=0,"",K$2))</f>
        <v/>
      </c>
      <c r="L195" s="3" t="str">
        <f>IF($A195="","",IF(countif('Mens Lineup'!L$3:L1000,CONCATENATE("=",$A195))=0,"",L$2))</f>
        <v/>
      </c>
      <c r="M195" s="3" t="str">
        <f>IF($A195="","",IF(countif('Mens Lineup'!M$3:M1000,CONCATENATE("=",$A195))=0,"",M$2))</f>
        <v>200 IM</v>
      </c>
      <c r="N195" s="3" t="str">
        <f>IF($A195="","",IF(countif('Mens Lineup'!N$3:N1000,CONCATENATE("=",$A195))=0,"",N$2))</f>
        <v/>
      </c>
      <c r="O195" s="3" t="str">
        <f>IF($A195="","",IF(countif('Mens Lineup'!O$3:O1000,CONCATENATE("=",$A195))=0,"",O$2))</f>
        <v/>
      </c>
      <c r="P195" s="3" t="str">
        <f>IF($A195="","",IF(countif('Mens Lineup'!P$3:P1000,CONCATENATE("=",$A195))=0,"",P$2))</f>
        <v/>
      </c>
      <c r="Q195" s="3" t="str">
        <f>IF($A195="","",IF(countif('Mens Lineup'!Q$3:Q1000,CONCATENATE("=",$A195))=0,"",Q$2))</f>
        <v/>
      </c>
      <c r="R195" s="3" t="str">
        <f>IF($A195="","",IF(countif('Mens Lineup'!R$3:R1000,CONCATENATE("=",$A195))=0,"",R$2))</f>
        <v/>
      </c>
      <c r="S195" s="3" t="str">
        <f>IF($A195="","",IF(countif('Mens Lineup'!S$3:S1000,CONCATENATE("=",$A195))=0,"",S$2))</f>
        <v/>
      </c>
      <c r="W195" s="3" t="str">
        <f>IFERROR(__xludf.DUMMYFUNCTION("JOIN("","",FILTER(B195:S195,B195:S195&lt;&gt;""""))"),"500 Free,100 Back,200 Back,200 IM")</f>
        <v>500 Free,100 Back,200 Back,200 IM</v>
      </c>
    </row>
    <row r="196">
      <c r="A196" s="3" t="s">
        <v>223</v>
      </c>
      <c r="B196" s="3" t="str">
        <f>IF($A196="","",IF(countif('Mens Lineup'!B$3:B1000,CONCATENATE("=",$A196))=0,"",B$2))</f>
        <v/>
      </c>
      <c r="C196" s="3" t="str">
        <f>IF($A196="","",IF(countif('Mens Lineup'!C$3:C1000,CONCATENATE("=",$A196))=0,"",C$2))</f>
        <v/>
      </c>
      <c r="D196" s="3" t="str">
        <f>IF($A196="","",IF(countif('Mens Lineup'!D$3:D1000,CONCATENATE("=",$A196))=0,"",D$2))</f>
        <v/>
      </c>
      <c r="E196" s="3" t="str">
        <f>IF($A196="","",IF(countif('Mens Lineup'!E$3:E1000,CONCATENATE("=",$A196))=0,"",E$2))</f>
        <v>500 Free</v>
      </c>
      <c r="F196" s="3" t="str">
        <f>IF($A196="","",IF(countif('Mens Lineup'!F$3:F1000,CONCATENATE("=",$A196))=0,"",F$2))</f>
        <v/>
      </c>
      <c r="G196" s="3" t="str">
        <f>IF($A196="","",IF(countif('Mens Lineup'!G$3:G1000,CONCATENATE("=",$A196))=0,"",G$2))</f>
        <v/>
      </c>
      <c r="H196" s="3" t="str">
        <f>IF($A196="","",IF(countif('Mens Lineup'!H$3:H1000,CONCATENATE("=",$A196))=0,"",H$2))</f>
        <v>200 Back</v>
      </c>
      <c r="I196" s="3" t="str">
        <f>IF($A196="","",IF(countif('Mens Lineup'!I$3:I1000,CONCATENATE("=",$A196))=0,"",I$2))</f>
        <v/>
      </c>
      <c r="J196" s="3" t="str">
        <f>IF($A196="","",IF(countif('Mens Lineup'!J$3:J1000,CONCATENATE("=",$A196))=0,"",J$2))</f>
        <v/>
      </c>
      <c r="K196" s="3" t="str">
        <f>IF($A196="","",IF(countif('Mens Lineup'!K$3:K1000,CONCATENATE("=",$A196))=0,"",K$2))</f>
        <v/>
      </c>
      <c r="L196" s="3" t="str">
        <f>IF($A196="","",IF(countif('Mens Lineup'!L$3:L1000,CONCATENATE("=",$A196))=0,"",L$2))</f>
        <v>200 Fly</v>
      </c>
      <c r="M196" s="3" t="str">
        <f>IF($A196="","",IF(countif('Mens Lineup'!M$3:M1000,CONCATENATE("=",$A196))=0,"",M$2))</f>
        <v/>
      </c>
      <c r="N196" s="3" t="str">
        <f>IF($A196="","",IF(countif('Mens Lineup'!N$3:N1000,CONCATENATE("=",$A196))=0,"",N$2))</f>
        <v>400 IM</v>
      </c>
      <c r="O196" s="3" t="str">
        <f>IF($A196="","",IF(countif('Mens Lineup'!O$3:O1000,CONCATENATE("=",$A196))=0,"",O$2))</f>
        <v>1000 Free</v>
      </c>
      <c r="P196" s="3" t="str">
        <f>IF($A196="","",IF(countif('Mens Lineup'!P$3:P1000,CONCATENATE("=",$A196))=0,"",P$2))</f>
        <v/>
      </c>
      <c r="Q196" s="3" t="str">
        <f>IF($A196="","",IF(countif('Mens Lineup'!Q$3:Q1000,CONCATENATE("=",$A196))=0,"",Q$2))</f>
        <v/>
      </c>
      <c r="R196" s="3" t="str">
        <f>IF($A196="","",IF(countif('Mens Lineup'!R$3:R1000,CONCATENATE("=",$A196))=0,"",R$2))</f>
        <v/>
      </c>
      <c r="S196" s="3" t="str">
        <f>IF($A196="","",IF(countif('Mens Lineup'!S$3:S1000,CONCATENATE("=",$A196))=0,"",S$2))</f>
        <v/>
      </c>
      <c r="W196" s="3" t="str">
        <f>IFERROR(__xludf.DUMMYFUNCTION("JOIN("","",FILTER(B196:S196,B196:S196&lt;&gt;""""))"),"500 Free,200 Back,200 Fly,400 IM,1000 Free")</f>
        <v>500 Free,200 Back,200 Fly,400 IM,1000 Free</v>
      </c>
    </row>
    <row r="197">
      <c r="A197" s="3" t="s">
        <v>224</v>
      </c>
      <c r="B197" s="3" t="str">
        <f>IF($A197="","",IF(countif('Mens Lineup'!B$3:B1000,CONCATENATE("=",$A197))=0,"",B$2))</f>
        <v/>
      </c>
      <c r="C197" s="3" t="str">
        <f>IF($A197="","",IF(countif('Mens Lineup'!C$3:C1000,CONCATENATE("=",$A197))=0,"",C$2))</f>
        <v/>
      </c>
      <c r="D197" s="3" t="str">
        <f>IF($A197="","",IF(countif('Mens Lineup'!D$3:D1000,CONCATENATE("=",$A197))=0,"",D$2))</f>
        <v/>
      </c>
      <c r="E197" s="3" t="str">
        <f>IF($A197="","",IF(countif('Mens Lineup'!E$3:E1000,CONCATENATE("=",$A197))=0,"",E$2))</f>
        <v>500 Free</v>
      </c>
      <c r="F197" s="3" t="str">
        <f>IF($A197="","",IF(countif('Mens Lineup'!F$3:F1000,CONCATENATE("=",$A197))=0,"",F$2))</f>
        <v>1650 Free</v>
      </c>
      <c r="G197" s="3" t="str">
        <f>IF($A197="","",IF(countif('Mens Lineup'!G$3:G1000,CONCATENATE("=",$A197))=0,"",G$2))</f>
        <v/>
      </c>
      <c r="H197" s="3" t="str">
        <f>IF($A197="","",IF(countif('Mens Lineup'!H$3:H1000,CONCATENATE("=",$A197))=0,"",H$2))</f>
        <v/>
      </c>
      <c r="I197" s="3" t="str">
        <f>IF($A197="","",IF(countif('Mens Lineup'!I$3:I1000,CONCATENATE("=",$A197))=0,"",I$2))</f>
        <v>100 Breast</v>
      </c>
      <c r="J197" s="3" t="str">
        <f>IF($A197="","",IF(countif('Mens Lineup'!J$3:J1000,CONCATENATE("=",$A197))=0,"",J$2))</f>
        <v>200 Breast</v>
      </c>
      <c r="K197" s="3" t="str">
        <f>IF($A197="","",IF(countif('Mens Lineup'!K$3:K1000,CONCATENATE("=",$A197))=0,"",K$2))</f>
        <v/>
      </c>
      <c r="L197" s="3" t="str">
        <f>IF($A197="","",IF(countif('Mens Lineup'!L$3:L1000,CONCATENATE("=",$A197))=0,"",L$2))</f>
        <v/>
      </c>
      <c r="M197" s="3" t="str">
        <f>IF($A197="","",IF(countif('Mens Lineup'!M$3:M1000,CONCATENATE("=",$A197))=0,"",M$2))</f>
        <v>200 IM</v>
      </c>
      <c r="N197" s="3" t="str">
        <f>IF($A197="","",IF(countif('Mens Lineup'!N$3:N1000,CONCATENATE("=",$A197))=0,"",N$2))</f>
        <v>400 IM</v>
      </c>
      <c r="O197" s="3" t="str">
        <f>IF($A197="","",IF(countif('Mens Lineup'!O$3:O1000,CONCATENATE("=",$A197))=0,"",O$2))</f>
        <v/>
      </c>
      <c r="P197" s="3" t="str">
        <f>IF($A197="","",IF(countif('Mens Lineup'!P$3:P1000,CONCATENATE("=",$A197))=0,"",P$2))</f>
        <v/>
      </c>
      <c r="Q197" s="3" t="str">
        <f>IF($A197="","",IF(countif('Mens Lineup'!Q$3:Q1000,CONCATENATE("=",$A197))=0,"",Q$2))</f>
        <v/>
      </c>
      <c r="R197" s="3" t="str">
        <f>IF($A197="","",IF(countif('Mens Lineup'!R$3:R1000,CONCATENATE("=",$A197))=0,"",R$2))</f>
        <v/>
      </c>
      <c r="S197" s="3" t="str">
        <f>IF($A197="","",IF(countif('Mens Lineup'!S$3:S1000,CONCATENATE("=",$A197))=0,"",S$2))</f>
        <v/>
      </c>
      <c r="W197" s="3" t="str">
        <f>IFERROR(__xludf.DUMMYFUNCTION("JOIN("","",FILTER(B197:S197,B197:S197&lt;&gt;""""))"),"500 Free,1650 Free,100 Breast,200 Breast,200 IM,400 IM")</f>
        <v>500 Free,1650 Free,100 Breast,200 Breast,200 IM,400 IM</v>
      </c>
    </row>
    <row r="198">
      <c r="A198" s="3" t="s">
        <v>225</v>
      </c>
      <c r="B198" s="3" t="str">
        <f>IF($A198="","",IF(countif('Mens Lineup'!B$3:B1000,CONCATENATE("=",$A198))=0,"",B$2))</f>
        <v/>
      </c>
      <c r="C198" s="3" t="str">
        <f>IF($A198="","",IF(countif('Mens Lineup'!C$3:C1000,CONCATENATE("=",$A198))=0,"",C$2))</f>
        <v/>
      </c>
      <c r="D198" s="3" t="str">
        <f>IF($A198="","",IF(countif('Mens Lineup'!D$3:D1000,CONCATENATE("=",$A198))=0,"",D$2))</f>
        <v/>
      </c>
      <c r="E198" s="3" t="str">
        <f>IF($A198="","",IF(countif('Mens Lineup'!E$3:E1000,CONCATENATE("=",$A198))=0,"",E$2))</f>
        <v>500 Free</v>
      </c>
      <c r="F198" s="3" t="str">
        <f>IF($A198="","",IF(countif('Mens Lineup'!F$3:F1000,CONCATENATE("=",$A198))=0,"",F$2))</f>
        <v/>
      </c>
      <c r="G198" s="3" t="str">
        <f>IF($A198="","",IF(countif('Mens Lineup'!G$3:G1000,CONCATENATE("=",$A198))=0,"",G$2))</f>
        <v/>
      </c>
      <c r="H198" s="3" t="str">
        <f>IF($A198="","",IF(countif('Mens Lineup'!H$3:H1000,CONCATENATE("=",$A198))=0,"",H$2))</f>
        <v>200 Back</v>
      </c>
      <c r="I198" s="3" t="str">
        <f>IF($A198="","",IF(countif('Mens Lineup'!I$3:I1000,CONCATENATE("=",$A198))=0,"",I$2))</f>
        <v/>
      </c>
      <c r="J198" s="3" t="str">
        <f>IF($A198="","",IF(countif('Mens Lineup'!J$3:J1000,CONCATENATE("=",$A198))=0,"",J$2))</f>
        <v>200 Breast</v>
      </c>
      <c r="K198" s="3" t="str">
        <f>IF($A198="","",IF(countif('Mens Lineup'!K$3:K1000,CONCATENATE("=",$A198))=0,"",K$2))</f>
        <v/>
      </c>
      <c r="L198" s="3" t="str">
        <f>IF($A198="","",IF(countif('Mens Lineup'!L$3:L1000,CONCATENATE("=",$A198))=0,"",L$2))</f>
        <v/>
      </c>
      <c r="M198" s="3" t="str">
        <f>IF($A198="","",IF(countif('Mens Lineup'!M$3:M1000,CONCATENATE("=",$A198))=0,"",M$2))</f>
        <v>200 IM</v>
      </c>
      <c r="N198" s="3" t="str">
        <f>IF($A198="","",IF(countif('Mens Lineup'!N$3:N1000,CONCATENATE("=",$A198))=0,"",N$2))</f>
        <v/>
      </c>
      <c r="O198" s="3" t="str">
        <f>IF($A198="","",IF(countif('Mens Lineup'!O$3:O1000,CONCATENATE("=",$A198))=0,"",O$2))</f>
        <v>1000 Free</v>
      </c>
      <c r="P198" s="3" t="str">
        <f>IF($A198="","",IF(countif('Mens Lineup'!P$3:P1000,CONCATENATE("=",$A198))=0,"",P$2))</f>
        <v/>
      </c>
      <c r="Q198" s="3" t="str">
        <f>IF($A198="","",IF(countif('Mens Lineup'!Q$3:Q1000,CONCATENATE("=",$A198))=0,"",Q$2))</f>
        <v/>
      </c>
      <c r="R198" s="3" t="str">
        <f>IF($A198="","",IF(countif('Mens Lineup'!R$3:R1000,CONCATENATE("=",$A198))=0,"",R$2))</f>
        <v/>
      </c>
      <c r="S198" s="3" t="str">
        <f>IF($A198="","",IF(countif('Mens Lineup'!S$3:S1000,CONCATENATE("=",$A198))=0,"",S$2))</f>
        <v/>
      </c>
      <c r="W198" s="3" t="str">
        <f>IFERROR(__xludf.DUMMYFUNCTION("JOIN("","",FILTER(B198:S198,B198:S198&lt;&gt;""""))"),"500 Free,200 Back,200 Breast,200 IM,1000 Free")</f>
        <v>500 Free,200 Back,200 Breast,200 IM,1000 Free</v>
      </c>
    </row>
    <row r="199">
      <c r="A199" s="3" t="s">
        <v>226</v>
      </c>
      <c r="B199" s="3" t="str">
        <f>IF($A199="","",IF(countif('Mens Lineup'!B$3:B1000,CONCATENATE("=",$A199))=0,"",B$2))</f>
        <v/>
      </c>
      <c r="C199" s="3" t="str">
        <f>IF($A199="","",IF(countif('Mens Lineup'!C$3:C1000,CONCATENATE("=",$A199))=0,"",C$2))</f>
        <v/>
      </c>
      <c r="D199" s="3" t="str">
        <f>IF($A199="","",IF(countif('Mens Lineup'!D$3:D1000,CONCATENATE("=",$A199))=0,"",D$2))</f>
        <v/>
      </c>
      <c r="E199" s="3" t="str">
        <f>IF($A199="","",IF(countif('Mens Lineup'!E$3:E1000,CONCATENATE("=",$A199))=0,"",E$2))</f>
        <v>500 Free</v>
      </c>
      <c r="F199" s="3" t="str">
        <f>IF($A199="","",IF(countif('Mens Lineup'!F$3:F1000,CONCATENATE("=",$A199))=0,"",F$2))</f>
        <v/>
      </c>
      <c r="G199" s="3" t="str">
        <f>IF($A199="","",IF(countif('Mens Lineup'!G$3:G1000,CONCATENATE("=",$A199))=0,"",G$2))</f>
        <v/>
      </c>
      <c r="H199" s="3" t="str">
        <f>IF($A199="","",IF(countif('Mens Lineup'!H$3:H1000,CONCATENATE("=",$A199))=0,"",H$2))</f>
        <v/>
      </c>
      <c r="I199" s="3" t="str">
        <f>IF($A199="","",IF(countif('Mens Lineup'!I$3:I1000,CONCATENATE("=",$A199))=0,"",I$2))</f>
        <v/>
      </c>
      <c r="J199" s="3" t="str">
        <f>IF($A199="","",IF(countif('Mens Lineup'!J$3:J1000,CONCATENATE("=",$A199))=0,"",J$2))</f>
        <v/>
      </c>
      <c r="K199" s="3" t="str">
        <f>IF($A199="","",IF(countif('Mens Lineup'!K$3:K1000,CONCATENATE("=",$A199))=0,"",K$2))</f>
        <v/>
      </c>
      <c r="L199" s="3" t="str">
        <f>IF($A199="","",IF(countif('Mens Lineup'!L$3:L1000,CONCATENATE("=",$A199))=0,"",L$2))</f>
        <v/>
      </c>
      <c r="M199" s="3" t="str">
        <f>IF($A199="","",IF(countif('Mens Lineup'!M$3:M1000,CONCATENATE("=",$A199))=0,"",M$2))</f>
        <v/>
      </c>
      <c r="N199" s="3" t="str">
        <f>IF($A199="","",IF(countif('Mens Lineup'!N$3:N1000,CONCATENATE("=",$A199))=0,"",N$2))</f>
        <v/>
      </c>
      <c r="O199" s="3" t="str">
        <f>IF($A199="","",IF(countif('Mens Lineup'!O$3:O1000,CONCATENATE("=",$A199))=0,"",O$2))</f>
        <v>1000 Free</v>
      </c>
      <c r="P199" s="3" t="str">
        <f>IF($A199="","",IF(countif('Mens Lineup'!P$3:P1000,CONCATENATE("=",$A199))=0,"",P$2))</f>
        <v/>
      </c>
      <c r="Q199" s="3" t="str">
        <f>IF($A199="","",IF(countif('Mens Lineup'!Q$3:Q1000,CONCATENATE("=",$A199))=0,"",Q$2))</f>
        <v/>
      </c>
      <c r="R199" s="3" t="str">
        <f>IF($A199="","",IF(countif('Mens Lineup'!R$3:R1000,CONCATENATE("=",$A199))=0,"",R$2))</f>
        <v/>
      </c>
      <c r="S199" s="3" t="str">
        <f>IF($A199="","",IF(countif('Mens Lineup'!S$3:S1000,CONCATENATE("=",$A199))=0,"",S$2))</f>
        <v/>
      </c>
      <c r="W199" s="3" t="str">
        <f>IFERROR(__xludf.DUMMYFUNCTION("JOIN("","",FILTER(B199:S199,B199:S199&lt;&gt;""""))"),"500 Free,1000 Free")</f>
        <v>500 Free,1000 Free</v>
      </c>
    </row>
    <row r="200">
      <c r="A200" s="3" t="s">
        <v>227</v>
      </c>
      <c r="B200" s="3" t="str">
        <f>IF($A200="","",IF(countif('Mens Lineup'!B$3:B1000,CONCATENATE("=",$A200))=0,"",B$2))</f>
        <v/>
      </c>
      <c r="C200" s="3" t="str">
        <f>IF($A200="","",IF(countif('Mens Lineup'!C$3:C1000,CONCATENATE("=",$A200))=0,"",C$2))</f>
        <v/>
      </c>
      <c r="D200" s="3" t="str">
        <f>IF($A200="","",IF(countif('Mens Lineup'!D$3:D1000,CONCATENATE("=",$A200))=0,"",D$2))</f>
        <v/>
      </c>
      <c r="E200" s="3" t="str">
        <f>IF($A200="","",IF(countif('Mens Lineup'!E$3:E1000,CONCATENATE("=",$A200))=0,"",E$2))</f>
        <v>500 Free</v>
      </c>
      <c r="F200" s="3" t="str">
        <f>IF($A200="","",IF(countif('Mens Lineup'!F$3:F1000,CONCATENATE("=",$A200))=0,"",F$2))</f>
        <v>1650 Free</v>
      </c>
      <c r="G200" s="3" t="str">
        <f>IF($A200="","",IF(countif('Mens Lineup'!G$3:G1000,CONCATENATE("=",$A200))=0,"",G$2))</f>
        <v>100 Back</v>
      </c>
      <c r="H200" s="3" t="str">
        <f>IF($A200="","",IF(countif('Mens Lineup'!H$3:H1000,CONCATENATE("=",$A200))=0,"",H$2))</f>
        <v/>
      </c>
      <c r="I200" s="3" t="str">
        <f>IF($A200="","",IF(countif('Mens Lineup'!I$3:I1000,CONCATENATE("=",$A200))=0,"",I$2))</f>
        <v/>
      </c>
      <c r="J200" s="3" t="str">
        <f>IF($A200="","",IF(countif('Mens Lineup'!J$3:J1000,CONCATENATE("=",$A200))=0,"",J$2))</f>
        <v/>
      </c>
      <c r="K200" s="3" t="str">
        <f>IF($A200="","",IF(countif('Mens Lineup'!K$3:K1000,CONCATENATE("=",$A200))=0,"",K$2))</f>
        <v>100 Fly</v>
      </c>
      <c r="L200" s="3" t="str">
        <f>IF($A200="","",IF(countif('Mens Lineup'!L$3:L1000,CONCATENATE("=",$A200))=0,"",L$2))</f>
        <v>200 Fly</v>
      </c>
      <c r="M200" s="3" t="str">
        <f>IF($A200="","",IF(countif('Mens Lineup'!M$3:M1000,CONCATENATE("=",$A200))=0,"",M$2))</f>
        <v/>
      </c>
      <c r="N200" s="3" t="str">
        <f>IF($A200="","",IF(countif('Mens Lineup'!N$3:N1000,CONCATENATE("=",$A200))=0,"",N$2))</f>
        <v/>
      </c>
      <c r="O200" s="3" t="str">
        <f>IF($A200="","",IF(countif('Mens Lineup'!O$3:O1000,CONCATENATE("=",$A200))=0,"",O$2))</f>
        <v/>
      </c>
      <c r="P200" s="3" t="str">
        <f>IF($A200="","",IF(countif('Mens Lineup'!P$3:P1000,CONCATENATE("=",$A200))=0,"",P$2))</f>
        <v/>
      </c>
      <c r="Q200" s="3" t="str">
        <f>IF($A200="","",IF(countif('Mens Lineup'!Q$3:Q1000,CONCATENATE("=",$A200))=0,"",Q$2))</f>
        <v/>
      </c>
      <c r="R200" s="3" t="str">
        <f>IF($A200="","",IF(countif('Mens Lineup'!R$3:R1000,CONCATENATE("=",$A200))=0,"",R$2))</f>
        <v/>
      </c>
      <c r="S200" s="3" t="str">
        <f>IF($A200="","",IF(countif('Mens Lineup'!S$3:S1000,CONCATENATE("=",$A200))=0,"",S$2))</f>
        <v/>
      </c>
      <c r="W200" s="3" t="str">
        <f>IFERROR(__xludf.DUMMYFUNCTION("JOIN("","",FILTER(B200:S200,B200:S200&lt;&gt;""""))"),"500 Free,1650 Free,100 Back,100 Fly,200 Fly")</f>
        <v>500 Free,1650 Free,100 Back,100 Fly,200 Fly</v>
      </c>
    </row>
    <row r="201">
      <c r="A201" s="3" t="s">
        <v>228</v>
      </c>
      <c r="B201" s="3" t="str">
        <f>IF($A201="","",IF(countif('Mens Lineup'!B$3:B1000,CONCATENATE("=",$A201))=0,"",B$2))</f>
        <v/>
      </c>
      <c r="C201" s="3" t="str">
        <f>IF($A201="","",IF(countif('Mens Lineup'!C$3:C1000,CONCATENATE("=",$A201))=0,"",C$2))</f>
        <v/>
      </c>
      <c r="D201" s="3" t="str">
        <f>IF($A201="","",IF(countif('Mens Lineup'!D$3:D1000,CONCATENATE("=",$A201))=0,"",D$2))</f>
        <v/>
      </c>
      <c r="E201" s="3" t="str">
        <f>IF($A201="","",IF(countif('Mens Lineup'!E$3:E1000,CONCATENATE("=",$A201))=0,"",E$2))</f>
        <v/>
      </c>
      <c r="F201" s="3" t="str">
        <f>IF($A201="","",IF(countif('Mens Lineup'!F$3:F1000,CONCATENATE("=",$A201))=0,"",F$2))</f>
        <v>1650 Free</v>
      </c>
      <c r="G201" s="3" t="str">
        <f>IF($A201="","",IF(countif('Mens Lineup'!G$3:G1000,CONCATENATE("=",$A201))=0,"",G$2))</f>
        <v/>
      </c>
      <c r="H201" s="3" t="str">
        <f>IF($A201="","",IF(countif('Mens Lineup'!H$3:H1000,CONCATENATE("=",$A201))=0,"",H$2))</f>
        <v>200 Back</v>
      </c>
      <c r="I201" s="3" t="str">
        <f>IF($A201="","",IF(countif('Mens Lineup'!I$3:I1000,CONCATENATE("=",$A201))=0,"",I$2))</f>
        <v/>
      </c>
      <c r="J201" s="3" t="str">
        <f>IF($A201="","",IF(countif('Mens Lineup'!J$3:J1000,CONCATENATE("=",$A201))=0,"",J$2))</f>
        <v>200 Breast</v>
      </c>
      <c r="K201" s="3" t="str">
        <f>IF($A201="","",IF(countif('Mens Lineup'!K$3:K1000,CONCATENATE("=",$A201))=0,"",K$2))</f>
        <v/>
      </c>
      <c r="L201" s="3" t="str">
        <f>IF($A201="","",IF(countif('Mens Lineup'!L$3:L1000,CONCATENATE("=",$A201))=0,"",L$2))</f>
        <v>200 Fly</v>
      </c>
      <c r="M201" s="3" t="str">
        <f>IF($A201="","",IF(countif('Mens Lineup'!M$3:M1000,CONCATENATE("=",$A201))=0,"",M$2))</f>
        <v>200 IM</v>
      </c>
      <c r="N201" s="3" t="str">
        <f>IF($A201="","",IF(countif('Mens Lineup'!N$3:N1000,CONCATENATE("=",$A201))=0,"",N$2))</f>
        <v>400 IM</v>
      </c>
      <c r="O201" s="3" t="str">
        <f>IF($A201="","",IF(countif('Mens Lineup'!O$3:O1000,CONCATENATE("=",$A201))=0,"",O$2))</f>
        <v/>
      </c>
      <c r="P201" s="3" t="str">
        <f>IF($A201="","",IF(countif('Mens Lineup'!P$3:P1000,CONCATENATE("=",$A201))=0,"",P$2))</f>
        <v/>
      </c>
      <c r="Q201" s="3" t="str">
        <f>IF($A201="","",IF(countif('Mens Lineup'!Q$3:Q1000,CONCATENATE("=",$A201))=0,"",Q$2))</f>
        <v/>
      </c>
      <c r="R201" s="3" t="str">
        <f>IF($A201="","",IF(countif('Mens Lineup'!R$3:R1000,CONCATENATE("=",$A201))=0,"",R$2))</f>
        <v/>
      </c>
      <c r="S201" s="3" t="str">
        <f>IF($A201="","",IF(countif('Mens Lineup'!S$3:S1000,CONCATENATE("=",$A201))=0,"",S$2))</f>
        <v/>
      </c>
      <c r="W201" s="3" t="str">
        <f>IFERROR(__xludf.DUMMYFUNCTION("JOIN("","",FILTER(B201:S201,B201:S201&lt;&gt;""""))"),"1650 Free,200 Back,200 Breast,200 Fly,200 IM,400 IM")</f>
        <v>1650 Free,200 Back,200 Breast,200 Fly,200 IM,400 IM</v>
      </c>
    </row>
    <row r="202">
      <c r="A202" s="3" t="s">
        <v>229</v>
      </c>
      <c r="B202" s="3" t="str">
        <f>IF($A202="","",IF(countif('Mens Lineup'!B$3:B1000,CONCATENATE("=",$A202))=0,"",B$2))</f>
        <v/>
      </c>
      <c r="C202" s="3" t="str">
        <f>IF($A202="","",IF(countif('Mens Lineup'!C$3:C1000,CONCATENATE("=",$A202))=0,"",C$2))</f>
        <v/>
      </c>
      <c r="D202" s="3" t="str">
        <f>IF($A202="","",IF(countif('Mens Lineup'!D$3:D1000,CONCATENATE("=",$A202))=0,"",D$2))</f>
        <v/>
      </c>
      <c r="E202" s="3" t="str">
        <f>IF($A202="","",IF(countif('Mens Lineup'!E$3:E1000,CONCATENATE("=",$A202))=0,"",E$2))</f>
        <v/>
      </c>
      <c r="F202" s="3" t="str">
        <f>IF($A202="","",IF(countif('Mens Lineup'!F$3:F1000,CONCATENATE("=",$A202))=0,"",F$2))</f>
        <v>1650 Free</v>
      </c>
      <c r="G202" s="3" t="str">
        <f>IF($A202="","",IF(countif('Mens Lineup'!G$3:G1000,CONCATENATE("=",$A202))=0,"",G$2))</f>
        <v/>
      </c>
      <c r="H202" s="3" t="str">
        <f>IF($A202="","",IF(countif('Mens Lineup'!H$3:H1000,CONCATENATE("=",$A202))=0,"",H$2))</f>
        <v>200 Back</v>
      </c>
      <c r="I202" s="3" t="str">
        <f>IF($A202="","",IF(countif('Mens Lineup'!I$3:I1000,CONCATENATE("=",$A202))=0,"",I$2))</f>
        <v/>
      </c>
      <c r="J202" s="3" t="str">
        <f>IF($A202="","",IF(countif('Mens Lineup'!J$3:J1000,CONCATENATE("=",$A202))=0,"",J$2))</f>
        <v/>
      </c>
      <c r="K202" s="3" t="str">
        <f>IF($A202="","",IF(countif('Mens Lineup'!K$3:K1000,CONCATENATE("=",$A202))=0,"",K$2))</f>
        <v>100 Fly</v>
      </c>
      <c r="L202" s="3" t="str">
        <f>IF($A202="","",IF(countif('Mens Lineup'!L$3:L1000,CONCATENATE("=",$A202))=0,"",L$2))</f>
        <v>200 Fly</v>
      </c>
      <c r="M202" s="3" t="str">
        <f>IF($A202="","",IF(countif('Mens Lineup'!M$3:M1000,CONCATENATE("=",$A202))=0,"",M$2))</f>
        <v/>
      </c>
      <c r="N202" s="3" t="str">
        <f>IF($A202="","",IF(countif('Mens Lineup'!N$3:N1000,CONCATENATE("=",$A202))=0,"",N$2))</f>
        <v>400 IM</v>
      </c>
      <c r="O202" s="3" t="str">
        <f>IF($A202="","",IF(countif('Mens Lineup'!O$3:O1000,CONCATENATE("=",$A202))=0,"",O$2))</f>
        <v>1000 Free</v>
      </c>
      <c r="P202" s="3" t="str">
        <f>IF($A202="","",IF(countif('Mens Lineup'!P$3:P1000,CONCATENATE("=",$A202))=0,"",P$2))</f>
        <v/>
      </c>
      <c r="Q202" s="3" t="str">
        <f>IF($A202="","",IF(countif('Mens Lineup'!Q$3:Q1000,CONCATENATE("=",$A202))=0,"",Q$2))</f>
        <v/>
      </c>
      <c r="R202" s="3" t="str">
        <f>IF($A202="","",IF(countif('Mens Lineup'!R$3:R1000,CONCATENATE("=",$A202))=0,"",R$2))</f>
        <v/>
      </c>
      <c r="S202" s="3" t="str">
        <f>IF($A202="","",IF(countif('Mens Lineup'!S$3:S1000,CONCATENATE("=",$A202))=0,"",S$2))</f>
        <v/>
      </c>
      <c r="W202" s="3" t="str">
        <f>IFERROR(__xludf.DUMMYFUNCTION("JOIN("","",FILTER(B202:S202,B202:S202&lt;&gt;""""))"),"1650 Free,200 Back,100 Fly,200 Fly,400 IM,1000 Free")</f>
        <v>1650 Free,200 Back,100 Fly,200 Fly,400 IM,1000 Free</v>
      </c>
    </row>
    <row r="203">
      <c r="A203" s="3" t="s">
        <v>230</v>
      </c>
      <c r="B203" s="3" t="str">
        <f>IF($A203="","",IF(countif('Mens Lineup'!B$3:B1000,CONCATENATE("=",$A203))=0,"",B$2))</f>
        <v/>
      </c>
      <c r="C203" s="3" t="str">
        <f>IF($A203="","",IF(countif('Mens Lineup'!C$3:C1000,CONCATENATE("=",$A203))=0,"",C$2))</f>
        <v/>
      </c>
      <c r="D203" s="3" t="str">
        <f>IF($A203="","",IF(countif('Mens Lineup'!D$3:D1000,CONCATENATE("=",$A203))=0,"",D$2))</f>
        <v/>
      </c>
      <c r="E203" s="3" t="str">
        <f>IF($A203="","",IF(countif('Mens Lineup'!E$3:E1000,CONCATENATE("=",$A203))=0,"",E$2))</f>
        <v/>
      </c>
      <c r="F203" s="3" t="str">
        <f>IF($A203="","",IF(countif('Mens Lineup'!F$3:F1000,CONCATENATE("=",$A203))=0,"",F$2))</f>
        <v>1650 Free</v>
      </c>
      <c r="G203" s="3" t="str">
        <f>IF($A203="","",IF(countif('Mens Lineup'!G$3:G1000,CONCATENATE("=",$A203))=0,"",G$2))</f>
        <v/>
      </c>
      <c r="H203" s="3" t="str">
        <f>IF($A203="","",IF(countif('Mens Lineup'!H$3:H1000,CONCATENATE("=",$A203))=0,"",H$2))</f>
        <v>200 Back</v>
      </c>
      <c r="I203" s="3" t="str">
        <f>IF($A203="","",IF(countif('Mens Lineup'!I$3:I1000,CONCATENATE("=",$A203))=0,"",I$2))</f>
        <v/>
      </c>
      <c r="J203" s="3" t="str">
        <f>IF($A203="","",IF(countif('Mens Lineup'!J$3:J1000,CONCATENATE("=",$A203))=0,"",J$2))</f>
        <v/>
      </c>
      <c r="K203" s="3" t="str">
        <f>IF($A203="","",IF(countif('Mens Lineup'!K$3:K1000,CONCATENATE("=",$A203))=0,"",K$2))</f>
        <v/>
      </c>
      <c r="L203" s="3" t="str">
        <f>IF($A203="","",IF(countif('Mens Lineup'!L$3:L1000,CONCATENATE("=",$A203))=0,"",L$2))</f>
        <v>200 Fly</v>
      </c>
      <c r="M203" s="3" t="str">
        <f>IF($A203="","",IF(countif('Mens Lineup'!M$3:M1000,CONCATENATE("=",$A203))=0,"",M$2))</f>
        <v/>
      </c>
      <c r="N203" s="3" t="str">
        <f>IF($A203="","",IF(countif('Mens Lineup'!N$3:N1000,CONCATENATE("=",$A203))=0,"",N$2))</f>
        <v/>
      </c>
      <c r="O203" s="3" t="str">
        <f>IF($A203="","",IF(countif('Mens Lineup'!O$3:O1000,CONCATENATE("=",$A203))=0,"",O$2))</f>
        <v>1000 Free</v>
      </c>
      <c r="P203" s="3" t="str">
        <f>IF($A203="","",IF(countif('Mens Lineup'!P$3:P1000,CONCATENATE("=",$A203))=0,"",P$2))</f>
        <v/>
      </c>
      <c r="Q203" s="3" t="str">
        <f>IF($A203="","",IF(countif('Mens Lineup'!Q$3:Q1000,CONCATENATE("=",$A203))=0,"",Q$2))</f>
        <v/>
      </c>
      <c r="R203" s="3" t="str">
        <f>IF($A203="","",IF(countif('Mens Lineup'!R$3:R1000,CONCATENATE("=",$A203))=0,"",R$2))</f>
        <v/>
      </c>
      <c r="S203" s="3" t="str">
        <f>IF($A203="","",IF(countif('Mens Lineup'!S$3:S1000,CONCATENATE("=",$A203))=0,"",S$2))</f>
        <v/>
      </c>
      <c r="W203" s="3" t="str">
        <f>IFERROR(__xludf.DUMMYFUNCTION("JOIN("","",FILTER(B203:S203,B203:S203&lt;&gt;""""))"),"1650 Free,200 Back,200 Fly,1000 Free")</f>
        <v>1650 Free,200 Back,200 Fly,1000 Free</v>
      </c>
    </row>
    <row r="204">
      <c r="A204" s="3" t="s">
        <v>231</v>
      </c>
      <c r="B204" s="3" t="str">
        <f>IF($A204="","",IF(countif('Mens Lineup'!B$3:B1000,CONCATENATE("=",$A204))=0,"",B$2))</f>
        <v/>
      </c>
      <c r="C204" s="3" t="str">
        <f>IF($A204="","",IF(countif('Mens Lineup'!C$3:C1000,CONCATENATE("=",$A204))=0,"",C$2))</f>
        <v/>
      </c>
      <c r="D204" s="3" t="str">
        <f>IF($A204="","",IF(countif('Mens Lineup'!D$3:D1000,CONCATENATE("=",$A204))=0,"",D$2))</f>
        <v/>
      </c>
      <c r="E204" s="3" t="str">
        <f>IF($A204="","",IF(countif('Mens Lineup'!E$3:E1000,CONCATENATE("=",$A204))=0,"",E$2))</f>
        <v/>
      </c>
      <c r="F204" s="3" t="str">
        <f>IF($A204="","",IF(countif('Mens Lineup'!F$3:F1000,CONCATENATE("=",$A204))=0,"",F$2))</f>
        <v>1650 Free</v>
      </c>
      <c r="G204" s="3" t="str">
        <f>IF($A204="","",IF(countif('Mens Lineup'!G$3:G1000,CONCATENATE("=",$A204))=0,"",G$2))</f>
        <v/>
      </c>
      <c r="H204" s="3" t="str">
        <f>IF($A204="","",IF(countif('Mens Lineup'!H$3:H1000,CONCATENATE("=",$A204))=0,"",H$2))</f>
        <v/>
      </c>
      <c r="I204" s="3" t="str">
        <f>IF($A204="","",IF(countif('Mens Lineup'!I$3:I1000,CONCATENATE("=",$A204))=0,"",I$2))</f>
        <v/>
      </c>
      <c r="J204" s="3" t="str">
        <f>IF($A204="","",IF(countif('Mens Lineup'!J$3:J1000,CONCATENATE("=",$A204))=0,"",J$2))</f>
        <v>200 Breast</v>
      </c>
      <c r="K204" s="3" t="str">
        <f>IF($A204="","",IF(countif('Mens Lineup'!K$3:K1000,CONCATENATE("=",$A204))=0,"",K$2))</f>
        <v/>
      </c>
      <c r="L204" s="3" t="str">
        <f>IF($A204="","",IF(countif('Mens Lineup'!L$3:L1000,CONCATENATE("=",$A204))=0,"",L$2))</f>
        <v/>
      </c>
      <c r="M204" s="3" t="str">
        <f>IF($A204="","",IF(countif('Mens Lineup'!M$3:M1000,CONCATENATE("=",$A204))=0,"",M$2))</f>
        <v/>
      </c>
      <c r="N204" s="3" t="str">
        <f>IF($A204="","",IF(countif('Mens Lineup'!N$3:N1000,CONCATENATE("=",$A204))=0,"",N$2))</f>
        <v/>
      </c>
      <c r="O204" s="3" t="str">
        <f>IF($A204="","",IF(countif('Mens Lineup'!O$3:O1000,CONCATENATE("=",$A204))=0,"",O$2))</f>
        <v>1000 Free</v>
      </c>
      <c r="P204" s="3" t="str">
        <f>IF($A204="","",IF(countif('Mens Lineup'!P$3:P1000,CONCATENATE("=",$A204))=0,"",P$2))</f>
        <v/>
      </c>
      <c r="Q204" s="3" t="str">
        <f>IF($A204="","",IF(countif('Mens Lineup'!Q$3:Q1000,CONCATENATE("=",$A204))=0,"",Q$2))</f>
        <v/>
      </c>
      <c r="R204" s="3" t="str">
        <f>IF($A204="","",IF(countif('Mens Lineup'!R$3:R1000,CONCATENATE("=",$A204))=0,"",R$2))</f>
        <v/>
      </c>
      <c r="S204" s="3" t="str">
        <f>IF($A204="","",IF(countif('Mens Lineup'!S$3:S1000,CONCATENATE("=",$A204))=0,"",S$2))</f>
        <v/>
      </c>
      <c r="W204" s="3" t="str">
        <f>IFERROR(__xludf.DUMMYFUNCTION("JOIN("","",FILTER(B204:S204,B204:S204&lt;&gt;""""))"),"1650 Free,200 Breast,1000 Free")</f>
        <v>1650 Free,200 Breast,1000 Free</v>
      </c>
    </row>
    <row r="205">
      <c r="A205" s="3" t="s">
        <v>232</v>
      </c>
      <c r="B205" s="3" t="str">
        <f>IF($A205="","",IF(countif('Mens Lineup'!B$3:B1000,CONCATENATE("=",$A205))=0,"",B$2))</f>
        <v/>
      </c>
      <c r="C205" s="3" t="str">
        <f>IF($A205="","",IF(countif('Mens Lineup'!C$3:C1000,CONCATENATE("=",$A205))=0,"",C$2))</f>
        <v/>
      </c>
      <c r="D205" s="3" t="str">
        <f>IF($A205="","",IF(countif('Mens Lineup'!D$3:D1000,CONCATENATE("=",$A205))=0,"",D$2))</f>
        <v/>
      </c>
      <c r="E205" s="3" t="str">
        <f>IF($A205="","",IF(countif('Mens Lineup'!E$3:E1000,CONCATENATE("=",$A205))=0,"",E$2))</f>
        <v/>
      </c>
      <c r="F205" s="3" t="str">
        <f>IF($A205="","",IF(countif('Mens Lineup'!F$3:F1000,CONCATENATE("=",$A205))=0,"",F$2))</f>
        <v>1650 Free</v>
      </c>
      <c r="G205" s="3" t="str">
        <f>IF($A205="","",IF(countif('Mens Lineup'!G$3:G1000,CONCATENATE("=",$A205))=0,"",G$2))</f>
        <v/>
      </c>
      <c r="H205" s="3" t="str">
        <f>IF($A205="","",IF(countif('Mens Lineup'!H$3:H1000,CONCATENATE("=",$A205))=0,"",H$2))</f>
        <v/>
      </c>
      <c r="I205" s="3" t="str">
        <f>IF($A205="","",IF(countif('Mens Lineup'!I$3:I1000,CONCATENATE("=",$A205))=0,"",I$2))</f>
        <v/>
      </c>
      <c r="J205" s="3" t="str">
        <f>IF($A205="","",IF(countif('Mens Lineup'!J$3:J1000,CONCATENATE("=",$A205))=0,"",J$2))</f>
        <v/>
      </c>
      <c r="K205" s="3" t="str">
        <f>IF($A205="","",IF(countif('Mens Lineup'!K$3:K1000,CONCATENATE("=",$A205))=0,"",K$2))</f>
        <v/>
      </c>
      <c r="L205" s="3" t="str">
        <f>IF($A205="","",IF(countif('Mens Lineup'!L$3:L1000,CONCATENATE("=",$A205))=0,"",L$2))</f>
        <v/>
      </c>
      <c r="M205" s="3" t="str">
        <f>IF($A205="","",IF(countif('Mens Lineup'!M$3:M1000,CONCATENATE("=",$A205))=0,"",M$2))</f>
        <v/>
      </c>
      <c r="N205" s="3" t="str">
        <f>IF($A205="","",IF(countif('Mens Lineup'!N$3:N1000,CONCATENATE("=",$A205))=0,"",N$2))</f>
        <v/>
      </c>
      <c r="O205" s="3" t="str">
        <f>IF($A205="","",IF(countif('Mens Lineup'!O$3:O1000,CONCATENATE("=",$A205))=0,"",O$2))</f>
        <v>1000 Free</v>
      </c>
      <c r="P205" s="3" t="str">
        <f>IF($A205="","",IF(countif('Mens Lineup'!P$3:P1000,CONCATENATE("=",$A205))=0,"",P$2))</f>
        <v/>
      </c>
      <c r="Q205" s="3" t="str">
        <f>IF($A205="","",IF(countif('Mens Lineup'!Q$3:Q1000,CONCATENATE("=",$A205))=0,"",Q$2))</f>
        <v/>
      </c>
      <c r="R205" s="3" t="str">
        <f>IF($A205="","",IF(countif('Mens Lineup'!R$3:R1000,CONCATENATE("=",$A205))=0,"",R$2))</f>
        <v/>
      </c>
      <c r="S205" s="3" t="str">
        <f>IF($A205="","",IF(countif('Mens Lineup'!S$3:S1000,CONCATENATE("=",$A205))=0,"",S$2))</f>
        <v/>
      </c>
      <c r="W205" s="3" t="str">
        <f>IFERROR(__xludf.DUMMYFUNCTION("JOIN("","",FILTER(B205:S205,B205:S205&lt;&gt;""""))"),"1650 Free,1000 Free")</f>
        <v>1650 Free,1000 Free</v>
      </c>
    </row>
    <row r="206">
      <c r="A206" s="3" t="s">
        <v>233</v>
      </c>
      <c r="B206" s="3" t="str">
        <f>IF($A206="","",IF(countif('Mens Lineup'!B$3:B1000,CONCATENATE("=",$A206))=0,"",B$2))</f>
        <v/>
      </c>
      <c r="C206" s="3" t="str">
        <f>IF($A206="","",IF(countif('Mens Lineup'!C$3:C1000,CONCATENATE("=",$A206))=0,"",C$2))</f>
        <v/>
      </c>
      <c r="D206" s="3" t="str">
        <f>IF($A206="","",IF(countif('Mens Lineup'!D$3:D1000,CONCATENATE("=",$A206))=0,"",D$2))</f>
        <v/>
      </c>
      <c r="E206" s="3" t="str">
        <f>IF($A206="","",IF(countif('Mens Lineup'!E$3:E1000,CONCATENATE("=",$A206))=0,"",E$2))</f>
        <v/>
      </c>
      <c r="F206" s="3" t="str">
        <f>IF($A206="","",IF(countif('Mens Lineup'!F$3:F1000,CONCATENATE("=",$A206))=0,"",F$2))</f>
        <v>1650 Free</v>
      </c>
      <c r="G206" s="3" t="str">
        <f>IF($A206="","",IF(countif('Mens Lineup'!G$3:G1000,CONCATENATE("=",$A206))=0,"",G$2))</f>
        <v/>
      </c>
      <c r="H206" s="3" t="str">
        <f>IF($A206="","",IF(countif('Mens Lineup'!H$3:H1000,CONCATENATE("=",$A206))=0,"",H$2))</f>
        <v/>
      </c>
      <c r="I206" s="3" t="str">
        <f>IF($A206="","",IF(countif('Mens Lineup'!I$3:I1000,CONCATENATE("=",$A206))=0,"",I$2))</f>
        <v/>
      </c>
      <c r="J206" s="3" t="str">
        <f>IF($A206="","",IF(countif('Mens Lineup'!J$3:J1000,CONCATENATE("=",$A206))=0,"",J$2))</f>
        <v>200 Breast</v>
      </c>
      <c r="K206" s="3" t="str">
        <f>IF($A206="","",IF(countif('Mens Lineup'!K$3:K1000,CONCATENATE("=",$A206))=0,"",K$2))</f>
        <v/>
      </c>
      <c r="L206" s="3" t="str">
        <f>IF($A206="","",IF(countif('Mens Lineup'!L$3:L1000,CONCATENATE("=",$A206))=0,"",L$2))</f>
        <v/>
      </c>
      <c r="M206" s="3" t="str">
        <f>IF($A206="","",IF(countif('Mens Lineup'!M$3:M1000,CONCATENATE("=",$A206))=0,"",M$2))</f>
        <v/>
      </c>
      <c r="N206" s="3" t="str">
        <f>IF($A206="","",IF(countif('Mens Lineup'!N$3:N1000,CONCATENATE("=",$A206))=0,"",N$2))</f>
        <v/>
      </c>
      <c r="O206" s="3" t="str">
        <f>IF($A206="","",IF(countif('Mens Lineup'!O$3:O1000,CONCATENATE("=",$A206))=0,"",O$2))</f>
        <v>1000 Free</v>
      </c>
      <c r="P206" s="3" t="str">
        <f>IF($A206="","",IF(countif('Mens Lineup'!P$3:P1000,CONCATENATE("=",$A206))=0,"",P$2))</f>
        <v/>
      </c>
      <c r="Q206" s="3" t="str">
        <f>IF($A206="","",IF(countif('Mens Lineup'!Q$3:Q1000,CONCATENATE("=",$A206))=0,"",Q$2))</f>
        <v/>
      </c>
      <c r="R206" s="3" t="str">
        <f>IF($A206="","",IF(countif('Mens Lineup'!R$3:R1000,CONCATENATE("=",$A206))=0,"",R$2))</f>
        <v/>
      </c>
      <c r="S206" s="3" t="str">
        <f>IF($A206="","",IF(countif('Mens Lineup'!S$3:S1000,CONCATENATE("=",$A206))=0,"",S$2))</f>
        <v/>
      </c>
      <c r="W206" s="3" t="str">
        <f>IFERROR(__xludf.DUMMYFUNCTION("JOIN("","",FILTER(B206:S206,B206:S206&lt;&gt;""""))"),"1650 Free,200 Breast,1000 Free")</f>
        <v>1650 Free,200 Breast,1000 Free</v>
      </c>
    </row>
    <row r="207">
      <c r="A207" s="3" t="s">
        <v>234</v>
      </c>
      <c r="B207" s="3" t="str">
        <f>IF($A207="","",IF(countif('Mens Lineup'!B$3:B1000,CONCATENATE("=",$A207))=0,"",B$2))</f>
        <v/>
      </c>
      <c r="C207" s="3" t="str">
        <f>IF($A207="","",IF(countif('Mens Lineup'!C$3:C1000,CONCATENATE("=",$A207))=0,"",C$2))</f>
        <v/>
      </c>
      <c r="D207" s="3" t="str">
        <f>IF($A207="","",IF(countif('Mens Lineup'!D$3:D1000,CONCATENATE("=",$A207))=0,"",D$2))</f>
        <v/>
      </c>
      <c r="E207" s="3" t="str">
        <f>IF($A207="","",IF(countif('Mens Lineup'!E$3:E1000,CONCATENATE("=",$A207))=0,"",E$2))</f>
        <v/>
      </c>
      <c r="F207" s="3" t="str">
        <f>IF($A207="","",IF(countif('Mens Lineup'!F$3:F1000,CONCATENATE("=",$A207))=0,"",F$2))</f>
        <v>1650 Free</v>
      </c>
      <c r="G207" s="3" t="str">
        <f>IF($A207="","",IF(countif('Mens Lineup'!G$3:G1000,CONCATENATE("=",$A207))=0,"",G$2))</f>
        <v/>
      </c>
      <c r="H207" s="3" t="str">
        <f>IF($A207="","",IF(countif('Mens Lineup'!H$3:H1000,CONCATENATE("=",$A207))=0,"",H$2))</f>
        <v/>
      </c>
      <c r="I207" s="3" t="str">
        <f>IF($A207="","",IF(countif('Mens Lineup'!I$3:I1000,CONCATENATE("=",$A207))=0,"",I$2))</f>
        <v>100 Breast</v>
      </c>
      <c r="J207" s="3" t="str">
        <f>IF($A207="","",IF(countif('Mens Lineup'!J$3:J1000,CONCATENATE("=",$A207))=0,"",J$2))</f>
        <v/>
      </c>
      <c r="K207" s="3" t="str">
        <f>IF($A207="","",IF(countif('Mens Lineup'!K$3:K1000,CONCATENATE("=",$A207))=0,"",K$2))</f>
        <v>100 Fly</v>
      </c>
      <c r="L207" s="3" t="str">
        <f>IF($A207="","",IF(countif('Mens Lineup'!L$3:L1000,CONCATENATE("=",$A207))=0,"",L$2))</f>
        <v/>
      </c>
      <c r="M207" s="3" t="str">
        <f>IF($A207="","",IF(countif('Mens Lineup'!M$3:M1000,CONCATENATE("=",$A207))=0,"",M$2))</f>
        <v/>
      </c>
      <c r="N207" s="3" t="str">
        <f>IF($A207="","",IF(countif('Mens Lineup'!N$3:N1000,CONCATENATE("=",$A207))=0,"",N$2))</f>
        <v/>
      </c>
      <c r="O207" s="3" t="str">
        <f>IF($A207="","",IF(countif('Mens Lineup'!O$3:O1000,CONCATENATE("=",$A207))=0,"",O$2))</f>
        <v>1000 Free</v>
      </c>
      <c r="P207" s="3" t="str">
        <f>IF($A207="","",IF(countif('Mens Lineup'!P$3:P1000,CONCATENATE("=",$A207))=0,"",P$2))</f>
        <v/>
      </c>
      <c r="Q207" s="3" t="str">
        <f>IF($A207="","",IF(countif('Mens Lineup'!Q$3:Q1000,CONCATENATE("=",$A207))=0,"",Q$2))</f>
        <v/>
      </c>
      <c r="R207" s="3" t="str">
        <f>IF($A207="","",IF(countif('Mens Lineup'!R$3:R1000,CONCATENATE("=",$A207))=0,"",R$2))</f>
        <v/>
      </c>
      <c r="S207" s="3" t="str">
        <f>IF($A207="","",IF(countif('Mens Lineup'!S$3:S1000,CONCATENATE("=",$A207))=0,"",S$2))</f>
        <v/>
      </c>
      <c r="W207" s="3" t="str">
        <f>IFERROR(__xludf.DUMMYFUNCTION("JOIN("","",FILTER(B207:S207,B207:S207&lt;&gt;""""))"),"1650 Free,100 Breast,100 Fly,1000 Free")</f>
        <v>1650 Free,100 Breast,100 Fly,1000 Free</v>
      </c>
    </row>
    <row r="208">
      <c r="A208" s="3" t="s">
        <v>235</v>
      </c>
      <c r="B208" s="3" t="str">
        <f>IF($A208="","",IF(countif('Mens Lineup'!B$3:B1000,CONCATENATE("=",$A208))=0,"",B$2))</f>
        <v/>
      </c>
      <c r="C208" s="3" t="str">
        <f>IF($A208="","",IF(countif('Mens Lineup'!C$3:C1000,CONCATENATE("=",$A208))=0,"",C$2))</f>
        <v/>
      </c>
      <c r="D208" s="3" t="str">
        <f>IF($A208="","",IF(countif('Mens Lineup'!D$3:D1000,CONCATENATE("=",$A208))=0,"",D$2))</f>
        <v/>
      </c>
      <c r="E208" s="3" t="str">
        <f>IF($A208="","",IF(countif('Mens Lineup'!E$3:E1000,CONCATENATE("=",$A208))=0,"",E$2))</f>
        <v/>
      </c>
      <c r="F208" s="3" t="str">
        <f>IF($A208="","",IF(countif('Mens Lineup'!F$3:F1000,CONCATENATE("=",$A208))=0,"",F$2))</f>
        <v>1650 Free</v>
      </c>
      <c r="G208" s="3" t="str">
        <f>IF($A208="","",IF(countif('Mens Lineup'!G$3:G1000,CONCATENATE("=",$A208))=0,"",G$2))</f>
        <v/>
      </c>
      <c r="H208" s="3" t="str">
        <f>IF($A208="","",IF(countif('Mens Lineup'!H$3:H1000,CONCATENATE("=",$A208))=0,"",H$2))</f>
        <v/>
      </c>
      <c r="I208" s="3" t="str">
        <f>IF($A208="","",IF(countif('Mens Lineup'!I$3:I1000,CONCATENATE("=",$A208))=0,"",I$2))</f>
        <v/>
      </c>
      <c r="J208" s="3" t="str">
        <f>IF($A208="","",IF(countif('Mens Lineup'!J$3:J1000,CONCATENATE("=",$A208))=0,"",J$2))</f>
        <v/>
      </c>
      <c r="K208" s="3" t="str">
        <f>IF($A208="","",IF(countif('Mens Lineup'!K$3:K1000,CONCATENATE("=",$A208))=0,"",K$2))</f>
        <v/>
      </c>
      <c r="L208" s="3" t="str">
        <f>IF($A208="","",IF(countif('Mens Lineup'!L$3:L1000,CONCATENATE("=",$A208))=0,"",L$2))</f>
        <v>200 Fly</v>
      </c>
      <c r="M208" s="3" t="str">
        <f>IF($A208="","",IF(countif('Mens Lineup'!M$3:M1000,CONCATENATE("=",$A208))=0,"",M$2))</f>
        <v/>
      </c>
      <c r="N208" s="3" t="str">
        <f>IF($A208="","",IF(countif('Mens Lineup'!N$3:N1000,CONCATENATE("=",$A208))=0,"",N$2))</f>
        <v/>
      </c>
      <c r="O208" s="3" t="str">
        <f>IF($A208="","",IF(countif('Mens Lineup'!O$3:O1000,CONCATENATE("=",$A208))=0,"",O$2))</f>
        <v>1000 Free</v>
      </c>
      <c r="P208" s="3" t="str">
        <f>IF($A208="","",IF(countif('Mens Lineup'!P$3:P1000,CONCATENATE("=",$A208))=0,"",P$2))</f>
        <v/>
      </c>
      <c r="Q208" s="3" t="str">
        <f>IF($A208="","",IF(countif('Mens Lineup'!Q$3:Q1000,CONCATENATE("=",$A208))=0,"",Q$2))</f>
        <v/>
      </c>
      <c r="R208" s="3" t="str">
        <f>IF($A208="","",IF(countif('Mens Lineup'!R$3:R1000,CONCATENATE("=",$A208))=0,"",R$2))</f>
        <v/>
      </c>
      <c r="S208" s="3" t="str">
        <f>IF($A208="","",IF(countif('Mens Lineup'!S$3:S1000,CONCATENATE("=",$A208))=0,"",S$2))</f>
        <v/>
      </c>
      <c r="W208" s="3" t="str">
        <f>IFERROR(__xludf.DUMMYFUNCTION("JOIN("","",FILTER(B208:S208,B208:S208&lt;&gt;""""))"),"1650 Free,200 Fly,1000 Free")</f>
        <v>1650 Free,200 Fly,1000 Free</v>
      </c>
    </row>
    <row r="209">
      <c r="A209" s="3" t="s">
        <v>236</v>
      </c>
      <c r="B209" s="3" t="str">
        <f>IF($A209="","",IF(countif('Mens Lineup'!B$3:B1000,CONCATENATE("=",$A209))=0,"",B$2))</f>
        <v/>
      </c>
      <c r="C209" s="3" t="str">
        <f>IF($A209="","",IF(countif('Mens Lineup'!C$3:C1000,CONCATENATE("=",$A209))=0,"",C$2))</f>
        <v/>
      </c>
      <c r="D209" s="3" t="str">
        <f>IF($A209="","",IF(countif('Mens Lineup'!D$3:D1000,CONCATENATE("=",$A209))=0,"",D$2))</f>
        <v/>
      </c>
      <c r="E209" s="3" t="str">
        <f>IF($A209="","",IF(countif('Mens Lineup'!E$3:E1000,CONCATENATE("=",$A209))=0,"",E$2))</f>
        <v/>
      </c>
      <c r="F209" s="3" t="str">
        <f>IF($A209="","",IF(countif('Mens Lineup'!F$3:F1000,CONCATENATE("=",$A209))=0,"",F$2))</f>
        <v>1650 Free</v>
      </c>
      <c r="G209" s="3" t="str">
        <f>IF($A209="","",IF(countif('Mens Lineup'!G$3:G1000,CONCATENATE("=",$A209))=0,"",G$2))</f>
        <v/>
      </c>
      <c r="H209" s="3" t="str">
        <f>IF($A209="","",IF(countif('Mens Lineup'!H$3:H1000,CONCATENATE("=",$A209))=0,"",H$2))</f>
        <v/>
      </c>
      <c r="I209" s="3" t="str">
        <f>IF($A209="","",IF(countif('Mens Lineup'!I$3:I1000,CONCATENATE("=",$A209))=0,"",I$2))</f>
        <v/>
      </c>
      <c r="J209" s="3" t="str">
        <f>IF($A209="","",IF(countif('Mens Lineup'!J$3:J1000,CONCATENATE("=",$A209))=0,"",J$2))</f>
        <v/>
      </c>
      <c r="K209" s="3" t="str">
        <f>IF($A209="","",IF(countif('Mens Lineup'!K$3:K1000,CONCATENATE("=",$A209))=0,"",K$2))</f>
        <v/>
      </c>
      <c r="L209" s="3" t="str">
        <f>IF($A209="","",IF(countif('Mens Lineup'!L$3:L1000,CONCATENATE("=",$A209))=0,"",L$2))</f>
        <v/>
      </c>
      <c r="M209" s="3" t="str">
        <f>IF($A209="","",IF(countif('Mens Lineup'!M$3:M1000,CONCATENATE("=",$A209))=0,"",M$2))</f>
        <v/>
      </c>
      <c r="N209" s="3" t="str">
        <f>IF($A209="","",IF(countif('Mens Lineup'!N$3:N1000,CONCATENATE("=",$A209))=0,"",N$2))</f>
        <v/>
      </c>
      <c r="O209" s="3" t="str">
        <f>IF($A209="","",IF(countif('Mens Lineup'!O$3:O1000,CONCATENATE("=",$A209))=0,"",O$2))</f>
        <v>1000 Free</v>
      </c>
      <c r="P209" s="3" t="str">
        <f>IF($A209="","",IF(countif('Mens Lineup'!P$3:P1000,CONCATENATE("=",$A209))=0,"",P$2))</f>
        <v/>
      </c>
      <c r="Q209" s="3" t="str">
        <f>IF($A209="","",IF(countif('Mens Lineup'!Q$3:Q1000,CONCATENATE("=",$A209))=0,"",Q$2))</f>
        <v/>
      </c>
      <c r="R209" s="3" t="str">
        <f>IF($A209="","",IF(countif('Mens Lineup'!R$3:R1000,CONCATENATE("=",$A209))=0,"",R$2))</f>
        <v/>
      </c>
      <c r="S209" s="3" t="str">
        <f>IF($A209="","",IF(countif('Mens Lineup'!S$3:S1000,CONCATENATE("=",$A209))=0,"",S$2))</f>
        <v/>
      </c>
      <c r="W209" s="3" t="str">
        <f>IFERROR(__xludf.DUMMYFUNCTION("JOIN("","",FILTER(B209:S209,B209:S209&lt;&gt;""""))"),"1650 Free,1000 Free")</f>
        <v>1650 Free,1000 Free</v>
      </c>
    </row>
    <row r="210">
      <c r="A210" s="3" t="s">
        <v>237</v>
      </c>
      <c r="B210" s="3" t="str">
        <f>IF($A210="","",IF(countif('Mens Lineup'!B$3:B1000,CONCATENATE("=",$A210))=0,"",B$2))</f>
        <v/>
      </c>
      <c r="C210" s="3" t="str">
        <f>IF($A210="","",IF(countif('Mens Lineup'!C$3:C1000,CONCATENATE("=",$A210))=0,"",C$2))</f>
        <v/>
      </c>
      <c r="D210" s="3" t="str">
        <f>IF($A210="","",IF(countif('Mens Lineup'!D$3:D1000,CONCATENATE("=",$A210))=0,"",D$2))</f>
        <v/>
      </c>
      <c r="E210" s="3" t="str">
        <f>IF($A210="","",IF(countif('Mens Lineup'!E$3:E1000,CONCATENATE("=",$A210))=0,"",E$2))</f>
        <v/>
      </c>
      <c r="F210" s="3" t="str">
        <f>IF($A210="","",IF(countif('Mens Lineup'!F$3:F1000,CONCATENATE("=",$A210))=0,"",F$2))</f>
        <v/>
      </c>
      <c r="G210" s="3" t="str">
        <f>IF($A210="","",IF(countif('Mens Lineup'!G$3:G1000,CONCATENATE("=",$A210))=0,"",G$2))</f>
        <v>100 Back</v>
      </c>
      <c r="H210" s="3" t="str">
        <f>IF($A210="","",IF(countif('Mens Lineup'!H$3:H1000,CONCATENATE("=",$A210))=0,"",H$2))</f>
        <v>200 Back</v>
      </c>
      <c r="I210" s="3" t="str">
        <f>IF($A210="","",IF(countif('Mens Lineup'!I$3:I1000,CONCATENATE("=",$A210))=0,"",I$2))</f>
        <v/>
      </c>
      <c r="J210" s="3" t="str">
        <f>IF($A210="","",IF(countif('Mens Lineup'!J$3:J1000,CONCATENATE("=",$A210))=0,"",J$2))</f>
        <v/>
      </c>
      <c r="K210" s="3" t="str">
        <f>IF($A210="","",IF(countif('Mens Lineup'!K$3:K1000,CONCATENATE("=",$A210))=0,"",K$2))</f>
        <v>100 Fly</v>
      </c>
      <c r="L210" s="3" t="str">
        <f>IF($A210="","",IF(countif('Mens Lineup'!L$3:L1000,CONCATENATE("=",$A210))=0,"",L$2))</f>
        <v>200 Fly</v>
      </c>
      <c r="M210" s="3" t="str">
        <f>IF($A210="","",IF(countif('Mens Lineup'!M$3:M1000,CONCATENATE("=",$A210))=0,"",M$2))</f>
        <v>200 IM</v>
      </c>
      <c r="N210" s="3" t="str">
        <f>IF($A210="","",IF(countif('Mens Lineup'!N$3:N1000,CONCATENATE("=",$A210))=0,"",N$2))</f>
        <v>400 IM</v>
      </c>
      <c r="O210" s="3" t="str">
        <f>IF($A210="","",IF(countif('Mens Lineup'!O$3:O1000,CONCATENATE("=",$A210))=0,"",O$2))</f>
        <v/>
      </c>
      <c r="P210" s="3" t="str">
        <f>IF($A210="","",IF(countif('Mens Lineup'!P$3:P1000,CONCATENATE("=",$A210))=0,"",P$2))</f>
        <v/>
      </c>
      <c r="Q210" s="3" t="str">
        <f>IF($A210="","",IF(countif('Mens Lineup'!Q$3:Q1000,CONCATENATE("=",$A210))=0,"",Q$2))</f>
        <v/>
      </c>
      <c r="R210" s="3" t="str">
        <f>IF($A210="","",IF(countif('Mens Lineup'!R$3:R1000,CONCATENATE("=",$A210))=0,"",R$2))</f>
        <v/>
      </c>
      <c r="S210" s="3" t="str">
        <f>IF($A210="","",IF(countif('Mens Lineup'!S$3:S1000,CONCATENATE("=",$A210))=0,"",S$2))</f>
        <v/>
      </c>
      <c r="W210" s="3" t="str">
        <f>IFERROR(__xludf.DUMMYFUNCTION("JOIN("","",FILTER(B210:S210,B210:S210&lt;&gt;""""))"),"100 Back,200 Back,100 Fly,200 Fly,200 IM,400 IM")</f>
        <v>100 Back,200 Back,100 Fly,200 Fly,200 IM,400 IM</v>
      </c>
    </row>
    <row r="211">
      <c r="A211" s="3" t="s">
        <v>238</v>
      </c>
      <c r="B211" s="3" t="str">
        <f>IF($A211="","",IF(countif('Mens Lineup'!B$3:B1000,CONCATENATE("=",$A211))=0,"",B$2))</f>
        <v/>
      </c>
      <c r="C211" s="3" t="str">
        <f>IF($A211="","",IF(countif('Mens Lineup'!C$3:C1000,CONCATENATE("=",$A211))=0,"",C$2))</f>
        <v/>
      </c>
      <c r="D211" s="3" t="str">
        <f>IF($A211="","",IF(countif('Mens Lineup'!D$3:D1000,CONCATENATE("=",$A211))=0,"",D$2))</f>
        <v/>
      </c>
      <c r="E211" s="3" t="str">
        <f>IF($A211="","",IF(countif('Mens Lineup'!E$3:E1000,CONCATENATE("=",$A211))=0,"",E$2))</f>
        <v/>
      </c>
      <c r="F211" s="3" t="str">
        <f>IF($A211="","",IF(countif('Mens Lineup'!F$3:F1000,CONCATENATE("=",$A211))=0,"",F$2))</f>
        <v/>
      </c>
      <c r="G211" s="3" t="str">
        <f>IF($A211="","",IF(countif('Mens Lineup'!G$3:G1000,CONCATENATE("=",$A211))=0,"",G$2))</f>
        <v>100 Back</v>
      </c>
      <c r="H211" s="3" t="str">
        <f>IF($A211="","",IF(countif('Mens Lineup'!H$3:H1000,CONCATENATE("=",$A211))=0,"",H$2))</f>
        <v>200 Back</v>
      </c>
      <c r="I211" s="3" t="str">
        <f>IF($A211="","",IF(countif('Mens Lineup'!I$3:I1000,CONCATENATE("=",$A211))=0,"",I$2))</f>
        <v/>
      </c>
      <c r="J211" s="3" t="str">
        <f>IF($A211="","",IF(countif('Mens Lineup'!J$3:J1000,CONCATENATE("=",$A211))=0,"",J$2))</f>
        <v/>
      </c>
      <c r="K211" s="3" t="str">
        <f>IF($A211="","",IF(countif('Mens Lineup'!K$3:K1000,CONCATENATE("=",$A211))=0,"",K$2))</f>
        <v>100 Fly</v>
      </c>
      <c r="L211" s="3" t="str">
        <f>IF($A211="","",IF(countif('Mens Lineup'!L$3:L1000,CONCATENATE("=",$A211))=0,"",L$2))</f>
        <v>200 Fly</v>
      </c>
      <c r="M211" s="3" t="str">
        <f>IF($A211="","",IF(countif('Mens Lineup'!M$3:M1000,CONCATENATE("=",$A211))=0,"",M$2))</f>
        <v>200 IM</v>
      </c>
      <c r="N211" s="3" t="str">
        <f>IF($A211="","",IF(countif('Mens Lineup'!N$3:N1000,CONCATENATE("=",$A211))=0,"",N$2))</f>
        <v>400 IM</v>
      </c>
      <c r="O211" s="3" t="str">
        <f>IF($A211="","",IF(countif('Mens Lineup'!O$3:O1000,CONCATENATE("=",$A211))=0,"",O$2))</f>
        <v/>
      </c>
      <c r="P211" s="3" t="str">
        <f>IF($A211="","",IF(countif('Mens Lineup'!P$3:P1000,CONCATENATE("=",$A211))=0,"",P$2))</f>
        <v/>
      </c>
      <c r="Q211" s="3" t="str">
        <f>IF($A211="","",IF(countif('Mens Lineup'!Q$3:Q1000,CONCATENATE("=",$A211))=0,"",Q$2))</f>
        <v/>
      </c>
      <c r="R211" s="3" t="str">
        <f>IF($A211="","",IF(countif('Mens Lineup'!R$3:R1000,CONCATENATE("=",$A211))=0,"",R$2))</f>
        <v/>
      </c>
      <c r="S211" s="3" t="str">
        <f>IF($A211="","",IF(countif('Mens Lineup'!S$3:S1000,CONCATENATE("=",$A211))=0,"",S$2))</f>
        <v/>
      </c>
      <c r="W211" s="3" t="str">
        <f>IFERROR(__xludf.DUMMYFUNCTION("JOIN("","",FILTER(B211:S211,B211:S211&lt;&gt;""""))"),"100 Back,200 Back,100 Fly,200 Fly,200 IM,400 IM")</f>
        <v>100 Back,200 Back,100 Fly,200 Fly,200 IM,400 IM</v>
      </c>
    </row>
    <row r="212">
      <c r="A212" s="3" t="s">
        <v>239</v>
      </c>
      <c r="B212" s="3" t="str">
        <f>IF($A212="","",IF(countif('Mens Lineup'!B$3:B1000,CONCATENATE("=",$A212))=0,"",B$2))</f>
        <v/>
      </c>
      <c r="C212" s="3" t="str">
        <f>IF($A212="","",IF(countif('Mens Lineup'!C$3:C1000,CONCATENATE("=",$A212))=0,"",C$2))</f>
        <v/>
      </c>
      <c r="D212" s="3" t="str">
        <f>IF($A212="","",IF(countif('Mens Lineup'!D$3:D1000,CONCATENATE("=",$A212))=0,"",D$2))</f>
        <v/>
      </c>
      <c r="E212" s="3" t="str">
        <f>IF($A212="","",IF(countif('Mens Lineup'!E$3:E1000,CONCATENATE("=",$A212))=0,"",E$2))</f>
        <v/>
      </c>
      <c r="F212" s="3" t="str">
        <f>IF($A212="","",IF(countif('Mens Lineup'!F$3:F1000,CONCATENATE("=",$A212))=0,"",F$2))</f>
        <v/>
      </c>
      <c r="G212" s="3" t="str">
        <f>IF($A212="","",IF(countif('Mens Lineup'!G$3:G1000,CONCATENATE("=",$A212))=0,"",G$2))</f>
        <v>100 Back</v>
      </c>
      <c r="H212" s="3" t="str">
        <f>IF($A212="","",IF(countif('Mens Lineup'!H$3:H1000,CONCATENATE("=",$A212))=0,"",H$2))</f>
        <v>200 Back</v>
      </c>
      <c r="I212" s="3" t="str">
        <f>IF($A212="","",IF(countif('Mens Lineup'!I$3:I1000,CONCATENATE("=",$A212))=0,"",I$2))</f>
        <v>100 Breast</v>
      </c>
      <c r="J212" s="3" t="str">
        <f>IF($A212="","",IF(countif('Mens Lineup'!J$3:J1000,CONCATENATE("=",$A212))=0,"",J$2))</f>
        <v>200 Breast</v>
      </c>
      <c r="K212" s="3" t="str">
        <f>IF($A212="","",IF(countif('Mens Lineup'!K$3:K1000,CONCATENATE("=",$A212))=0,"",K$2))</f>
        <v/>
      </c>
      <c r="L212" s="3" t="str">
        <f>IF($A212="","",IF(countif('Mens Lineup'!L$3:L1000,CONCATENATE("=",$A212))=0,"",L$2))</f>
        <v/>
      </c>
      <c r="M212" s="3" t="str">
        <f>IF($A212="","",IF(countif('Mens Lineup'!M$3:M1000,CONCATENATE("=",$A212))=0,"",M$2))</f>
        <v>200 IM</v>
      </c>
      <c r="N212" s="3" t="str">
        <f>IF($A212="","",IF(countif('Mens Lineup'!N$3:N1000,CONCATENATE("=",$A212))=0,"",N$2))</f>
        <v>400 IM</v>
      </c>
      <c r="O212" s="3" t="str">
        <f>IF($A212="","",IF(countif('Mens Lineup'!O$3:O1000,CONCATENATE("=",$A212))=0,"",O$2))</f>
        <v/>
      </c>
      <c r="P212" s="3" t="str">
        <f>IF($A212="","",IF(countif('Mens Lineup'!P$3:P1000,CONCATENATE("=",$A212))=0,"",P$2))</f>
        <v/>
      </c>
      <c r="Q212" s="3" t="str">
        <f>IF($A212="","",IF(countif('Mens Lineup'!Q$3:Q1000,CONCATENATE("=",$A212))=0,"",Q$2))</f>
        <v/>
      </c>
      <c r="R212" s="3" t="str">
        <f>IF($A212="","",IF(countif('Mens Lineup'!R$3:R1000,CONCATENATE("=",$A212))=0,"",R$2))</f>
        <v/>
      </c>
      <c r="S212" s="3" t="str">
        <f>IF($A212="","",IF(countif('Mens Lineup'!S$3:S1000,CONCATENATE("=",$A212))=0,"",S$2))</f>
        <v/>
      </c>
      <c r="W212" s="3" t="str">
        <f>IFERROR(__xludf.DUMMYFUNCTION("JOIN("","",FILTER(B212:S212,B212:S212&lt;&gt;""""))"),"100 Back,200 Back,100 Breast,200 Breast,200 IM,400 IM")</f>
        <v>100 Back,200 Back,100 Breast,200 Breast,200 IM,400 IM</v>
      </c>
    </row>
    <row r="213">
      <c r="A213" s="3" t="s">
        <v>240</v>
      </c>
      <c r="B213" s="3" t="str">
        <f>IF($A213="","",IF(countif('Mens Lineup'!B$3:B1000,CONCATENATE("=",$A213))=0,"",B$2))</f>
        <v/>
      </c>
      <c r="C213" s="3" t="str">
        <f>IF($A213="","",IF(countif('Mens Lineup'!C$3:C1000,CONCATENATE("=",$A213))=0,"",C$2))</f>
        <v/>
      </c>
      <c r="D213" s="3" t="str">
        <f>IF($A213="","",IF(countif('Mens Lineup'!D$3:D1000,CONCATENATE("=",$A213))=0,"",D$2))</f>
        <v/>
      </c>
      <c r="E213" s="3" t="str">
        <f>IF($A213="","",IF(countif('Mens Lineup'!E$3:E1000,CONCATENATE("=",$A213))=0,"",E$2))</f>
        <v/>
      </c>
      <c r="F213" s="3" t="str">
        <f>IF($A213="","",IF(countif('Mens Lineup'!F$3:F1000,CONCATENATE("=",$A213))=0,"",F$2))</f>
        <v/>
      </c>
      <c r="G213" s="3" t="str">
        <f>IF($A213="","",IF(countif('Mens Lineup'!G$3:G1000,CONCATENATE("=",$A213))=0,"",G$2))</f>
        <v>100 Back</v>
      </c>
      <c r="H213" s="3" t="str">
        <f>IF($A213="","",IF(countif('Mens Lineup'!H$3:H1000,CONCATENATE("=",$A213))=0,"",H$2))</f>
        <v>200 Back</v>
      </c>
      <c r="I213" s="3" t="str">
        <f>IF($A213="","",IF(countif('Mens Lineup'!I$3:I1000,CONCATENATE("=",$A213))=0,"",I$2))</f>
        <v>100 Breast</v>
      </c>
      <c r="J213" s="3" t="str">
        <f>IF($A213="","",IF(countif('Mens Lineup'!J$3:J1000,CONCATENATE("=",$A213))=0,"",J$2))</f>
        <v>200 Breast</v>
      </c>
      <c r="K213" s="3" t="str">
        <f>IF($A213="","",IF(countif('Mens Lineup'!K$3:K1000,CONCATENATE("=",$A213))=0,"",K$2))</f>
        <v/>
      </c>
      <c r="L213" s="3" t="str">
        <f>IF($A213="","",IF(countif('Mens Lineup'!L$3:L1000,CONCATENATE("=",$A213))=0,"",L$2))</f>
        <v/>
      </c>
      <c r="M213" s="3" t="str">
        <f>IF($A213="","",IF(countif('Mens Lineup'!M$3:M1000,CONCATENATE("=",$A213))=0,"",M$2))</f>
        <v>200 IM</v>
      </c>
      <c r="N213" s="3" t="str">
        <f>IF($A213="","",IF(countif('Mens Lineup'!N$3:N1000,CONCATENATE("=",$A213))=0,"",N$2))</f>
        <v>400 IM</v>
      </c>
      <c r="O213" s="3" t="str">
        <f>IF($A213="","",IF(countif('Mens Lineup'!O$3:O1000,CONCATENATE("=",$A213))=0,"",O$2))</f>
        <v/>
      </c>
      <c r="P213" s="3" t="str">
        <f>IF($A213="","",IF(countif('Mens Lineup'!P$3:P1000,CONCATENATE("=",$A213))=0,"",P$2))</f>
        <v/>
      </c>
      <c r="Q213" s="3" t="str">
        <f>IF($A213="","",IF(countif('Mens Lineup'!Q$3:Q1000,CONCATENATE("=",$A213))=0,"",Q$2))</f>
        <v/>
      </c>
      <c r="R213" s="3" t="str">
        <f>IF($A213="","",IF(countif('Mens Lineup'!R$3:R1000,CONCATENATE("=",$A213))=0,"",R$2))</f>
        <v/>
      </c>
      <c r="S213" s="3" t="str">
        <f>IF($A213="","",IF(countif('Mens Lineup'!S$3:S1000,CONCATENATE("=",$A213))=0,"",S$2))</f>
        <v/>
      </c>
      <c r="W213" s="3" t="str">
        <f>IFERROR(__xludf.DUMMYFUNCTION("JOIN("","",FILTER(B213:S213,B213:S213&lt;&gt;""""))"),"100 Back,200 Back,100 Breast,200 Breast,200 IM,400 IM")</f>
        <v>100 Back,200 Back,100 Breast,200 Breast,200 IM,400 IM</v>
      </c>
    </row>
    <row r="214">
      <c r="A214" s="3" t="s">
        <v>241</v>
      </c>
      <c r="B214" s="3" t="str">
        <f>IF($A214="","",IF(countif('Mens Lineup'!B$3:B1000,CONCATENATE("=",$A214))=0,"",B$2))</f>
        <v/>
      </c>
      <c r="C214" s="3" t="str">
        <f>IF($A214="","",IF(countif('Mens Lineup'!C$3:C1000,CONCATENATE("=",$A214))=0,"",C$2))</f>
        <v/>
      </c>
      <c r="D214" s="3" t="str">
        <f>IF($A214="","",IF(countif('Mens Lineup'!D$3:D1000,CONCATENATE("=",$A214))=0,"",D$2))</f>
        <v/>
      </c>
      <c r="E214" s="3" t="str">
        <f>IF($A214="","",IF(countif('Mens Lineup'!E$3:E1000,CONCATENATE("=",$A214))=0,"",E$2))</f>
        <v/>
      </c>
      <c r="F214" s="3" t="str">
        <f>IF($A214="","",IF(countif('Mens Lineup'!F$3:F1000,CONCATENATE("=",$A214))=0,"",F$2))</f>
        <v/>
      </c>
      <c r="G214" s="3" t="str">
        <f>IF($A214="","",IF(countif('Mens Lineup'!G$3:G1000,CONCATENATE("=",$A214))=0,"",G$2))</f>
        <v>100 Back</v>
      </c>
      <c r="H214" s="3" t="str">
        <f>IF($A214="","",IF(countif('Mens Lineup'!H$3:H1000,CONCATENATE("=",$A214))=0,"",H$2))</f>
        <v>200 Back</v>
      </c>
      <c r="I214" s="3" t="str">
        <f>IF($A214="","",IF(countif('Mens Lineup'!I$3:I1000,CONCATENATE("=",$A214))=0,"",I$2))</f>
        <v>100 Breast</v>
      </c>
      <c r="J214" s="3" t="str">
        <f>IF($A214="","",IF(countif('Mens Lineup'!J$3:J1000,CONCATENATE("=",$A214))=0,"",J$2))</f>
        <v/>
      </c>
      <c r="K214" s="3" t="str">
        <f>IF($A214="","",IF(countif('Mens Lineup'!K$3:K1000,CONCATENATE("=",$A214))=0,"",K$2))</f>
        <v>100 Fly</v>
      </c>
      <c r="L214" s="3" t="str">
        <f>IF($A214="","",IF(countif('Mens Lineup'!L$3:L1000,CONCATENATE("=",$A214))=0,"",L$2))</f>
        <v>200 Fly</v>
      </c>
      <c r="M214" s="3" t="str">
        <f>IF($A214="","",IF(countif('Mens Lineup'!M$3:M1000,CONCATENATE("=",$A214))=0,"",M$2))</f>
        <v>200 IM</v>
      </c>
      <c r="N214" s="3" t="str">
        <f>IF($A214="","",IF(countif('Mens Lineup'!N$3:N1000,CONCATENATE("=",$A214))=0,"",N$2))</f>
        <v/>
      </c>
      <c r="O214" s="3" t="str">
        <f>IF($A214="","",IF(countif('Mens Lineup'!O$3:O1000,CONCATENATE("=",$A214))=0,"",O$2))</f>
        <v/>
      </c>
      <c r="P214" s="3" t="str">
        <f>IF($A214="","",IF(countif('Mens Lineup'!P$3:P1000,CONCATENATE("=",$A214))=0,"",P$2))</f>
        <v/>
      </c>
      <c r="Q214" s="3" t="str">
        <f>IF($A214="","",IF(countif('Mens Lineup'!Q$3:Q1000,CONCATENATE("=",$A214))=0,"",Q$2))</f>
        <v/>
      </c>
      <c r="R214" s="3" t="str">
        <f>IF($A214="","",IF(countif('Mens Lineup'!R$3:R1000,CONCATENATE("=",$A214))=0,"",R$2))</f>
        <v/>
      </c>
      <c r="S214" s="3" t="str">
        <f>IF($A214="","",IF(countif('Mens Lineup'!S$3:S1000,CONCATENATE("=",$A214))=0,"",S$2))</f>
        <v/>
      </c>
      <c r="W214" s="3" t="str">
        <f>IFERROR(__xludf.DUMMYFUNCTION("JOIN("","",FILTER(B214:S214,B214:S214&lt;&gt;""""))"),"100 Back,200 Back,100 Breast,100 Fly,200 Fly,200 IM")</f>
        <v>100 Back,200 Back,100 Breast,100 Fly,200 Fly,200 IM</v>
      </c>
    </row>
    <row r="215">
      <c r="A215" s="3" t="s">
        <v>242</v>
      </c>
      <c r="B215" s="3" t="str">
        <f>IF($A215="","",IF(countif('Mens Lineup'!B$3:B1000,CONCATENATE("=",$A215))=0,"",B$2))</f>
        <v/>
      </c>
      <c r="C215" s="3" t="str">
        <f>IF($A215="","",IF(countif('Mens Lineup'!C$3:C1000,CONCATENATE("=",$A215))=0,"",C$2))</f>
        <v/>
      </c>
      <c r="D215" s="3" t="str">
        <f>IF($A215="","",IF(countif('Mens Lineup'!D$3:D1000,CONCATENATE("=",$A215))=0,"",D$2))</f>
        <v/>
      </c>
      <c r="E215" s="3" t="str">
        <f>IF($A215="","",IF(countif('Mens Lineup'!E$3:E1000,CONCATENATE("=",$A215))=0,"",E$2))</f>
        <v/>
      </c>
      <c r="F215" s="3" t="str">
        <f>IF($A215="","",IF(countif('Mens Lineup'!F$3:F1000,CONCATENATE("=",$A215))=0,"",F$2))</f>
        <v/>
      </c>
      <c r="G215" s="3" t="str">
        <f>IF($A215="","",IF(countif('Mens Lineup'!G$3:G1000,CONCATENATE("=",$A215))=0,"",G$2))</f>
        <v>100 Back</v>
      </c>
      <c r="H215" s="3" t="str">
        <f>IF($A215="","",IF(countif('Mens Lineup'!H$3:H1000,CONCATENATE("=",$A215))=0,"",H$2))</f>
        <v>200 Back</v>
      </c>
      <c r="I215" s="3" t="str">
        <f>IF($A215="","",IF(countif('Mens Lineup'!I$3:I1000,CONCATENATE("=",$A215))=0,"",I$2))</f>
        <v>100 Breast</v>
      </c>
      <c r="J215" s="3" t="str">
        <f>IF($A215="","",IF(countif('Mens Lineup'!J$3:J1000,CONCATENATE("=",$A215))=0,"",J$2))</f>
        <v/>
      </c>
      <c r="K215" s="3" t="str">
        <f>IF($A215="","",IF(countif('Mens Lineup'!K$3:K1000,CONCATENATE("=",$A215))=0,"",K$2))</f>
        <v>100 Fly</v>
      </c>
      <c r="L215" s="3" t="str">
        <f>IF($A215="","",IF(countif('Mens Lineup'!L$3:L1000,CONCATENATE("=",$A215))=0,"",L$2))</f>
        <v>200 Fly</v>
      </c>
      <c r="M215" s="3" t="str">
        <f>IF($A215="","",IF(countif('Mens Lineup'!M$3:M1000,CONCATENATE("=",$A215))=0,"",M$2))</f>
        <v>200 IM</v>
      </c>
      <c r="N215" s="3" t="str">
        <f>IF($A215="","",IF(countif('Mens Lineup'!N$3:N1000,CONCATENATE("=",$A215))=0,"",N$2))</f>
        <v/>
      </c>
      <c r="O215" s="3" t="str">
        <f>IF($A215="","",IF(countif('Mens Lineup'!O$3:O1000,CONCATENATE("=",$A215))=0,"",O$2))</f>
        <v/>
      </c>
      <c r="P215" s="3" t="str">
        <f>IF($A215="","",IF(countif('Mens Lineup'!P$3:P1000,CONCATENATE("=",$A215))=0,"",P$2))</f>
        <v/>
      </c>
      <c r="Q215" s="3" t="str">
        <f>IF($A215="","",IF(countif('Mens Lineup'!Q$3:Q1000,CONCATENATE("=",$A215))=0,"",Q$2))</f>
        <v/>
      </c>
      <c r="R215" s="3" t="str">
        <f>IF($A215="","",IF(countif('Mens Lineup'!R$3:R1000,CONCATENATE("=",$A215))=0,"",R$2))</f>
        <v/>
      </c>
      <c r="S215" s="3" t="str">
        <f>IF($A215="","",IF(countif('Mens Lineup'!S$3:S1000,CONCATENATE("=",$A215))=0,"",S$2))</f>
        <v/>
      </c>
      <c r="W215" s="3" t="str">
        <f>IFERROR(__xludf.DUMMYFUNCTION("JOIN("","",FILTER(B215:S215,B215:S215&lt;&gt;""""))"),"100 Back,200 Back,100 Breast,100 Fly,200 Fly,200 IM")</f>
        <v>100 Back,200 Back,100 Breast,100 Fly,200 Fly,200 IM</v>
      </c>
    </row>
    <row r="216">
      <c r="A216" s="3" t="s">
        <v>243</v>
      </c>
      <c r="B216" s="3" t="str">
        <f>IF($A216="","",IF(countif('Mens Lineup'!B$3:B1000,CONCATENATE("=",$A216))=0,"",B$2))</f>
        <v/>
      </c>
      <c r="C216" s="3" t="str">
        <f>IF($A216="","",IF(countif('Mens Lineup'!C$3:C1000,CONCATENATE("=",$A216))=0,"",C$2))</f>
        <v/>
      </c>
      <c r="D216" s="3" t="str">
        <f>IF($A216="","",IF(countif('Mens Lineup'!D$3:D1000,CONCATENATE("=",$A216))=0,"",D$2))</f>
        <v/>
      </c>
      <c r="E216" s="3" t="str">
        <f>IF($A216="","",IF(countif('Mens Lineup'!E$3:E1000,CONCATENATE("=",$A216))=0,"",E$2))</f>
        <v/>
      </c>
      <c r="F216" s="3" t="str">
        <f>IF($A216="","",IF(countif('Mens Lineup'!F$3:F1000,CONCATENATE("=",$A216))=0,"",F$2))</f>
        <v/>
      </c>
      <c r="G216" s="3" t="str">
        <f>IF($A216="","",IF(countif('Mens Lineup'!G$3:G1000,CONCATENATE("=",$A216))=0,"",G$2))</f>
        <v>100 Back</v>
      </c>
      <c r="H216" s="3" t="str">
        <f>IF($A216="","",IF(countif('Mens Lineup'!H$3:H1000,CONCATENATE("=",$A216))=0,"",H$2))</f>
        <v>200 Back</v>
      </c>
      <c r="I216" s="3" t="str">
        <f>IF($A216="","",IF(countif('Mens Lineup'!I$3:I1000,CONCATENATE("=",$A216))=0,"",I$2))</f>
        <v>100 Breast</v>
      </c>
      <c r="J216" s="3" t="str">
        <f>IF($A216="","",IF(countif('Mens Lineup'!J$3:J1000,CONCATENATE("=",$A216))=0,"",J$2))</f>
        <v>200 Breast</v>
      </c>
      <c r="K216" s="3" t="str">
        <f>IF($A216="","",IF(countif('Mens Lineup'!K$3:K1000,CONCATENATE("=",$A216))=0,"",K$2))</f>
        <v/>
      </c>
      <c r="L216" s="3" t="str">
        <f>IF($A216="","",IF(countif('Mens Lineup'!L$3:L1000,CONCATENATE("=",$A216))=0,"",L$2))</f>
        <v/>
      </c>
      <c r="M216" s="3" t="str">
        <f>IF($A216="","",IF(countif('Mens Lineup'!M$3:M1000,CONCATENATE("=",$A216))=0,"",M$2))</f>
        <v>200 IM</v>
      </c>
      <c r="N216" s="3" t="str">
        <f>IF($A216="","",IF(countif('Mens Lineup'!N$3:N1000,CONCATENATE("=",$A216))=0,"",N$2))</f>
        <v>400 IM</v>
      </c>
      <c r="O216" s="3" t="str">
        <f>IF($A216="","",IF(countif('Mens Lineup'!O$3:O1000,CONCATENATE("=",$A216))=0,"",O$2))</f>
        <v/>
      </c>
      <c r="P216" s="3" t="str">
        <f>IF($A216="","",IF(countif('Mens Lineup'!P$3:P1000,CONCATENATE("=",$A216))=0,"",P$2))</f>
        <v/>
      </c>
      <c r="Q216" s="3" t="str">
        <f>IF($A216="","",IF(countif('Mens Lineup'!Q$3:Q1000,CONCATENATE("=",$A216))=0,"",Q$2))</f>
        <v/>
      </c>
      <c r="R216" s="3" t="str">
        <f>IF($A216="","",IF(countif('Mens Lineup'!R$3:R1000,CONCATENATE("=",$A216))=0,"",R$2))</f>
        <v/>
      </c>
      <c r="S216" s="3" t="str">
        <f>IF($A216="","",IF(countif('Mens Lineup'!S$3:S1000,CONCATENATE("=",$A216))=0,"",S$2))</f>
        <v/>
      </c>
      <c r="W216" s="3" t="str">
        <f>IFERROR(__xludf.DUMMYFUNCTION("JOIN("","",FILTER(B216:S216,B216:S216&lt;&gt;""""))"),"100 Back,200 Back,100 Breast,200 Breast,200 IM,400 IM")</f>
        <v>100 Back,200 Back,100 Breast,200 Breast,200 IM,400 IM</v>
      </c>
    </row>
    <row r="217">
      <c r="A217" s="3" t="s">
        <v>244</v>
      </c>
      <c r="B217" s="3" t="str">
        <f>IF($A217="","",IF(countif('Mens Lineup'!B$3:B1000,CONCATENATE("=",$A217))=0,"",B$2))</f>
        <v/>
      </c>
      <c r="C217" s="3" t="str">
        <f>IF($A217="","",IF(countif('Mens Lineup'!C$3:C1000,CONCATENATE("=",$A217))=0,"",C$2))</f>
        <v/>
      </c>
      <c r="D217" s="3" t="str">
        <f>IF($A217="","",IF(countif('Mens Lineup'!D$3:D1000,CONCATENATE("=",$A217))=0,"",D$2))</f>
        <v/>
      </c>
      <c r="E217" s="3" t="str">
        <f>IF($A217="","",IF(countif('Mens Lineup'!E$3:E1000,CONCATENATE("=",$A217))=0,"",E$2))</f>
        <v/>
      </c>
      <c r="F217" s="3" t="str">
        <f>IF($A217="","",IF(countif('Mens Lineup'!F$3:F1000,CONCATENATE("=",$A217))=0,"",F$2))</f>
        <v/>
      </c>
      <c r="G217" s="3" t="str">
        <f>IF($A217="","",IF(countif('Mens Lineup'!G$3:G1000,CONCATENATE("=",$A217))=0,"",G$2))</f>
        <v>100 Back</v>
      </c>
      <c r="H217" s="3" t="str">
        <f>IF($A217="","",IF(countif('Mens Lineup'!H$3:H1000,CONCATENATE("=",$A217))=0,"",H$2))</f>
        <v>200 Back</v>
      </c>
      <c r="I217" s="3" t="str">
        <f>IF($A217="","",IF(countif('Mens Lineup'!I$3:I1000,CONCATENATE("=",$A217))=0,"",I$2))</f>
        <v/>
      </c>
      <c r="J217" s="3" t="str">
        <f>IF($A217="","",IF(countif('Mens Lineup'!J$3:J1000,CONCATENATE("=",$A217))=0,"",J$2))</f>
        <v/>
      </c>
      <c r="K217" s="3" t="str">
        <f>IF($A217="","",IF(countif('Mens Lineup'!K$3:K1000,CONCATENATE("=",$A217))=0,"",K$2))</f>
        <v>100 Fly</v>
      </c>
      <c r="L217" s="3" t="str">
        <f>IF($A217="","",IF(countif('Mens Lineup'!L$3:L1000,CONCATENATE("=",$A217))=0,"",L$2))</f>
        <v>200 Fly</v>
      </c>
      <c r="M217" s="3" t="str">
        <f>IF($A217="","",IF(countif('Mens Lineup'!M$3:M1000,CONCATENATE("=",$A217))=0,"",M$2))</f>
        <v>200 IM</v>
      </c>
      <c r="N217" s="3" t="str">
        <f>IF($A217="","",IF(countif('Mens Lineup'!N$3:N1000,CONCATENATE("=",$A217))=0,"",N$2))</f>
        <v>400 IM</v>
      </c>
      <c r="O217" s="3" t="str">
        <f>IF($A217="","",IF(countif('Mens Lineup'!O$3:O1000,CONCATENATE("=",$A217))=0,"",O$2))</f>
        <v/>
      </c>
      <c r="P217" s="3" t="str">
        <f>IF($A217="","",IF(countif('Mens Lineup'!P$3:P1000,CONCATENATE("=",$A217))=0,"",P$2))</f>
        <v/>
      </c>
      <c r="Q217" s="3" t="str">
        <f>IF($A217="","",IF(countif('Mens Lineup'!Q$3:Q1000,CONCATENATE("=",$A217))=0,"",Q$2))</f>
        <v/>
      </c>
      <c r="R217" s="3" t="str">
        <f>IF($A217="","",IF(countif('Mens Lineup'!R$3:R1000,CONCATENATE("=",$A217))=0,"",R$2))</f>
        <v/>
      </c>
      <c r="S217" s="3" t="str">
        <f>IF($A217="","",IF(countif('Mens Lineup'!S$3:S1000,CONCATENATE("=",$A217))=0,"",S$2))</f>
        <v/>
      </c>
      <c r="W217" s="3" t="str">
        <f>IFERROR(__xludf.DUMMYFUNCTION("JOIN("","",FILTER(B217:S217,B217:S217&lt;&gt;""""))"),"100 Back,200 Back,100 Fly,200 Fly,200 IM,400 IM")</f>
        <v>100 Back,200 Back,100 Fly,200 Fly,200 IM,400 IM</v>
      </c>
    </row>
    <row r="218">
      <c r="A218" s="3" t="s">
        <v>245</v>
      </c>
      <c r="B218" s="3" t="str">
        <f>IF($A218="","",IF(countif('Mens Lineup'!B$3:B1000,CONCATENATE("=",$A218))=0,"",B$2))</f>
        <v/>
      </c>
      <c r="C218" s="3" t="str">
        <f>IF($A218="","",IF(countif('Mens Lineup'!C$3:C1000,CONCATENATE("=",$A218))=0,"",C$2))</f>
        <v/>
      </c>
      <c r="D218" s="3" t="str">
        <f>IF($A218="","",IF(countif('Mens Lineup'!D$3:D1000,CONCATENATE("=",$A218))=0,"",D$2))</f>
        <v/>
      </c>
      <c r="E218" s="3" t="str">
        <f>IF($A218="","",IF(countif('Mens Lineup'!E$3:E1000,CONCATENATE("=",$A218))=0,"",E$2))</f>
        <v/>
      </c>
      <c r="F218" s="3" t="str">
        <f>IF($A218="","",IF(countif('Mens Lineup'!F$3:F1000,CONCATENATE("=",$A218))=0,"",F$2))</f>
        <v/>
      </c>
      <c r="G218" s="3" t="str">
        <f>IF($A218="","",IF(countif('Mens Lineup'!G$3:G1000,CONCATENATE("=",$A218))=0,"",G$2))</f>
        <v>100 Back</v>
      </c>
      <c r="H218" s="3" t="str">
        <f>IF($A218="","",IF(countif('Mens Lineup'!H$3:H1000,CONCATENATE("=",$A218))=0,"",H$2))</f>
        <v>200 Back</v>
      </c>
      <c r="I218" s="3" t="str">
        <f>IF($A218="","",IF(countif('Mens Lineup'!I$3:I1000,CONCATENATE("=",$A218))=0,"",I$2))</f>
        <v/>
      </c>
      <c r="J218" s="3" t="str">
        <f>IF($A218="","",IF(countif('Mens Lineup'!J$3:J1000,CONCATENATE("=",$A218))=0,"",J$2))</f>
        <v/>
      </c>
      <c r="K218" s="3" t="str">
        <f>IF($A218="","",IF(countif('Mens Lineup'!K$3:K1000,CONCATENATE("=",$A218))=0,"",K$2))</f>
        <v>100 Fly</v>
      </c>
      <c r="L218" s="3" t="str">
        <f>IF($A218="","",IF(countif('Mens Lineup'!L$3:L1000,CONCATENATE("=",$A218))=0,"",L$2))</f>
        <v>200 Fly</v>
      </c>
      <c r="M218" s="3" t="str">
        <f>IF($A218="","",IF(countif('Mens Lineup'!M$3:M1000,CONCATENATE("=",$A218))=0,"",M$2))</f>
        <v>200 IM</v>
      </c>
      <c r="N218" s="3" t="str">
        <f>IF($A218="","",IF(countif('Mens Lineup'!N$3:N1000,CONCATENATE("=",$A218))=0,"",N$2))</f>
        <v>400 IM</v>
      </c>
      <c r="O218" s="3" t="str">
        <f>IF($A218="","",IF(countif('Mens Lineup'!O$3:O1000,CONCATENATE("=",$A218))=0,"",O$2))</f>
        <v/>
      </c>
      <c r="P218" s="3" t="str">
        <f>IF($A218="","",IF(countif('Mens Lineup'!P$3:P1000,CONCATENATE("=",$A218))=0,"",P$2))</f>
        <v/>
      </c>
      <c r="Q218" s="3" t="str">
        <f>IF($A218="","",IF(countif('Mens Lineup'!Q$3:Q1000,CONCATENATE("=",$A218))=0,"",Q$2))</f>
        <v/>
      </c>
      <c r="R218" s="3" t="str">
        <f>IF($A218="","",IF(countif('Mens Lineup'!R$3:R1000,CONCATENATE("=",$A218))=0,"",R$2))</f>
        <v/>
      </c>
      <c r="S218" s="3" t="str">
        <f>IF($A218="","",IF(countif('Mens Lineup'!S$3:S1000,CONCATENATE("=",$A218))=0,"",S$2))</f>
        <v/>
      </c>
      <c r="W218" s="3" t="str">
        <f>IFERROR(__xludf.DUMMYFUNCTION("JOIN("","",FILTER(B218:S218,B218:S218&lt;&gt;""""))"),"100 Back,200 Back,100 Fly,200 Fly,200 IM,400 IM")</f>
        <v>100 Back,200 Back,100 Fly,200 Fly,200 IM,400 IM</v>
      </c>
    </row>
    <row r="219">
      <c r="A219" s="3" t="s">
        <v>246</v>
      </c>
      <c r="B219" s="3" t="str">
        <f>IF($A219="","",IF(countif('Mens Lineup'!B$3:B1000,CONCATENATE("=",$A219))=0,"",B$2))</f>
        <v/>
      </c>
      <c r="C219" s="3" t="str">
        <f>IF($A219="","",IF(countif('Mens Lineup'!C$3:C1000,CONCATENATE("=",$A219))=0,"",C$2))</f>
        <v/>
      </c>
      <c r="D219" s="3" t="str">
        <f>IF($A219="","",IF(countif('Mens Lineup'!D$3:D1000,CONCATENATE("=",$A219))=0,"",D$2))</f>
        <v/>
      </c>
      <c r="E219" s="3" t="str">
        <f>IF($A219="","",IF(countif('Mens Lineup'!E$3:E1000,CONCATENATE("=",$A219))=0,"",E$2))</f>
        <v/>
      </c>
      <c r="F219" s="3" t="str">
        <f>IF($A219="","",IF(countif('Mens Lineup'!F$3:F1000,CONCATENATE("=",$A219))=0,"",F$2))</f>
        <v/>
      </c>
      <c r="G219" s="3" t="str">
        <f>IF($A219="","",IF(countif('Mens Lineup'!G$3:G1000,CONCATENATE("=",$A219))=0,"",G$2))</f>
        <v>100 Back</v>
      </c>
      <c r="H219" s="3" t="str">
        <f>IF($A219="","",IF(countif('Mens Lineup'!H$3:H1000,CONCATENATE("=",$A219))=0,"",H$2))</f>
        <v>200 Back</v>
      </c>
      <c r="I219" s="3" t="str">
        <f>IF($A219="","",IF(countif('Mens Lineup'!I$3:I1000,CONCATENATE("=",$A219))=0,"",I$2))</f>
        <v>100 Breast</v>
      </c>
      <c r="J219" s="3" t="str">
        <f>IF($A219="","",IF(countif('Mens Lineup'!J$3:J1000,CONCATENATE("=",$A219))=0,"",J$2))</f>
        <v>200 Breast</v>
      </c>
      <c r="K219" s="3" t="str">
        <f>IF($A219="","",IF(countif('Mens Lineup'!K$3:K1000,CONCATENATE("=",$A219))=0,"",K$2))</f>
        <v>100 Fly</v>
      </c>
      <c r="L219" s="3" t="str">
        <f>IF($A219="","",IF(countif('Mens Lineup'!L$3:L1000,CONCATENATE("=",$A219))=0,"",L$2))</f>
        <v/>
      </c>
      <c r="M219" s="3" t="str">
        <f>IF($A219="","",IF(countif('Mens Lineup'!M$3:M1000,CONCATENATE("=",$A219))=0,"",M$2))</f>
        <v>200 IM</v>
      </c>
      <c r="N219" s="3" t="str">
        <f>IF($A219="","",IF(countif('Mens Lineup'!N$3:N1000,CONCATENATE("=",$A219))=0,"",N$2))</f>
        <v/>
      </c>
      <c r="O219" s="3" t="str">
        <f>IF($A219="","",IF(countif('Mens Lineup'!O$3:O1000,CONCATENATE("=",$A219))=0,"",O$2))</f>
        <v/>
      </c>
      <c r="P219" s="3" t="str">
        <f>IF($A219="","",IF(countif('Mens Lineup'!P$3:P1000,CONCATENATE("=",$A219))=0,"",P$2))</f>
        <v/>
      </c>
      <c r="Q219" s="3" t="str">
        <f>IF($A219="","",IF(countif('Mens Lineup'!Q$3:Q1000,CONCATENATE("=",$A219))=0,"",Q$2))</f>
        <v/>
      </c>
      <c r="R219" s="3" t="str">
        <f>IF($A219="","",IF(countif('Mens Lineup'!R$3:R1000,CONCATENATE("=",$A219))=0,"",R$2))</f>
        <v/>
      </c>
      <c r="S219" s="3" t="str">
        <f>IF($A219="","",IF(countif('Mens Lineup'!S$3:S1000,CONCATENATE("=",$A219))=0,"",S$2))</f>
        <v/>
      </c>
      <c r="W219" s="3" t="str">
        <f>IFERROR(__xludf.DUMMYFUNCTION("JOIN("","",FILTER(B219:S219,B219:S219&lt;&gt;""""))"),"100 Back,200 Back,100 Breast,200 Breast,100 Fly,200 IM")</f>
        <v>100 Back,200 Back,100 Breast,200 Breast,100 Fly,200 IM</v>
      </c>
    </row>
    <row r="220">
      <c r="A220" s="3" t="s">
        <v>247</v>
      </c>
      <c r="B220" s="3" t="str">
        <f>IF($A220="","",IF(countif('Mens Lineup'!B$3:B1000,CONCATENATE("=",$A220))=0,"",B$2))</f>
        <v/>
      </c>
      <c r="C220" s="3" t="str">
        <f>IF($A220="","",IF(countif('Mens Lineup'!C$3:C1000,CONCATENATE("=",$A220))=0,"",C$2))</f>
        <v/>
      </c>
      <c r="D220" s="3" t="str">
        <f>IF($A220="","",IF(countif('Mens Lineup'!D$3:D1000,CONCATENATE("=",$A220))=0,"",D$2))</f>
        <v/>
      </c>
      <c r="E220" s="3" t="str">
        <f>IF($A220="","",IF(countif('Mens Lineup'!E$3:E1000,CONCATENATE("=",$A220))=0,"",E$2))</f>
        <v/>
      </c>
      <c r="F220" s="3" t="str">
        <f>IF($A220="","",IF(countif('Mens Lineup'!F$3:F1000,CONCATENATE("=",$A220))=0,"",F$2))</f>
        <v/>
      </c>
      <c r="G220" s="3" t="str">
        <f>IF($A220="","",IF(countif('Mens Lineup'!G$3:G1000,CONCATENATE("=",$A220))=0,"",G$2))</f>
        <v>100 Back</v>
      </c>
      <c r="H220" s="3" t="str">
        <f>IF($A220="","",IF(countif('Mens Lineup'!H$3:H1000,CONCATENATE("=",$A220))=0,"",H$2))</f>
        <v>200 Back</v>
      </c>
      <c r="I220" s="3" t="str">
        <f>IF($A220="","",IF(countif('Mens Lineup'!I$3:I1000,CONCATENATE("=",$A220))=0,"",I$2))</f>
        <v/>
      </c>
      <c r="J220" s="3" t="str">
        <f>IF($A220="","",IF(countif('Mens Lineup'!J$3:J1000,CONCATENATE("=",$A220))=0,"",J$2))</f>
        <v/>
      </c>
      <c r="K220" s="3" t="str">
        <f>IF($A220="","",IF(countif('Mens Lineup'!K$3:K1000,CONCATENATE("=",$A220))=0,"",K$2))</f>
        <v/>
      </c>
      <c r="L220" s="3" t="str">
        <f>IF($A220="","",IF(countif('Mens Lineup'!L$3:L1000,CONCATENATE("=",$A220))=0,"",L$2))</f>
        <v/>
      </c>
      <c r="M220" s="3" t="str">
        <f>IF($A220="","",IF(countif('Mens Lineup'!M$3:M1000,CONCATENATE("=",$A220))=0,"",M$2))</f>
        <v/>
      </c>
      <c r="N220" s="3" t="str">
        <f>IF($A220="","",IF(countif('Mens Lineup'!N$3:N1000,CONCATENATE("=",$A220))=0,"",N$2))</f>
        <v/>
      </c>
      <c r="O220" s="3" t="str">
        <f>IF($A220="","",IF(countif('Mens Lineup'!O$3:O1000,CONCATENATE("=",$A220))=0,"",O$2))</f>
        <v/>
      </c>
      <c r="P220" s="3" t="str">
        <f>IF($A220="","",IF(countif('Mens Lineup'!P$3:P1000,CONCATENATE("=",$A220))=0,"",P$2))</f>
        <v/>
      </c>
      <c r="Q220" s="3" t="str">
        <f>IF($A220="","",IF(countif('Mens Lineup'!Q$3:Q1000,CONCATENATE("=",$A220))=0,"",Q$2))</f>
        <v/>
      </c>
      <c r="R220" s="3" t="str">
        <f>IF($A220="","",IF(countif('Mens Lineup'!R$3:R1000,CONCATENATE("=",$A220))=0,"",R$2))</f>
        <v/>
      </c>
      <c r="S220" s="3" t="str">
        <f>IF($A220="","",IF(countif('Mens Lineup'!S$3:S1000,CONCATENATE("=",$A220))=0,"",S$2))</f>
        <v/>
      </c>
      <c r="W220" s="3" t="str">
        <f>IFERROR(__xludf.DUMMYFUNCTION("JOIN("","",FILTER(B220:S220,B220:S220&lt;&gt;""""))"),"100 Back,200 Back")</f>
        <v>100 Back,200 Back</v>
      </c>
    </row>
    <row r="221">
      <c r="A221" s="3" t="s">
        <v>248</v>
      </c>
      <c r="B221" s="3" t="str">
        <f>IF($A221="","",IF(countif('Mens Lineup'!B$3:B1000,CONCATENATE("=",$A221))=0,"",B$2))</f>
        <v/>
      </c>
      <c r="C221" s="3" t="str">
        <f>IF($A221="","",IF(countif('Mens Lineup'!C$3:C1000,CONCATENATE("=",$A221))=0,"",C$2))</f>
        <v/>
      </c>
      <c r="D221" s="3" t="str">
        <f>IF($A221="","",IF(countif('Mens Lineup'!D$3:D1000,CONCATENATE("=",$A221))=0,"",D$2))</f>
        <v/>
      </c>
      <c r="E221" s="3" t="str">
        <f>IF($A221="","",IF(countif('Mens Lineup'!E$3:E1000,CONCATENATE("=",$A221))=0,"",E$2))</f>
        <v/>
      </c>
      <c r="F221" s="3" t="str">
        <f>IF($A221="","",IF(countif('Mens Lineup'!F$3:F1000,CONCATENATE("=",$A221))=0,"",F$2))</f>
        <v/>
      </c>
      <c r="G221" s="3" t="str">
        <f>IF($A221="","",IF(countif('Mens Lineup'!G$3:G1000,CONCATENATE("=",$A221))=0,"",G$2))</f>
        <v>100 Back</v>
      </c>
      <c r="H221" s="3" t="str">
        <f>IF($A221="","",IF(countif('Mens Lineup'!H$3:H1000,CONCATENATE("=",$A221))=0,"",H$2))</f>
        <v>200 Back</v>
      </c>
      <c r="I221" s="3" t="str">
        <f>IF($A221="","",IF(countif('Mens Lineup'!I$3:I1000,CONCATENATE("=",$A221))=0,"",I$2))</f>
        <v>100 Breast</v>
      </c>
      <c r="J221" s="3" t="str">
        <f>IF($A221="","",IF(countif('Mens Lineup'!J$3:J1000,CONCATENATE("=",$A221))=0,"",J$2))</f>
        <v>200 Breast</v>
      </c>
      <c r="K221" s="3" t="str">
        <f>IF($A221="","",IF(countif('Mens Lineup'!K$3:K1000,CONCATENATE("=",$A221))=0,"",K$2))</f>
        <v/>
      </c>
      <c r="L221" s="3" t="str">
        <f>IF($A221="","",IF(countif('Mens Lineup'!L$3:L1000,CONCATENATE("=",$A221))=0,"",L$2))</f>
        <v/>
      </c>
      <c r="M221" s="3" t="str">
        <f>IF($A221="","",IF(countif('Mens Lineup'!M$3:M1000,CONCATENATE("=",$A221))=0,"",M$2))</f>
        <v>200 IM</v>
      </c>
      <c r="N221" s="3" t="str">
        <f>IF($A221="","",IF(countif('Mens Lineup'!N$3:N1000,CONCATENATE("=",$A221))=0,"",N$2))</f>
        <v/>
      </c>
      <c r="O221" s="3" t="str">
        <f>IF($A221="","",IF(countif('Mens Lineup'!O$3:O1000,CONCATENATE("=",$A221))=0,"",O$2))</f>
        <v/>
      </c>
      <c r="P221" s="3" t="str">
        <f>IF($A221="","",IF(countif('Mens Lineup'!P$3:P1000,CONCATENATE("=",$A221))=0,"",P$2))</f>
        <v/>
      </c>
      <c r="Q221" s="3" t="str">
        <f>IF($A221="","",IF(countif('Mens Lineup'!Q$3:Q1000,CONCATENATE("=",$A221))=0,"",Q$2))</f>
        <v/>
      </c>
      <c r="R221" s="3" t="str">
        <f>IF($A221="","",IF(countif('Mens Lineup'!R$3:R1000,CONCATENATE("=",$A221))=0,"",R$2))</f>
        <v/>
      </c>
      <c r="S221" s="3" t="str">
        <f>IF($A221="","",IF(countif('Mens Lineup'!S$3:S1000,CONCATENATE("=",$A221))=0,"",S$2))</f>
        <v/>
      </c>
      <c r="W221" s="3" t="str">
        <f>IFERROR(__xludf.DUMMYFUNCTION("JOIN("","",FILTER(B221:S221,B221:S221&lt;&gt;""""))"),"100 Back,200 Back,100 Breast,200 Breast,200 IM")</f>
        <v>100 Back,200 Back,100 Breast,200 Breast,200 IM</v>
      </c>
    </row>
    <row r="222">
      <c r="A222" s="3" t="s">
        <v>249</v>
      </c>
      <c r="B222" s="3" t="str">
        <f>IF($A222="","",IF(countif('Mens Lineup'!B$3:B1000,CONCATENATE("=",$A222))=0,"",B$2))</f>
        <v/>
      </c>
      <c r="C222" s="3" t="str">
        <f>IF($A222="","",IF(countif('Mens Lineup'!C$3:C1000,CONCATENATE("=",$A222))=0,"",C$2))</f>
        <v/>
      </c>
      <c r="D222" s="3" t="str">
        <f>IF($A222="","",IF(countif('Mens Lineup'!D$3:D1000,CONCATENATE("=",$A222))=0,"",D$2))</f>
        <v/>
      </c>
      <c r="E222" s="3" t="str">
        <f>IF($A222="","",IF(countif('Mens Lineup'!E$3:E1000,CONCATENATE("=",$A222))=0,"",E$2))</f>
        <v/>
      </c>
      <c r="F222" s="3" t="str">
        <f>IF($A222="","",IF(countif('Mens Lineup'!F$3:F1000,CONCATENATE("=",$A222))=0,"",F$2))</f>
        <v/>
      </c>
      <c r="G222" s="3" t="str">
        <f>IF($A222="","",IF(countif('Mens Lineup'!G$3:G1000,CONCATENATE("=",$A222))=0,"",G$2))</f>
        <v>100 Back</v>
      </c>
      <c r="H222" s="3" t="str">
        <f>IF($A222="","",IF(countif('Mens Lineup'!H$3:H1000,CONCATENATE("=",$A222))=0,"",H$2))</f>
        <v>200 Back</v>
      </c>
      <c r="I222" s="3" t="str">
        <f>IF($A222="","",IF(countif('Mens Lineup'!I$3:I1000,CONCATENATE("=",$A222))=0,"",I$2))</f>
        <v>100 Breast</v>
      </c>
      <c r="J222" s="3" t="str">
        <f>IF($A222="","",IF(countif('Mens Lineup'!J$3:J1000,CONCATENATE("=",$A222))=0,"",J$2))</f>
        <v>200 Breast</v>
      </c>
      <c r="K222" s="3" t="str">
        <f>IF($A222="","",IF(countif('Mens Lineup'!K$3:K1000,CONCATENATE("=",$A222))=0,"",K$2))</f>
        <v/>
      </c>
      <c r="L222" s="3" t="str">
        <f>IF($A222="","",IF(countif('Mens Lineup'!L$3:L1000,CONCATENATE("=",$A222))=0,"",L$2))</f>
        <v/>
      </c>
      <c r="M222" s="3" t="str">
        <f>IF($A222="","",IF(countif('Mens Lineup'!M$3:M1000,CONCATENATE("=",$A222))=0,"",M$2))</f>
        <v>200 IM</v>
      </c>
      <c r="N222" s="3" t="str">
        <f>IF($A222="","",IF(countif('Mens Lineup'!N$3:N1000,CONCATENATE("=",$A222))=0,"",N$2))</f>
        <v>400 IM</v>
      </c>
      <c r="O222" s="3" t="str">
        <f>IF($A222="","",IF(countif('Mens Lineup'!O$3:O1000,CONCATENATE("=",$A222))=0,"",O$2))</f>
        <v/>
      </c>
      <c r="P222" s="3" t="str">
        <f>IF($A222="","",IF(countif('Mens Lineup'!P$3:P1000,CONCATENATE("=",$A222))=0,"",P$2))</f>
        <v/>
      </c>
      <c r="Q222" s="3" t="str">
        <f>IF($A222="","",IF(countif('Mens Lineup'!Q$3:Q1000,CONCATENATE("=",$A222))=0,"",Q$2))</f>
        <v/>
      </c>
      <c r="R222" s="3" t="str">
        <f>IF($A222="","",IF(countif('Mens Lineup'!R$3:R1000,CONCATENATE("=",$A222))=0,"",R$2))</f>
        <v/>
      </c>
      <c r="S222" s="3" t="str">
        <f>IF($A222="","",IF(countif('Mens Lineup'!S$3:S1000,CONCATENATE("=",$A222))=0,"",S$2))</f>
        <v/>
      </c>
      <c r="W222" s="3" t="str">
        <f>IFERROR(__xludf.DUMMYFUNCTION("JOIN("","",FILTER(B222:S222,B222:S222&lt;&gt;""""))"),"100 Back,200 Back,100 Breast,200 Breast,200 IM,400 IM")</f>
        <v>100 Back,200 Back,100 Breast,200 Breast,200 IM,400 IM</v>
      </c>
    </row>
    <row r="223">
      <c r="A223" s="3" t="s">
        <v>250</v>
      </c>
      <c r="B223" s="3" t="str">
        <f>IF($A223="","",IF(countif('Mens Lineup'!B$3:B1000,CONCATENATE("=",$A223))=0,"",B$2))</f>
        <v/>
      </c>
      <c r="C223" s="3" t="str">
        <f>IF($A223="","",IF(countif('Mens Lineup'!C$3:C1000,CONCATENATE("=",$A223))=0,"",C$2))</f>
        <v/>
      </c>
      <c r="D223" s="3" t="str">
        <f>IF($A223="","",IF(countif('Mens Lineup'!D$3:D1000,CONCATENATE("=",$A223))=0,"",D$2))</f>
        <v/>
      </c>
      <c r="E223" s="3" t="str">
        <f>IF($A223="","",IF(countif('Mens Lineup'!E$3:E1000,CONCATENATE("=",$A223))=0,"",E$2))</f>
        <v/>
      </c>
      <c r="F223" s="3" t="str">
        <f>IF($A223="","",IF(countif('Mens Lineup'!F$3:F1000,CONCATENATE("=",$A223))=0,"",F$2))</f>
        <v/>
      </c>
      <c r="G223" s="3" t="str">
        <f>IF($A223="","",IF(countif('Mens Lineup'!G$3:G1000,CONCATENATE("=",$A223))=0,"",G$2))</f>
        <v>100 Back</v>
      </c>
      <c r="H223" s="3" t="str">
        <f>IF($A223="","",IF(countif('Mens Lineup'!H$3:H1000,CONCATENATE("=",$A223))=0,"",H$2))</f>
        <v>200 Back</v>
      </c>
      <c r="I223" s="3" t="str">
        <f>IF($A223="","",IF(countif('Mens Lineup'!I$3:I1000,CONCATENATE("=",$A223))=0,"",I$2))</f>
        <v/>
      </c>
      <c r="J223" s="3" t="str">
        <f>IF($A223="","",IF(countif('Mens Lineup'!J$3:J1000,CONCATENATE("=",$A223))=0,"",J$2))</f>
        <v/>
      </c>
      <c r="K223" s="3" t="str">
        <f>IF($A223="","",IF(countif('Mens Lineup'!K$3:K1000,CONCATENATE("=",$A223))=0,"",K$2))</f>
        <v/>
      </c>
      <c r="L223" s="3" t="str">
        <f>IF($A223="","",IF(countif('Mens Lineup'!L$3:L1000,CONCATENATE("=",$A223))=0,"",L$2))</f>
        <v/>
      </c>
      <c r="M223" s="3" t="str">
        <f>IF($A223="","",IF(countif('Mens Lineup'!M$3:M1000,CONCATENATE("=",$A223))=0,"",M$2))</f>
        <v/>
      </c>
      <c r="N223" s="3" t="str">
        <f>IF($A223="","",IF(countif('Mens Lineup'!N$3:N1000,CONCATENATE("=",$A223))=0,"",N$2))</f>
        <v/>
      </c>
      <c r="O223" s="3" t="str">
        <f>IF($A223="","",IF(countif('Mens Lineup'!O$3:O1000,CONCATENATE("=",$A223))=0,"",O$2))</f>
        <v/>
      </c>
      <c r="P223" s="3" t="str">
        <f>IF($A223="","",IF(countif('Mens Lineup'!P$3:P1000,CONCATENATE("=",$A223))=0,"",P$2))</f>
        <v/>
      </c>
      <c r="Q223" s="3" t="str">
        <f>IF($A223="","",IF(countif('Mens Lineup'!Q$3:Q1000,CONCATENATE("=",$A223))=0,"",Q$2))</f>
        <v/>
      </c>
      <c r="R223" s="3" t="str">
        <f>IF($A223="","",IF(countif('Mens Lineup'!R$3:R1000,CONCATENATE("=",$A223))=0,"",R$2))</f>
        <v/>
      </c>
      <c r="S223" s="3" t="str">
        <f>IF($A223="","",IF(countif('Mens Lineup'!S$3:S1000,CONCATENATE("=",$A223))=0,"",S$2))</f>
        <v/>
      </c>
      <c r="W223" s="3" t="str">
        <f>IFERROR(__xludf.DUMMYFUNCTION("JOIN("","",FILTER(B223:S223,B223:S223&lt;&gt;""""))"),"100 Back,200 Back")</f>
        <v>100 Back,200 Back</v>
      </c>
    </row>
    <row r="224">
      <c r="A224" s="3" t="s">
        <v>251</v>
      </c>
      <c r="B224" s="3" t="str">
        <f>IF($A224="","",IF(countif('Mens Lineup'!B$3:B1000,CONCATENATE("=",$A224))=0,"",B$2))</f>
        <v/>
      </c>
      <c r="C224" s="3" t="str">
        <f>IF($A224="","",IF(countif('Mens Lineup'!C$3:C1000,CONCATENATE("=",$A224))=0,"",C$2))</f>
        <v/>
      </c>
      <c r="D224" s="3" t="str">
        <f>IF($A224="","",IF(countif('Mens Lineup'!D$3:D1000,CONCATENATE("=",$A224))=0,"",D$2))</f>
        <v/>
      </c>
      <c r="E224" s="3" t="str">
        <f>IF($A224="","",IF(countif('Mens Lineup'!E$3:E1000,CONCATENATE("=",$A224))=0,"",E$2))</f>
        <v/>
      </c>
      <c r="F224" s="3" t="str">
        <f>IF($A224="","",IF(countif('Mens Lineup'!F$3:F1000,CONCATENATE("=",$A224))=0,"",F$2))</f>
        <v/>
      </c>
      <c r="G224" s="3" t="str">
        <f>IF($A224="","",IF(countif('Mens Lineup'!G$3:G1000,CONCATENATE("=",$A224))=0,"",G$2))</f>
        <v>100 Back</v>
      </c>
      <c r="H224" s="3" t="str">
        <f>IF($A224="","",IF(countif('Mens Lineup'!H$3:H1000,CONCATENATE("=",$A224))=0,"",H$2))</f>
        <v>200 Back</v>
      </c>
      <c r="I224" s="3" t="str">
        <f>IF($A224="","",IF(countif('Mens Lineup'!I$3:I1000,CONCATENATE("=",$A224))=0,"",I$2))</f>
        <v>100 Breast</v>
      </c>
      <c r="J224" s="3" t="str">
        <f>IF($A224="","",IF(countif('Mens Lineup'!J$3:J1000,CONCATENATE("=",$A224))=0,"",J$2))</f>
        <v/>
      </c>
      <c r="K224" s="3" t="str">
        <f>IF($A224="","",IF(countif('Mens Lineup'!K$3:K1000,CONCATENATE("=",$A224))=0,"",K$2))</f>
        <v/>
      </c>
      <c r="L224" s="3" t="str">
        <f>IF($A224="","",IF(countif('Mens Lineup'!L$3:L1000,CONCATENATE("=",$A224))=0,"",L$2))</f>
        <v/>
      </c>
      <c r="M224" s="3" t="str">
        <f>IF($A224="","",IF(countif('Mens Lineup'!M$3:M1000,CONCATENATE("=",$A224))=0,"",M$2))</f>
        <v>200 IM</v>
      </c>
      <c r="N224" s="3" t="str">
        <f>IF($A224="","",IF(countif('Mens Lineup'!N$3:N1000,CONCATENATE("=",$A224))=0,"",N$2))</f>
        <v/>
      </c>
      <c r="O224" s="3" t="str">
        <f>IF($A224="","",IF(countif('Mens Lineup'!O$3:O1000,CONCATENATE("=",$A224))=0,"",O$2))</f>
        <v/>
      </c>
      <c r="P224" s="3" t="str">
        <f>IF($A224="","",IF(countif('Mens Lineup'!P$3:P1000,CONCATENATE("=",$A224))=0,"",P$2))</f>
        <v/>
      </c>
      <c r="Q224" s="3" t="str">
        <f>IF($A224="","",IF(countif('Mens Lineup'!Q$3:Q1000,CONCATENATE("=",$A224))=0,"",Q$2))</f>
        <v/>
      </c>
      <c r="R224" s="3" t="str">
        <f>IF($A224="","",IF(countif('Mens Lineup'!R$3:R1000,CONCATENATE("=",$A224))=0,"",R$2))</f>
        <v/>
      </c>
      <c r="S224" s="3" t="str">
        <f>IF($A224="","",IF(countif('Mens Lineup'!S$3:S1000,CONCATENATE("=",$A224))=0,"",S$2))</f>
        <v/>
      </c>
      <c r="W224" s="3" t="str">
        <f>IFERROR(__xludf.DUMMYFUNCTION("JOIN("","",FILTER(B224:S224,B224:S224&lt;&gt;""""))"),"100 Back,200 Back,100 Breast,200 IM")</f>
        <v>100 Back,200 Back,100 Breast,200 IM</v>
      </c>
    </row>
    <row r="225">
      <c r="A225" s="3" t="s">
        <v>252</v>
      </c>
      <c r="B225" s="3" t="str">
        <f>IF($A225="","",IF(countif('Mens Lineup'!B$3:B1000,CONCATENATE("=",$A225))=0,"",B$2))</f>
        <v/>
      </c>
      <c r="C225" s="3" t="str">
        <f>IF($A225="","",IF(countif('Mens Lineup'!C$3:C1000,CONCATENATE("=",$A225))=0,"",C$2))</f>
        <v/>
      </c>
      <c r="D225" s="3" t="str">
        <f>IF($A225="","",IF(countif('Mens Lineup'!D$3:D1000,CONCATENATE("=",$A225))=0,"",D$2))</f>
        <v/>
      </c>
      <c r="E225" s="3" t="str">
        <f>IF($A225="","",IF(countif('Mens Lineup'!E$3:E1000,CONCATENATE("=",$A225))=0,"",E$2))</f>
        <v/>
      </c>
      <c r="F225" s="3" t="str">
        <f>IF($A225="","",IF(countif('Mens Lineup'!F$3:F1000,CONCATENATE("=",$A225))=0,"",F$2))</f>
        <v/>
      </c>
      <c r="G225" s="3" t="str">
        <f>IF($A225="","",IF(countif('Mens Lineup'!G$3:G1000,CONCATENATE("=",$A225))=0,"",G$2))</f>
        <v>100 Back</v>
      </c>
      <c r="H225" s="3" t="str">
        <f>IF($A225="","",IF(countif('Mens Lineup'!H$3:H1000,CONCATENATE("=",$A225))=0,"",H$2))</f>
        <v>200 Back</v>
      </c>
      <c r="I225" s="3" t="str">
        <f>IF($A225="","",IF(countif('Mens Lineup'!I$3:I1000,CONCATENATE("=",$A225))=0,"",I$2))</f>
        <v>100 Breast</v>
      </c>
      <c r="J225" s="3" t="str">
        <f>IF($A225="","",IF(countif('Mens Lineup'!J$3:J1000,CONCATENATE("=",$A225))=0,"",J$2))</f>
        <v>200 Breast</v>
      </c>
      <c r="K225" s="3" t="str">
        <f>IF($A225="","",IF(countif('Mens Lineup'!K$3:K1000,CONCATENATE("=",$A225))=0,"",K$2))</f>
        <v/>
      </c>
      <c r="L225" s="3" t="str">
        <f>IF($A225="","",IF(countif('Mens Lineup'!L$3:L1000,CONCATENATE("=",$A225))=0,"",L$2))</f>
        <v/>
      </c>
      <c r="M225" s="3" t="str">
        <f>IF($A225="","",IF(countif('Mens Lineup'!M$3:M1000,CONCATENATE("=",$A225))=0,"",M$2))</f>
        <v>200 IM</v>
      </c>
      <c r="N225" s="3" t="str">
        <f>IF($A225="","",IF(countif('Mens Lineup'!N$3:N1000,CONCATENATE("=",$A225))=0,"",N$2))</f>
        <v>400 IM</v>
      </c>
      <c r="O225" s="3" t="str">
        <f>IF($A225="","",IF(countif('Mens Lineup'!O$3:O1000,CONCATENATE("=",$A225))=0,"",O$2))</f>
        <v/>
      </c>
      <c r="P225" s="3" t="str">
        <f>IF($A225="","",IF(countif('Mens Lineup'!P$3:P1000,CONCATENATE("=",$A225))=0,"",P$2))</f>
        <v/>
      </c>
      <c r="Q225" s="3" t="str">
        <f>IF($A225="","",IF(countif('Mens Lineup'!Q$3:Q1000,CONCATENATE("=",$A225))=0,"",Q$2))</f>
        <v/>
      </c>
      <c r="R225" s="3" t="str">
        <f>IF($A225="","",IF(countif('Mens Lineup'!R$3:R1000,CONCATENATE("=",$A225))=0,"",R$2))</f>
        <v/>
      </c>
      <c r="S225" s="3" t="str">
        <f>IF($A225="","",IF(countif('Mens Lineup'!S$3:S1000,CONCATENATE("=",$A225))=0,"",S$2))</f>
        <v/>
      </c>
      <c r="W225" s="3" t="str">
        <f>IFERROR(__xludf.DUMMYFUNCTION("JOIN("","",FILTER(B225:S225,B225:S225&lt;&gt;""""))"),"100 Back,200 Back,100 Breast,200 Breast,200 IM,400 IM")</f>
        <v>100 Back,200 Back,100 Breast,200 Breast,200 IM,400 IM</v>
      </c>
    </row>
    <row r="226">
      <c r="A226" s="3" t="s">
        <v>253</v>
      </c>
      <c r="B226" s="3" t="str">
        <f>IF($A226="","",IF(countif('Mens Lineup'!B$3:B1000,CONCATENATE("=",$A226))=0,"",B$2))</f>
        <v/>
      </c>
      <c r="C226" s="3" t="str">
        <f>IF($A226="","",IF(countif('Mens Lineup'!C$3:C1000,CONCATENATE("=",$A226))=0,"",C$2))</f>
        <v/>
      </c>
      <c r="D226" s="3" t="str">
        <f>IF($A226="","",IF(countif('Mens Lineup'!D$3:D1000,CONCATENATE("=",$A226))=0,"",D$2))</f>
        <v/>
      </c>
      <c r="E226" s="3" t="str">
        <f>IF($A226="","",IF(countif('Mens Lineup'!E$3:E1000,CONCATENATE("=",$A226))=0,"",E$2))</f>
        <v/>
      </c>
      <c r="F226" s="3" t="str">
        <f>IF($A226="","",IF(countif('Mens Lineup'!F$3:F1000,CONCATENATE("=",$A226))=0,"",F$2))</f>
        <v/>
      </c>
      <c r="G226" s="3" t="str">
        <f>IF($A226="","",IF(countif('Mens Lineup'!G$3:G1000,CONCATENATE("=",$A226))=0,"",G$2))</f>
        <v>100 Back</v>
      </c>
      <c r="H226" s="3" t="str">
        <f>IF($A226="","",IF(countif('Mens Lineup'!H$3:H1000,CONCATENATE("=",$A226))=0,"",H$2))</f>
        <v/>
      </c>
      <c r="I226" s="3" t="str">
        <f>IF($A226="","",IF(countif('Mens Lineup'!I$3:I1000,CONCATENATE("=",$A226))=0,"",I$2))</f>
        <v/>
      </c>
      <c r="J226" s="3" t="str">
        <f>IF($A226="","",IF(countif('Mens Lineup'!J$3:J1000,CONCATENATE("=",$A226))=0,"",J$2))</f>
        <v/>
      </c>
      <c r="K226" s="3" t="str">
        <f>IF($A226="","",IF(countif('Mens Lineup'!K$3:K1000,CONCATENATE("=",$A226))=0,"",K$2))</f>
        <v/>
      </c>
      <c r="L226" s="3" t="str">
        <f>IF($A226="","",IF(countif('Mens Lineup'!L$3:L1000,CONCATENATE("=",$A226))=0,"",L$2))</f>
        <v/>
      </c>
      <c r="M226" s="3" t="str">
        <f>IF($A226="","",IF(countif('Mens Lineup'!M$3:M1000,CONCATENATE("=",$A226))=0,"",M$2))</f>
        <v/>
      </c>
      <c r="N226" s="3" t="str">
        <f>IF($A226="","",IF(countif('Mens Lineup'!N$3:N1000,CONCATENATE("=",$A226))=0,"",N$2))</f>
        <v/>
      </c>
      <c r="O226" s="3" t="str">
        <f>IF($A226="","",IF(countif('Mens Lineup'!O$3:O1000,CONCATENATE("=",$A226))=0,"",O$2))</f>
        <v/>
      </c>
      <c r="P226" s="3" t="str">
        <f>IF($A226="","",IF(countif('Mens Lineup'!P$3:P1000,CONCATENATE("=",$A226))=0,"",P$2))</f>
        <v/>
      </c>
      <c r="Q226" s="3" t="str">
        <f>IF($A226="","",IF(countif('Mens Lineup'!Q$3:Q1000,CONCATENATE("=",$A226))=0,"",Q$2))</f>
        <v/>
      </c>
      <c r="R226" s="3" t="str">
        <f>IF($A226="","",IF(countif('Mens Lineup'!R$3:R1000,CONCATENATE("=",$A226))=0,"",R$2))</f>
        <v/>
      </c>
      <c r="S226" s="3" t="str">
        <f>IF($A226="","",IF(countif('Mens Lineup'!S$3:S1000,CONCATENATE("=",$A226))=0,"",S$2))</f>
        <v/>
      </c>
      <c r="W226" s="3" t="str">
        <f>IFERROR(__xludf.DUMMYFUNCTION("JOIN("","",FILTER(B226:S226,B226:S226&lt;&gt;""""))"),"100 Back")</f>
        <v>100 Back</v>
      </c>
    </row>
    <row r="227">
      <c r="A227" s="3" t="s">
        <v>254</v>
      </c>
      <c r="B227" s="3" t="str">
        <f>IF($A227="","",IF(countif('Mens Lineup'!B$3:B1000,CONCATENATE("=",$A227))=0,"",B$2))</f>
        <v/>
      </c>
      <c r="C227" s="3" t="str">
        <f>IF($A227="","",IF(countif('Mens Lineup'!C$3:C1000,CONCATENATE("=",$A227))=0,"",C$2))</f>
        <v/>
      </c>
      <c r="D227" s="3" t="str">
        <f>IF($A227="","",IF(countif('Mens Lineup'!D$3:D1000,CONCATENATE("=",$A227))=0,"",D$2))</f>
        <v/>
      </c>
      <c r="E227" s="3" t="str">
        <f>IF($A227="","",IF(countif('Mens Lineup'!E$3:E1000,CONCATENATE("=",$A227))=0,"",E$2))</f>
        <v/>
      </c>
      <c r="F227" s="3" t="str">
        <f>IF($A227="","",IF(countif('Mens Lineup'!F$3:F1000,CONCATENATE("=",$A227))=0,"",F$2))</f>
        <v/>
      </c>
      <c r="G227" s="3" t="str">
        <f>IF($A227="","",IF(countif('Mens Lineup'!G$3:G1000,CONCATENATE("=",$A227))=0,"",G$2))</f>
        <v>100 Back</v>
      </c>
      <c r="H227" s="3" t="str">
        <f>IF($A227="","",IF(countif('Mens Lineup'!H$3:H1000,CONCATENATE("=",$A227))=0,"",H$2))</f>
        <v/>
      </c>
      <c r="I227" s="3" t="str">
        <f>IF($A227="","",IF(countif('Mens Lineup'!I$3:I1000,CONCATENATE("=",$A227))=0,"",I$2))</f>
        <v/>
      </c>
      <c r="J227" s="3" t="str">
        <f>IF($A227="","",IF(countif('Mens Lineup'!J$3:J1000,CONCATENATE("=",$A227))=0,"",J$2))</f>
        <v/>
      </c>
      <c r="K227" s="3" t="str">
        <f>IF($A227="","",IF(countif('Mens Lineup'!K$3:K1000,CONCATENATE("=",$A227))=0,"",K$2))</f>
        <v>100 Fly</v>
      </c>
      <c r="L227" s="3" t="str">
        <f>IF($A227="","",IF(countif('Mens Lineup'!L$3:L1000,CONCATENATE("=",$A227))=0,"",L$2))</f>
        <v>200 Fly</v>
      </c>
      <c r="M227" s="3" t="str">
        <f>IF($A227="","",IF(countif('Mens Lineup'!M$3:M1000,CONCATENATE("=",$A227))=0,"",M$2))</f>
        <v>200 IM</v>
      </c>
      <c r="N227" s="3" t="str">
        <f>IF($A227="","",IF(countif('Mens Lineup'!N$3:N1000,CONCATENATE("=",$A227))=0,"",N$2))</f>
        <v/>
      </c>
      <c r="O227" s="3" t="str">
        <f>IF($A227="","",IF(countif('Mens Lineup'!O$3:O1000,CONCATENATE("=",$A227))=0,"",O$2))</f>
        <v/>
      </c>
      <c r="P227" s="3" t="str">
        <f>IF($A227="","",IF(countif('Mens Lineup'!P$3:P1000,CONCATENATE("=",$A227))=0,"",P$2))</f>
        <v/>
      </c>
      <c r="Q227" s="3" t="str">
        <f>IF($A227="","",IF(countif('Mens Lineup'!Q$3:Q1000,CONCATENATE("=",$A227))=0,"",Q$2))</f>
        <v/>
      </c>
      <c r="R227" s="3" t="str">
        <f>IF($A227="","",IF(countif('Mens Lineup'!R$3:R1000,CONCATENATE("=",$A227))=0,"",R$2))</f>
        <v/>
      </c>
      <c r="S227" s="3" t="str">
        <f>IF($A227="","",IF(countif('Mens Lineup'!S$3:S1000,CONCATENATE("=",$A227))=0,"",S$2))</f>
        <v/>
      </c>
      <c r="W227" s="3" t="str">
        <f>IFERROR(__xludf.DUMMYFUNCTION("JOIN("","",FILTER(B227:S227,B227:S227&lt;&gt;""""))"),"100 Back,100 Fly,200 Fly,200 IM")</f>
        <v>100 Back,100 Fly,200 Fly,200 IM</v>
      </c>
    </row>
    <row r="228">
      <c r="A228" s="3" t="s">
        <v>255</v>
      </c>
      <c r="B228" s="3" t="str">
        <f>IF($A228="","",IF(countif('Mens Lineup'!B$3:B1000,CONCATENATE("=",$A228))=0,"",B$2))</f>
        <v/>
      </c>
      <c r="C228" s="3" t="str">
        <f>IF($A228="","",IF(countif('Mens Lineup'!C$3:C1000,CONCATENATE("=",$A228))=0,"",C$2))</f>
        <v/>
      </c>
      <c r="D228" s="3" t="str">
        <f>IF($A228="","",IF(countif('Mens Lineup'!D$3:D1000,CONCATENATE("=",$A228))=0,"",D$2))</f>
        <v/>
      </c>
      <c r="E228" s="3" t="str">
        <f>IF($A228="","",IF(countif('Mens Lineup'!E$3:E1000,CONCATENATE("=",$A228))=0,"",E$2))</f>
        <v/>
      </c>
      <c r="F228" s="3" t="str">
        <f>IF($A228="","",IF(countif('Mens Lineup'!F$3:F1000,CONCATENATE("=",$A228))=0,"",F$2))</f>
        <v/>
      </c>
      <c r="G228" s="3" t="str">
        <f>IF($A228="","",IF(countif('Mens Lineup'!G$3:G1000,CONCATENATE("=",$A228))=0,"",G$2))</f>
        <v>100 Back</v>
      </c>
      <c r="H228" s="3" t="str">
        <f>IF($A228="","",IF(countif('Mens Lineup'!H$3:H1000,CONCATENATE("=",$A228))=0,"",H$2))</f>
        <v/>
      </c>
      <c r="I228" s="3" t="str">
        <f>IF($A228="","",IF(countif('Mens Lineup'!I$3:I1000,CONCATENATE("=",$A228))=0,"",I$2))</f>
        <v/>
      </c>
      <c r="J228" s="3" t="str">
        <f>IF($A228="","",IF(countif('Mens Lineup'!J$3:J1000,CONCATENATE("=",$A228))=0,"",J$2))</f>
        <v/>
      </c>
      <c r="K228" s="3" t="str">
        <f>IF($A228="","",IF(countif('Mens Lineup'!K$3:K1000,CONCATENATE("=",$A228))=0,"",K$2))</f>
        <v/>
      </c>
      <c r="L228" s="3" t="str">
        <f>IF($A228="","",IF(countif('Mens Lineup'!L$3:L1000,CONCATENATE("=",$A228))=0,"",L$2))</f>
        <v/>
      </c>
      <c r="M228" s="3" t="str">
        <f>IF($A228="","",IF(countif('Mens Lineup'!M$3:M1000,CONCATENATE("=",$A228))=0,"",M$2))</f>
        <v/>
      </c>
      <c r="N228" s="3" t="str">
        <f>IF($A228="","",IF(countif('Mens Lineup'!N$3:N1000,CONCATENATE("=",$A228))=0,"",N$2))</f>
        <v/>
      </c>
      <c r="O228" s="3" t="str">
        <f>IF($A228="","",IF(countif('Mens Lineup'!O$3:O1000,CONCATENATE("=",$A228))=0,"",O$2))</f>
        <v/>
      </c>
      <c r="P228" s="3" t="str">
        <f>IF($A228="","",IF(countif('Mens Lineup'!P$3:P1000,CONCATENATE("=",$A228))=0,"",P$2))</f>
        <v/>
      </c>
      <c r="Q228" s="3" t="str">
        <f>IF($A228="","",IF(countif('Mens Lineup'!Q$3:Q1000,CONCATENATE("=",$A228))=0,"",Q$2))</f>
        <v/>
      </c>
      <c r="R228" s="3" t="str">
        <f>IF($A228="","",IF(countif('Mens Lineup'!R$3:R1000,CONCATENATE("=",$A228))=0,"",R$2))</f>
        <v/>
      </c>
      <c r="S228" s="3" t="str">
        <f>IF($A228="","",IF(countif('Mens Lineup'!S$3:S1000,CONCATENATE("=",$A228))=0,"",S$2))</f>
        <v/>
      </c>
      <c r="W228" s="3" t="str">
        <f>IFERROR(__xludf.DUMMYFUNCTION("JOIN("","",FILTER(B228:S228,B228:S228&lt;&gt;""""))"),"100 Back")</f>
        <v>100 Back</v>
      </c>
    </row>
    <row r="229">
      <c r="A229" s="3" t="s">
        <v>256</v>
      </c>
      <c r="B229" s="3" t="str">
        <f>IF($A229="","",IF(countif('Mens Lineup'!B$3:B1000,CONCATENATE("=",$A229))=0,"",B$2))</f>
        <v/>
      </c>
      <c r="C229" s="3" t="str">
        <f>IF($A229="","",IF(countif('Mens Lineup'!C$3:C1000,CONCATENATE("=",$A229))=0,"",C$2))</f>
        <v/>
      </c>
      <c r="D229" s="3" t="str">
        <f>IF($A229="","",IF(countif('Mens Lineup'!D$3:D1000,CONCATENATE("=",$A229))=0,"",D$2))</f>
        <v/>
      </c>
      <c r="E229" s="3" t="str">
        <f>IF($A229="","",IF(countif('Mens Lineup'!E$3:E1000,CONCATENATE("=",$A229))=0,"",E$2))</f>
        <v/>
      </c>
      <c r="F229" s="3" t="str">
        <f>IF($A229="","",IF(countif('Mens Lineup'!F$3:F1000,CONCATENATE("=",$A229))=0,"",F$2))</f>
        <v/>
      </c>
      <c r="G229" s="3" t="str">
        <f>IF($A229="","",IF(countif('Mens Lineup'!G$3:G1000,CONCATENATE("=",$A229))=0,"",G$2))</f>
        <v>100 Back</v>
      </c>
      <c r="H229" s="3" t="str">
        <f>IF($A229="","",IF(countif('Mens Lineup'!H$3:H1000,CONCATENATE("=",$A229))=0,"",H$2))</f>
        <v/>
      </c>
      <c r="I229" s="3" t="str">
        <f>IF($A229="","",IF(countif('Mens Lineup'!I$3:I1000,CONCATENATE("=",$A229))=0,"",I$2))</f>
        <v/>
      </c>
      <c r="J229" s="3" t="str">
        <f>IF($A229="","",IF(countif('Mens Lineup'!J$3:J1000,CONCATENATE("=",$A229))=0,"",J$2))</f>
        <v/>
      </c>
      <c r="K229" s="3" t="str">
        <f>IF($A229="","",IF(countif('Mens Lineup'!K$3:K1000,CONCATENATE("=",$A229))=0,"",K$2))</f>
        <v/>
      </c>
      <c r="L229" s="3" t="str">
        <f>IF($A229="","",IF(countif('Mens Lineup'!L$3:L1000,CONCATENATE("=",$A229))=0,"",L$2))</f>
        <v/>
      </c>
      <c r="M229" s="3" t="str">
        <f>IF($A229="","",IF(countif('Mens Lineup'!M$3:M1000,CONCATENATE("=",$A229))=0,"",M$2))</f>
        <v/>
      </c>
      <c r="N229" s="3" t="str">
        <f>IF($A229="","",IF(countif('Mens Lineup'!N$3:N1000,CONCATENATE("=",$A229))=0,"",N$2))</f>
        <v/>
      </c>
      <c r="O229" s="3" t="str">
        <f>IF($A229="","",IF(countif('Mens Lineup'!O$3:O1000,CONCATENATE("=",$A229))=0,"",O$2))</f>
        <v/>
      </c>
      <c r="P229" s="3" t="str">
        <f>IF($A229="","",IF(countif('Mens Lineup'!P$3:P1000,CONCATENATE("=",$A229))=0,"",P$2))</f>
        <v/>
      </c>
      <c r="Q229" s="3" t="str">
        <f>IF($A229="","",IF(countif('Mens Lineup'!Q$3:Q1000,CONCATENATE("=",$A229))=0,"",Q$2))</f>
        <v/>
      </c>
      <c r="R229" s="3" t="str">
        <f>IF($A229="","",IF(countif('Mens Lineup'!R$3:R1000,CONCATENATE("=",$A229))=0,"",R$2))</f>
        <v/>
      </c>
      <c r="S229" s="3" t="str">
        <f>IF($A229="","",IF(countif('Mens Lineup'!S$3:S1000,CONCATENATE("=",$A229))=0,"",S$2))</f>
        <v/>
      </c>
      <c r="W229" s="3" t="str">
        <f>IFERROR(__xludf.DUMMYFUNCTION("JOIN("","",FILTER(B229:S229,B229:S229&lt;&gt;""""))"),"100 Back")</f>
        <v>100 Back</v>
      </c>
    </row>
    <row r="230">
      <c r="A230" s="3" t="s">
        <v>257</v>
      </c>
      <c r="B230" s="3" t="str">
        <f>IF($A230="","",IF(countif('Mens Lineup'!B$3:B1000,CONCATENATE("=",$A230))=0,"",B$2))</f>
        <v/>
      </c>
      <c r="C230" s="3" t="str">
        <f>IF($A230="","",IF(countif('Mens Lineup'!C$3:C1000,CONCATENATE("=",$A230))=0,"",C$2))</f>
        <v/>
      </c>
      <c r="D230" s="3" t="str">
        <f>IF($A230="","",IF(countif('Mens Lineup'!D$3:D1000,CONCATENATE("=",$A230))=0,"",D$2))</f>
        <v/>
      </c>
      <c r="E230" s="3" t="str">
        <f>IF($A230="","",IF(countif('Mens Lineup'!E$3:E1000,CONCATENATE("=",$A230))=0,"",E$2))</f>
        <v/>
      </c>
      <c r="F230" s="3" t="str">
        <f>IF($A230="","",IF(countif('Mens Lineup'!F$3:F1000,CONCATENATE("=",$A230))=0,"",F$2))</f>
        <v/>
      </c>
      <c r="G230" s="3" t="str">
        <f>IF($A230="","",IF(countif('Mens Lineup'!G$3:G1000,CONCATENATE("=",$A230))=0,"",G$2))</f>
        <v>100 Back</v>
      </c>
      <c r="H230" s="3" t="str">
        <f>IF($A230="","",IF(countif('Mens Lineup'!H$3:H1000,CONCATENATE("=",$A230))=0,"",H$2))</f>
        <v>200 Back</v>
      </c>
      <c r="I230" s="3" t="str">
        <f>IF($A230="","",IF(countif('Mens Lineup'!I$3:I1000,CONCATENATE("=",$A230))=0,"",I$2))</f>
        <v/>
      </c>
      <c r="J230" s="3" t="str">
        <f>IF($A230="","",IF(countif('Mens Lineup'!J$3:J1000,CONCATENATE("=",$A230))=0,"",J$2))</f>
        <v/>
      </c>
      <c r="K230" s="3" t="str">
        <f>IF($A230="","",IF(countif('Mens Lineup'!K$3:K1000,CONCATENATE("=",$A230))=0,"",K$2))</f>
        <v/>
      </c>
      <c r="L230" s="3" t="str">
        <f>IF($A230="","",IF(countif('Mens Lineup'!L$3:L1000,CONCATENATE("=",$A230))=0,"",L$2))</f>
        <v/>
      </c>
      <c r="M230" s="3" t="str">
        <f>IF($A230="","",IF(countif('Mens Lineup'!M$3:M1000,CONCATENATE("=",$A230))=0,"",M$2))</f>
        <v/>
      </c>
      <c r="N230" s="3" t="str">
        <f>IF($A230="","",IF(countif('Mens Lineup'!N$3:N1000,CONCATENATE("=",$A230))=0,"",N$2))</f>
        <v/>
      </c>
      <c r="O230" s="3" t="str">
        <f>IF($A230="","",IF(countif('Mens Lineup'!O$3:O1000,CONCATENATE("=",$A230))=0,"",O$2))</f>
        <v/>
      </c>
      <c r="P230" s="3" t="str">
        <f>IF($A230="","",IF(countif('Mens Lineup'!P$3:P1000,CONCATENATE("=",$A230))=0,"",P$2))</f>
        <v/>
      </c>
      <c r="Q230" s="3" t="str">
        <f>IF($A230="","",IF(countif('Mens Lineup'!Q$3:Q1000,CONCATENATE("=",$A230))=0,"",Q$2))</f>
        <v/>
      </c>
      <c r="R230" s="3" t="str">
        <f>IF($A230="","",IF(countif('Mens Lineup'!R$3:R1000,CONCATENATE("=",$A230))=0,"",R$2))</f>
        <v/>
      </c>
      <c r="S230" s="3" t="str">
        <f>IF($A230="","",IF(countif('Mens Lineup'!S$3:S1000,CONCATENATE("=",$A230))=0,"",S$2))</f>
        <v/>
      </c>
      <c r="W230" s="3" t="str">
        <f>IFERROR(__xludf.DUMMYFUNCTION("JOIN("","",FILTER(B230:S230,B230:S230&lt;&gt;""""))"),"100 Back,200 Back")</f>
        <v>100 Back,200 Back</v>
      </c>
    </row>
    <row r="231">
      <c r="A231" s="3" t="s">
        <v>258</v>
      </c>
      <c r="B231" s="3" t="str">
        <f>IF($A231="","",IF(countif('Mens Lineup'!B$3:B1000,CONCATENATE("=",$A231))=0,"",B$2))</f>
        <v/>
      </c>
      <c r="C231" s="3" t="str">
        <f>IF($A231="","",IF(countif('Mens Lineup'!C$3:C1000,CONCATENATE("=",$A231))=0,"",C$2))</f>
        <v/>
      </c>
      <c r="D231" s="3" t="str">
        <f>IF($A231="","",IF(countif('Mens Lineup'!D$3:D1000,CONCATENATE("=",$A231))=0,"",D$2))</f>
        <v/>
      </c>
      <c r="E231" s="3" t="str">
        <f>IF($A231="","",IF(countif('Mens Lineup'!E$3:E1000,CONCATENATE("=",$A231))=0,"",E$2))</f>
        <v/>
      </c>
      <c r="F231" s="3" t="str">
        <f>IF($A231="","",IF(countif('Mens Lineup'!F$3:F1000,CONCATENATE("=",$A231))=0,"",F$2))</f>
        <v/>
      </c>
      <c r="G231" s="3" t="str">
        <f>IF($A231="","",IF(countif('Mens Lineup'!G$3:G1000,CONCATENATE("=",$A231))=0,"",G$2))</f>
        <v>100 Back</v>
      </c>
      <c r="H231" s="3" t="str">
        <f>IF($A231="","",IF(countif('Mens Lineup'!H$3:H1000,CONCATENATE("=",$A231))=0,"",H$2))</f>
        <v>200 Back</v>
      </c>
      <c r="I231" s="3" t="str">
        <f>IF($A231="","",IF(countif('Mens Lineup'!I$3:I1000,CONCATENATE("=",$A231))=0,"",I$2))</f>
        <v/>
      </c>
      <c r="J231" s="3" t="str">
        <f>IF($A231="","",IF(countif('Mens Lineup'!J$3:J1000,CONCATENATE("=",$A231))=0,"",J$2))</f>
        <v/>
      </c>
      <c r="K231" s="3" t="str">
        <f>IF($A231="","",IF(countif('Mens Lineup'!K$3:K1000,CONCATENATE("=",$A231))=0,"",K$2))</f>
        <v/>
      </c>
      <c r="L231" s="3" t="str">
        <f>IF($A231="","",IF(countif('Mens Lineup'!L$3:L1000,CONCATENATE("=",$A231))=0,"",L$2))</f>
        <v/>
      </c>
      <c r="M231" s="3" t="str">
        <f>IF($A231="","",IF(countif('Mens Lineup'!M$3:M1000,CONCATENATE("=",$A231))=0,"",M$2))</f>
        <v/>
      </c>
      <c r="N231" s="3" t="str">
        <f>IF($A231="","",IF(countif('Mens Lineup'!N$3:N1000,CONCATENATE("=",$A231))=0,"",N$2))</f>
        <v/>
      </c>
      <c r="O231" s="3" t="str">
        <f>IF($A231="","",IF(countif('Mens Lineup'!O$3:O1000,CONCATENATE("=",$A231))=0,"",O$2))</f>
        <v/>
      </c>
      <c r="P231" s="3" t="str">
        <f>IF($A231="","",IF(countif('Mens Lineup'!P$3:P1000,CONCATENATE("=",$A231))=0,"",P$2))</f>
        <v/>
      </c>
      <c r="Q231" s="3" t="str">
        <f>IF($A231="","",IF(countif('Mens Lineup'!Q$3:Q1000,CONCATENATE("=",$A231))=0,"",Q$2))</f>
        <v/>
      </c>
      <c r="R231" s="3" t="str">
        <f>IF($A231="","",IF(countif('Mens Lineup'!R$3:R1000,CONCATENATE("=",$A231))=0,"",R$2))</f>
        <v/>
      </c>
      <c r="S231" s="3" t="str">
        <f>IF($A231="","",IF(countif('Mens Lineup'!S$3:S1000,CONCATENATE("=",$A231))=0,"",S$2))</f>
        <v/>
      </c>
      <c r="W231" s="3" t="str">
        <f>IFERROR(__xludf.DUMMYFUNCTION("JOIN("","",FILTER(B231:S231,B231:S231&lt;&gt;""""))"),"100 Back,200 Back")</f>
        <v>100 Back,200 Back</v>
      </c>
    </row>
    <row r="232">
      <c r="A232" s="3" t="s">
        <v>259</v>
      </c>
      <c r="B232" s="3" t="str">
        <f>IF($A232="","",IF(countif('Mens Lineup'!B$3:B1000,CONCATENATE("=",$A232))=0,"",B$2))</f>
        <v/>
      </c>
      <c r="C232" s="3" t="str">
        <f>IF($A232="","",IF(countif('Mens Lineup'!C$3:C1000,CONCATENATE("=",$A232))=0,"",C$2))</f>
        <v/>
      </c>
      <c r="D232" s="3" t="str">
        <f>IF($A232="","",IF(countif('Mens Lineup'!D$3:D1000,CONCATENATE("=",$A232))=0,"",D$2))</f>
        <v/>
      </c>
      <c r="E232" s="3" t="str">
        <f>IF($A232="","",IF(countif('Mens Lineup'!E$3:E1000,CONCATENATE("=",$A232))=0,"",E$2))</f>
        <v/>
      </c>
      <c r="F232" s="3" t="str">
        <f>IF($A232="","",IF(countif('Mens Lineup'!F$3:F1000,CONCATENATE("=",$A232))=0,"",F$2))</f>
        <v/>
      </c>
      <c r="G232" s="3" t="str">
        <f>IF($A232="","",IF(countif('Mens Lineup'!G$3:G1000,CONCATENATE("=",$A232))=0,"",G$2))</f>
        <v>100 Back</v>
      </c>
      <c r="H232" s="3" t="str">
        <f>IF($A232="","",IF(countif('Mens Lineup'!H$3:H1000,CONCATENATE("=",$A232))=0,"",H$2))</f>
        <v>200 Back</v>
      </c>
      <c r="I232" s="3" t="str">
        <f>IF($A232="","",IF(countif('Mens Lineup'!I$3:I1000,CONCATENATE("=",$A232))=0,"",I$2))</f>
        <v/>
      </c>
      <c r="J232" s="3" t="str">
        <f>IF($A232="","",IF(countif('Mens Lineup'!J$3:J1000,CONCATENATE("=",$A232))=0,"",J$2))</f>
        <v/>
      </c>
      <c r="K232" s="3" t="str">
        <f>IF($A232="","",IF(countif('Mens Lineup'!K$3:K1000,CONCATENATE("=",$A232))=0,"",K$2))</f>
        <v/>
      </c>
      <c r="L232" s="3" t="str">
        <f>IF($A232="","",IF(countif('Mens Lineup'!L$3:L1000,CONCATENATE("=",$A232))=0,"",L$2))</f>
        <v/>
      </c>
      <c r="M232" s="3" t="str">
        <f>IF($A232="","",IF(countif('Mens Lineup'!M$3:M1000,CONCATENATE("=",$A232))=0,"",M$2))</f>
        <v/>
      </c>
      <c r="N232" s="3" t="str">
        <f>IF($A232="","",IF(countif('Mens Lineup'!N$3:N1000,CONCATENATE("=",$A232))=0,"",N$2))</f>
        <v/>
      </c>
      <c r="O232" s="3" t="str">
        <f>IF($A232="","",IF(countif('Mens Lineup'!O$3:O1000,CONCATENATE("=",$A232))=0,"",O$2))</f>
        <v/>
      </c>
      <c r="P232" s="3" t="str">
        <f>IF($A232="","",IF(countif('Mens Lineup'!P$3:P1000,CONCATENATE("=",$A232))=0,"",P$2))</f>
        <v/>
      </c>
      <c r="Q232" s="3" t="str">
        <f>IF($A232="","",IF(countif('Mens Lineup'!Q$3:Q1000,CONCATENATE("=",$A232))=0,"",Q$2))</f>
        <v/>
      </c>
      <c r="R232" s="3" t="str">
        <f>IF($A232="","",IF(countif('Mens Lineup'!R$3:R1000,CONCATENATE("=",$A232))=0,"",R$2))</f>
        <v/>
      </c>
      <c r="S232" s="3" t="str">
        <f>IF($A232="","",IF(countif('Mens Lineup'!S$3:S1000,CONCATENATE("=",$A232))=0,"",S$2))</f>
        <v/>
      </c>
      <c r="W232" s="3" t="str">
        <f>IFERROR(__xludf.DUMMYFUNCTION("JOIN("","",FILTER(B232:S232,B232:S232&lt;&gt;""""))"),"100 Back,200 Back")</f>
        <v>100 Back,200 Back</v>
      </c>
    </row>
    <row r="233">
      <c r="A233" s="3" t="s">
        <v>260</v>
      </c>
      <c r="B233" s="3" t="str">
        <f>IF($A233="","",IF(countif('Mens Lineup'!B$3:B1000,CONCATENATE("=",$A233))=0,"",B$2))</f>
        <v/>
      </c>
      <c r="C233" s="3" t="str">
        <f>IF($A233="","",IF(countif('Mens Lineup'!C$3:C1000,CONCATENATE("=",$A233))=0,"",C$2))</f>
        <v/>
      </c>
      <c r="D233" s="3" t="str">
        <f>IF($A233="","",IF(countif('Mens Lineup'!D$3:D1000,CONCATENATE("=",$A233))=0,"",D$2))</f>
        <v/>
      </c>
      <c r="E233" s="3" t="str">
        <f>IF($A233="","",IF(countif('Mens Lineup'!E$3:E1000,CONCATENATE("=",$A233))=0,"",E$2))</f>
        <v/>
      </c>
      <c r="F233" s="3" t="str">
        <f>IF($A233="","",IF(countif('Mens Lineup'!F$3:F1000,CONCATENATE("=",$A233))=0,"",F$2))</f>
        <v/>
      </c>
      <c r="G233" s="3" t="str">
        <f>IF($A233="","",IF(countif('Mens Lineup'!G$3:G1000,CONCATENATE("=",$A233))=0,"",G$2))</f>
        <v>100 Back</v>
      </c>
      <c r="H233" s="3" t="str">
        <f>IF($A233="","",IF(countif('Mens Lineup'!H$3:H1000,CONCATENATE("=",$A233))=0,"",H$2))</f>
        <v>200 Back</v>
      </c>
      <c r="I233" s="3" t="str">
        <f>IF($A233="","",IF(countif('Mens Lineup'!I$3:I1000,CONCATENATE("=",$A233))=0,"",I$2))</f>
        <v/>
      </c>
      <c r="J233" s="3" t="str">
        <f>IF($A233="","",IF(countif('Mens Lineup'!J$3:J1000,CONCATENATE("=",$A233))=0,"",J$2))</f>
        <v/>
      </c>
      <c r="K233" s="3" t="str">
        <f>IF($A233="","",IF(countif('Mens Lineup'!K$3:K1000,CONCATENATE("=",$A233))=0,"",K$2))</f>
        <v/>
      </c>
      <c r="L233" s="3" t="str">
        <f>IF($A233="","",IF(countif('Mens Lineup'!L$3:L1000,CONCATENATE("=",$A233))=0,"",L$2))</f>
        <v/>
      </c>
      <c r="M233" s="3" t="str">
        <f>IF($A233="","",IF(countif('Mens Lineup'!M$3:M1000,CONCATENATE("=",$A233))=0,"",M$2))</f>
        <v/>
      </c>
      <c r="N233" s="3" t="str">
        <f>IF($A233="","",IF(countif('Mens Lineup'!N$3:N1000,CONCATENATE("=",$A233))=0,"",N$2))</f>
        <v/>
      </c>
      <c r="O233" s="3" t="str">
        <f>IF($A233="","",IF(countif('Mens Lineup'!O$3:O1000,CONCATENATE("=",$A233))=0,"",O$2))</f>
        <v/>
      </c>
      <c r="P233" s="3" t="str">
        <f>IF($A233="","",IF(countif('Mens Lineup'!P$3:P1000,CONCATENATE("=",$A233))=0,"",P$2))</f>
        <v/>
      </c>
      <c r="Q233" s="3" t="str">
        <f>IF($A233="","",IF(countif('Mens Lineup'!Q$3:Q1000,CONCATENATE("=",$A233))=0,"",Q$2))</f>
        <v/>
      </c>
      <c r="R233" s="3" t="str">
        <f>IF($A233="","",IF(countif('Mens Lineup'!R$3:R1000,CONCATENATE("=",$A233))=0,"",R$2))</f>
        <v/>
      </c>
      <c r="S233" s="3" t="str">
        <f>IF($A233="","",IF(countif('Mens Lineup'!S$3:S1000,CONCATENATE("=",$A233))=0,"",S$2))</f>
        <v/>
      </c>
      <c r="W233" s="3" t="str">
        <f>IFERROR(__xludf.DUMMYFUNCTION("JOIN("","",FILTER(B233:S233,B233:S233&lt;&gt;""""))"),"100 Back,200 Back")</f>
        <v>100 Back,200 Back</v>
      </c>
    </row>
    <row r="234">
      <c r="A234" s="3" t="s">
        <v>261</v>
      </c>
      <c r="B234" s="3" t="str">
        <f>IF($A234="","",IF(countif('Mens Lineup'!B$3:B1000,CONCATENATE("=",$A234))=0,"",B$2))</f>
        <v/>
      </c>
      <c r="C234" s="3" t="str">
        <f>IF($A234="","",IF(countif('Mens Lineup'!C$3:C1000,CONCATENATE("=",$A234))=0,"",C$2))</f>
        <v/>
      </c>
      <c r="D234" s="3" t="str">
        <f>IF($A234="","",IF(countif('Mens Lineup'!D$3:D1000,CONCATENATE("=",$A234))=0,"",D$2))</f>
        <v/>
      </c>
      <c r="E234" s="3" t="str">
        <f>IF($A234="","",IF(countif('Mens Lineup'!E$3:E1000,CONCATENATE("=",$A234))=0,"",E$2))</f>
        <v/>
      </c>
      <c r="F234" s="3" t="str">
        <f>IF($A234="","",IF(countif('Mens Lineup'!F$3:F1000,CONCATENATE("=",$A234))=0,"",F$2))</f>
        <v/>
      </c>
      <c r="G234" s="3" t="str">
        <f>IF($A234="","",IF(countif('Mens Lineup'!G$3:G1000,CONCATENATE("=",$A234))=0,"",G$2))</f>
        <v>100 Back</v>
      </c>
      <c r="H234" s="3" t="str">
        <f>IF($A234="","",IF(countif('Mens Lineup'!H$3:H1000,CONCATENATE("=",$A234))=0,"",H$2))</f>
        <v>200 Back</v>
      </c>
      <c r="I234" s="3" t="str">
        <f>IF($A234="","",IF(countif('Mens Lineup'!I$3:I1000,CONCATENATE("=",$A234))=0,"",I$2))</f>
        <v>100 Breast</v>
      </c>
      <c r="J234" s="3" t="str">
        <f>IF($A234="","",IF(countif('Mens Lineup'!J$3:J1000,CONCATENATE("=",$A234))=0,"",J$2))</f>
        <v>200 Breast</v>
      </c>
      <c r="K234" s="3" t="str">
        <f>IF($A234="","",IF(countif('Mens Lineup'!K$3:K1000,CONCATENATE("=",$A234))=0,"",K$2))</f>
        <v/>
      </c>
      <c r="L234" s="3" t="str">
        <f>IF($A234="","",IF(countif('Mens Lineup'!L$3:L1000,CONCATENATE("=",$A234))=0,"",L$2))</f>
        <v/>
      </c>
      <c r="M234" s="3" t="str">
        <f>IF($A234="","",IF(countif('Mens Lineup'!M$3:M1000,CONCATENATE("=",$A234))=0,"",M$2))</f>
        <v/>
      </c>
      <c r="N234" s="3" t="str">
        <f>IF($A234="","",IF(countif('Mens Lineup'!N$3:N1000,CONCATENATE("=",$A234))=0,"",N$2))</f>
        <v>400 IM</v>
      </c>
      <c r="O234" s="3" t="str">
        <f>IF($A234="","",IF(countif('Mens Lineup'!O$3:O1000,CONCATENATE("=",$A234))=0,"",O$2))</f>
        <v/>
      </c>
      <c r="P234" s="3" t="str">
        <f>IF($A234="","",IF(countif('Mens Lineup'!P$3:P1000,CONCATENATE("=",$A234))=0,"",P$2))</f>
        <v/>
      </c>
      <c r="Q234" s="3" t="str">
        <f>IF($A234="","",IF(countif('Mens Lineup'!Q$3:Q1000,CONCATENATE("=",$A234))=0,"",Q$2))</f>
        <v/>
      </c>
      <c r="R234" s="3" t="str">
        <f>IF($A234="","",IF(countif('Mens Lineup'!R$3:R1000,CONCATENATE("=",$A234))=0,"",R$2))</f>
        <v/>
      </c>
      <c r="S234" s="3" t="str">
        <f>IF($A234="","",IF(countif('Mens Lineup'!S$3:S1000,CONCATENATE("=",$A234))=0,"",S$2))</f>
        <v/>
      </c>
      <c r="W234" s="3" t="str">
        <f>IFERROR(__xludf.DUMMYFUNCTION("JOIN("","",FILTER(B234:S234,B234:S234&lt;&gt;""""))"),"100 Back,200 Back,100 Breast,200 Breast,400 IM")</f>
        <v>100 Back,200 Back,100 Breast,200 Breast,400 IM</v>
      </c>
    </row>
    <row r="235">
      <c r="A235" s="3" t="s">
        <v>262</v>
      </c>
      <c r="B235" s="3" t="str">
        <f>IF($A235="","",IF(countif('Mens Lineup'!B$3:B1000,CONCATENATE("=",$A235))=0,"",B$2))</f>
        <v/>
      </c>
      <c r="C235" s="3" t="str">
        <f>IF($A235="","",IF(countif('Mens Lineup'!C$3:C1000,CONCATENATE("=",$A235))=0,"",C$2))</f>
        <v/>
      </c>
      <c r="D235" s="3" t="str">
        <f>IF($A235="","",IF(countif('Mens Lineup'!D$3:D1000,CONCATENATE("=",$A235))=0,"",D$2))</f>
        <v/>
      </c>
      <c r="E235" s="3" t="str">
        <f>IF($A235="","",IF(countif('Mens Lineup'!E$3:E1000,CONCATENATE("=",$A235))=0,"",E$2))</f>
        <v/>
      </c>
      <c r="F235" s="3" t="str">
        <f>IF($A235="","",IF(countif('Mens Lineup'!F$3:F1000,CONCATENATE("=",$A235))=0,"",F$2))</f>
        <v/>
      </c>
      <c r="G235" s="3" t="str">
        <f>IF($A235="","",IF(countif('Mens Lineup'!G$3:G1000,CONCATENATE("=",$A235))=0,"",G$2))</f>
        <v>100 Back</v>
      </c>
      <c r="H235" s="3" t="str">
        <f>IF($A235="","",IF(countif('Mens Lineup'!H$3:H1000,CONCATENATE("=",$A235))=0,"",H$2))</f>
        <v/>
      </c>
      <c r="I235" s="3" t="str">
        <f>IF($A235="","",IF(countif('Mens Lineup'!I$3:I1000,CONCATENATE("=",$A235))=0,"",I$2))</f>
        <v/>
      </c>
      <c r="J235" s="3" t="str">
        <f>IF($A235="","",IF(countif('Mens Lineup'!J$3:J1000,CONCATENATE("=",$A235))=0,"",J$2))</f>
        <v/>
      </c>
      <c r="K235" s="3" t="str">
        <f>IF($A235="","",IF(countif('Mens Lineup'!K$3:K1000,CONCATENATE("=",$A235))=0,"",K$2))</f>
        <v>100 Fly</v>
      </c>
      <c r="L235" s="3" t="str">
        <f>IF($A235="","",IF(countif('Mens Lineup'!L$3:L1000,CONCATENATE("=",$A235))=0,"",L$2))</f>
        <v/>
      </c>
      <c r="M235" s="3" t="str">
        <f>IF($A235="","",IF(countif('Mens Lineup'!M$3:M1000,CONCATENATE("=",$A235))=0,"",M$2))</f>
        <v/>
      </c>
      <c r="N235" s="3" t="str">
        <f>IF($A235="","",IF(countif('Mens Lineup'!N$3:N1000,CONCATENATE("=",$A235))=0,"",N$2))</f>
        <v/>
      </c>
      <c r="O235" s="3" t="str">
        <f>IF($A235="","",IF(countif('Mens Lineup'!O$3:O1000,CONCATENATE("=",$A235))=0,"",O$2))</f>
        <v/>
      </c>
      <c r="P235" s="3" t="str">
        <f>IF($A235="","",IF(countif('Mens Lineup'!P$3:P1000,CONCATENATE("=",$A235))=0,"",P$2))</f>
        <v/>
      </c>
      <c r="Q235" s="3" t="str">
        <f>IF($A235="","",IF(countif('Mens Lineup'!Q$3:Q1000,CONCATENATE("=",$A235))=0,"",Q$2))</f>
        <v/>
      </c>
      <c r="R235" s="3" t="str">
        <f>IF($A235="","",IF(countif('Mens Lineup'!R$3:R1000,CONCATENATE("=",$A235))=0,"",R$2))</f>
        <v/>
      </c>
      <c r="S235" s="3" t="str">
        <f>IF($A235="","",IF(countif('Mens Lineup'!S$3:S1000,CONCATENATE("=",$A235))=0,"",S$2))</f>
        <v/>
      </c>
      <c r="W235" s="3" t="str">
        <f>IFERROR(__xludf.DUMMYFUNCTION("JOIN("","",FILTER(B235:S235,B235:S235&lt;&gt;""""))"),"100 Back,100 Fly")</f>
        <v>100 Back,100 Fly</v>
      </c>
    </row>
    <row r="236">
      <c r="A236" s="3" t="s">
        <v>263</v>
      </c>
      <c r="B236" s="3" t="str">
        <f>IF($A236="","",IF(countif('Mens Lineup'!B$3:B1000,CONCATENATE("=",$A236))=0,"",B$2))</f>
        <v/>
      </c>
      <c r="C236" s="3" t="str">
        <f>IF($A236="","",IF(countif('Mens Lineup'!C$3:C1000,CONCATENATE("=",$A236))=0,"",C$2))</f>
        <v/>
      </c>
      <c r="D236" s="3" t="str">
        <f>IF($A236="","",IF(countif('Mens Lineup'!D$3:D1000,CONCATENATE("=",$A236))=0,"",D$2))</f>
        <v/>
      </c>
      <c r="E236" s="3" t="str">
        <f>IF($A236="","",IF(countif('Mens Lineup'!E$3:E1000,CONCATENATE("=",$A236))=0,"",E$2))</f>
        <v/>
      </c>
      <c r="F236" s="3" t="str">
        <f>IF($A236="","",IF(countif('Mens Lineup'!F$3:F1000,CONCATENATE("=",$A236))=0,"",F$2))</f>
        <v/>
      </c>
      <c r="G236" s="3" t="str">
        <f>IF($A236="","",IF(countif('Mens Lineup'!G$3:G1000,CONCATENATE("=",$A236))=0,"",G$2))</f>
        <v>100 Back</v>
      </c>
      <c r="H236" s="3" t="str">
        <f>IF($A236="","",IF(countif('Mens Lineup'!H$3:H1000,CONCATENATE("=",$A236))=0,"",H$2))</f>
        <v/>
      </c>
      <c r="I236" s="3" t="str">
        <f>IF($A236="","",IF(countif('Mens Lineup'!I$3:I1000,CONCATENATE("=",$A236))=0,"",I$2))</f>
        <v/>
      </c>
      <c r="J236" s="3" t="str">
        <f>IF($A236="","",IF(countif('Mens Lineup'!J$3:J1000,CONCATENATE("=",$A236))=0,"",J$2))</f>
        <v/>
      </c>
      <c r="K236" s="3" t="str">
        <f>IF($A236="","",IF(countif('Mens Lineup'!K$3:K1000,CONCATENATE("=",$A236))=0,"",K$2))</f>
        <v/>
      </c>
      <c r="L236" s="3" t="str">
        <f>IF($A236="","",IF(countif('Mens Lineup'!L$3:L1000,CONCATENATE("=",$A236))=0,"",L$2))</f>
        <v/>
      </c>
      <c r="M236" s="3" t="str">
        <f>IF($A236="","",IF(countif('Mens Lineup'!M$3:M1000,CONCATENATE("=",$A236))=0,"",M$2))</f>
        <v/>
      </c>
      <c r="N236" s="3" t="str">
        <f>IF($A236="","",IF(countif('Mens Lineup'!N$3:N1000,CONCATENATE("=",$A236))=0,"",N$2))</f>
        <v/>
      </c>
      <c r="O236" s="3" t="str">
        <f>IF($A236="","",IF(countif('Mens Lineup'!O$3:O1000,CONCATENATE("=",$A236))=0,"",O$2))</f>
        <v/>
      </c>
      <c r="P236" s="3" t="str">
        <f>IF($A236="","",IF(countif('Mens Lineup'!P$3:P1000,CONCATENATE("=",$A236))=0,"",P$2))</f>
        <v/>
      </c>
      <c r="Q236" s="3" t="str">
        <f>IF($A236="","",IF(countif('Mens Lineup'!Q$3:Q1000,CONCATENATE("=",$A236))=0,"",Q$2))</f>
        <v/>
      </c>
      <c r="R236" s="3" t="str">
        <f>IF($A236="","",IF(countif('Mens Lineup'!R$3:R1000,CONCATENATE("=",$A236))=0,"",R$2))</f>
        <v/>
      </c>
      <c r="S236" s="3" t="str">
        <f>IF($A236="","",IF(countif('Mens Lineup'!S$3:S1000,CONCATENATE("=",$A236))=0,"",S$2))</f>
        <v/>
      </c>
      <c r="W236" s="3" t="str">
        <f>IFERROR(__xludf.DUMMYFUNCTION("JOIN("","",FILTER(B236:S236,B236:S236&lt;&gt;""""))"),"100 Back")</f>
        <v>100 Back</v>
      </c>
    </row>
    <row r="237">
      <c r="A237" s="3" t="s">
        <v>264</v>
      </c>
      <c r="B237" s="3" t="str">
        <f>IF($A237="","",IF(countif('Mens Lineup'!B$3:B1000,CONCATENATE("=",$A237))=0,"",B$2))</f>
        <v/>
      </c>
      <c r="C237" s="3" t="str">
        <f>IF($A237="","",IF(countif('Mens Lineup'!C$3:C1000,CONCATENATE("=",$A237))=0,"",C$2))</f>
        <v/>
      </c>
      <c r="D237" s="3" t="str">
        <f>IF($A237="","",IF(countif('Mens Lineup'!D$3:D1000,CONCATENATE("=",$A237))=0,"",D$2))</f>
        <v/>
      </c>
      <c r="E237" s="3" t="str">
        <f>IF($A237="","",IF(countif('Mens Lineup'!E$3:E1000,CONCATENATE("=",$A237))=0,"",E$2))</f>
        <v/>
      </c>
      <c r="F237" s="3" t="str">
        <f>IF($A237="","",IF(countif('Mens Lineup'!F$3:F1000,CONCATENATE("=",$A237))=0,"",F$2))</f>
        <v/>
      </c>
      <c r="G237" s="3" t="str">
        <f>IF($A237="","",IF(countif('Mens Lineup'!G$3:G1000,CONCATENATE("=",$A237))=0,"",G$2))</f>
        <v>100 Back</v>
      </c>
      <c r="H237" s="3" t="str">
        <f>IF($A237="","",IF(countif('Mens Lineup'!H$3:H1000,CONCATENATE("=",$A237))=0,"",H$2))</f>
        <v/>
      </c>
      <c r="I237" s="3" t="str">
        <f>IF($A237="","",IF(countif('Mens Lineup'!I$3:I1000,CONCATENATE("=",$A237))=0,"",I$2))</f>
        <v>100 Breast</v>
      </c>
      <c r="J237" s="3" t="str">
        <f>IF($A237="","",IF(countif('Mens Lineup'!J$3:J1000,CONCATENATE("=",$A237))=0,"",J$2))</f>
        <v>200 Breast</v>
      </c>
      <c r="K237" s="3" t="str">
        <f>IF($A237="","",IF(countif('Mens Lineup'!K$3:K1000,CONCATENATE("=",$A237))=0,"",K$2))</f>
        <v/>
      </c>
      <c r="L237" s="3" t="str">
        <f>IF($A237="","",IF(countif('Mens Lineup'!L$3:L1000,CONCATENATE("=",$A237))=0,"",L$2))</f>
        <v/>
      </c>
      <c r="M237" s="3" t="str">
        <f>IF($A237="","",IF(countif('Mens Lineup'!M$3:M1000,CONCATENATE("=",$A237))=0,"",M$2))</f>
        <v/>
      </c>
      <c r="N237" s="3" t="str">
        <f>IF($A237="","",IF(countif('Mens Lineup'!N$3:N1000,CONCATENATE("=",$A237))=0,"",N$2))</f>
        <v>400 IM</v>
      </c>
      <c r="O237" s="3" t="str">
        <f>IF($A237="","",IF(countif('Mens Lineup'!O$3:O1000,CONCATENATE("=",$A237))=0,"",O$2))</f>
        <v/>
      </c>
      <c r="P237" s="3" t="str">
        <f>IF($A237="","",IF(countif('Mens Lineup'!P$3:P1000,CONCATENATE("=",$A237))=0,"",P$2))</f>
        <v/>
      </c>
      <c r="Q237" s="3" t="str">
        <f>IF($A237="","",IF(countif('Mens Lineup'!Q$3:Q1000,CONCATENATE("=",$A237))=0,"",Q$2))</f>
        <v/>
      </c>
      <c r="R237" s="3" t="str">
        <f>IF($A237="","",IF(countif('Mens Lineup'!R$3:R1000,CONCATENATE("=",$A237))=0,"",R$2))</f>
        <v/>
      </c>
      <c r="S237" s="3" t="str">
        <f>IF($A237="","",IF(countif('Mens Lineup'!S$3:S1000,CONCATENATE("=",$A237))=0,"",S$2))</f>
        <v/>
      </c>
      <c r="W237" s="3" t="str">
        <f>IFERROR(__xludf.DUMMYFUNCTION("JOIN("","",FILTER(B237:S237,B237:S237&lt;&gt;""""))"),"100 Back,100 Breast,200 Breast,400 IM")</f>
        <v>100 Back,100 Breast,200 Breast,400 IM</v>
      </c>
    </row>
    <row r="238">
      <c r="A238" s="3" t="s">
        <v>265</v>
      </c>
      <c r="B238" s="3" t="str">
        <f>IF($A238="","",IF(countif('Mens Lineup'!B$3:B1000,CONCATENATE("=",$A238))=0,"",B$2))</f>
        <v/>
      </c>
      <c r="C238" s="3" t="str">
        <f>IF($A238="","",IF(countif('Mens Lineup'!C$3:C1000,CONCATENATE("=",$A238))=0,"",C$2))</f>
        <v/>
      </c>
      <c r="D238" s="3" t="str">
        <f>IF($A238="","",IF(countif('Mens Lineup'!D$3:D1000,CONCATENATE("=",$A238))=0,"",D$2))</f>
        <v/>
      </c>
      <c r="E238" s="3" t="str">
        <f>IF($A238="","",IF(countif('Mens Lineup'!E$3:E1000,CONCATENATE("=",$A238))=0,"",E$2))</f>
        <v/>
      </c>
      <c r="F238" s="3" t="str">
        <f>IF($A238="","",IF(countif('Mens Lineup'!F$3:F1000,CONCATENATE("=",$A238))=0,"",F$2))</f>
        <v/>
      </c>
      <c r="G238" s="3" t="str">
        <f>IF($A238="","",IF(countif('Mens Lineup'!G$3:G1000,CONCATENATE("=",$A238))=0,"",G$2))</f>
        <v/>
      </c>
      <c r="H238" s="3" t="str">
        <f>IF($A238="","",IF(countif('Mens Lineup'!H$3:H1000,CONCATENATE("=",$A238))=0,"",H$2))</f>
        <v>200 Back</v>
      </c>
      <c r="I238" s="3" t="str">
        <f>IF($A238="","",IF(countif('Mens Lineup'!I$3:I1000,CONCATENATE("=",$A238))=0,"",I$2))</f>
        <v>100 Breast</v>
      </c>
      <c r="J238" s="3" t="str">
        <f>IF($A238="","",IF(countif('Mens Lineup'!J$3:J1000,CONCATENATE("=",$A238))=0,"",J$2))</f>
        <v>200 Breast</v>
      </c>
      <c r="K238" s="3" t="str">
        <f>IF($A238="","",IF(countif('Mens Lineup'!K$3:K1000,CONCATENATE("=",$A238))=0,"",K$2))</f>
        <v/>
      </c>
      <c r="L238" s="3" t="str">
        <f>IF($A238="","",IF(countif('Mens Lineup'!L$3:L1000,CONCATENATE("=",$A238))=0,"",L$2))</f>
        <v>200 Fly</v>
      </c>
      <c r="M238" s="3" t="str">
        <f>IF($A238="","",IF(countif('Mens Lineup'!M$3:M1000,CONCATENATE("=",$A238))=0,"",M$2))</f>
        <v>200 IM</v>
      </c>
      <c r="N238" s="3" t="str">
        <f>IF($A238="","",IF(countif('Mens Lineup'!N$3:N1000,CONCATENATE("=",$A238))=0,"",N$2))</f>
        <v/>
      </c>
      <c r="O238" s="3" t="str">
        <f>IF($A238="","",IF(countif('Mens Lineup'!O$3:O1000,CONCATENATE("=",$A238))=0,"",O$2))</f>
        <v/>
      </c>
      <c r="P238" s="3" t="str">
        <f>IF($A238="","",IF(countif('Mens Lineup'!P$3:P1000,CONCATENATE("=",$A238))=0,"",P$2))</f>
        <v/>
      </c>
      <c r="Q238" s="3" t="str">
        <f>IF($A238="","",IF(countif('Mens Lineup'!Q$3:Q1000,CONCATENATE("=",$A238))=0,"",Q$2))</f>
        <v/>
      </c>
      <c r="R238" s="3" t="str">
        <f>IF($A238="","",IF(countif('Mens Lineup'!R$3:R1000,CONCATENATE("=",$A238))=0,"",R$2))</f>
        <v/>
      </c>
      <c r="S238" s="3" t="str">
        <f>IF($A238="","",IF(countif('Mens Lineup'!S$3:S1000,CONCATENATE("=",$A238))=0,"",S$2))</f>
        <v/>
      </c>
      <c r="W238" s="3" t="str">
        <f>IFERROR(__xludf.DUMMYFUNCTION("JOIN("","",FILTER(B238:S238,B238:S238&lt;&gt;""""))"),"200 Back,100 Breast,200 Breast,200 Fly,200 IM")</f>
        <v>200 Back,100 Breast,200 Breast,200 Fly,200 IM</v>
      </c>
    </row>
    <row r="239">
      <c r="A239" s="3" t="s">
        <v>266</v>
      </c>
      <c r="B239" s="3" t="str">
        <f>IF($A239="","",IF(countif('Mens Lineup'!B$3:B1000,CONCATENATE("=",$A239))=0,"",B$2))</f>
        <v/>
      </c>
      <c r="C239" s="3" t="str">
        <f>IF($A239="","",IF(countif('Mens Lineup'!C$3:C1000,CONCATENATE("=",$A239))=0,"",C$2))</f>
        <v/>
      </c>
      <c r="D239" s="3" t="str">
        <f>IF($A239="","",IF(countif('Mens Lineup'!D$3:D1000,CONCATENATE("=",$A239))=0,"",D$2))</f>
        <v/>
      </c>
      <c r="E239" s="3" t="str">
        <f>IF($A239="","",IF(countif('Mens Lineup'!E$3:E1000,CONCATENATE("=",$A239))=0,"",E$2))</f>
        <v/>
      </c>
      <c r="F239" s="3" t="str">
        <f>IF($A239="","",IF(countif('Mens Lineup'!F$3:F1000,CONCATENATE("=",$A239))=0,"",F$2))</f>
        <v/>
      </c>
      <c r="G239" s="3" t="str">
        <f>IF($A239="","",IF(countif('Mens Lineup'!G$3:G1000,CONCATENATE("=",$A239))=0,"",G$2))</f>
        <v/>
      </c>
      <c r="H239" s="3" t="str">
        <f>IF($A239="","",IF(countif('Mens Lineup'!H$3:H1000,CONCATENATE("=",$A239))=0,"",H$2))</f>
        <v>200 Back</v>
      </c>
      <c r="I239" s="3" t="str">
        <f>IF($A239="","",IF(countif('Mens Lineup'!I$3:I1000,CONCATENATE("=",$A239))=0,"",I$2))</f>
        <v>100 Breast</v>
      </c>
      <c r="J239" s="3" t="str">
        <f>IF($A239="","",IF(countif('Mens Lineup'!J$3:J1000,CONCATENATE("=",$A239))=0,"",J$2))</f>
        <v>200 Breast</v>
      </c>
      <c r="K239" s="3" t="str">
        <f>IF($A239="","",IF(countif('Mens Lineup'!K$3:K1000,CONCATENATE("=",$A239))=0,"",K$2))</f>
        <v/>
      </c>
      <c r="L239" s="3" t="str">
        <f>IF($A239="","",IF(countif('Mens Lineup'!L$3:L1000,CONCATENATE("=",$A239))=0,"",L$2))</f>
        <v>200 Fly</v>
      </c>
      <c r="M239" s="3" t="str">
        <f>IF($A239="","",IF(countif('Mens Lineup'!M$3:M1000,CONCATENATE("=",$A239))=0,"",M$2))</f>
        <v>200 IM</v>
      </c>
      <c r="N239" s="3" t="str">
        <f>IF($A239="","",IF(countif('Mens Lineup'!N$3:N1000,CONCATENATE("=",$A239))=0,"",N$2))</f>
        <v>400 IM</v>
      </c>
      <c r="O239" s="3" t="str">
        <f>IF($A239="","",IF(countif('Mens Lineup'!O$3:O1000,CONCATENATE("=",$A239))=0,"",O$2))</f>
        <v/>
      </c>
      <c r="P239" s="3" t="str">
        <f>IF($A239="","",IF(countif('Mens Lineup'!P$3:P1000,CONCATENATE("=",$A239))=0,"",P$2))</f>
        <v/>
      </c>
      <c r="Q239" s="3" t="str">
        <f>IF($A239="","",IF(countif('Mens Lineup'!Q$3:Q1000,CONCATENATE("=",$A239))=0,"",Q$2))</f>
        <v/>
      </c>
      <c r="R239" s="3" t="str">
        <f>IF($A239="","",IF(countif('Mens Lineup'!R$3:R1000,CONCATENATE("=",$A239))=0,"",R$2))</f>
        <v/>
      </c>
      <c r="S239" s="3" t="str">
        <f>IF($A239="","",IF(countif('Mens Lineup'!S$3:S1000,CONCATENATE("=",$A239))=0,"",S$2))</f>
        <v/>
      </c>
      <c r="W239" s="3" t="str">
        <f>IFERROR(__xludf.DUMMYFUNCTION("JOIN("","",FILTER(B239:S239,B239:S239&lt;&gt;""""))"),"200 Back,100 Breast,200 Breast,200 Fly,200 IM,400 IM")</f>
        <v>200 Back,100 Breast,200 Breast,200 Fly,200 IM,400 IM</v>
      </c>
    </row>
    <row r="240">
      <c r="A240" s="3" t="s">
        <v>267</v>
      </c>
      <c r="B240" s="3" t="str">
        <f>IF($A240="","",IF(countif('Mens Lineup'!B$3:B1000,CONCATENATE("=",$A240))=0,"",B$2))</f>
        <v/>
      </c>
      <c r="C240" s="3" t="str">
        <f>IF($A240="","",IF(countif('Mens Lineup'!C$3:C1000,CONCATENATE("=",$A240))=0,"",C$2))</f>
        <v/>
      </c>
      <c r="D240" s="3" t="str">
        <f>IF($A240="","",IF(countif('Mens Lineup'!D$3:D1000,CONCATENATE("=",$A240))=0,"",D$2))</f>
        <v/>
      </c>
      <c r="E240" s="3" t="str">
        <f>IF($A240="","",IF(countif('Mens Lineup'!E$3:E1000,CONCATENATE("=",$A240))=0,"",E$2))</f>
        <v/>
      </c>
      <c r="F240" s="3" t="str">
        <f>IF($A240="","",IF(countif('Mens Lineup'!F$3:F1000,CONCATENATE("=",$A240))=0,"",F$2))</f>
        <v/>
      </c>
      <c r="G240" s="3" t="str">
        <f>IF($A240="","",IF(countif('Mens Lineup'!G$3:G1000,CONCATENATE("=",$A240))=0,"",G$2))</f>
        <v/>
      </c>
      <c r="H240" s="3" t="str">
        <f>IF($A240="","",IF(countif('Mens Lineup'!H$3:H1000,CONCATENATE("=",$A240))=0,"",H$2))</f>
        <v>200 Back</v>
      </c>
      <c r="I240" s="3" t="str">
        <f>IF($A240="","",IF(countif('Mens Lineup'!I$3:I1000,CONCATENATE("=",$A240))=0,"",I$2))</f>
        <v/>
      </c>
      <c r="J240" s="3" t="str">
        <f>IF($A240="","",IF(countif('Mens Lineup'!J$3:J1000,CONCATENATE("=",$A240))=0,"",J$2))</f>
        <v/>
      </c>
      <c r="K240" s="3" t="str">
        <f>IF($A240="","",IF(countif('Mens Lineup'!K$3:K1000,CONCATENATE("=",$A240))=0,"",K$2))</f>
        <v/>
      </c>
      <c r="L240" s="3" t="str">
        <f>IF($A240="","",IF(countif('Mens Lineup'!L$3:L1000,CONCATENATE("=",$A240))=0,"",L$2))</f>
        <v>200 Fly</v>
      </c>
      <c r="M240" s="3" t="str">
        <f>IF($A240="","",IF(countif('Mens Lineup'!M$3:M1000,CONCATENATE("=",$A240))=0,"",M$2))</f>
        <v>200 IM</v>
      </c>
      <c r="N240" s="3" t="str">
        <f>IF($A240="","",IF(countif('Mens Lineup'!N$3:N1000,CONCATENATE("=",$A240))=0,"",N$2))</f>
        <v>400 IM</v>
      </c>
      <c r="O240" s="3" t="str">
        <f>IF($A240="","",IF(countif('Mens Lineup'!O$3:O1000,CONCATENATE("=",$A240))=0,"",O$2))</f>
        <v/>
      </c>
      <c r="P240" s="3" t="str">
        <f>IF($A240="","",IF(countif('Mens Lineup'!P$3:P1000,CONCATENATE("=",$A240))=0,"",P$2))</f>
        <v/>
      </c>
      <c r="Q240" s="3" t="str">
        <f>IF($A240="","",IF(countif('Mens Lineup'!Q$3:Q1000,CONCATENATE("=",$A240))=0,"",Q$2))</f>
        <v/>
      </c>
      <c r="R240" s="3" t="str">
        <f>IF($A240="","",IF(countif('Mens Lineup'!R$3:R1000,CONCATENATE("=",$A240))=0,"",R$2))</f>
        <v/>
      </c>
      <c r="S240" s="3" t="str">
        <f>IF($A240="","",IF(countif('Mens Lineup'!S$3:S1000,CONCATENATE("=",$A240))=0,"",S$2))</f>
        <v/>
      </c>
      <c r="W240" s="3" t="str">
        <f>IFERROR(__xludf.DUMMYFUNCTION("JOIN("","",FILTER(B240:S240,B240:S240&lt;&gt;""""))"),"200 Back,200 Fly,200 IM,400 IM")</f>
        <v>200 Back,200 Fly,200 IM,400 IM</v>
      </c>
    </row>
    <row r="241">
      <c r="A241" s="3" t="s">
        <v>268</v>
      </c>
      <c r="B241" s="3" t="str">
        <f>IF($A241="","",IF(countif('Mens Lineup'!B$3:B1000,CONCATENATE("=",$A241))=0,"",B$2))</f>
        <v/>
      </c>
      <c r="C241" s="3" t="str">
        <f>IF($A241="","",IF(countif('Mens Lineup'!C$3:C1000,CONCATENATE("=",$A241))=0,"",C$2))</f>
        <v/>
      </c>
      <c r="D241" s="3" t="str">
        <f>IF($A241="","",IF(countif('Mens Lineup'!D$3:D1000,CONCATENATE("=",$A241))=0,"",D$2))</f>
        <v/>
      </c>
      <c r="E241" s="3" t="str">
        <f>IF($A241="","",IF(countif('Mens Lineup'!E$3:E1000,CONCATENATE("=",$A241))=0,"",E$2))</f>
        <v/>
      </c>
      <c r="F241" s="3" t="str">
        <f>IF($A241="","",IF(countif('Mens Lineup'!F$3:F1000,CONCATENATE("=",$A241))=0,"",F$2))</f>
        <v/>
      </c>
      <c r="G241" s="3" t="str">
        <f>IF($A241="","",IF(countif('Mens Lineup'!G$3:G1000,CONCATENATE("=",$A241))=0,"",G$2))</f>
        <v/>
      </c>
      <c r="H241" s="3" t="str">
        <f>IF($A241="","",IF(countif('Mens Lineup'!H$3:H1000,CONCATENATE("=",$A241))=0,"",H$2))</f>
        <v>200 Back</v>
      </c>
      <c r="I241" s="3" t="str">
        <f>IF($A241="","",IF(countif('Mens Lineup'!I$3:I1000,CONCATENATE("=",$A241))=0,"",I$2))</f>
        <v/>
      </c>
      <c r="J241" s="3" t="str">
        <f>IF($A241="","",IF(countif('Mens Lineup'!J$3:J1000,CONCATENATE("=",$A241))=0,"",J$2))</f>
        <v/>
      </c>
      <c r="K241" s="3" t="str">
        <f>IF($A241="","",IF(countif('Mens Lineup'!K$3:K1000,CONCATENATE("=",$A241))=0,"",K$2))</f>
        <v/>
      </c>
      <c r="L241" s="3" t="str">
        <f>IF($A241="","",IF(countif('Mens Lineup'!L$3:L1000,CONCATENATE("=",$A241))=0,"",L$2))</f>
        <v/>
      </c>
      <c r="M241" s="3" t="str">
        <f>IF($A241="","",IF(countif('Mens Lineup'!M$3:M1000,CONCATENATE("=",$A241))=0,"",M$2))</f>
        <v/>
      </c>
      <c r="N241" s="3" t="str">
        <f>IF($A241="","",IF(countif('Mens Lineup'!N$3:N1000,CONCATENATE("=",$A241))=0,"",N$2))</f>
        <v/>
      </c>
      <c r="O241" s="3" t="str">
        <f>IF($A241="","",IF(countif('Mens Lineup'!O$3:O1000,CONCATENATE("=",$A241))=0,"",O$2))</f>
        <v/>
      </c>
      <c r="P241" s="3" t="str">
        <f>IF($A241="","",IF(countif('Mens Lineup'!P$3:P1000,CONCATENATE("=",$A241))=0,"",P$2))</f>
        <v/>
      </c>
      <c r="Q241" s="3" t="str">
        <f>IF($A241="","",IF(countif('Mens Lineup'!Q$3:Q1000,CONCATENATE("=",$A241))=0,"",Q$2))</f>
        <v/>
      </c>
      <c r="R241" s="3" t="str">
        <f>IF($A241="","",IF(countif('Mens Lineup'!R$3:R1000,CONCATENATE("=",$A241))=0,"",R$2))</f>
        <v/>
      </c>
      <c r="S241" s="3" t="str">
        <f>IF($A241="","",IF(countif('Mens Lineup'!S$3:S1000,CONCATENATE("=",$A241))=0,"",S$2))</f>
        <v/>
      </c>
      <c r="W241" s="3" t="str">
        <f>IFERROR(__xludf.DUMMYFUNCTION("JOIN("","",FILTER(B241:S241,B241:S241&lt;&gt;""""))"),"200 Back")</f>
        <v>200 Back</v>
      </c>
    </row>
    <row r="242">
      <c r="A242" s="3" t="s">
        <v>269</v>
      </c>
      <c r="B242" s="3" t="str">
        <f>IF($A242="","",IF(countif('Mens Lineup'!B$3:B1000,CONCATENATE("=",$A242))=0,"",B$2))</f>
        <v/>
      </c>
      <c r="C242" s="3" t="str">
        <f>IF($A242="","",IF(countif('Mens Lineup'!C$3:C1000,CONCATENATE("=",$A242))=0,"",C$2))</f>
        <v/>
      </c>
      <c r="D242" s="3" t="str">
        <f>IF($A242="","",IF(countif('Mens Lineup'!D$3:D1000,CONCATENATE("=",$A242))=0,"",D$2))</f>
        <v/>
      </c>
      <c r="E242" s="3" t="str">
        <f>IF($A242="","",IF(countif('Mens Lineup'!E$3:E1000,CONCATENATE("=",$A242))=0,"",E$2))</f>
        <v/>
      </c>
      <c r="F242" s="3" t="str">
        <f>IF($A242="","",IF(countif('Mens Lineup'!F$3:F1000,CONCATENATE("=",$A242))=0,"",F$2))</f>
        <v/>
      </c>
      <c r="G242" s="3" t="str">
        <f>IF($A242="","",IF(countif('Mens Lineup'!G$3:G1000,CONCATENATE("=",$A242))=0,"",G$2))</f>
        <v/>
      </c>
      <c r="H242" s="3" t="str">
        <f>IF($A242="","",IF(countif('Mens Lineup'!H$3:H1000,CONCATENATE("=",$A242))=0,"",H$2))</f>
        <v>200 Back</v>
      </c>
      <c r="I242" s="3" t="str">
        <f>IF($A242="","",IF(countif('Mens Lineup'!I$3:I1000,CONCATENATE("=",$A242))=0,"",I$2))</f>
        <v/>
      </c>
      <c r="J242" s="3" t="str">
        <f>IF($A242="","",IF(countif('Mens Lineup'!J$3:J1000,CONCATENATE("=",$A242))=0,"",J$2))</f>
        <v/>
      </c>
      <c r="K242" s="3" t="str">
        <f>IF($A242="","",IF(countif('Mens Lineup'!K$3:K1000,CONCATENATE("=",$A242))=0,"",K$2))</f>
        <v/>
      </c>
      <c r="L242" s="3" t="str">
        <f>IF($A242="","",IF(countif('Mens Lineup'!L$3:L1000,CONCATENATE("=",$A242))=0,"",L$2))</f>
        <v/>
      </c>
      <c r="M242" s="3" t="str">
        <f>IF($A242="","",IF(countif('Mens Lineup'!M$3:M1000,CONCATENATE("=",$A242))=0,"",M$2))</f>
        <v/>
      </c>
      <c r="N242" s="3" t="str">
        <f>IF($A242="","",IF(countif('Mens Lineup'!N$3:N1000,CONCATENATE("=",$A242))=0,"",N$2))</f>
        <v/>
      </c>
      <c r="O242" s="3" t="str">
        <f>IF($A242="","",IF(countif('Mens Lineup'!O$3:O1000,CONCATENATE("=",$A242))=0,"",O$2))</f>
        <v/>
      </c>
      <c r="P242" s="3" t="str">
        <f>IF($A242="","",IF(countif('Mens Lineup'!P$3:P1000,CONCATENATE("=",$A242))=0,"",P$2))</f>
        <v/>
      </c>
      <c r="Q242" s="3" t="str">
        <f>IF($A242="","",IF(countif('Mens Lineup'!Q$3:Q1000,CONCATENATE("=",$A242))=0,"",Q$2))</f>
        <v/>
      </c>
      <c r="R242" s="3" t="str">
        <f>IF($A242="","",IF(countif('Mens Lineup'!R$3:R1000,CONCATENATE("=",$A242))=0,"",R$2))</f>
        <v/>
      </c>
      <c r="S242" s="3" t="str">
        <f>IF($A242="","",IF(countif('Mens Lineup'!S$3:S1000,CONCATENATE("=",$A242))=0,"",S$2))</f>
        <v/>
      </c>
      <c r="W242" s="3" t="str">
        <f>IFERROR(__xludf.DUMMYFUNCTION("JOIN("","",FILTER(B242:S242,B242:S242&lt;&gt;""""))"),"200 Back")</f>
        <v>200 Back</v>
      </c>
    </row>
    <row r="243">
      <c r="A243" s="3" t="s">
        <v>270</v>
      </c>
      <c r="B243" s="3" t="str">
        <f>IF($A243="","",IF(countif('Mens Lineup'!B$3:B1000,CONCATENATE("=",$A243))=0,"",B$2))</f>
        <v/>
      </c>
      <c r="C243" s="3" t="str">
        <f>IF($A243="","",IF(countif('Mens Lineup'!C$3:C1000,CONCATENATE("=",$A243))=0,"",C$2))</f>
        <v/>
      </c>
      <c r="D243" s="3" t="str">
        <f>IF($A243="","",IF(countif('Mens Lineup'!D$3:D1000,CONCATENATE("=",$A243))=0,"",D$2))</f>
        <v/>
      </c>
      <c r="E243" s="3" t="str">
        <f>IF($A243="","",IF(countif('Mens Lineup'!E$3:E1000,CONCATENATE("=",$A243))=0,"",E$2))</f>
        <v/>
      </c>
      <c r="F243" s="3" t="str">
        <f>IF($A243="","",IF(countif('Mens Lineup'!F$3:F1000,CONCATENATE("=",$A243))=0,"",F$2))</f>
        <v/>
      </c>
      <c r="G243" s="3" t="str">
        <f>IF($A243="","",IF(countif('Mens Lineup'!G$3:G1000,CONCATENATE("=",$A243))=0,"",G$2))</f>
        <v/>
      </c>
      <c r="H243" s="3" t="str">
        <f>IF($A243="","",IF(countif('Mens Lineup'!H$3:H1000,CONCATENATE("=",$A243))=0,"",H$2))</f>
        <v/>
      </c>
      <c r="I243" s="3" t="str">
        <f>IF($A243="","",IF(countif('Mens Lineup'!I$3:I1000,CONCATENATE("=",$A243))=0,"",I$2))</f>
        <v>100 Breast</v>
      </c>
      <c r="J243" s="3" t="str">
        <f>IF($A243="","",IF(countif('Mens Lineup'!J$3:J1000,CONCATENATE("=",$A243))=0,"",J$2))</f>
        <v/>
      </c>
      <c r="K243" s="3" t="str">
        <f>IF($A243="","",IF(countif('Mens Lineup'!K$3:K1000,CONCATENATE("=",$A243))=0,"",K$2))</f>
        <v>100 Fly</v>
      </c>
      <c r="L243" s="3" t="str">
        <f>IF($A243="","",IF(countif('Mens Lineup'!L$3:L1000,CONCATENATE("=",$A243))=0,"",L$2))</f>
        <v/>
      </c>
      <c r="M243" s="3" t="str">
        <f>IF($A243="","",IF(countif('Mens Lineup'!M$3:M1000,CONCATENATE("=",$A243))=0,"",M$2))</f>
        <v/>
      </c>
      <c r="N243" s="3" t="str">
        <f>IF($A243="","",IF(countif('Mens Lineup'!N$3:N1000,CONCATENATE("=",$A243))=0,"",N$2))</f>
        <v/>
      </c>
      <c r="O243" s="3" t="str">
        <f>IF($A243="","",IF(countif('Mens Lineup'!O$3:O1000,CONCATENATE("=",$A243))=0,"",O$2))</f>
        <v/>
      </c>
      <c r="P243" s="3" t="str">
        <f>IF($A243="","",IF(countif('Mens Lineup'!P$3:P1000,CONCATENATE("=",$A243))=0,"",P$2))</f>
        <v/>
      </c>
      <c r="Q243" s="3" t="str">
        <f>IF($A243="","",IF(countif('Mens Lineup'!Q$3:Q1000,CONCATENATE("=",$A243))=0,"",Q$2))</f>
        <v/>
      </c>
      <c r="R243" s="3" t="str">
        <f>IF($A243="","",IF(countif('Mens Lineup'!R$3:R1000,CONCATENATE("=",$A243))=0,"",R$2))</f>
        <v/>
      </c>
      <c r="S243" s="3" t="str">
        <f>IF($A243="","",IF(countif('Mens Lineup'!S$3:S1000,CONCATENATE("=",$A243))=0,"",S$2))</f>
        <v/>
      </c>
      <c r="W243" s="3" t="str">
        <f>IFERROR(__xludf.DUMMYFUNCTION("JOIN("","",FILTER(B243:S243,B243:S243&lt;&gt;""""))"),"100 Breast,100 Fly")</f>
        <v>100 Breast,100 Fly</v>
      </c>
    </row>
    <row r="244">
      <c r="A244" s="3" t="s">
        <v>271</v>
      </c>
      <c r="B244" s="3" t="str">
        <f>IF($A244="","",IF(countif('Mens Lineup'!B$3:B1000,CONCATENATE("=",$A244))=0,"",B$2))</f>
        <v/>
      </c>
      <c r="C244" s="3" t="str">
        <f>IF($A244="","",IF(countif('Mens Lineup'!C$3:C1000,CONCATENATE("=",$A244))=0,"",C$2))</f>
        <v/>
      </c>
      <c r="D244" s="3" t="str">
        <f>IF($A244="","",IF(countif('Mens Lineup'!D$3:D1000,CONCATENATE("=",$A244))=0,"",D$2))</f>
        <v/>
      </c>
      <c r="E244" s="3" t="str">
        <f>IF($A244="","",IF(countif('Mens Lineup'!E$3:E1000,CONCATENATE("=",$A244))=0,"",E$2))</f>
        <v/>
      </c>
      <c r="F244" s="3" t="str">
        <f>IF($A244="","",IF(countif('Mens Lineup'!F$3:F1000,CONCATENATE("=",$A244))=0,"",F$2))</f>
        <v/>
      </c>
      <c r="G244" s="3" t="str">
        <f>IF($A244="","",IF(countif('Mens Lineup'!G$3:G1000,CONCATENATE("=",$A244))=0,"",G$2))</f>
        <v/>
      </c>
      <c r="H244" s="3" t="str">
        <f>IF($A244="","",IF(countif('Mens Lineup'!H$3:H1000,CONCATENATE("=",$A244))=0,"",H$2))</f>
        <v/>
      </c>
      <c r="I244" s="3" t="str">
        <f>IF($A244="","",IF(countif('Mens Lineup'!I$3:I1000,CONCATENATE("=",$A244))=0,"",I$2))</f>
        <v>100 Breast</v>
      </c>
      <c r="J244" s="3" t="str">
        <f>IF($A244="","",IF(countif('Mens Lineup'!J$3:J1000,CONCATENATE("=",$A244))=0,"",J$2))</f>
        <v>200 Breast</v>
      </c>
      <c r="K244" s="3" t="str">
        <f>IF($A244="","",IF(countif('Mens Lineup'!K$3:K1000,CONCATENATE("=",$A244))=0,"",K$2))</f>
        <v>100 Fly</v>
      </c>
      <c r="L244" s="3" t="str">
        <f>IF($A244="","",IF(countif('Mens Lineup'!L$3:L1000,CONCATENATE("=",$A244))=0,"",L$2))</f>
        <v>200 Fly</v>
      </c>
      <c r="M244" s="3" t="str">
        <f>IF($A244="","",IF(countif('Mens Lineup'!M$3:M1000,CONCATENATE("=",$A244))=0,"",M$2))</f>
        <v>200 IM</v>
      </c>
      <c r="N244" s="3" t="str">
        <f>IF($A244="","",IF(countif('Mens Lineup'!N$3:N1000,CONCATENATE("=",$A244))=0,"",N$2))</f>
        <v/>
      </c>
      <c r="O244" s="3" t="str">
        <f>IF($A244="","",IF(countif('Mens Lineup'!O$3:O1000,CONCATENATE("=",$A244))=0,"",O$2))</f>
        <v/>
      </c>
      <c r="P244" s="3" t="str">
        <f>IF($A244="","",IF(countif('Mens Lineup'!P$3:P1000,CONCATENATE("=",$A244))=0,"",P$2))</f>
        <v/>
      </c>
      <c r="Q244" s="3" t="str">
        <f>IF($A244="","",IF(countif('Mens Lineup'!Q$3:Q1000,CONCATENATE("=",$A244))=0,"",Q$2))</f>
        <v/>
      </c>
      <c r="R244" s="3" t="str">
        <f>IF($A244="","",IF(countif('Mens Lineup'!R$3:R1000,CONCATENATE("=",$A244))=0,"",R$2))</f>
        <v/>
      </c>
      <c r="S244" s="3" t="str">
        <f>IF($A244="","",IF(countif('Mens Lineup'!S$3:S1000,CONCATENATE("=",$A244))=0,"",S$2))</f>
        <v/>
      </c>
      <c r="W244" s="3" t="str">
        <f>IFERROR(__xludf.DUMMYFUNCTION("JOIN("","",FILTER(B244:S244,B244:S244&lt;&gt;""""))"),"100 Breast,200 Breast,100 Fly,200 Fly,200 IM")</f>
        <v>100 Breast,200 Breast,100 Fly,200 Fly,200 IM</v>
      </c>
    </row>
    <row r="245">
      <c r="A245" s="3" t="s">
        <v>272</v>
      </c>
      <c r="B245" s="3" t="str">
        <f>IF($A245="","",IF(countif('Mens Lineup'!B$3:B1000,CONCATENATE("=",$A245))=0,"",B$2))</f>
        <v/>
      </c>
      <c r="C245" s="3" t="str">
        <f>IF($A245="","",IF(countif('Mens Lineup'!C$3:C1000,CONCATENATE("=",$A245))=0,"",C$2))</f>
        <v/>
      </c>
      <c r="D245" s="3" t="str">
        <f>IF($A245="","",IF(countif('Mens Lineup'!D$3:D1000,CONCATENATE("=",$A245))=0,"",D$2))</f>
        <v/>
      </c>
      <c r="E245" s="3" t="str">
        <f>IF($A245="","",IF(countif('Mens Lineup'!E$3:E1000,CONCATENATE("=",$A245))=0,"",E$2))</f>
        <v/>
      </c>
      <c r="F245" s="3" t="str">
        <f>IF($A245="","",IF(countif('Mens Lineup'!F$3:F1000,CONCATENATE("=",$A245))=0,"",F$2))</f>
        <v/>
      </c>
      <c r="G245" s="3" t="str">
        <f>IF($A245="","",IF(countif('Mens Lineup'!G$3:G1000,CONCATENATE("=",$A245))=0,"",G$2))</f>
        <v/>
      </c>
      <c r="H245" s="3" t="str">
        <f>IF($A245="","",IF(countif('Mens Lineup'!H$3:H1000,CONCATENATE("=",$A245))=0,"",H$2))</f>
        <v/>
      </c>
      <c r="I245" s="3" t="str">
        <f>IF($A245="","",IF(countif('Mens Lineup'!I$3:I1000,CONCATENATE("=",$A245))=0,"",I$2))</f>
        <v>100 Breast</v>
      </c>
      <c r="J245" s="3" t="str">
        <f>IF($A245="","",IF(countif('Mens Lineup'!J$3:J1000,CONCATENATE("=",$A245))=0,"",J$2))</f>
        <v>200 Breast</v>
      </c>
      <c r="K245" s="3" t="str">
        <f>IF($A245="","",IF(countif('Mens Lineup'!K$3:K1000,CONCATENATE("=",$A245))=0,"",K$2))</f>
        <v/>
      </c>
      <c r="L245" s="3" t="str">
        <f>IF($A245="","",IF(countif('Mens Lineup'!L$3:L1000,CONCATENATE("=",$A245))=0,"",L$2))</f>
        <v/>
      </c>
      <c r="M245" s="3" t="str">
        <f>IF($A245="","",IF(countif('Mens Lineup'!M$3:M1000,CONCATENATE("=",$A245))=0,"",M$2))</f>
        <v>200 IM</v>
      </c>
      <c r="N245" s="3" t="str">
        <f>IF($A245="","",IF(countif('Mens Lineup'!N$3:N1000,CONCATENATE("=",$A245))=0,"",N$2))</f>
        <v/>
      </c>
      <c r="O245" s="3" t="str">
        <f>IF($A245="","",IF(countif('Mens Lineup'!O$3:O1000,CONCATENATE("=",$A245))=0,"",O$2))</f>
        <v/>
      </c>
      <c r="P245" s="3" t="str">
        <f>IF($A245="","",IF(countif('Mens Lineup'!P$3:P1000,CONCATENATE("=",$A245))=0,"",P$2))</f>
        <v/>
      </c>
      <c r="Q245" s="3" t="str">
        <f>IF($A245="","",IF(countif('Mens Lineup'!Q$3:Q1000,CONCATENATE("=",$A245))=0,"",Q$2))</f>
        <v/>
      </c>
      <c r="R245" s="3" t="str">
        <f>IF($A245="","",IF(countif('Mens Lineup'!R$3:R1000,CONCATENATE("=",$A245))=0,"",R$2))</f>
        <v/>
      </c>
      <c r="S245" s="3" t="str">
        <f>IF($A245="","",IF(countif('Mens Lineup'!S$3:S1000,CONCATENATE("=",$A245))=0,"",S$2))</f>
        <v/>
      </c>
      <c r="W245" s="3" t="str">
        <f>IFERROR(__xludf.DUMMYFUNCTION("JOIN("","",FILTER(B245:S245,B245:S245&lt;&gt;""""))"),"100 Breast,200 Breast,200 IM")</f>
        <v>100 Breast,200 Breast,200 IM</v>
      </c>
    </row>
    <row r="246">
      <c r="A246" s="3" t="s">
        <v>273</v>
      </c>
      <c r="B246" s="3" t="str">
        <f>IF($A246="","",IF(countif('Mens Lineup'!B$3:B1000,CONCATENATE("=",$A246))=0,"",B$2))</f>
        <v/>
      </c>
      <c r="C246" s="3" t="str">
        <f>IF($A246="","",IF(countif('Mens Lineup'!C$3:C1000,CONCATENATE("=",$A246))=0,"",C$2))</f>
        <v/>
      </c>
      <c r="D246" s="3" t="str">
        <f>IF($A246="","",IF(countif('Mens Lineup'!D$3:D1000,CONCATENATE("=",$A246))=0,"",D$2))</f>
        <v/>
      </c>
      <c r="E246" s="3" t="str">
        <f>IF($A246="","",IF(countif('Mens Lineup'!E$3:E1000,CONCATENATE("=",$A246))=0,"",E$2))</f>
        <v/>
      </c>
      <c r="F246" s="3" t="str">
        <f>IF($A246="","",IF(countif('Mens Lineup'!F$3:F1000,CONCATENATE("=",$A246))=0,"",F$2))</f>
        <v/>
      </c>
      <c r="G246" s="3" t="str">
        <f>IF($A246="","",IF(countif('Mens Lineup'!G$3:G1000,CONCATENATE("=",$A246))=0,"",G$2))</f>
        <v/>
      </c>
      <c r="H246" s="3" t="str">
        <f>IF($A246="","",IF(countif('Mens Lineup'!H$3:H1000,CONCATENATE("=",$A246))=0,"",H$2))</f>
        <v/>
      </c>
      <c r="I246" s="3" t="str">
        <f>IF($A246="","",IF(countif('Mens Lineup'!I$3:I1000,CONCATENATE("=",$A246))=0,"",I$2))</f>
        <v>100 Breast</v>
      </c>
      <c r="J246" s="3" t="str">
        <f>IF($A246="","",IF(countif('Mens Lineup'!J$3:J1000,CONCATENATE("=",$A246))=0,"",J$2))</f>
        <v>200 Breast</v>
      </c>
      <c r="K246" s="3" t="str">
        <f>IF($A246="","",IF(countif('Mens Lineup'!K$3:K1000,CONCATENATE("=",$A246))=0,"",K$2))</f>
        <v>100 Fly</v>
      </c>
      <c r="L246" s="3" t="str">
        <f>IF($A246="","",IF(countif('Mens Lineup'!L$3:L1000,CONCATENATE("=",$A246))=0,"",L$2))</f>
        <v>200 Fly</v>
      </c>
      <c r="M246" s="3" t="str">
        <f>IF($A246="","",IF(countif('Mens Lineup'!M$3:M1000,CONCATENATE("=",$A246))=0,"",M$2))</f>
        <v>200 IM</v>
      </c>
      <c r="N246" s="3" t="str">
        <f>IF($A246="","",IF(countif('Mens Lineup'!N$3:N1000,CONCATENATE("=",$A246))=0,"",N$2))</f>
        <v>400 IM</v>
      </c>
      <c r="O246" s="3" t="str">
        <f>IF($A246="","",IF(countif('Mens Lineup'!O$3:O1000,CONCATENATE("=",$A246))=0,"",O$2))</f>
        <v/>
      </c>
      <c r="P246" s="3" t="str">
        <f>IF($A246="","",IF(countif('Mens Lineup'!P$3:P1000,CONCATENATE("=",$A246))=0,"",P$2))</f>
        <v/>
      </c>
      <c r="Q246" s="3" t="str">
        <f>IF($A246="","",IF(countif('Mens Lineup'!Q$3:Q1000,CONCATENATE("=",$A246))=0,"",Q$2))</f>
        <v/>
      </c>
      <c r="R246" s="3" t="str">
        <f>IF($A246="","",IF(countif('Mens Lineup'!R$3:R1000,CONCATENATE("=",$A246))=0,"",R$2))</f>
        <v/>
      </c>
      <c r="S246" s="3" t="str">
        <f>IF($A246="","",IF(countif('Mens Lineup'!S$3:S1000,CONCATENATE("=",$A246))=0,"",S$2))</f>
        <v/>
      </c>
      <c r="W246" s="3" t="str">
        <f>IFERROR(__xludf.DUMMYFUNCTION("JOIN("","",FILTER(B246:S246,B246:S246&lt;&gt;""""))"),"100 Breast,200 Breast,100 Fly,200 Fly,200 IM,400 IM")</f>
        <v>100 Breast,200 Breast,100 Fly,200 Fly,200 IM,400 IM</v>
      </c>
    </row>
    <row r="247">
      <c r="A247" s="3" t="s">
        <v>274</v>
      </c>
      <c r="B247" s="3" t="str">
        <f>IF($A247="","",IF(countif('Mens Lineup'!B$3:B1000,CONCATENATE("=",$A247))=0,"",B$2))</f>
        <v/>
      </c>
      <c r="C247" s="3" t="str">
        <f>IF($A247="","",IF(countif('Mens Lineup'!C$3:C1000,CONCATENATE("=",$A247))=0,"",C$2))</f>
        <v/>
      </c>
      <c r="D247" s="3" t="str">
        <f>IF($A247="","",IF(countif('Mens Lineup'!D$3:D1000,CONCATENATE("=",$A247))=0,"",D$2))</f>
        <v/>
      </c>
      <c r="E247" s="3" t="str">
        <f>IF($A247="","",IF(countif('Mens Lineup'!E$3:E1000,CONCATENATE("=",$A247))=0,"",E$2))</f>
        <v/>
      </c>
      <c r="F247" s="3" t="str">
        <f>IF($A247="","",IF(countif('Mens Lineup'!F$3:F1000,CONCATENATE("=",$A247))=0,"",F$2))</f>
        <v/>
      </c>
      <c r="G247" s="3" t="str">
        <f>IF($A247="","",IF(countif('Mens Lineup'!G$3:G1000,CONCATENATE("=",$A247))=0,"",G$2))</f>
        <v/>
      </c>
      <c r="H247" s="3" t="str">
        <f>IF($A247="","",IF(countif('Mens Lineup'!H$3:H1000,CONCATENATE("=",$A247))=0,"",H$2))</f>
        <v/>
      </c>
      <c r="I247" s="3" t="str">
        <f>IF($A247="","",IF(countif('Mens Lineup'!I$3:I1000,CONCATENATE("=",$A247))=0,"",I$2))</f>
        <v>100 Breast</v>
      </c>
      <c r="J247" s="3" t="str">
        <f>IF($A247="","",IF(countif('Mens Lineup'!J$3:J1000,CONCATENATE("=",$A247))=0,"",J$2))</f>
        <v>200 Breast</v>
      </c>
      <c r="K247" s="3" t="str">
        <f>IF($A247="","",IF(countif('Mens Lineup'!K$3:K1000,CONCATENATE("=",$A247))=0,"",K$2))</f>
        <v/>
      </c>
      <c r="L247" s="3" t="str">
        <f>IF($A247="","",IF(countif('Mens Lineup'!L$3:L1000,CONCATENATE("=",$A247))=0,"",L$2))</f>
        <v/>
      </c>
      <c r="M247" s="3" t="str">
        <f>IF($A247="","",IF(countif('Mens Lineup'!M$3:M1000,CONCATENATE("=",$A247))=0,"",M$2))</f>
        <v>200 IM</v>
      </c>
      <c r="N247" s="3" t="str">
        <f>IF($A247="","",IF(countif('Mens Lineup'!N$3:N1000,CONCATENATE("=",$A247))=0,"",N$2))</f>
        <v/>
      </c>
      <c r="O247" s="3" t="str">
        <f>IF($A247="","",IF(countif('Mens Lineup'!O$3:O1000,CONCATENATE("=",$A247))=0,"",O$2))</f>
        <v/>
      </c>
      <c r="P247" s="3" t="str">
        <f>IF($A247="","",IF(countif('Mens Lineup'!P$3:P1000,CONCATENATE("=",$A247))=0,"",P$2))</f>
        <v/>
      </c>
      <c r="Q247" s="3" t="str">
        <f>IF($A247="","",IF(countif('Mens Lineup'!Q$3:Q1000,CONCATENATE("=",$A247))=0,"",Q$2))</f>
        <v/>
      </c>
      <c r="R247" s="3" t="str">
        <f>IF($A247="","",IF(countif('Mens Lineup'!R$3:R1000,CONCATENATE("=",$A247))=0,"",R$2))</f>
        <v/>
      </c>
      <c r="S247" s="3" t="str">
        <f>IF($A247="","",IF(countif('Mens Lineup'!S$3:S1000,CONCATENATE("=",$A247))=0,"",S$2))</f>
        <v/>
      </c>
      <c r="W247" s="3" t="str">
        <f>IFERROR(__xludf.DUMMYFUNCTION("JOIN("","",FILTER(B247:S247,B247:S247&lt;&gt;""""))"),"100 Breast,200 Breast,200 IM")</f>
        <v>100 Breast,200 Breast,200 IM</v>
      </c>
    </row>
    <row r="248">
      <c r="A248" s="3" t="s">
        <v>275</v>
      </c>
      <c r="B248" s="3" t="str">
        <f>IF($A248="","",IF(countif('Mens Lineup'!B$3:B1000,CONCATENATE("=",$A248))=0,"",B$2))</f>
        <v/>
      </c>
      <c r="C248" s="3" t="str">
        <f>IF($A248="","",IF(countif('Mens Lineup'!C$3:C1000,CONCATENATE("=",$A248))=0,"",C$2))</f>
        <v/>
      </c>
      <c r="D248" s="3" t="str">
        <f>IF($A248="","",IF(countif('Mens Lineup'!D$3:D1000,CONCATENATE("=",$A248))=0,"",D$2))</f>
        <v/>
      </c>
      <c r="E248" s="3" t="str">
        <f>IF($A248="","",IF(countif('Mens Lineup'!E$3:E1000,CONCATENATE("=",$A248))=0,"",E$2))</f>
        <v/>
      </c>
      <c r="F248" s="3" t="str">
        <f>IF($A248="","",IF(countif('Mens Lineup'!F$3:F1000,CONCATENATE("=",$A248))=0,"",F$2))</f>
        <v/>
      </c>
      <c r="G248" s="3" t="str">
        <f>IF($A248="","",IF(countif('Mens Lineup'!G$3:G1000,CONCATENATE("=",$A248))=0,"",G$2))</f>
        <v/>
      </c>
      <c r="H248" s="3" t="str">
        <f>IF($A248="","",IF(countif('Mens Lineup'!H$3:H1000,CONCATENATE("=",$A248))=0,"",H$2))</f>
        <v/>
      </c>
      <c r="I248" s="3" t="str">
        <f>IF($A248="","",IF(countif('Mens Lineup'!I$3:I1000,CONCATENATE("=",$A248))=0,"",I$2))</f>
        <v>100 Breast</v>
      </c>
      <c r="J248" s="3" t="str">
        <f>IF($A248="","",IF(countif('Mens Lineup'!J$3:J1000,CONCATENATE("=",$A248))=0,"",J$2))</f>
        <v>200 Breast</v>
      </c>
      <c r="K248" s="3" t="str">
        <f>IF($A248="","",IF(countif('Mens Lineup'!K$3:K1000,CONCATENATE("=",$A248))=0,"",K$2))</f>
        <v>100 Fly</v>
      </c>
      <c r="L248" s="3" t="str">
        <f>IF($A248="","",IF(countif('Mens Lineup'!L$3:L1000,CONCATENATE("=",$A248))=0,"",L$2))</f>
        <v>200 Fly</v>
      </c>
      <c r="M248" s="3" t="str">
        <f>IF($A248="","",IF(countif('Mens Lineup'!M$3:M1000,CONCATENATE("=",$A248))=0,"",M$2))</f>
        <v>200 IM</v>
      </c>
      <c r="N248" s="3" t="str">
        <f>IF($A248="","",IF(countif('Mens Lineup'!N$3:N1000,CONCATENATE("=",$A248))=0,"",N$2))</f>
        <v>400 IM</v>
      </c>
      <c r="O248" s="3" t="str">
        <f>IF($A248="","",IF(countif('Mens Lineup'!O$3:O1000,CONCATENATE("=",$A248))=0,"",O$2))</f>
        <v/>
      </c>
      <c r="P248" s="3" t="str">
        <f>IF($A248="","",IF(countif('Mens Lineup'!P$3:P1000,CONCATENATE("=",$A248))=0,"",P$2))</f>
        <v/>
      </c>
      <c r="Q248" s="3" t="str">
        <f>IF($A248="","",IF(countif('Mens Lineup'!Q$3:Q1000,CONCATENATE("=",$A248))=0,"",Q$2))</f>
        <v/>
      </c>
      <c r="R248" s="3" t="str">
        <f>IF($A248="","",IF(countif('Mens Lineup'!R$3:R1000,CONCATENATE("=",$A248))=0,"",R$2))</f>
        <v/>
      </c>
      <c r="S248" s="3" t="str">
        <f>IF($A248="","",IF(countif('Mens Lineup'!S$3:S1000,CONCATENATE("=",$A248))=0,"",S$2))</f>
        <v/>
      </c>
      <c r="W248" s="3" t="str">
        <f>IFERROR(__xludf.DUMMYFUNCTION("JOIN("","",FILTER(B248:S248,B248:S248&lt;&gt;""""))"),"100 Breast,200 Breast,100 Fly,200 Fly,200 IM,400 IM")</f>
        <v>100 Breast,200 Breast,100 Fly,200 Fly,200 IM,400 IM</v>
      </c>
    </row>
    <row r="249">
      <c r="A249" s="3" t="s">
        <v>276</v>
      </c>
      <c r="B249" s="3" t="str">
        <f>IF($A249="","",IF(countif('Mens Lineup'!B$3:B1000,CONCATENATE("=",$A249))=0,"",B$2))</f>
        <v/>
      </c>
      <c r="C249" s="3" t="str">
        <f>IF($A249="","",IF(countif('Mens Lineup'!C$3:C1000,CONCATENATE("=",$A249))=0,"",C$2))</f>
        <v/>
      </c>
      <c r="D249" s="3" t="str">
        <f>IF($A249="","",IF(countif('Mens Lineup'!D$3:D1000,CONCATENATE("=",$A249))=0,"",D$2))</f>
        <v/>
      </c>
      <c r="E249" s="3" t="str">
        <f>IF($A249="","",IF(countif('Mens Lineup'!E$3:E1000,CONCATENATE("=",$A249))=0,"",E$2))</f>
        <v/>
      </c>
      <c r="F249" s="3" t="str">
        <f>IF($A249="","",IF(countif('Mens Lineup'!F$3:F1000,CONCATENATE("=",$A249))=0,"",F$2))</f>
        <v/>
      </c>
      <c r="G249" s="3" t="str">
        <f>IF($A249="","",IF(countif('Mens Lineup'!G$3:G1000,CONCATENATE("=",$A249))=0,"",G$2))</f>
        <v/>
      </c>
      <c r="H249" s="3" t="str">
        <f>IF($A249="","",IF(countif('Mens Lineup'!H$3:H1000,CONCATENATE("=",$A249))=0,"",H$2))</f>
        <v/>
      </c>
      <c r="I249" s="3" t="str">
        <f>IF($A249="","",IF(countif('Mens Lineup'!I$3:I1000,CONCATENATE("=",$A249))=0,"",I$2))</f>
        <v>100 Breast</v>
      </c>
      <c r="J249" s="3" t="str">
        <f>IF($A249="","",IF(countif('Mens Lineup'!J$3:J1000,CONCATENATE("=",$A249))=0,"",J$2))</f>
        <v>200 Breast</v>
      </c>
      <c r="K249" s="3" t="str">
        <f>IF($A249="","",IF(countif('Mens Lineup'!K$3:K1000,CONCATENATE("=",$A249))=0,"",K$2))</f>
        <v>100 Fly</v>
      </c>
      <c r="L249" s="3" t="str">
        <f>IF($A249="","",IF(countif('Mens Lineup'!L$3:L1000,CONCATENATE("=",$A249))=0,"",L$2))</f>
        <v/>
      </c>
      <c r="M249" s="3" t="str">
        <f>IF($A249="","",IF(countif('Mens Lineup'!M$3:M1000,CONCATENATE("=",$A249))=0,"",M$2))</f>
        <v>200 IM</v>
      </c>
      <c r="N249" s="3" t="str">
        <f>IF($A249="","",IF(countif('Mens Lineup'!N$3:N1000,CONCATENATE("=",$A249))=0,"",N$2))</f>
        <v/>
      </c>
      <c r="O249" s="3" t="str">
        <f>IF($A249="","",IF(countif('Mens Lineup'!O$3:O1000,CONCATENATE("=",$A249))=0,"",O$2))</f>
        <v/>
      </c>
      <c r="P249" s="3" t="str">
        <f>IF($A249="","",IF(countif('Mens Lineup'!P$3:P1000,CONCATENATE("=",$A249))=0,"",P$2))</f>
        <v/>
      </c>
      <c r="Q249" s="3" t="str">
        <f>IF($A249="","",IF(countif('Mens Lineup'!Q$3:Q1000,CONCATENATE("=",$A249))=0,"",Q$2))</f>
        <v/>
      </c>
      <c r="R249" s="3" t="str">
        <f>IF($A249="","",IF(countif('Mens Lineup'!R$3:R1000,CONCATENATE("=",$A249))=0,"",R$2))</f>
        <v/>
      </c>
      <c r="S249" s="3" t="str">
        <f>IF($A249="","",IF(countif('Mens Lineup'!S$3:S1000,CONCATENATE("=",$A249))=0,"",S$2))</f>
        <v/>
      </c>
      <c r="W249" s="3" t="str">
        <f>IFERROR(__xludf.DUMMYFUNCTION("JOIN("","",FILTER(B249:S249,B249:S249&lt;&gt;""""))"),"100 Breast,200 Breast,100 Fly,200 IM")</f>
        <v>100 Breast,200 Breast,100 Fly,200 IM</v>
      </c>
    </row>
    <row r="250">
      <c r="A250" s="3" t="s">
        <v>277</v>
      </c>
      <c r="B250" s="3" t="str">
        <f>IF($A250="","",IF(countif('Mens Lineup'!B$3:B1000,CONCATENATE("=",$A250))=0,"",B$2))</f>
        <v/>
      </c>
      <c r="C250" s="3" t="str">
        <f>IF($A250="","",IF(countif('Mens Lineup'!C$3:C1000,CONCATENATE("=",$A250))=0,"",C$2))</f>
        <v/>
      </c>
      <c r="D250" s="3" t="str">
        <f>IF($A250="","",IF(countif('Mens Lineup'!D$3:D1000,CONCATENATE("=",$A250))=0,"",D$2))</f>
        <v/>
      </c>
      <c r="E250" s="3" t="str">
        <f>IF($A250="","",IF(countif('Mens Lineup'!E$3:E1000,CONCATENATE("=",$A250))=0,"",E$2))</f>
        <v/>
      </c>
      <c r="F250" s="3" t="str">
        <f>IF($A250="","",IF(countif('Mens Lineup'!F$3:F1000,CONCATENATE("=",$A250))=0,"",F$2))</f>
        <v/>
      </c>
      <c r="G250" s="3" t="str">
        <f>IF($A250="","",IF(countif('Mens Lineup'!G$3:G1000,CONCATENATE("=",$A250))=0,"",G$2))</f>
        <v/>
      </c>
      <c r="H250" s="3" t="str">
        <f>IF($A250="","",IF(countif('Mens Lineup'!H$3:H1000,CONCATENATE("=",$A250))=0,"",H$2))</f>
        <v/>
      </c>
      <c r="I250" s="3" t="str">
        <f>IF($A250="","",IF(countif('Mens Lineup'!I$3:I1000,CONCATENATE("=",$A250))=0,"",I$2))</f>
        <v>100 Breast</v>
      </c>
      <c r="J250" s="3" t="str">
        <f>IF($A250="","",IF(countif('Mens Lineup'!J$3:J1000,CONCATENATE("=",$A250))=0,"",J$2))</f>
        <v>200 Breast</v>
      </c>
      <c r="K250" s="3" t="str">
        <f>IF($A250="","",IF(countif('Mens Lineup'!K$3:K1000,CONCATENATE("=",$A250))=0,"",K$2))</f>
        <v/>
      </c>
      <c r="L250" s="3" t="str">
        <f>IF($A250="","",IF(countif('Mens Lineup'!L$3:L1000,CONCATENATE("=",$A250))=0,"",L$2))</f>
        <v>200 Fly</v>
      </c>
      <c r="M250" s="3" t="str">
        <f>IF($A250="","",IF(countif('Mens Lineup'!M$3:M1000,CONCATENATE("=",$A250))=0,"",M$2))</f>
        <v>200 IM</v>
      </c>
      <c r="N250" s="3" t="str">
        <f>IF($A250="","",IF(countif('Mens Lineup'!N$3:N1000,CONCATENATE("=",$A250))=0,"",N$2))</f>
        <v>400 IM</v>
      </c>
      <c r="O250" s="3" t="str">
        <f>IF($A250="","",IF(countif('Mens Lineup'!O$3:O1000,CONCATENATE("=",$A250))=0,"",O$2))</f>
        <v>1000 Free</v>
      </c>
      <c r="P250" s="3" t="str">
        <f>IF($A250="","",IF(countif('Mens Lineup'!P$3:P1000,CONCATENATE("=",$A250))=0,"",P$2))</f>
        <v/>
      </c>
      <c r="Q250" s="3" t="str">
        <f>IF($A250="","",IF(countif('Mens Lineup'!Q$3:Q1000,CONCATENATE("=",$A250))=0,"",Q$2))</f>
        <v/>
      </c>
      <c r="R250" s="3" t="str">
        <f>IF($A250="","",IF(countif('Mens Lineup'!R$3:R1000,CONCATENATE("=",$A250))=0,"",R$2))</f>
        <v/>
      </c>
      <c r="S250" s="3" t="str">
        <f>IF($A250="","",IF(countif('Mens Lineup'!S$3:S1000,CONCATENATE("=",$A250))=0,"",S$2))</f>
        <v/>
      </c>
      <c r="W250" s="3" t="str">
        <f>IFERROR(__xludf.DUMMYFUNCTION("JOIN("","",FILTER(B250:S250,B250:S250&lt;&gt;""""))"),"100 Breast,200 Breast,200 Fly,200 IM,400 IM,1000 Free")</f>
        <v>100 Breast,200 Breast,200 Fly,200 IM,400 IM,1000 Free</v>
      </c>
    </row>
    <row r="251">
      <c r="A251" s="3" t="s">
        <v>278</v>
      </c>
      <c r="B251" s="3" t="str">
        <f>IF($A251="","",IF(countif('Mens Lineup'!B$3:B1000,CONCATENATE("=",$A251))=0,"",B$2))</f>
        <v/>
      </c>
      <c r="C251" s="3" t="str">
        <f>IF($A251="","",IF(countif('Mens Lineup'!C$3:C1000,CONCATENATE("=",$A251))=0,"",C$2))</f>
        <v/>
      </c>
      <c r="D251" s="3" t="str">
        <f>IF($A251="","",IF(countif('Mens Lineup'!D$3:D1000,CONCATENATE("=",$A251))=0,"",D$2))</f>
        <v/>
      </c>
      <c r="E251" s="3" t="str">
        <f>IF($A251="","",IF(countif('Mens Lineup'!E$3:E1000,CONCATENATE("=",$A251))=0,"",E$2))</f>
        <v/>
      </c>
      <c r="F251" s="3" t="str">
        <f>IF($A251="","",IF(countif('Mens Lineup'!F$3:F1000,CONCATENATE("=",$A251))=0,"",F$2))</f>
        <v/>
      </c>
      <c r="G251" s="3" t="str">
        <f>IF($A251="","",IF(countif('Mens Lineup'!G$3:G1000,CONCATENATE("=",$A251))=0,"",G$2))</f>
        <v/>
      </c>
      <c r="H251" s="3" t="str">
        <f>IF($A251="","",IF(countif('Mens Lineup'!H$3:H1000,CONCATENATE("=",$A251))=0,"",H$2))</f>
        <v/>
      </c>
      <c r="I251" s="3" t="str">
        <f>IF($A251="","",IF(countif('Mens Lineup'!I$3:I1000,CONCATENATE("=",$A251))=0,"",I$2))</f>
        <v>100 Breast</v>
      </c>
      <c r="J251" s="3" t="str">
        <f>IF($A251="","",IF(countif('Mens Lineup'!J$3:J1000,CONCATENATE("=",$A251))=0,"",J$2))</f>
        <v>200 Breast</v>
      </c>
      <c r="K251" s="3" t="str">
        <f>IF($A251="","",IF(countif('Mens Lineup'!K$3:K1000,CONCATENATE("=",$A251))=0,"",K$2))</f>
        <v/>
      </c>
      <c r="L251" s="3" t="str">
        <f>IF($A251="","",IF(countif('Mens Lineup'!L$3:L1000,CONCATENATE("=",$A251))=0,"",L$2))</f>
        <v/>
      </c>
      <c r="M251" s="3" t="str">
        <f>IF($A251="","",IF(countif('Mens Lineup'!M$3:M1000,CONCATENATE("=",$A251))=0,"",M$2))</f>
        <v/>
      </c>
      <c r="N251" s="3" t="str">
        <f>IF($A251="","",IF(countif('Mens Lineup'!N$3:N1000,CONCATENATE("=",$A251))=0,"",N$2))</f>
        <v/>
      </c>
      <c r="O251" s="3" t="str">
        <f>IF($A251="","",IF(countif('Mens Lineup'!O$3:O1000,CONCATENATE("=",$A251))=0,"",O$2))</f>
        <v/>
      </c>
      <c r="P251" s="3" t="str">
        <f>IF($A251="","",IF(countif('Mens Lineup'!P$3:P1000,CONCATENATE("=",$A251))=0,"",P$2))</f>
        <v/>
      </c>
      <c r="Q251" s="3" t="str">
        <f>IF($A251="","",IF(countif('Mens Lineup'!Q$3:Q1000,CONCATENATE("=",$A251))=0,"",Q$2))</f>
        <v/>
      </c>
      <c r="R251" s="3" t="str">
        <f>IF($A251="","",IF(countif('Mens Lineup'!R$3:R1000,CONCATENATE("=",$A251))=0,"",R$2))</f>
        <v/>
      </c>
      <c r="S251" s="3" t="str">
        <f>IF($A251="","",IF(countif('Mens Lineup'!S$3:S1000,CONCATENATE("=",$A251))=0,"",S$2))</f>
        <v/>
      </c>
      <c r="W251" s="3" t="str">
        <f>IFERROR(__xludf.DUMMYFUNCTION("JOIN("","",FILTER(B251:S251,B251:S251&lt;&gt;""""))"),"100 Breast,200 Breast")</f>
        <v>100 Breast,200 Breast</v>
      </c>
    </row>
    <row r="252">
      <c r="A252" s="3" t="s">
        <v>279</v>
      </c>
      <c r="B252" s="3" t="str">
        <f>IF($A252="","",IF(countif('Mens Lineup'!B$3:B1000,CONCATENATE("=",$A252))=0,"",B$2))</f>
        <v/>
      </c>
      <c r="C252" s="3" t="str">
        <f>IF($A252="","",IF(countif('Mens Lineup'!C$3:C1000,CONCATENATE("=",$A252))=0,"",C$2))</f>
        <v/>
      </c>
      <c r="D252" s="3" t="str">
        <f>IF($A252="","",IF(countif('Mens Lineup'!D$3:D1000,CONCATENATE("=",$A252))=0,"",D$2))</f>
        <v/>
      </c>
      <c r="E252" s="3" t="str">
        <f>IF($A252="","",IF(countif('Mens Lineup'!E$3:E1000,CONCATENATE("=",$A252))=0,"",E$2))</f>
        <v/>
      </c>
      <c r="F252" s="3" t="str">
        <f>IF($A252="","",IF(countif('Mens Lineup'!F$3:F1000,CONCATENATE("=",$A252))=0,"",F$2))</f>
        <v/>
      </c>
      <c r="G252" s="3" t="str">
        <f>IF($A252="","",IF(countif('Mens Lineup'!G$3:G1000,CONCATENATE("=",$A252))=0,"",G$2))</f>
        <v/>
      </c>
      <c r="H252" s="3" t="str">
        <f>IF($A252="","",IF(countif('Mens Lineup'!H$3:H1000,CONCATENATE("=",$A252))=0,"",H$2))</f>
        <v/>
      </c>
      <c r="I252" s="3" t="str">
        <f>IF($A252="","",IF(countif('Mens Lineup'!I$3:I1000,CONCATENATE("=",$A252))=0,"",I$2))</f>
        <v>100 Breast</v>
      </c>
      <c r="J252" s="3" t="str">
        <f>IF($A252="","",IF(countif('Mens Lineup'!J$3:J1000,CONCATENATE("=",$A252))=0,"",J$2))</f>
        <v>200 Breast</v>
      </c>
      <c r="K252" s="3" t="str">
        <f>IF($A252="","",IF(countif('Mens Lineup'!K$3:K1000,CONCATENATE("=",$A252))=0,"",K$2))</f>
        <v/>
      </c>
      <c r="L252" s="3" t="str">
        <f>IF($A252="","",IF(countif('Mens Lineup'!L$3:L1000,CONCATENATE("=",$A252))=0,"",L$2))</f>
        <v/>
      </c>
      <c r="M252" s="3" t="str">
        <f>IF($A252="","",IF(countif('Mens Lineup'!M$3:M1000,CONCATENATE("=",$A252))=0,"",M$2))</f>
        <v/>
      </c>
      <c r="N252" s="3" t="str">
        <f>IF($A252="","",IF(countif('Mens Lineup'!N$3:N1000,CONCATENATE("=",$A252))=0,"",N$2))</f>
        <v/>
      </c>
      <c r="O252" s="3" t="str">
        <f>IF($A252="","",IF(countif('Mens Lineup'!O$3:O1000,CONCATENATE("=",$A252))=0,"",O$2))</f>
        <v/>
      </c>
      <c r="P252" s="3" t="str">
        <f>IF($A252="","",IF(countif('Mens Lineup'!P$3:P1000,CONCATENATE("=",$A252))=0,"",P$2))</f>
        <v/>
      </c>
      <c r="Q252" s="3" t="str">
        <f>IF($A252="","",IF(countif('Mens Lineup'!Q$3:Q1000,CONCATENATE("=",$A252))=0,"",Q$2))</f>
        <v/>
      </c>
      <c r="R252" s="3" t="str">
        <f>IF($A252="","",IF(countif('Mens Lineup'!R$3:R1000,CONCATENATE("=",$A252))=0,"",R$2))</f>
        <v/>
      </c>
      <c r="S252" s="3" t="str">
        <f>IF($A252="","",IF(countif('Mens Lineup'!S$3:S1000,CONCATENATE("=",$A252))=0,"",S$2))</f>
        <v/>
      </c>
      <c r="W252" s="3" t="str">
        <f>IFERROR(__xludf.DUMMYFUNCTION("JOIN("","",FILTER(B252:S252,B252:S252&lt;&gt;""""))"),"100 Breast,200 Breast")</f>
        <v>100 Breast,200 Breast</v>
      </c>
    </row>
    <row r="253">
      <c r="A253" s="3" t="s">
        <v>280</v>
      </c>
      <c r="B253" s="3" t="str">
        <f>IF($A253="","",IF(countif('Mens Lineup'!B$3:B1000,CONCATENATE("=",$A253))=0,"",B$2))</f>
        <v/>
      </c>
      <c r="C253" s="3" t="str">
        <f>IF($A253="","",IF(countif('Mens Lineup'!C$3:C1000,CONCATENATE("=",$A253))=0,"",C$2))</f>
        <v/>
      </c>
      <c r="D253" s="3" t="str">
        <f>IF($A253="","",IF(countif('Mens Lineup'!D$3:D1000,CONCATENATE("=",$A253))=0,"",D$2))</f>
        <v/>
      </c>
      <c r="E253" s="3" t="str">
        <f>IF($A253="","",IF(countif('Mens Lineup'!E$3:E1000,CONCATENATE("=",$A253))=0,"",E$2))</f>
        <v/>
      </c>
      <c r="F253" s="3" t="str">
        <f>IF($A253="","",IF(countif('Mens Lineup'!F$3:F1000,CONCATENATE("=",$A253))=0,"",F$2))</f>
        <v/>
      </c>
      <c r="G253" s="3" t="str">
        <f>IF($A253="","",IF(countif('Mens Lineup'!G$3:G1000,CONCATENATE("=",$A253))=0,"",G$2))</f>
        <v/>
      </c>
      <c r="H253" s="3" t="str">
        <f>IF($A253="","",IF(countif('Mens Lineup'!H$3:H1000,CONCATENATE("=",$A253))=0,"",H$2))</f>
        <v/>
      </c>
      <c r="I253" s="3" t="str">
        <f>IF($A253="","",IF(countif('Mens Lineup'!I$3:I1000,CONCATENATE("=",$A253))=0,"",I$2))</f>
        <v>100 Breast</v>
      </c>
      <c r="J253" s="3" t="str">
        <f>IF($A253="","",IF(countif('Mens Lineup'!J$3:J1000,CONCATENATE("=",$A253))=0,"",J$2))</f>
        <v>200 Breast</v>
      </c>
      <c r="K253" s="3" t="str">
        <f>IF($A253="","",IF(countif('Mens Lineup'!K$3:K1000,CONCATENATE("=",$A253))=0,"",K$2))</f>
        <v/>
      </c>
      <c r="L253" s="3" t="str">
        <f>IF($A253="","",IF(countif('Mens Lineup'!L$3:L1000,CONCATENATE("=",$A253))=0,"",L$2))</f>
        <v/>
      </c>
      <c r="M253" s="3" t="str">
        <f>IF($A253="","",IF(countif('Mens Lineup'!M$3:M1000,CONCATENATE("=",$A253))=0,"",M$2))</f>
        <v>200 IM</v>
      </c>
      <c r="N253" s="3" t="str">
        <f>IF($A253="","",IF(countif('Mens Lineup'!N$3:N1000,CONCATENATE("=",$A253))=0,"",N$2))</f>
        <v>400 IM</v>
      </c>
      <c r="O253" s="3" t="str">
        <f>IF($A253="","",IF(countif('Mens Lineup'!O$3:O1000,CONCATENATE("=",$A253))=0,"",O$2))</f>
        <v/>
      </c>
      <c r="P253" s="3" t="str">
        <f>IF($A253="","",IF(countif('Mens Lineup'!P$3:P1000,CONCATENATE("=",$A253))=0,"",P$2))</f>
        <v/>
      </c>
      <c r="Q253" s="3" t="str">
        <f>IF($A253="","",IF(countif('Mens Lineup'!Q$3:Q1000,CONCATENATE("=",$A253))=0,"",Q$2))</f>
        <v/>
      </c>
      <c r="R253" s="3" t="str">
        <f>IF($A253="","",IF(countif('Mens Lineup'!R$3:R1000,CONCATENATE("=",$A253))=0,"",R$2))</f>
        <v/>
      </c>
      <c r="S253" s="3" t="str">
        <f>IF($A253="","",IF(countif('Mens Lineup'!S$3:S1000,CONCATENATE("=",$A253))=0,"",S$2))</f>
        <v/>
      </c>
      <c r="W253" s="3" t="str">
        <f>IFERROR(__xludf.DUMMYFUNCTION("JOIN("","",FILTER(B253:S253,B253:S253&lt;&gt;""""))"),"100 Breast,200 Breast,200 IM,400 IM")</f>
        <v>100 Breast,200 Breast,200 IM,400 IM</v>
      </c>
    </row>
    <row r="254">
      <c r="A254" s="3" t="s">
        <v>281</v>
      </c>
      <c r="B254" s="3" t="str">
        <f>IF($A254="","",IF(countif('Mens Lineup'!B$3:B1000,CONCATENATE("=",$A254))=0,"",B$2))</f>
        <v/>
      </c>
      <c r="C254" s="3" t="str">
        <f>IF($A254="","",IF(countif('Mens Lineup'!C$3:C1000,CONCATENATE("=",$A254))=0,"",C$2))</f>
        <v/>
      </c>
      <c r="D254" s="3" t="str">
        <f>IF($A254="","",IF(countif('Mens Lineup'!D$3:D1000,CONCATENATE("=",$A254))=0,"",D$2))</f>
        <v/>
      </c>
      <c r="E254" s="3" t="str">
        <f>IF($A254="","",IF(countif('Mens Lineup'!E$3:E1000,CONCATENATE("=",$A254))=0,"",E$2))</f>
        <v/>
      </c>
      <c r="F254" s="3" t="str">
        <f>IF($A254="","",IF(countif('Mens Lineup'!F$3:F1000,CONCATENATE("=",$A254))=0,"",F$2))</f>
        <v/>
      </c>
      <c r="G254" s="3" t="str">
        <f>IF($A254="","",IF(countif('Mens Lineup'!G$3:G1000,CONCATENATE("=",$A254))=0,"",G$2))</f>
        <v/>
      </c>
      <c r="H254" s="3" t="str">
        <f>IF($A254="","",IF(countif('Mens Lineup'!H$3:H1000,CONCATENATE("=",$A254))=0,"",H$2))</f>
        <v/>
      </c>
      <c r="I254" s="3" t="str">
        <f>IF($A254="","",IF(countif('Mens Lineup'!I$3:I1000,CONCATENATE("=",$A254))=0,"",I$2))</f>
        <v>100 Breast</v>
      </c>
      <c r="J254" s="3" t="str">
        <f>IF($A254="","",IF(countif('Mens Lineup'!J$3:J1000,CONCATENATE("=",$A254))=0,"",J$2))</f>
        <v>200 Breast</v>
      </c>
      <c r="K254" s="3" t="str">
        <f>IF($A254="","",IF(countif('Mens Lineup'!K$3:K1000,CONCATENATE("=",$A254))=0,"",K$2))</f>
        <v/>
      </c>
      <c r="L254" s="3" t="str">
        <f>IF($A254="","",IF(countif('Mens Lineup'!L$3:L1000,CONCATENATE("=",$A254))=0,"",L$2))</f>
        <v/>
      </c>
      <c r="M254" s="3" t="str">
        <f>IF($A254="","",IF(countif('Mens Lineup'!M$3:M1000,CONCATENATE("=",$A254))=0,"",M$2))</f>
        <v>200 IM</v>
      </c>
      <c r="N254" s="3" t="str">
        <f>IF($A254="","",IF(countif('Mens Lineup'!N$3:N1000,CONCATENATE("=",$A254))=0,"",N$2))</f>
        <v>400 IM</v>
      </c>
      <c r="O254" s="3" t="str">
        <f>IF($A254="","",IF(countif('Mens Lineup'!O$3:O1000,CONCATENATE("=",$A254))=0,"",O$2))</f>
        <v/>
      </c>
      <c r="P254" s="3" t="str">
        <f>IF($A254="","",IF(countif('Mens Lineup'!P$3:P1000,CONCATENATE("=",$A254))=0,"",P$2))</f>
        <v/>
      </c>
      <c r="Q254" s="3" t="str">
        <f>IF($A254="","",IF(countif('Mens Lineup'!Q$3:Q1000,CONCATENATE("=",$A254))=0,"",Q$2))</f>
        <v/>
      </c>
      <c r="R254" s="3" t="str">
        <f>IF($A254="","",IF(countif('Mens Lineup'!R$3:R1000,CONCATENATE("=",$A254))=0,"",R$2))</f>
        <v/>
      </c>
      <c r="S254" s="3" t="str">
        <f>IF($A254="","",IF(countif('Mens Lineup'!S$3:S1000,CONCATENATE("=",$A254))=0,"",S$2))</f>
        <v/>
      </c>
      <c r="W254" s="3" t="str">
        <f>IFERROR(__xludf.DUMMYFUNCTION("JOIN("","",FILTER(B254:S254,B254:S254&lt;&gt;""""))"),"100 Breast,200 Breast,200 IM,400 IM")</f>
        <v>100 Breast,200 Breast,200 IM,400 IM</v>
      </c>
    </row>
    <row r="255">
      <c r="A255" s="3" t="s">
        <v>282</v>
      </c>
      <c r="B255" s="3" t="str">
        <f>IF($A255="","",IF(countif('Mens Lineup'!B$3:B1000,CONCATENATE("=",$A255))=0,"",B$2))</f>
        <v/>
      </c>
      <c r="C255" s="3" t="str">
        <f>IF($A255="","",IF(countif('Mens Lineup'!C$3:C1000,CONCATENATE("=",$A255))=0,"",C$2))</f>
        <v/>
      </c>
      <c r="D255" s="3" t="str">
        <f>IF($A255="","",IF(countif('Mens Lineup'!D$3:D1000,CONCATENATE("=",$A255))=0,"",D$2))</f>
        <v/>
      </c>
      <c r="E255" s="3" t="str">
        <f>IF($A255="","",IF(countif('Mens Lineup'!E$3:E1000,CONCATENATE("=",$A255))=0,"",E$2))</f>
        <v/>
      </c>
      <c r="F255" s="3" t="str">
        <f>IF($A255="","",IF(countif('Mens Lineup'!F$3:F1000,CONCATENATE("=",$A255))=0,"",F$2))</f>
        <v/>
      </c>
      <c r="G255" s="3" t="str">
        <f>IF($A255="","",IF(countif('Mens Lineup'!G$3:G1000,CONCATENATE("=",$A255))=0,"",G$2))</f>
        <v/>
      </c>
      <c r="H255" s="3" t="str">
        <f>IF($A255="","",IF(countif('Mens Lineup'!H$3:H1000,CONCATENATE("=",$A255))=0,"",H$2))</f>
        <v/>
      </c>
      <c r="I255" s="3" t="str">
        <f>IF($A255="","",IF(countif('Mens Lineup'!I$3:I1000,CONCATENATE("=",$A255))=0,"",I$2))</f>
        <v>100 Breast</v>
      </c>
      <c r="J255" s="3" t="str">
        <f>IF($A255="","",IF(countif('Mens Lineup'!J$3:J1000,CONCATENATE("=",$A255))=0,"",J$2))</f>
        <v>200 Breast</v>
      </c>
      <c r="K255" s="3" t="str">
        <f>IF($A255="","",IF(countif('Mens Lineup'!K$3:K1000,CONCATENATE("=",$A255))=0,"",K$2))</f>
        <v>100 Fly</v>
      </c>
      <c r="L255" s="3" t="str">
        <f>IF($A255="","",IF(countif('Mens Lineup'!L$3:L1000,CONCATENATE("=",$A255))=0,"",L$2))</f>
        <v>200 Fly</v>
      </c>
      <c r="M255" s="3" t="str">
        <f>IF($A255="","",IF(countif('Mens Lineup'!M$3:M1000,CONCATENATE("=",$A255))=0,"",M$2))</f>
        <v/>
      </c>
      <c r="N255" s="3" t="str">
        <f>IF($A255="","",IF(countif('Mens Lineup'!N$3:N1000,CONCATENATE("=",$A255))=0,"",N$2))</f>
        <v/>
      </c>
      <c r="O255" s="3" t="str">
        <f>IF($A255="","",IF(countif('Mens Lineup'!O$3:O1000,CONCATENATE("=",$A255))=0,"",O$2))</f>
        <v/>
      </c>
      <c r="P255" s="3" t="str">
        <f>IF($A255="","",IF(countif('Mens Lineup'!P$3:P1000,CONCATENATE("=",$A255))=0,"",P$2))</f>
        <v/>
      </c>
      <c r="Q255" s="3" t="str">
        <f>IF($A255="","",IF(countif('Mens Lineup'!Q$3:Q1000,CONCATENATE("=",$A255))=0,"",Q$2))</f>
        <v/>
      </c>
      <c r="R255" s="3" t="str">
        <f>IF($A255="","",IF(countif('Mens Lineup'!R$3:R1000,CONCATENATE("=",$A255))=0,"",R$2))</f>
        <v/>
      </c>
      <c r="S255" s="3" t="str">
        <f>IF($A255="","",IF(countif('Mens Lineup'!S$3:S1000,CONCATENATE("=",$A255))=0,"",S$2))</f>
        <v/>
      </c>
      <c r="W255" s="3" t="str">
        <f>IFERROR(__xludf.DUMMYFUNCTION("JOIN("","",FILTER(B255:S255,B255:S255&lt;&gt;""""))"),"100 Breast,200 Breast,100 Fly,200 Fly")</f>
        <v>100 Breast,200 Breast,100 Fly,200 Fly</v>
      </c>
    </row>
    <row r="256">
      <c r="A256" s="3" t="s">
        <v>283</v>
      </c>
      <c r="B256" s="3" t="str">
        <f>IF($A256="","",IF(countif('Mens Lineup'!B$3:B1000,CONCATENATE("=",$A256))=0,"",B$2))</f>
        <v/>
      </c>
      <c r="C256" s="3" t="str">
        <f>IF($A256="","",IF(countif('Mens Lineup'!C$3:C1000,CONCATENATE("=",$A256))=0,"",C$2))</f>
        <v/>
      </c>
      <c r="D256" s="3" t="str">
        <f>IF($A256="","",IF(countif('Mens Lineup'!D$3:D1000,CONCATENATE("=",$A256))=0,"",D$2))</f>
        <v/>
      </c>
      <c r="E256" s="3" t="str">
        <f>IF($A256="","",IF(countif('Mens Lineup'!E$3:E1000,CONCATENATE("=",$A256))=0,"",E$2))</f>
        <v/>
      </c>
      <c r="F256" s="3" t="str">
        <f>IF($A256="","",IF(countif('Mens Lineup'!F$3:F1000,CONCATENATE("=",$A256))=0,"",F$2))</f>
        <v/>
      </c>
      <c r="G256" s="3" t="str">
        <f>IF($A256="","",IF(countif('Mens Lineup'!G$3:G1000,CONCATENATE("=",$A256))=0,"",G$2))</f>
        <v/>
      </c>
      <c r="H256" s="3" t="str">
        <f>IF($A256="","",IF(countif('Mens Lineup'!H$3:H1000,CONCATENATE("=",$A256))=0,"",H$2))</f>
        <v/>
      </c>
      <c r="I256" s="3" t="str">
        <f>IF($A256="","",IF(countif('Mens Lineup'!I$3:I1000,CONCATENATE("=",$A256))=0,"",I$2))</f>
        <v>100 Breast</v>
      </c>
      <c r="J256" s="3" t="str">
        <f>IF($A256="","",IF(countif('Mens Lineup'!J$3:J1000,CONCATENATE("=",$A256))=0,"",J$2))</f>
        <v>200 Breast</v>
      </c>
      <c r="K256" s="3" t="str">
        <f>IF($A256="","",IF(countif('Mens Lineup'!K$3:K1000,CONCATENATE("=",$A256))=0,"",K$2))</f>
        <v/>
      </c>
      <c r="L256" s="3" t="str">
        <f>IF($A256="","",IF(countif('Mens Lineup'!L$3:L1000,CONCATENATE("=",$A256))=0,"",L$2))</f>
        <v/>
      </c>
      <c r="M256" s="3" t="str">
        <f>IF($A256="","",IF(countif('Mens Lineup'!M$3:M1000,CONCATENATE("=",$A256))=0,"",M$2))</f>
        <v/>
      </c>
      <c r="N256" s="3" t="str">
        <f>IF($A256="","",IF(countif('Mens Lineup'!N$3:N1000,CONCATENATE("=",$A256))=0,"",N$2))</f>
        <v/>
      </c>
      <c r="O256" s="3" t="str">
        <f>IF($A256="","",IF(countif('Mens Lineup'!O$3:O1000,CONCATENATE("=",$A256))=0,"",O$2))</f>
        <v/>
      </c>
      <c r="P256" s="3" t="str">
        <f>IF($A256="","",IF(countif('Mens Lineup'!P$3:P1000,CONCATENATE("=",$A256))=0,"",P$2))</f>
        <v/>
      </c>
      <c r="Q256" s="3" t="str">
        <f>IF($A256="","",IF(countif('Mens Lineup'!Q$3:Q1000,CONCATENATE("=",$A256))=0,"",Q$2))</f>
        <v/>
      </c>
      <c r="R256" s="3" t="str">
        <f>IF($A256="","",IF(countif('Mens Lineup'!R$3:R1000,CONCATENATE("=",$A256))=0,"",R$2))</f>
        <v/>
      </c>
      <c r="S256" s="3" t="str">
        <f>IF($A256="","",IF(countif('Mens Lineup'!S$3:S1000,CONCATENATE("=",$A256))=0,"",S$2))</f>
        <v/>
      </c>
      <c r="W256" s="3" t="str">
        <f>IFERROR(__xludf.DUMMYFUNCTION("JOIN("","",FILTER(B256:S256,B256:S256&lt;&gt;""""))"),"100 Breast,200 Breast")</f>
        <v>100 Breast,200 Breast</v>
      </c>
    </row>
    <row r="257">
      <c r="A257" s="3" t="s">
        <v>284</v>
      </c>
      <c r="B257" s="3" t="str">
        <f>IF($A257="","",IF(countif('Mens Lineup'!B$3:B1000,CONCATENATE("=",$A257))=0,"",B$2))</f>
        <v/>
      </c>
      <c r="C257" s="3" t="str">
        <f>IF($A257="","",IF(countif('Mens Lineup'!C$3:C1000,CONCATENATE("=",$A257))=0,"",C$2))</f>
        <v/>
      </c>
      <c r="D257" s="3" t="str">
        <f>IF($A257="","",IF(countif('Mens Lineup'!D$3:D1000,CONCATENATE("=",$A257))=0,"",D$2))</f>
        <v/>
      </c>
      <c r="E257" s="3" t="str">
        <f>IF($A257="","",IF(countif('Mens Lineup'!E$3:E1000,CONCATENATE("=",$A257))=0,"",E$2))</f>
        <v/>
      </c>
      <c r="F257" s="3" t="str">
        <f>IF($A257="","",IF(countif('Mens Lineup'!F$3:F1000,CONCATENATE("=",$A257))=0,"",F$2))</f>
        <v/>
      </c>
      <c r="G257" s="3" t="str">
        <f>IF($A257="","",IF(countif('Mens Lineup'!G$3:G1000,CONCATENATE("=",$A257))=0,"",G$2))</f>
        <v/>
      </c>
      <c r="H257" s="3" t="str">
        <f>IF($A257="","",IF(countif('Mens Lineup'!H$3:H1000,CONCATENATE("=",$A257))=0,"",H$2))</f>
        <v/>
      </c>
      <c r="I257" s="3" t="str">
        <f>IF($A257="","",IF(countif('Mens Lineup'!I$3:I1000,CONCATENATE("=",$A257))=0,"",I$2))</f>
        <v>100 Breast</v>
      </c>
      <c r="J257" s="3" t="str">
        <f>IF($A257="","",IF(countif('Mens Lineup'!J$3:J1000,CONCATENATE("=",$A257))=0,"",J$2))</f>
        <v>200 Breast</v>
      </c>
      <c r="K257" s="3" t="str">
        <f>IF($A257="","",IF(countif('Mens Lineup'!K$3:K1000,CONCATENATE("=",$A257))=0,"",K$2))</f>
        <v/>
      </c>
      <c r="L257" s="3" t="str">
        <f>IF($A257="","",IF(countif('Mens Lineup'!L$3:L1000,CONCATENATE("=",$A257))=0,"",L$2))</f>
        <v/>
      </c>
      <c r="M257" s="3" t="str">
        <f>IF($A257="","",IF(countif('Mens Lineup'!M$3:M1000,CONCATENATE("=",$A257))=0,"",M$2))</f>
        <v/>
      </c>
      <c r="N257" s="3" t="str">
        <f>IF($A257="","",IF(countif('Mens Lineup'!N$3:N1000,CONCATENATE("=",$A257))=0,"",N$2))</f>
        <v/>
      </c>
      <c r="O257" s="3" t="str">
        <f>IF($A257="","",IF(countif('Mens Lineup'!O$3:O1000,CONCATENATE("=",$A257))=0,"",O$2))</f>
        <v/>
      </c>
      <c r="P257" s="3" t="str">
        <f>IF($A257="","",IF(countif('Mens Lineup'!P$3:P1000,CONCATENATE("=",$A257))=0,"",P$2))</f>
        <v/>
      </c>
      <c r="Q257" s="3" t="str">
        <f>IF($A257="","",IF(countif('Mens Lineup'!Q$3:Q1000,CONCATENATE("=",$A257))=0,"",Q$2))</f>
        <v/>
      </c>
      <c r="R257" s="3" t="str">
        <f>IF($A257="","",IF(countif('Mens Lineup'!R$3:R1000,CONCATENATE("=",$A257))=0,"",R$2))</f>
        <v/>
      </c>
      <c r="S257" s="3" t="str">
        <f>IF($A257="","",IF(countif('Mens Lineup'!S$3:S1000,CONCATENATE("=",$A257))=0,"",S$2))</f>
        <v/>
      </c>
      <c r="W257" s="3" t="str">
        <f>IFERROR(__xludf.DUMMYFUNCTION("JOIN("","",FILTER(B257:S257,B257:S257&lt;&gt;""""))"),"100 Breast,200 Breast")</f>
        <v>100 Breast,200 Breast</v>
      </c>
    </row>
    <row r="258">
      <c r="A258" s="3" t="s">
        <v>285</v>
      </c>
      <c r="B258" s="3" t="str">
        <f>IF($A258="","",IF(countif('Mens Lineup'!B$3:B1000,CONCATENATE("=",$A258))=0,"",B$2))</f>
        <v/>
      </c>
      <c r="C258" s="3" t="str">
        <f>IF($A258="","",IF(countif('Mens Lineup'!C$3:C1000,CONCATENATE("=",$A258))=0,"",C$2))</f>
        <v/>
      </c>
      <c r="D258" s="3" t="str">
        <f>IF($A258="","",IF(countif('Mens Lineup'!D$3:D1000,CONCATENATE("=",$A258))=0,"",D$2))</f>
        <v/>
      </c>
      <c r="E258" s="3" t="str">
        <f>IF($A258="","",IF(countif('Mens Lineup'!E$3:E1000,CONCATENATE("=",$A258))=0,"",E$2))</f>
        <v/>
      </c>
      <c r="F258" s="3" t="str">
        <f>IF($A258="","",IF(countif('Mens Lineup'!F$3:F1000,CONCATENATE("=",$A258))=0,"",F$2))</f>
        <v/>
      </c>
      <c r="G258" s="3" t="str">
        <f>IF($A258="","",IF(countif('Mens Lineup'!G$3:G1000,CONCATENATE("=",$A258))=0,"",G$2))</f>
        <v/>
      </c>
      <c r="H258" s="3" t="str">
        <f>IF($A258="","",IF(countif('Mens Lineup'!H$3:H1000,CONCATENATE("=",$A258))=0,"",H$2))</f>
        <v/>
      </c>
      <c r="I258" s="3" t="str">
        <f>IF($A258="","",IF(countif('Mens Lineup'!I$3:I1000,CONCATENATE("=",$A258))=0,"",I$2))</f>
        <v>100 Breast</v>
      </c>
      <c r="J258" s="3" t="str">
        <f>IF($A258="","",IF(countif('Mens Lineup'!J$3:J1000,CONCATENATE("=",$A258))=0,"",J$2))</f>
        <v>200 Breast</v>
      </c>
      <c r="K258" s="3" t="str">
        <f>IF($A258="","",IF(countif('Mens Lineup'!K$3:K1000,CONCATENATE("=",$A258))=0,"",K$2))</f>
        <v/>
      </c>
      <c r="L258" s="3" t="str">
        <f>IF($A258="","",IF(countif('Mens Lineup'!L$3:L1000,CONCATENATE("=",$A258))=0,"",L$2))</f>
        <v/>
      </c>
      <c r="M258" s="3" t="str">
        <f>IF($A258="","",IF(countif('Mens Lineup'!M$3:M1000,CONCATENATE("=",$A258))=0,"",M$2))</f>
        <v/>
      </c>
      <c r="N258" s="3" t="str">
        <f>IF($A258="","",IF(countif('Mens Lineup'!N$3:N1000,CONCATENATE("=",$A258))=0,"",N$2))</f>
        <v/>
      </c>
      <c r="O258" s="3" t="str">
        <f>IF($A258="","",IF(countif('Mens Lineup'!O$3:O1000,CONCATENATE("=",$A258))=0,"",O$2))</f>
        <v/>
      </c>
      <c r="P258" s="3" t="str">
        <f>IF($A258="","",IF(countif('Mens Lineup'!P$3:P1000,CONCATENATE("=",$A258))=0,"",P$2))</f>
        <v/>
      </c>
      <c r="Q258" s="3" t="str">
        <f>IF($A258="","",IF(countif('Mens Lineup'!Q$3:Q1000,CONCATENATE("=",$A258))=0,"",Q$2))</f>
        <v/>
      </c>
      <c r="R258" s="3" t="str">
        <f>IF($A258="","",IF(countif('Mens Lineup'!R$3:R1000,CONCATENATE("=",$A258))=0,"",R$2))</f>
        <v/>
      </c>
      <c r="S258" s="3" t="str">
        <f>IF($A258="","",IF(countif('Mens Lineup'!S$3:S1000,CONCATENATE("=",$A258))=0,"",S$2))</f>
        <v/>
      </c>
      <c r="W258" s="3" t="str">
        <f>IFERROR(__xludf.DUMMYFUNCTION("JOIN("","",FILTER(B258:S258,B258:S258&lt;&gt;""""))"),"100 Breast,200 Breast")</f>
        <v>100 Breast,200 Breast</v>
      </c>
    </row>
    <row r="259">
      <c r="A259" s="3" t="s">
        <v>286</v>
      </c>
      <c r="B259" s="3" t="str">
        <f>IF($A259="","",IF(countif('Mens Lineup'!B$3:B1000,CONCATENATE("=",$A259))=0,"",B$2))</f>
        <v/>
      </c>
      <c r="C259" s="3" t="str">
        <f>IF($A259="","",IF(countif('Mens Lineup'!C$3:C1000,CONCATENATE("=",$A259))=0,"",C$2))</f>
        <v/>
      </c>
      <c r="D259" s="3" t="str">
        <f>IF($A259="","",IF(countif('Mens Lineup'!D$3:D1000,CONCATENATE("=",$A259))=0,"",D$2))</f>
        <v/>
      </c>
      <c r="E259" s="3" t="str">
        <f>IF($A259="","",IF(countif('Mens Lineup'!E$3:E1000,CONCATENATE("=",$A259))=0,"",E$2))</f>
        <v/>
      </c>
      <c r="F259" s="3" t="str">
        <f>IF($A259="","",IF(countif('Mens Lineup'!F$3:F1000,CONCATENATE("=",$A259))=0,"",F$2))</f>
        <v/>
      </c>
      <c r="G259" s="3" t="str">
        <f>IF($A259="","",IF(countif('Mens Lineup'!G$3:G1000,CONCATENATE("=",$A259))=0,"",G$2))</f>
        <v/>
      </c>
      <c r="H259" s="3" t="str">
        <f>IF($A259="","",IF(countif('Mens Lineup'!H$3:H1000,CONCATENATE("=",$A259))=0,"",H$2))</f>
        <v/>
      </c>
      <c r="I259" s="3" t="str">
        <f>IF($A259="","",IF(countif('Mens Lineup'!I$3:I1000,CONCATENATE("=",$A259))=0,"",I$2))</f>
        <v>100 Breast</v>
      </c>
      <c r="J259" s="3" t="str">
        <f>IF($A259="","",IF(countif('Mens Lineup'!J$3:J1000,CONCATENATE("=",$A259))=0,"",J$2))</f>
        <v/>
      </c>
      <c r="K259" s="3" t="str">
        <f>IF($A259="","",IF(countif('Mens Lineup'!K$3:K1000,CONCATENATE("=",$A259))=0,"",K$2))</f>
        <v/>
      </c>
      <c r="L259" s="3" t="str">
        <f>IF($A259="","",IF(countif('Mens Lineup'!L$3:L1000,CONCATENATE("=",$A259))=0,"",L$2))</f>
        <v/>
      </c>
      <c r="M259" s="3" t="str">
        <f>IF($A259="","",IF(countif('Mens Lineup'!M$3:M1000,CONCATENATE("=",$A259))=0,"",M$2))</f>
        <v>200 IM</v>
      </c>
      <c r="N259" s="3" t="str">
        <f>IF($A259="","",IF(countif('Mens Lineup'!N$3:N1000,CONCATENATE("=",$A259))=0,"",N$2))</f>
        <v/>
      </c>
      <c r="O259" s="3" t="str">
        <f>IF($A259="","",IF(countif('Mens Lineup'!O$3:O1000,CONCATENATE("=",$A259))=0,"",O$2))</f>
        <v/>
      </c>
      <c r="P259" s="3" t="str">
        <f>IF($A259="","",IF(countif('Mens Lineup'!P$3:P1000,CONCATENATE("=",$A259))=0,"",P$2))</f>
        <v/>
      </c>
      <c r="Q259" s="3" t="str">
        <f>IF($A259="","",IF(countif('Mens Lineup'!Q$3:Q1000,CONCATENATE("=",$A259))=0,"",Q$2))</f>
        <v/>
      </c>
      <c r="R259" s="3" t="str">
        <f>IF($A259="","",IF(countif('Mens Lineup'!R$3:R1000,CONCATENATE("=",$A259))=0,"",R$2))</f>
        <v/>
      </c>
      <c r="S259" s="3" t="str">
        <f>IF($A259="","",IF(countif('Mens Lineup'!S$3:S1000,CONCATENATE("=",$A259))=0,"",S$2))</f>
        <v/>
      </c>
      <c r="W259" s="3" t="str">
        <f>IFERROR(__xludf.DUMMYFUNCTION("JOIN("","",FILTER(B259:S259,B259:S259&lt;&gt;""""))"),"100 Breast,200 IM")</f>
        <v>100 Breast,200 IM</v>
      </c>
    </row>
    <row r="260">
      <c r="A260" s="3" t="s">
        <v>287</v>
      </c>
      <c r="B260" s="3" t="str">
        <f>IF($A260="","",IF(countif('Mens Lineup'!B$3:B1000,CONCATENATE("=",$A260))=0,"",B$2))</f>
        <v/>
      </c>
      <c r="C260" s="3" t="str">
        <f>IF($A260="","",IF(countif('Mens Lineup'!C$3:C1000,CONCATENATE("=",$A260))=0,"",C$2))</f>
        <v/>
      </c>
      <c r="D260" s="3" t="str">
        <f>IF($A260="","",IF(countif('Mens Lineup'!D$3:D1000,CONCATENATE("=",$A260))=0,"",D$2))</f>
        <v/>
      </c>
      <c r="E260" s="3" t="str">
        <f>IF($A260="","",IF(countif('Mens Lineup'!E$3:E1000,CONCATENATE("=",$A260))=0,"",E$2))</f>
        <v/>
      </c>
      <c r="F260" s="3" t="str">
        <f>IF($A260="","",IF(countif('Mens Lineup'!F$3:F1000,CONCATENATE("=",$A260))=0,"",F$2))</f>
        <v/>
      </c>
      <c r="G260" s="3" t="str">
        <f>IF($A260="","",IF(countif('Mens Lineup'!G$3:G1000,CONCATENATE("=",$A260))=0,"",G$2))</f>
        <v/>
      </c>
      <c r="H260" s="3" t="str">
        <f>IF($A260="","",IF(countif('Mens Lineup'!H$3:H1000,CONCATENATE("=",$A260))=0,"",H$2))</f>
        <v/>
      </c>
      <c r="I260" s="3" t="str">
        <f>IF($A260="","",IF(countif('Mens Lineup'!I$3:I1000,CONCATENATE("=",$A260))=0,"",I$2))</f>
        <v>100 Breast</v>
      </c>
      <c r="J260" s="3" t="str">
        <f>IF($A260="","",IF(countif('Mens Lineup'!J$3:J1000,CONCATENATE("=",$A260))=0,"",J$2))</f>
        <v>200 Breast</v>
      </c>
      <c r="K260" s="3" t="str">
        <f>IF($A260="","",IF(countif('Mens Lineup'!K$3:K1000,CONCATENATE("=",$A260))=0,"",K$2))</f>
        <v/>
      </c>
      <c r="L260" s="3" t="str">
        <f>IF($A260="","",IF(countif('Mens Lineup'!L$3:L1000,CONCATENATE("=",$A260))=0,"",L$2))</f>
        <v/>
      </c>
      <c r="M260" s="3" t="str">
        <f>IF($A260="","",IF(countif('Mens Lineup'!M$3:M1000,CONCATENATE("=",$A260))=0,"",M$2))</f>
        <v/>
      </c>
      <c r="N260" s="3" t="str">
        <f>IF($A260="","",IF(countif('Mens Lineup'!N$3:N1000,CONCATENATE("=",$A260))=0,"",N$2))</f>
        <v/>
      </c>
      <c r="O260" s="3" t="str">
        <f>IF($A260="","",IF(countif('Mens Lineup'!O$3:O1000,CONCATENATE("=",$A260))=0,"",O$2))</f>
        <v/>
      </c>
      <c r="P260" s="3" t="str">
        <f>IF($A260="","",IF(countif('Mens Lineup'!P$3:P1000,CONCATENATE("=",$A260))=0,"",P$2))</f>
        <v/>
      </c>
      <c r="Q260" s="3" t="str">
        <f>IF($A260="","",IF(countif('Mens Lineup'!Q$3:Q1000,CONCATENATE("=",$A260))=0,"",Q$2))</f>
        <v/>
      </c>
      <c r="R260" s="3" t="str">
        <f>IF($A260="","",IF(countif('Mens Lineup'!R$3:R1000,CONCATENATE("=",$A260))=0,"",R$2))</f>
        <v/>
      </c>
      <c r="S260" s="3" t="str">
        <f>IF($A260="","",IF(countif('Mens Lineup'!S$3:S1000,CONCATENATE("=",$A260))=0,"",S$2))</f>
        <v/>
      </c>
      <c r="W260" s="3" t="str">
        <f>IFERROR(__xludf.DUMMYFUNCTION("JOIN("","",FILTER(B260:S260,B260:S260&lt;&gt;""""))"),"100 Breast,200 Breast")</f>
        <v>100 Breast,200 Breast</v>
      </c>
    </row>
    <row r="261">
      <c r="A261" s="3" t="s">
        <v>288</v>
      </c>
      <c r="B261" s="3" t="str">
        <f>IF($A261="","",IF(countif('Mens Lineup'!B$3:B1000,CONCATENATE("=",$A261))=0,"",B$2))</f>
        <v/>
      </c>
      <c r="C261" s="3" t="str">
        <f>IF($A261="","",IF(countif('Mens Lineup'!C$3:C1000,CONCATENATE("=",$A261))=0,"",C$2))</f>
        <v/>
      </c>
      <c r="D261" s="3" t="str">
        <f>IF($A261="","",IF(countif('Mens Lineup'!D$3:D1000,CONCATENATE("=",$A261))=0,"",D$2))</f>
        <v/>
      </c>
      <c r="E261" s="3" t="str">
        <f>IF($A261="","",IF(countif('Mens Lineup'!E$3:E1000,CONCATENATE("=",$A261))=0,"",E$2))</f>
        <v/>
      </c>
      <c r="F261" s="3" t="str">
        <f>IF($A261="","",IF(countif('Mens Lineup'!F$3:F1000,CONCATENATE("=",$A261))=0,"",F$2))</f>
        <v/>
      </c>
      <c r="G261" s="3" t="str">
        <f>IF($A261="","",IF(countif('Mens Lineup'!G$3:G1000,CONCATENATE("=",$A261))=0,"",G$2))</f>
        <v/>
      </c>
      <c r="H261" s="3" t="str">
        <f>IF($A261="","",IF(countif('Mens Lineup'!H$3:H1000,CONCATENATE("=",$A261))=0,"",H$2))</f>
        <v/>
      </c>
      <c r="I261" s="3" t="str">
        <f>IF($A261="","",IF(countif('Mens Lineup'!I$3:I1000,CONCATENATE("=",$A261))=0,"",I$2))</f>
        <v>100 Breast</v>
      </c>
      <c r="J261" s="3" t="str">
        <f>IF($A261="","",IF(countif('Mens Lineup'!J$3:J1000,CONCATENATE("=",$A261))=0,"",J$2))</f>
        <v>200 Breast</v>
      </c>
      <c r="K261" s="3" t="str">
        <f>IF($A261="","",IF(countif('Mens Lineup'!K$3:K1000,CONCATENATE("=",$A261))=0,"",K$2))</f>
        <v/>
      </c>
      <c r="L261" s="3" t="str">
        <f>IF($A261="","",IF(countif('Mens Lineup'!L$3:L1000,CONCATENATE("=",$A261))=0,"",L$2))</f>
        <v>200 Fly</v>
      </c>
      <c r="M261" s="3" t="str">
        <f>IF($A261="","",IF(countif('Mens Lineup'!M$3:M1000,CONCATENATE("=",$A261))=0,"",M$2))</f>
        <v/>
      </c>
      <c r="N261" s="3" t="str">
        <f>IF($A261="","",IF(countif('Mens Lineup'!N$3:N1000,CONCATENATE("=",$A261))=0,"",N$2))</f>
        <v/>
      </c>
      <c r="O261" s="3" t="str">
        <f>IF($A261="","",IF(countif('Mens Lineup'!O$3:O1000,CONCATENATE("=",$A261))=0,"",O$2))</f>
        <v/>
      </c>
      <c r="P261" s="3" t="str">
        <f>IF($A261="","",IF(countif('Mens Lineup'!P$3:P1000,CONCATENATE("=",$A261))=0,"",P$2))</f>
        <v/>
      </c>
      <c r="Q261" s="3" t="str">
        <f>IF($A261="","",IF(countif('Mens Lineup'!Q$3:Q1000,CONCATENATE("=",$A261))=0,"",Q$2))</f>
        <v/>
      </c>
      <c r="R261" s="3" t="str">
        <f>IF($A261="","",IF(countif('Mens Lineup'!R$3:R1000,CONCATENATE("=",$A261))=0,"",R$2))</f>
        <v/>
      </c>
      <c r="S261" s="3" t="str">
        <f>IF($A261="","",IF(countif('Mens Lineup'!S$3:S1000,CONCATENATE("=",$A261))=0,"",S$2))</f>
        <v/>
      </c>
      <c r="W261" s="3" t="str">
        <f>IFERROR(__xludf.DUMMYFUNCTION("JOIN("","",FILTER(B261:S261,B261:S261&lt;&gt;""""))"),"100 Breast,200 Breast,200 Fly")</f>
        <v>100 Breast,200 Breast,200 Fly</v>
      </c>
    </row>
    <row r="262">
      <c r="A262" s="3" t="s">
        <v>289</v>
      </c>
      <c r="B262" s="3" t="str">
        <f>IF($A262="","",IF(countif('Mens Lineup'!B$3:B1000,CONCATENATE("=",$A262))=0,"",B$2))</f>
        <v/>
      </c>
      <c r="C262" s="3" t="str">
        <f>IF($A262="","",IF(countif('Mens Lineup'!C$3:C1000,CONCATENATE("=",$A262))=0,"",C$2))</f>
        <v/>
      </c>
      <c r="D262" s="3" t="str">
        <f>IF($A262="","",IF(countif('Mens Lineup'!D$3:D1000,CONCATENATE("=",$A262))=0,"",D$2))</f>
        <v/>
      </c>
      <c r="E262" s="3" t="str">
        <f>IF($A262="","",IF(countif('Mens Lineup'!E$3:E1000,CONCATENATE("=",$A262))=0,"",E$2))</f>
        <v/>
      </c>
      <c r="F262" s="3" t="str">
        <f>IF($A262="","",IF(countif('Mens Lineup'!F$3:F1000,CONCATENATE("=",$A262))=0,"",F$2))</f>
        <v/>
      </c>
      <c r="G262" s="3" t="str">
        <f>IF($A262="","",IF(countif('Mens Lineup'!G$3:G1000,CONCATENATE("=",$A262))=0,"",G$2))</f>
        <v/>
      </c>
      <c r="H262" s="3" t="str">
        <f>IF($A262="","",IF(countif('Mens Lineup'!H$3:H1000,CONCATENATE("=",$A262))=0,"",H$2))</f>
        <v/>
      </c>
      <c r="I262" s="3" t="str">
        <f>IF($A262="","",IF(countif('Mens Lineup'!I$3:I1000,CONCATENATE("=",$A262))=0,"",I$2))</f>
        <v>100 Breast</v>
      </c>
      <c r="J262" s="3" t="str">
        <f>IF($A262="","",IF(countif('Mens Lineup'!J$3:J1000,CONCATENATE("=",$A262))=0,"",J$2))</f>
        <v/>
      </c>
      <c r="K262" s="3" t="str">
        <f>IF($A262="","",IF(countif('Mens Lineup'!K$3:K1000,CONCATENATE("=",$A262))=0,"",K$2))</f>
        <v/>
      </c>
      <c r="L262" s="3" t="str">
        <f>IF($A262="","",IF(countif('Mens Lineup'!L$3:L1000,CONCATENATE("=",$A262))=0,"",L$2))</f>
        <v/>
      </c>
      <c r="M262" s="3" t="str">
        <f>IF($A262="","",IF(countif('Mens Lineup'!M$3:M1000,CONCATENATE("=",$A262))=0,"",M$2))</f>
        <v/>
      </c>
      <c r="N262" s="3" t="str">
        <f>IF($A262="","",IF(countif('Mens Lineup'!N$3:N1000,CONCATENATE("=",$A262))=0,"",N$2))</f>
        <v/>
      </c>
      <c r="O262" s="3" t="str">
        <f>IF($A262="","",IF(countif('Mens Lineup'!O$3:O1000,CONCATENATE("=",$A262))=0,"",O$2))</f>
        <v/>
      </c>
      <c r="P262" s="3" t="str">
        <f>IF($A262="","",IF(countif('Mens Lineup'!P$3:P1000,CONCATENATE("=",$A262))=0,"",P$2))</f>
        <v/>
      </c>
      <c r="Q262" s="3" t="str">
        <f>IF($A262="","",IF(countif('Mens Lineup'!Q$3:Q1000,CONCATENATE("=",$A262))=0,"",Q$2))</f>
        <v/>
      </c>
      <c r="R262" s="3" t="str">
        <f>IF($A262="","",IF(countif('Mens Lineup'!R$3:R1000,CONCATENATE("=",$A262))=0,"",R$2))</f>
        <v/>
      </c>
      <c r="S262" s="3" t="str">
        <f>IF($A262="","",IF(countif('Mens Lineup'!S$3:S1000,CONCATENATE("=",$A262))=0,"",S$2))</f>
        <v/>
      </c>
      <c r="W262" s="3" t="str">
        <f>IFERROR(__xludf.DUMMYFUNCTION("JOIN("","",FILTER(B262:S262,B262:S262&lt;&gt;""""))"),"100 Breast")</f>
        <v>100 Breast</v>
      </c>
    </row>
    <row r="263">
      <c r="A263" s="3" t="s">
        <v>290</v>
      </c>
      <c r="B263" s="3" t="str">
        <f>IF($A263="","",IF(countif('Mens Lineup'!B$3:B1000,CONCATENATE("=",$A263))=0,"",B$2))</f>
        <v/>
      </c>
      <c r="C263" s="3" t="str">
        <f>IF($A263="","",IF(countif('Mens Lineup'!C$3:C1000,CONCATENATE("=",$A263))=0,"",C$2))</f>
        <v/>
      </c>
      <c r="D263" s="3" t="str">
        <f>IF($A263="","",IF(countif('Mens Lineup'!D$3:D1000,CONCATENATE("=",$A263))=0,"",D$2))</f>
        <v/>
      </c>
      <c r="E263" s="3" t="str">
        <f>IF($A263="","",IF(countif('Mens Lineup'!E$3:E1000,CONCATENATE("=",$A263))=0,"",E$2))</f>
        <v/>
      </c>
      <c r="F263" s="3" t="str">
        <f>IF($A263="","",IF(countif('Mens Lineup'!F$3:F1000,CONCATENATE("=",$A263))=0,"",F$2))</f>
        <v/>
      </c>
      <c r="G263" s="3" t="str">
        <f>IF($A263="","",IF(countif('Mens Lineup'!G$3:G1000,CONCATENATE("=",$A263))=0,"",G$2))</f>
        <v/>
      </c>
      <c r="H263" s="3" t="str">
        <f>IF($A263="","",IF(countif('Mens Lineup'!H$3:H1000,CONCATENATE("=",$A263))=0,"",H$2))</f>
        <v/>
      </c>
      <c r="I263" s="3" t="str">
        <f>IF($A263="","",IF(countif('Mens Lineup'!I$3:I1000,CONCATENATE("=",$A263))=0,"",I$2))</f>
        <v>100 Breast</v>
      </c>
      <c r="J263" s="3" t="str">
        <f>IF($A263="","",IF(countif('Mens Lineup'!J$3:J1000,CONCATENATE("=",$A263))=0,"",J$2))</f>
        <v>200 Breast</v>
      </c>
      <c r="K263" s="3" t="str">
        <f>IF($A263="","",IF(countif('Mens Lineup'!K$3:K1000,CONCATENATE("=",$A263))=0,"",K$2))</f>
        <v>100 Fly</v>
      </c>
      <c r="L263" s="3" t="str">
        <f>IF($A263="","",IF(countif('Mens Lineup'!L$3:L1000,CONCATENATE("=",$A263))=0,"",L$2))</f>
        <v/>
      </c>
      <c r="M263" s="3" t="str">
        <f>IF($A263="","",IF(countif('Mens Lineup'!M$3:M1000,CONCATENATE("=",$A263))=0,"",M$2))</f>
        <v>200 IM</v>
      </c>
      <c r="N263" s="3" t="str">
        <f>IF($A263="","",IF(countif('Mens Lineup'!N$3:N1000,CONCATENATE("=",$A263))=0,"",N$2))</f>
        <v/>
      </c>
      <c r="O263" s="3" t="str">
        <f>IF($A263="","",IF(countif('Mens Lineup'!O$3:O1000,CONCATENATE("=",$A263))=0,"",O$2))</f>
        <v/>
      </c>
      <c r="P263" s="3" t="str">
        <f>IF($A263="","",IF(countif('Mens Lineup'!P$3:P1000,CONCATENATE("=",$A263))=0,"",P$2))</f>
        <v/>
      </c>
      <c r="Q263" s="3" t="str">
        <f>IF($A263="","",IF(countif('Mens Lineup'!Q$3:Q1000,CONCATENATE("=",$A263))=0,"",Q$2))</f>
        <v/>
      </c>
      <c r="R263" s="3" t="str">
        <f>IF($A263="","",IF(countif('Mens Lineup'!R$3:R1000,CONCATENATE("=",$A263))=0,"",R$2))</f>
        <v/>
      </c>
      <c r="S263" s="3" t="str">
        <f>IF($A263="","",IF(countif('Mens Lineup'!S$3:S1000,CONCATENATE("=",$A263))=0,"",S$2))</f>
        <v/>
      </c>
      <c r="W263" s="3" t="str">
        <f>IFERROR(__xludf.DUMMYFUNCTION("JOIN("","",FILTER(B263:S263,B263:S263&lt;&gt;""""))"),"100 Breast,200 Breast,100 Fly,200 IM")</f>
        <v>100 Breast,200 Breast,100 Fly,200 IM</v>
      </c>
    </row>
    <row r="264">
      <c r="A264" s="3" t="s">
        <v>291</v>
      </c>
      <c r="B264" s="3" t="str">
        <f>IF($A264="","",IF(countif('Mens Lineup'!B$3:B1000,CONCATENATE("=",$A264))=0,"",B$2))</f>
        <v/>
      </c>
      <c r="C264" s="3" t="str">
        <f>IF($A264="","",IF(countif('Mens Lineup'!C$3:C1000,CONCATENATE("=",$A264))=0,"",C$2))</f>
        <v/>
      </c>
      <c r="D264" s="3" t="str">
        <f>IF($A264="","",IF(countif('Mens Lineup'!D$3:D1000,CONCATENATE("=",$A264))=0,"",D$2))</f>
        <v/>
      </c>
      <c r="E264" s="3" t="str">
        <f>IF($A264="","",IF(countif('Mens Lineup'!E$3:E1000,CONCATENATE("=",$A264))=0,"",E$2))</f>
        <v/>
      </c>
      <c r="F264" s="3" t="str">
        <f>IF($A264="","",IF(countif('Mens Lineup'!F$3:F1000,CONCATENATE("=",$A264))=0,"",F$2))</f>
        <v/>
      </c>
      <c r="G264" s="3" t="str">
        <f>IF($A264="","",IF(countif('Mens Lineup'!G$3:G1000,CONCATENATE("=",$A264))=0,"",G$2))</f>
        <v/>
      </c>
      <c r="H264" s="3" t="str">
        <f>IF($A264="","",IF(countif('Mens Lineup'!H$3:H1000,CONCATENATE("=",$A264))=0,"",H$2))</f>
        <v/>
      </c>
      <c r="I264" s="3" t="str">
        <f>IF($A264="","",IF(countif('Mens Lineup'!I$3:I1000,CONCATENATE("=",$A264))=0,"",I$2))</f>
        <v>100 Breast</v>
      </c>
      <c r="J264" s="3" t="str">
        <f>IF($A264="","",IF(countif('Mens Lineup'!J$3:J1000,CONCATENATE("=",$A264))=0,"",J$2))</f>
        <v>200 Breast</v>
      </c>
      <c r="K264" s="3" t="str">
        <f>IF($A264="","",IF(countif('Mens Lineup'!K$3:K1000,CONCATENATE("=",$A264))=0,"",K$2))</f>
        <v/>
      </c>
      <c r="L264" s="3" t="str">
        <f>IF($A264="","",IF(countif('Mens Lineup'!L$3:L1000,CONCATENATE("=",$A264))=0,"",L$2))</f>
        <v/>
      </c>
      <c r="M264" s="3" t="str">
        <f>IF($A264="","",IF(countif('Mens Lineup'!M$3:M1000,CONCATENATE("=",$A264))=0,"",M$2))</f>
        <v/>
      </c>
      <c r="N264" s="3" t="str">
        <f>IF($A264="","",IF(countif('Mens Lineup'!N$3:N1000,CONCATENATE("=",$A264))=0,"",N$2))</f>
        <v/>
      </c>
      <c r="O264" s="3" t="str">
        <f>IF($A264="","",IF(countif('Mens Lineup'!O$3:O1000,CONCATENATE("=",$A264))=0,"",O$2))</f>
        <v/>
      </c>
      <c r="P264" s="3" t="str">
        <f>IF($A264="","",IF(countif('Mens Lineup'!P$3:P1000,CONCATENATE("=",$A264))=0,"",P$2))</f>
        <v/>
      </c>
      <c r="Q264" s="3" t="str">
        <f>IF($A264="","",IF(countif('Mens Lineup'!Q$3:Q1000,CONCATENATE("=",$A264))=0,"",Q$2))</f>
        <v/>
      </c>
      <c r="R264" s="3" t="str">
        <f>IF($A264="","",IF(countif('Mens Lineup'!R$3:R1000,CONCATENATE("=",$A264))=0,"",R$2))</f>
        <v/>
      </c>
      <c r="S264" s="3" t="str">
        <f>IF($A264="","",IF(countif('Mens Lineup'!S$3:S1000,CONCATENATE("=",$A264))=0,"",S$2))</f>
        <v/>
      </c>
      <c r="W264" s="3" t="str">
        <f>IFERROR(__xludf.DUMMYFUNCTION("JOIN("","",FILTER(B264:S264,B264:S264&lt;&gt;""""))"),"100 Breast,200 Breast")</f>
        <v>100 Breast,200 Breast</v>
      </c>
    </row>
    <row r="265">
      <c r="A265" s="3" t="s">
        <v>292</v>
      </c>
      <c r="B265" s="3" t="str">
        <f>IF($A265="","",IF(countif('Mens Lineup'!B$3:B1000,CONCATENATE("=",$A265))=0,"",B$2))</f>
        <v/>
      </c>
      <c r="C265" s="3" t="str">
        <f>IF($A265="","",IF(countif('Mens Lineup'!C$3:C1000,CONCATENATE("=",$A265))=0,"",C$2))</f>
        <v/>
      </c>
      <c r="D265" s="3" t="str">
        <f>IF($A265="","",IF(countif('Mens Lineup'!D$3:D1000,CONCATENATE("=",$A265))=0,"",D$2))</f>
        <v/>
      </c>
      <c r="E265" s="3" t="str">
        <f>IF($A265="","",IF(countif('Mens Lineup'!E$3:E1000,CONCATENATE("=",$A265))=0,"",E$2))</f>
        <v/>
      </c>
      <c r="F265" s="3" t="str">
        <f>IF($A265="","",IF(countif('Mens Lineup'!F$3:F1000,CONCATENATE("=",$A265))=0,"",F$2))</f>
        <v/>
      </c>
      <c r="G265" s="3" t="str">
        <f>IF($A265="","",IF(countif('Mens Lineup'!G$3:G1000,CONCATENATE("=",$A265))=0,"",G$2))</f>
        <v/>
      </c>
      <c r="H265" s="3" t="str">
        <f>IF($A265="","",IF(countif('Mens Lineup'!H$3:H1000,CONCATENATE("=",$A265))=0,"",H$2))</f>
        <v/>
      </c>
      <c r="I265" s="3" t="str">
        <f>IF($A265="","",IF(countif('Mens Lineup'!I$3:I1000,CONCATENATE("=",$A265))=0,"",I$2))</f>
        <v>100 Breast</v>
      </c>
      <c r="J265" s="3" t="str">
        <f>IF($A265="","",IF(countif('Mens Lineup'!J$3:J1000,CONCATENATE("=",$A265))=0,"",J$2))</f>
        <v/>
      </c>
      <c r="K265" s="3" t="str">
        <f>IF($A265="","",IF(countif('Mens Lineup'!K$3:K1000,CONCATENATE("=",$A265))=0,"",K$2))</f>
        <v>100 Fly</v>
      </c>
      <c r="L265" s="3" t="str">
        <f>IF($A265="","",IF(countif('Mens Lineup'!L$3:L1000,CONCATENATE("=",$A265))=0,"",L$2))</f>
        <v/>
      </c>
      <c r="M265" s="3" t="str">
        <f>IF($A265="","",IF(countif('Mens Lineup'!M$3:M1000,CONCATENATE("=",$A265))=0,"",M$2))</f>
        <v/>
      </c>
      <c r="N265" s="3" t="str">
        <f>IF($A265="","",IF(countif('Mens Lineup'!N$3:N1000,CONCATENATE("=",$A265))=0,"",N$2))</f>
        <v/>
      </c>
      <c r="O265" s="3" t="str">
        <f>IF($A265="","",IF(countif('Mens Lineup'!O$3:O1000,CONCATENATE("=",$A265))=0,"",O$2))</f>
        <v/>
      </c>
      <c r="P265" s="3" t="str">
        <f>IF($A265="","",IF(countif('Mens Lineup'!P$3:P1000,CONCATENATE("=",$A265))=0,"",P$2))</f>
        <v/>
      </c>
      <c r="Q265" s="3" t="str">
        <f>IF($A265="","",IF(countif('Mens Lineup'!Q$3:Q1000,CONCATENATE("=",$A265))=0,"",Q$2))</f>
        <v/>
      </c>
      <c r="R265" s="3" t="str">
        <f>IF($A265="","",IF(countif('Mens Lineup'!R$3:R1000,CONCATENATE("=",$A265))=0,"",R$2))</f>
        <v/>
      </c>
      <c r="S265" s="3" t="str">
        <f>IF($A265="","",IF(countif('Mens Lineup'!S$3:S1000,CONCATENATE("=",$A265))=0,"",S$2))</f>
        <v/>
      </c>
      <c r="W265" s="3" t="str">
        <f>IFERROR(__xludf.DUMMYFUNCTION("JOIN("","",FILTER(B265:S265,B265:S265&lt;&gt;""""))"),"100 Breast,100 Fly")</f>
        <v>100 Breast,100 Fly</v>
      </c>
    </row>
    <row r="266">
      <c r="A266" s="3" t="s">
        <v>293</v>
      </c>
      <c r="B266" s="3" t="str">
        <f>IF($A266="","",IF(countif('Mens Lineup'!B$3:B1000,CONCATENATE("=",$A266))=0,"",B$2))</f>
        <v/>
      </c>
      <c r="C266" s="3" t="str">
        <f>IF($A266="","",IF(countif('Mens Lineup'!C$3:C1000,CONCATENATE("=",$A266))=0,"",C$2))</f>
        <v/>
      </c>
      <c r="D266" s="3" t="str">
        <f>IF($A266="","",IF(countif('Mens Lineup'!D$3:D1000,CONCATENATE("=",$A266))=0,"",D$2))</f>
        <v/>
      </c>
      <c r="E266" s="3" t="str">
        <f>IF($A266="","",IF(countif('Mens Lineup'!E$3:E1000,CONCATENATE("=",$A266))=0,"",E$2))</f>
        <v/>
      </c>
      <c r="F266" s="3" t="str">
        <f>IF($A266="","",IF(countif('Mens Lineup'!F$3:F1000,CONCATENATE("=",$A266))=0,"",F$2))</f>
        <v/>
      </c>
      <c r="G266" s="3" t="str">
        <f>IF($A266="","",IF(countif('Mens Lineup'!G$3:G1000,CONCATENATE("=",$A266))=0,"",G$2))</f>
        <v/>
      </c>
      <c r="H266" s="3" t="str">
        <f>IF($A266="","",IF(countif('Mens Lineup'!H$3:H1000,CONCATENATE("=",$A266))=0,"",H$2))</f>
        <v/>
      </c>
      <c r="I266" s="3" t="str">
        <f>IF($A266="","",IF(countif('Mens Lineup'!I$3:I1000,CONCATENATE("=",$A266))=0,"",I$2))</f>
        <v>100 Breast</v>
      </c>
      <c r="J266" s="3" t="str">
        <f>IF($A266="","",IF(countif('Mens Lineup'!J$3:J1000,CONCATENATE("=",$A266))=0,"",J$2))</f>
        <v>200 Breast</v>
      </c>
      <c r="K266" s="3" t="str">
        <f>IF($A266="","",IF(countif('Mens Lineup'!K$3:K1000,CONCATENATE("=",$A266))=0,"",K$2))</f>
        <v/>
      </c>
      <c r="L266" s="3" t="str">
        <f>IF($A266="","",IF(countif('Mens Lineup'!L$3:L1000,CONCATENATE("=",$A266))=0,"",L$2))</f>
        <v/>
      </c>
      <c r="M266" s="3" t="str">
        <f>IF($A266="","",IF(countif('Mens Lineup'!M$3:M1000,CONCATENATE("=",$A266))=0,"",M$2))</f>
        <v/>
      </c>
      <c r="N266" s="3" t="str">
        <f>IF($A266="","",IF(countif('Mens Lineup'!N$3:N1000,CONCATENATE("=",$A266))=0,"",N$2))</f>
        <v/>
      </c>
      <c r="O266" s="3" t="str">
        <f>IF($A266="","",IF(countif('Mens Lineup'!O$3:O1000,CONCATENATE("=",$A266))=0,"",O$2))</f>
        <v/>
      </c>
      <c r="P266" s="3" t="str">
        <f>IF($A266="","",IF(countif('Mens Lineup'!P$3:P1000,CONCATENATE("=",$A266))=0,"",P$2))</f>
        <v/>
      </c>
      <c r="Q266" s="3" t="str">
        <f>IF($A266="","",IF(countif('Mens Lineup'!Q$3:Q1000,CONCATENATE("=",$A266))=0,"",Q$2))</f>
        <v/>
      </c>
      <c r="R266" s="3" t="str">
        <f>IF($A266="","",IF(countif('Mens Lineup'!R$3:R1000,CONCATENATE("=",$A266))=0,"",R$2))</f>
        <v/>
      </c>
      <c r="S266" s="3" t="str">
        <f>IF($A266="","",IF(countif('Mens Lineup'!S$3:S1000,CONCATENATE("=",$A266))=0,"",S$2))</f>
        <v/>
      </c>
      <c r="W266" s="3" t="str">
        <f>IFERROR(__xludf.DUMMYFUNCTION("JOIN("","",FILTER(B266:S266,B266:S266&lt;&gt;""""))"),"100 Breast,200 Breast")</f>
        <v>100 Breast,200 Breast</v>
      </c>
    </row>
    <row r="267">
      <c r="A267" s="3" t="s">
        <v>294</v>
      </c>
      <c r="B267" s="3" t="str">
        <f>IF($A267="","",IF(countif('Mens Lineup'!B$3:B1000,CONCATENATE("=",$A267))=0,"",B$2))</f>
        <v/>
      </c>
      <c r="C267" s="3" t="str">
        <f>IF($A267="","",IF(countif('Mens Lineup'!C$3:C1000,CONCATENATE("=",$A267))=0,"",C$2))</f>
        <v/>
      </c>
      <c r="D267" s="3" t="str">
        <f>IF($A267="","",IF(countif('Mens Lineup'!D$3:D1000,CONCATENATE("=",$A267))=0,"",D$2))</f>
        <v/>
      </c>
      <c r="E267" s="3" t="str">
        <f>IF($A267="","",IF(countif('Mens Lineup'!E$3:E1000,CONCATENATE("=",$A267))=0,"",E$2))</f>
        <v/>
      </c>
      <c r="F267" s="3" t="str">
        <f>IF($A267="","",IF(countif('Mens Lineup'!F$3:F1000,CONCATENATE("=",$A267))=0,"",F$2))</f>
        <v/>
      </c>
      <c r="G267" s="3" t="str">
        <f>IF($A267="","",IF(countif('Mens Lineup'!G$3:G1000,CONCATENATE("=",$A267))=0,"",G$2))</f>
        <v/>
      </c>
      <c r="H267" s="3" t="str">
        <f>IF($A267="","",IF(countif('Mens Lineup'!H$3:H1000,CONCATENATE("=",$A267))=0,"",H$2))</f>
        <v/>
      </c>
      <c r="I267" s="3" t="str">
        <f>IF($A267="","",IF(countif('Mens Lineup'!I$3:I1000,CONCATENATE("=",$A267))=0,"",I$2))</f>
        <v>100 Breast</v>
      </c>
      <c r="J267" s="3" t="str">
        <f>IF($A267="","",IF(countif('Mens Lineup'!J$3:J1000,CONCATENATE("=",$A267))=0,"",J$2))</f>
        <v/>
      </c>
      <c r="K267" s="3" t="str">
        <f>IF($A267="","",IF(countif('Mens Lineup'!K$3:K1000,CONCATENATE("=",$A267))=0,"",K$2))</f>
        <v/>
      </c>
      <c r="L267" s="3" t="str">
        <f>IF($A267="","",IF(countif('Mens Lineup'!L$3:L1000,CONCATENATE("=",$A267))=0,"",L$2))</f>
        <v/>
      </c>
      <c r="M267" s="3" t="str">
        <f>IF($A267="","",IF(countif('Mens Lineup'!M$3:M1000,CONCATENATE("=",$A267))=0,"",M$2))</f>
        <v/>
      </c>
      <c r="N267" s="3" t="str">
        <f>IF($A267="","",IF(countif('Mens Lineup'!N$3:N1000,CONCATENATE("=",$A267))=0,"",N$2))</f>
        <v/>
      </c>
      <c r="O267" s="3" t="str">
        <f>IF($A267="","",IF(countif('Mens Lineup'!O$3:O1000,CONCATENATE("=",$A267))=0,"",O$2))</f>
        <v/>
      </c>
      <c r="P267" s="3" t="str">
        <f>IF($A267="","",IF(countif('Mens Lineup'!P$3:P1000,CONCATENATE("=",$A267))=0,"",P$2))</f>
        <v/>
      </c>
      <c r="Q267" s="3" t="str">
        <f>IF($A267="","",IF(countif('Mens Lineup'!Q$3:Q1000,CONCATENATE("=",$A267))=0,"",Q$2))</f>
        <v/>
      </c>
      <c r="R267" s="3" t="str">
        <f>IF($A267="","",IF(countif('Mens Lineup'!R$3:R1000,CONCATENATE("=",$A267))=0,"",R$2))</f>
        <v/>
      </c>
      <c r="S267" s="3" t="str">
        <f>IF($A267="","",IF(countif('Mens Lineup'!S$3:S1000,CONCATENATE("=",$A267))=0,"",S$2))</f>
        <v/>
      </c>
      <c r="W267" s="3" t="str">
        <f>IFERROR(__xludf.DUMMYFUNCTION("JOIN("","",FILTER(B267:S267,B267:S267&lt;&gt;""""))"),"100 Breast")</f>
        <v>100 Breast</v>
      </c>
    </row>
    <row r="268">
      <c r="A268" s="3" t="s">
        <v>295</v>
      </c>
      <c r="B268" s="3" t="str">
        <f>IF($A268="","",IF(countif('Mens Lineup'!B$3:B1000,CONCATENATE("=",$A268))=0,"",B$2))</f>
        <v/>
      </c>
      <c r="C268" s="3" t="str">
        <f>IF($A268="","",IF(countif('Mens Lineup'!C$3:C1000,CONCATENATE("=",$A268))=0,"",C$2))</f>
        <v/>
      </c>
      <c r="D268" s="3" t="str">
        <f>IF($A268="","",IF(countif('Mens Lineup'!D$3:D1000,CONCATENATE("=",$A268))=0,"",D$2))</f>
        <v/>
      </c>
      <c r="E268" s="3" t="str">
        <f>IF($A268="","",IF(countif('Mens Lineup'!E$3:E1000,CONCATENATE("=",$A268))=0,"",E$2))</f>
        <v/>
      </c>
      <c r="F268" s="3" t="str">
        <f>IF($A268="","",IF(countif('Mens Lineup'!F$3:F1000,CONCATENATE("=",$A268))=0,"",F$2))</f>
        <v/>
      </c>
      <c r="G268" s="3" t="str">
        <f>IF($A268="","",IF(countif('Mens Lineup'!G$3:G1000,CONCATENATE("=",$A268))=0,"",G$2))</f>
        <v/>
      </c>
      <c r="H268" s="3" t="str">
        <f>IF($A268="","",IF(countif('Mens Lineup'!H$3:H1000,CONCATENATE("=",$A268))=0,"",H$2))</f>
        <v/>
      </c>
      <c r="I268" s="3" t="str">
        <f>IF($A268="","",IF(countif('Mens Lineup'!I$3:I1000,CONCATENATE("=",$A268))=0,"",I$2))</f>
        <v>100 Breast</v>
      </c>
      <c r="J268" s="3" t="str">
        <f>IF($A268="","",IF(countif('Mens Lineup'!J$3:J1000,CONCATENATE("=",$A268))=0,"",J$2))</f>
        <v/>
      </c>
      <c r="K268" s="3" t="str">
        <f>IF($A268="","",IF(countif('Mens Lineup'!K$3:K1000,CONCATENATE("=",$A268))=0,"",K$2))</f>
        <v>100 Fly</v>
      </c>
      <c r="L268" s="3" t="str">
        <f>IF($A268="","",IF(countif('Mens Lineup'!L$3:L1000,CONCATENATE("=",$A268))=0,"",L$2))</f>
        <v>200 Fly</v>
      </c>
      <c r="M268" s="3" t="str">
        <f>IF($A268="","",IF(countif('Mens Lineup'!M$3:M1000,CONCATENATE("=",$A268))=0,"",M$2))</f>
        <v/>
      </c>
      <c r="N268" s="3" t="str">
        <f>IF($A268="","",IF(countif('Mens Lineup'!N$3:N1000,CONCATENATE("=",$A268))=0,"",N$2))</f>
        <v/>
      </c>
      <c r="O268" s="3" t="str">
        <f>IF($A268="","",IF(countif('Mens Lineup'!O$3:O1000,CONCATENATE("=",$A268))=0,"",O$2))</f>
        <v/>
      </c>
      <c r="P268" s="3" t="str">
        <f>IF($A268="","",IF(countif('Mens Lineup'!P$3:P1000,CONCATENATE("=",$A268))=0,"",P$2))</f>
        <v/>
      </c>
      <c r="Q268" s="3" t="str">
        <f>IF($A268="","",IF(countif('Mens Lineup'!Q$3:Q1000,CONCATENATE("=",$A268))=0,"",Q$2))</f>
        <v/>
      </c>
      <c r="R268" s="3" t="str">
        <f>IF($A268="","",IF(countif('Mens Lineup'!R$3:R1000,CONCATENATE("=",$A268))=0,"",R$2))</f>
        <v/>
      </c>
      <c r="S268" s="3" t="str">
        <f>IF($A268="","",IF(countif('Mens Lineup'!S$3:S1000,CONCATENATE("=",$A268))=0,"",S$2))</f>
        <v/>
      </c>
      <c r="W268" s="3" t="str">
        <f>IFERROR(__xludf.DUMMYFUNCTION("JOIN("","",FILTER(B268:S268,B268:S268&lt;&gt;""""))"),"100 Breast,100 Fly,200 Fly")</f>
        <v>100 Breast,100 Fly,200 Fly</v>
      </c>
    </row>
    <row r="269">
      <c r="A269" s="3" t="s">
        <v>296</v>
      </c>
      <c r="B269" s="3" t="str">
        <f>IF($A269="","",IF(countif('Mens Lineup'!B$3:B1000,CONCATENATE("=",$A269))=0,"",B$2))</f>
        <v/>
      </c>
      <c r="C269" s="3" t="str">
        <f>IF($A269="","",IF(countif('Mens Lineup'!C$3:C1000,CONCATENATE("=",$A269))=0,"",C$2))</f>
        <v/>
      </c>
      <c r="D269" s="3" t="str">
        <f>IF($A269="","",IF(countif('Mens Lineup'!D$3:D1000,CONCATENATE("=",$A269))=0,"",D$2))</f>
        <v/>
      </c>
      <c r="E269" s="3" t="str">
        <f>IF($A269="","",IF(countif('Mens Lineup'!E$3:E1000,CONCATENATE("=",$A269))=0,"",E$2))</f>
        <v/>
      </c>
      <c r="F269" s="3" t="str">
        <f>IF($A269="","",IF(countif('Mens Lineup'!F$3:F1000,CONCATENATE("=",$A269))=0,"",F$2))</f>
        <v/>
      </c>
      <c r="G269" s="3" t="str">
        <f>IF($A269="","",IF(countif('Mens Lineup'!G$3:G1000,CONCATENATE("=",$A269))=0,"",G$2))</f>
        <v/>
      </c>
      <c r="H269" s="3" t="str">
        <f>IF($A269="","",IF(countif('Mens Lineup'!H$3:H1000,CONCATENATE("=",$A269))=0,"",H$2))</f>
        <v/>
      </c>
      <c r="I269" s="3" t="str">
        <f>IF($A269="","",IF(countif('Mens Lineup'!I$3:I1000,CONCATENATE("=",$A269))=0,"",I$2))</f>
        <v>100 Breast</v>
      </c>
      <c r="J269" s="3" t="str">
        <f>IF($A269="","",IF(countif('Mens Lineup'!J$3:J1000,CONCATENATE("=",$A269))=0,"",J$2))</f>
        <v/>
      </c>
      <c r="K269" s="3" t="str">
        <f>IF($A269="","",IF(countif('Mens Lineup'!K$3:K1000,CONCATENATE("=",$A269))=0,"",K$2))</f>
        <v/>
      </c>
      <c r="L269" s="3" t="str">
        <f>IF($A269="","",IF(countif('Mens Lineup'!L$3:L1000,CONCATENATE("=",$A269))=0,"",L$2))</f>
        <v/>
      </c>
      <c r="M269" s="3" t="str">
        <f>IF($A269="","",IF(countif('Mens Lineup'!M$3:M1000,CONCATENATE("=",$A269))=0,"",M$2))</f>
        <v/>
      </c>
      <c r="N269" s="3" t="str">
        <f>IF($A269="","",IF(countif('Mens Lineup'!N$3:N1000,CONCATENATE("=",$A269))=0,"",N$2))</f>
        <v/>
      </c>
      <c r="O269" s="3" t="str">
        <f>IF($A269="","",IF(countif('Mens Lineup'!O$3:O1000,CONCATENATE("=",$A269))=0,"",O$2))</f>
        <v/>
      </c>
      <c r="P269" s="3" t="str">
        <f>IF($A269="","",IF(countif('Mens Lineup'!P$3:P1000,CONCATENATE("=",$A269))=0,"",P$2))</f>
        <v/>
      </c>
      <c r="Q269" s="3" t="str">
        <f>IF($A269="","",IF(countif('Mens Lineup'!Q$3:Q1000,CONCATENATE("=",$A269))=0,"",Q$2))</f>
        <v/>
      </c>
      <c r="R269" s="3" t="str">
        <f>IF($A269="","",IF(countif('Mens Lineup'!R$3:R1000,CONCATENATE("=",$A269))=0,"",R$2))</f>
        <v/>
      </c>
      <c r="S269" s="3" t="str">
        <f>IF($A269="","",IF(countif('Mens Lineup'!S$3:S1000,CONCATENATE("=",$A269))=0,"",S$2))</f>
        <v/>
      </c>
      <c r="W269" s="3" t="str">
        <f>IFERROR(__xludf.DUMMYFUNCTION("JOIN("","",FILTER(B269:S269,B269:S269&lt;&gt;""""))"),"100 Breast")</f>
        <v>100 Breast</v>
      </c>
    </row>
    <row r="270">
      <c r="A270" s="3" t="s">
        <v>297</v>
      </c>
      <c r="B270" s="3" t="str">
        <f>IF($A270="","",IF(countif('Mens Lineup'!B$3:B1000,CONCATENATE("=",$A270))=0,"",B$2))</f>
        <v/>
      </c>
      <c r="C270" s="3" t="str">
        <f>IF($A270="","",IF(countif('Mens Lineup'!C$3:C1000,CONCATENATE("=",$A270))=0,"",C$2))</f>
        <v/>
      </c>
      <c r="D270" s="3" t="str">
        <f>IF($A270="","",IF(countif('Mens Lineup'!D$3:D1000,CONCATENATE("=",$A270))=0,"",D$2))</f>
        <v/>
      </c>
      <c r="E270" s="3" t="str">
        <f>IF($A270="","",IF(countif('Mens Lineup'!E$3:E1000,CONCATENATE("=",$A270))=0,"",E$2))</f>
        <v/>
      </c>
      <c r="F270" s="3" t="str">
        <f>IF($A270="","",IF(countif('Mens Lineup'!F$3:F1000,CONCATENATE("=",$A270))=0,"",F$2))</f>
        <v/>
      </c>
      <c r="G270" s="3" t="str">
        <f>IF($A270="","",IF(countif('Mens Lineup'!G$3:G1000,CONCATENATE("=",$A270))=0,"",G$2))</f>
        <v/>
      </c>
      <c r="H270" s="3" t="str">
        <f>IF($A270="","",IF(countif('Mens Lineup'!H$3:H1000,CONCATENATE("=",$A270))=0,"",H$2))</f>
        <v/>
      </c>
      <c r="I270" s="3" t="str">
        <f>IF($A270="","",IF(countif('Mens Lineup'!I$3:I1000,CONCATENATE("=",$A270))=0,"",I$2))</f>
        <v>100 Breast</v>
      </c>
      <c r="J270" s="3" t="str">
        <f>IF($A270="","",IF(countif('Mens Lineup'!J$3:J1000,CONCATENATE("=",$A270))=0,"",J$2))</f>
        <v>200 Breast</v>
      </c>
      <c r="K270" s="3" t="str">
        <f>IF($A270="","",IF(countif('Mens Lineup'!K$3:K1000,CONCATENATE("=",$A270))=0,"",K$2))</f>
        <v/>
      </c>
      <c r="L270" s="3" t="str">
        <f>IF($A270="","",IF(countif('Mens Lineup'!L$3:L1000,CONCATENATE("=",$A270))=0,"",L$2))</f>
        <v/>
      </c>
      <c r="M270" s="3" t="str">
        <f>IF($A270="","",IF(countif('Mens Lineup'!M$3:M1000,CONCATENATE("=",$A270))=0,"",M$2))</f>
        <v/>
      </c>
      <c r="N270" s="3" t="str">
        <f>IF($A270="","",IF(countif('Mens Lineup'!N$3:N1000,CONCATENATE("=",$A270))=0,"",N$2))</f>
        <v/>
      </c>
      <c r="O270" s="3" t="str">
        <f>IF($A270="","",IF(countif('Mens Lineup'!O$3:O1000,CONCATENATE("=",$A270))=0,"",O$2))</f>
        <v/>
      </c>
      <c r="P270" s="3" t="str">
        <f>IF($A270="","",IF(countif('Mens Lineup'!P$3:P1000,CONCATENATE("=",$A270))=0,"",P$2))</f>
        <v/>
      </c>
      <c r="Q270" s="3" t="str">
        <f>IF($A270="","",IF(countif('Mens Lineup'!Q$3:Q1000,CONCATENATE("=",$A270))=0,"",Q$2))</f>
        <v/>
      </c>
      <c r="R270" s="3" t="str">
        <f>IF($A270="","",IF(countif('Mens Lineup'!R$3:R1000,CONCATENATE("=",$A270))=0,"",R$2))</f>
        <v/>
      </c>
      <c r="S270" s="3" t="str">
        <f>IF($A270="","",IF(countif('Mens Lineup'!S$3:S1000,CONCATENATE("=",$A270))=0,"",S$2))</f>
        <v/>
      </c>
      <c r="W270" s="3" t="str">
        <f>IFERROR(__xludf.DUMMYFUNCTION("JOIN("","",FILTER(B270:S270,B270:S270&lt;&gt;""""))"),"100 Breast,200 Breast")</f>
        <v>100 Breast,200 Breast</v>
      </c>
    </row>
    <row r="271">
      <c r="A271" s="3" t="s">
        <v>298</v>
      </c>
      <c r="B271" s="3" t="str">
        <f>IF($A271="","",IF(countif('Mens Lineup'!B$3:B1000,CONCATENATE("=",$A271))=0,"",B$2))</f>
        <v/>
      </c>
      <c r="C271" s="3" t="str">
        <f>IF($A271="","",IF(countif('Mens Lineup'!C$3:C1000,CONCATENATE("=",$A271))=0,"",C$2))</f>
        <v/>
      </c>
      <c r="D271" s="3" t="str">
        <f>IF($A271="","",IF(countif('Mens Lineup'!D$3:D1000,CONCATENATE("=",$A271))=0,"",D$2))</f>
        <v/>
      </c>
      <c r="E271" s="3" t="str">
        <f>IF($A271="","",IF(countif('Mens Lineup'!E$3:E1000,CONCATENATE("=",$A271))=0,"",E$2))</f>
        <v/>
      </c>
      <c r="F271" s="3" t="str">
        <f>IF($A271="","",IF(countif('Mens Lineup'!F$3:F1000,CONCATENATE("=",$A271))=0,"",F$2))</f>
        <v/>
      </c>
      <c r="G271" s="3" t="str">
        <f>IF($A271="","",IF(countif('Mens Lineup'!G$3:G1000,CONCATENATE("=",$A271))=0,"",G$2))</f>
        <v/>
      </c>
      <c r="H271" s="3" t="str">
        <f>IF($A271="","",IF(countif('Mens Lineup'!H$3:H1000,CONCATENATE("=",$A271))=0,"",H$2))</f>
        <v/>
      </c>
      <c r="I271" s="3" t="str">
        <f>IF($A271="","",IF(countif('Mens Lineup'!I$3:I1000,CONCATENATE("=",$A271))=0,"",I$2))</f>
        <v>100 Breast</v>
      </c>
      <c r="J271" s="3" t="str">
        <f>IF($A271="","",IF(countif('Mens Lineup'!J$3:J1000,CONCATENATE("=",$A271))=0,"",J$2))</f>
        <v/>
      </c>
      <c r="K271" s="3" t="str">
        <f>IF($A271="","",IF(countif('Mens Lineup'!K$3:K1000,CONCATENATE("=",$A271))=0,"",K$2))</f>
        <v>100 Fly</v>
      </c>
      <c r="L271" s="3" t="str">
        <f>IF($A271="","",IF(countif('Mens Lineup'!L$3:L1000,CONCATENATE("=",$A271))=0,"",L$2))</f>
        <v/>
      </c>
      <c r="M271" s="3" t="str">
        <f>IF($A271="","",IF(countif('Mens Lineup'!M$3:M1000,CONCATENATE("=",$A271))=0,"",M$2))</f>
        <v/>
      </c>
      <c r="N271" s="3" t="str">
        <f>IF($A271="","",IF(countif('Mens Lineup'!N$3:N1000,CONCATENATE("=",$A271))=0,"",N$2))</f>
        <v/>
      </c>
      <c r="O271" s="3" t="str">
        <f>IF($A271="","",IF(countif('Mens Lineup'!O$3:O1000,CONCATENATE("=",$A271))=0,"",O$2))</f>
        <v/>
      </c>
      <c r="P271" s="3" t="str">
        <f>IF($A271="","",IF(countif('Mens Lineup'!P$3:P1000,CONCATENATE("=",$A271))=0,"",P$2))</f>
        <v/>
      </c>
      <c r="Q271" s="3" t="str">
        <f>IF($A271="","",IF(countif('Mens Lineup'!Q$3:Q1000,CONCATENATE("=",$A271))=0,"",Q$2))</f>
        <v/>
      </c>
      <c r="R271" s="3" t="str">
        <f>IF($A271="","",IF(countif('Mens Lineup'!R$3:R1000,CONCATENATE("=",$A271))=0,"",R$2))</f>
        <v/>
      </c>
      <c r="S271" s="3" t="str">
        <f>IF($A271="","",IF(countif('Mens Lineup'!S$3:S1000,CONCATENATE("=",$A271))=0,"",S$2))</f>
        <v/>
      </c>
      <c r="W271" s="3" t="str">
        <f>IFERROR(__xludf.DUMMYFUNCTION("JOIN("","",FILTER(B271:S271,B271:S271&lt;&gt;""""))"),"100 Breast,100 Fly")</f>
        <v>100 Breast,100 Fly</v>
      </c>
    </row>
    <row r="272">
      <c r="A272" s="3" t="s">
        <v>299</v>
      </c>
      <c r="B272" s="3" t="str">
        <f>IF($A272="","",IF(countif('Mens Lineup'!B$3:B1000,CONCATENATE("=",$A272))=0,"",B$2))</f>
        <v/>
      </c>
      <c r="C272" s="3" t="str">
        <f>IF($A272="","",IF(countif('Mens Lineup'!C$3:C1000,CONCATENATE("=",$A272))=0,"",C$2))</f>
        <v/>
      </c>
      <c r="D272" s="3" t="str">
        <f>IF($A272="","",IF(countif('Mens Lineup'!D$3:D1000,CONCATENATE("=",$A272))=0,"",D$2))</f>
        <v/>
      </c>
      <c r="E272" s="3" t="str">
        <f>IF($A272="","",IF(countif('Mens Lineup'!E$3:E1000,CONCATENATE("=",$A272))=0,"",E$2))</f>
        <v/>
      </c>
      <c r="F272" s="3" t="str">
        <f>IF($A272="","",IF(countif('Mens Lineup'!F$3:F1000,CONCATENATE("=",$A272))=0,"",F$2))</f>
        <v/>
      </c>
      <c r="G272" s="3" t="str">
        <f>IF($A272="","",IF(countif('Mens Lineup'!G$3:G1000,CONCATENATE("=",$A272))=0,"",G$2))</f>
        <v/>
      </c>
      <c r="H272" s="3" t="str">
        <f>IF($A272="","",IF(countif('Mens Lineup'!H$3:H1000,CONCATENATE("=",$A272))=0,"",H$2))</f>
        <v/>
      </c>
      <c r="I272" s="3" t="str">
        <f>IF($A272="","",IF(countif('Mens Lineup'!I$3:I1000,CONCATENATE("=",$A272))=0,"",I$2))</f>
        <v>100 Breast</v>
      </c>
      <c r="J272" s="3" t="str">
        <f>IF($A272="","",IF(countif('Mens Lineup'!J$3:J1000,CONCATENATE("=",$A272))=0,"",J$2))</f>
        <v/>
      </c>
      <c r="K272" s="3" t="str">
        <f>IF($A272="","",IF(countif('Mens Lineup'!K$3:K1000,CONCATENATE("=",$A272))=0,"",K$2))</f>
        <v/>
      </c>
      <c r="L272" s="3" t="str">
        <f>IF($A272="","",IF(countif('Mens Lineup'!L$3:L1000,CONCATENATE("=",$A272))=0,"",L$2))</f>
        <v>200 Fly</v>
      </c>
      <c r="M272" s="3" t="str">
        <f>IF($A272="","",IF(countif('Mens Lineup'!M$3:M1000,CONCATENATE("=",$A272))=0,"",M$2))</f>
        <v>200 IM</v>
      </c>
      <c r="N272" s="3" t="str">
        <f>IF($A272="","",IF(countif('Mens Lineup'!N$3:N1000,CONCATENATE("=",$A272))=0,"",N$2))</f>
        <v>400 IM</v>
      </c>
      <c r="O272" s="3" t="str">
        <f>IF($A272="","",IF(countif('Mens Lineup'!O$3:O1000,CONCATENATE("=",$A272))=0,"",O$2))</f>
        <v/>
      </c>
      <c r="P272" s="3" t="str">
        <f>IF($A272="","",IF(countif('Mens Lineup'!P$3:P1000,CONCATENATE("=",$A272))=0,"",P$2))</f>
        <v/>
      </c>
      <c r="Q272" s="3" t="str">
        <f>IF($A272="","",IF(countif('Mens Lineup'!Q$3:Q1000,CONCATENATE("=",$A272))=0,"",Q$2))</f>
        <v/>
      </c>
      <c r="R272" s="3" t="str">
        <f>IF($A272="","",IF(countif('Mens Lineup'!R$3:R1000,CONCATENATE("=",$A272))=0,"",R$2))</f>
        <v/>
      </c>
      <c r="S272" s="3" t="str">
        <f>IF($A272="","",IF(countif('Mens Lineup'!S$3:S1000,CONCATENATE("=",$A272))=0,"",S$2))</f>
        <v/>
      </c>
      <c r="W272" s="3" t="str">
        <f>IFERROR(__xludf.DUMMYFUNCTION("JOIN("","",FILTER(B272:S272,B272:S272&lt;&gt;""""))"),"100 Breast,200 Fly,200 IM,400 IM")</f>
        <v>100 Breast,200 Fly,200 IM,400 IM</v>
      </c>
    </row>
    <row r="273">
      <c r="A273" s="3" t="s">
        <v>300</v>
      </c>
      <c r="B273" s="3" t="str">
        <f>IF($A273="","",IF(countif('Mens Lineup'!B$3:B1000,CONCATENATE("=",$A273))=0,"",B$2))</f>
        <v/>
      </c>
      <c r="C273" s="3" t="str">
        <f>IF($A273="","",IF(countif('Mens Lineup'!C$3:C1000,CONCATENATE("=",$A273))=0,"",C$2))</f>
        <v/>
      </c>
      <c r="D273" s="3" t="str">
        <f>IF($A273="","",IF(countif('Mens Lineup'!D$3:D1000,CONCATENATE("=",$A273))=0,"",D$2))</f>
        <v/>
      </c>
      <c r="E273" s="3" t="str">
        <f>IF($A273="","",IF(countif('Mens Lineup'!E$3:E1000,CONCATENATE("=",$A273))=0,"",E$2))</f>
        <v/>
      </c>
      <c r="F273" s="3" t="str">
        <f>IF($A273="","",IF(countif('Mens Lineup'!F$3:F1000,CONCATENATE("=",$A273))=0,"",F$2))</f>
        <v/>
      </c>
      <c r="G273" s="3" t="str">
        <f>IF($A273="","",IF(countif('Mens Lineup'!G$3:G1000,CONCATENATE("=",$A273))=0,"",G$2))</f>
        <v/>
      </c>
      <c r="H273" s="3" t="str">
        <f>IF($A273="","",IF(countif('Mens Lineup'!H$3:H1000,CONCATENATE("=",$A273))=0,"",H$2))</f>
        <v/>
      </c>
      <c r="I273" s="3" t="str">
        <f>IF($A273="","",IF(countif('Mens Lineup'!I$3:I1000,CONCATENATE("=",$A273))=0,"",I$2))</f>
        <v>100 Breast</v>
      </c>
      <c r="J273" s="3" t="str">
        <f>IF($A273="","",IF(countif('Mens Lineup'!J$3:J1000,CONCATENATE("=",$A273))=0,"",J$2))</f>
        <v>200 Breast</v>
      </c>
      <c r="K273" s="3" t="str">
        <f>IF($A273="","",IF(countif('Mens Lineup'!K$3:K1000,CONCATENATE("=",$A273))=0,"",K$2))</f>
        <v/>
      </c>
      <c r="L273" s="3" t="str">
        <f>IF($A273="","",IF(countif('Mens Lineup'!L$3:L1000,CONCATENATE("=",$A273))=0,"",L$2))</f>
        <v/>
      </c>
      <c r="M273" s="3" t="str">
        <f>IF($A273="","",IF(countif('Mens Lineup'!M$3:M1000,CONCATENATE("=",$A273))=0,"",M$2))</f>
        <v/>
      </c>
      <c r="N273" s="3" t="str">
        <f>IF($A273="","",IF(countif('Mens Lineup'!N$3:N1000,CONCATENATE("=",$A273))=0,"",N$2))</f>
        <v/>
      </c>
      <c r="O273" s="3" t="str">
        <f>IF($A273="","",IF(countif('Mens Lineup'!O$3:O1000,CONCATENATE("=",$A273))=0,"",O$2))</f>
        <v/>
      </c>
      <c r="P273" s="3" t="str">
        <f>IF($A273="","",IF(countif('Mens Lineup'!P$3:P1000,CONCATENATE("=",$A273))=0,"",P$2))</f>
        <v/>
      </c>
      <c r="Q273" s="3" t="str">
        <f>IF($A273="","",IF(countif('Mens Lineup'!Q$3:Q1000,CONCATENATE("=",$A273))=0,"",Q$2))</f>
        <v/>
      </c>
      <c r="R273" s="3" t="str">
        <f>IF($A273="","",IF(countif('Mens Lineup'!R$3:R1000,CONCATENATE("=",$A273))=0,"",R$2))</f>
        <v/>
      </c>
      <c r="S273" s="3" t="str">
        <f>IF($A273="","",IF(countif('Mens Lineup'!S$3:S1000,CONCATENATE("=",$A273))=0,"",S$2))</f>
        <v/>
      </c>
      <c r="W273" s="3" t="str">
        <f>IFERROR(__xludf.DUMMYFUNCTION("JOIN("","",FILTER(B273:S273,B273:S273&lt;&gt;""""))"),"100 Breast,200 Breast")</f>
        <v>100 Breast,200 Breast</v>
      </c>
    </row>
    <row r="274">
      <c r="A274" s="3" t="s">
        <v>301</v>
      </c>
      <c r="B274" s="3" t="str">
        <f>IF($A274="","",IF(countif('Mens Lineup'!B$3:B1000,CONCATENATE("=",$A274))=0,"",B$2))</f>
        <v/>
      </c>
      <c r="C274" s="3" t="str">
        <f>IF($A274="","",IF(countif('Mens Lineup'!C$3:C1000,CONCATENATE("=",$A274))=0,"",C$2))</f>
        <v/>
      </c>
      <c r="D274" s="3" t="str">
        <f>IF($A274="","",IF(countif('Mens Lineup'!D$3:D1000,CONCATENATE("=",$A274))=0,"",D$2))</f>
        <v/>
      </c>
      <c r="E274" s="3" t="str">
        <f>IF($A274="","",IF(countif('Mens Lineup'!E$3:E1000,CONCATENATE("=",$A274))=0,"",E$2))</f>
        <v/>
      </c>
      <c r="F274" s="3" t="str">
        <f>IF($A274="","",IF(countif('Mens Lineup'!F$3:F1000,CONCATENATE("=",$A274))=0,"",F$2))</f>
        <v/>
      </c>
      <c r="G274" s="3" t="str">
        <f>IF($A274="","",IF(countif('Mens Lineup'!G$3:G1000,CONCATENATE("=",$A274))=0,"",G$2))</f>
        <v/>
      </c>
      <c r="H274" s="3" t="str">
        <f>IF($A274="","",IF(countif('Mens Lineup'!H$3:H1000,CONCATENATE("=",$A274))=0,"",H$2))</f>
        <v/>
      </c>
      <c r="I274" s="3" t="str">
        <f>IF($A274="","",IF(countif('Mens Lineup'!I$3:I1000,CONCATENATE("=",$A274))=0,"",I$2))</f>
        <v>100 Breast</v>
      </c>
      <c r="J274" s="3" t="str">
        <f>IF($A274="","",IF(countif('Mens Lineup'!J$3:J1000,CONCATENATE("=",$A274))=0,"",J$2))</f>
        <v/>
      </c>
      <c r="K274" s="3" t="str">
        <f>IF($A274="","",IF(countif('Mens Lineup'!K$3:K1000,CONCATENATE("=",$A274))=0,"",K$2))</f>
        <v>100 Fly</v>
      </c>
      <c r="L274" s="3" t="str">
        <f>IF($A274="","",IF(countif('Mens Lineup'!L$3:L1000,CONCATENATE("=",$A274))=0,"",L$2))</f>
        <v/>
      </c>
      <c r="M274" s="3" t="str">
        <f>IF($A274="","",IF(countif('Mens Lineup'!M$3:M1000,CONCATENATE("=",$A274))=0,"",M$2))</f>
        <v/>
      </c>
      <c r="N274" s="3" t="str">
        <f>IF($A274="","",IF(countif('Mens Lineup'!N$3:N1000,CONCATENATE("=",$A274))=0,"",N$2))</f>
        <v>400 IM</v>
      </c>
      <c r="O274" s="3" t="str">
        <f>IF($A274="","",IF(countif('Mens Lineup'!O$3:O1000,CONCATENATE("=",$A274))=0,"",O$2))</f>
        <v/>
      </c>
      <c r="P274" s="3" t="str">
        <f>IF($A274="","",IF(countif('Mens Lineup'!P$3:P1000,CONCATENATE("=",$A274))=0,"",P$2))</f>
        <v/>
      </c>
      <c r="Q274" s="3" t="str">
        <f>IF($A274="","",IF(countif('Mens Lineup'!Q$3:Q1000,CONCATENATE("=",$A274))=0,"",Q$2))</f>
        <v/>
      </c>
      <c r="R274" s="3" t="str">
        <f>IF($A274="","",IF(countif('Mens Lineup'!R$3:R1000,CONCATENATE("=",$A274))=0,"",R$2))</f>
        <v/>
      </c>
      <c r="S274" s="3" t="str">
        <f>IF($A274="","",IF(countif('Mens Lineup'!S$3:S1000,CONCATENATE("=",$A274))=0,"",S$2))</f>
        <v/>
      </c>
      <c r="W274" s="3" t="str">
        <f>IFERROR(__xludf.DUMMYFUNCTION("JOIN("","",FILTER(B274:S274,B274:S274&lt;&gt;""""))"),"100 Breast,100 Fly,400 IM")</f>
        <v>100 Breast,100 Fly,400 IM</v>
      </c>
    </row>
    <row r="275">
      <c r="A275" s="3" t="s">
        <v>302</v>
      </c>
      <c r="B275" s="3" t="str">
        <f>IF($A275="","",IF(countif('Mens Lineup'!B$3:B1000,CONCATENATE("=",$A275))=0,"",B$2))</f>
        <v/>
      </c>
      <c r="C275" s="3" t="str">
        <f>IF($A275="","",IF(countif('Mens Lineup'!C$3:C1000,CONCATENATE("=",$A275))=0,"",C$2))</f>
        <v/>
      </c>
      <c r="D275" s="3" t="str">
        <f>IF($A275="","",IF(countif('Mens Lineup'!D$3:D1000,CONCATENATE("=",$A275))=0,"",D$2))</f>
        <v/>
      </c>
      <c r="E275" s="3" t="str">
        <f>IF($A275="","",IF(countif('Mens Lineup'!E$3:E1000,CONCATENATE("=",$A275))=0,"",E$2))</f>
        <v/>
      </c>
      <c r="F275" s="3" t="str">
        <f>IF($A275="","",IF(countif('Mens Lineup'!F$3:F1000,CONCATENATE("=",$A275))=0,"",F$2))</f>
        <v/>
      </c>
      <c r="G275" s="3" t="str">
        <f>IF($A275="","",IF(countif('Mens Lineup'!G$3:G1000,CONCATENATE("=",$A275))=0,"",G$2))</f>
        <v/>
      </c>
      <c r="H275" s="3" t="str">
        <f>IF($A275="","",IF(countif('Mens Lineup'!H$3:H1000,CONCATENATE("=",$A275))=0,"",H$2))</f>
        <v/>
      </c>
      <c r="I275" s="3" t="str">
        <f>IF($A275="","",IF(countif('Mens Lineup'!I$3:I1000,CONCATENATE("=",$A275))=0,"",I$2))</f>
        <v>100 Breast</v>
      </c>
      <c r="J275" s="3" t="str">
        <f>IF($A275="","",IF(countif('Mens Lineup'!J$3:J1000,CONCATENATE("=",$A275))=0,"",J$2))</f>
        <v/>
      </c>
      <c r="K275" s="3" t="str">
        <f>IF($A275="","",IF(countif('Mens Lineup'!K$3:K1000,CONCATENATE("=",$A275))=0,"",K$2))</f>
        <v/>
      </c>
      <c r="L275" s="3" t="str">
        <f>IF($A275="","",IF(countif('Mens Lineup'!L$3:L1000,CONCATENATE("=",$A275))=0,"",L$2))</f>
        <v/>
      </c>
      <c r="M275" s="3" t="str">
        <f>IF($A275="","",IF(countif('Mens Lineup'!M$3:M1000,CONCATENATE("=",$A275))=0,"",M$2))</f>
        <v/>
      </c>
      <c r="N275" s="3" t="str">
        <f>IF($A275="","",IF(countif('Mens Lineup'!N$3:N1000,CONCATENATE("=",$A275))=0,"",N$2))</f>
        <v/>
      </c>
      <c r="O275" s="3" t="str">
        <f>IF($A275="","",IF(countif('Mens Lineup'!O$3:O1000,CONCATENATE("=",$A275))=0,"",O$2))</f>
        <v/>
      </c>
      <c r="P275" s="3" t="str">
        <f>IF($A275="","",IF(countif('Mens Lineup'!P$3:P1000,CONCATENATE("=",$A275))=0,"",P$2))</f>
        <v/>
      </c>
      <c r="Q275" s="3" t="str">
        <f>IF($A275="","",IF(countif('Mens Lineup'!Q$3:Q1000,CONCATENATE("=",$A275))=0,"",Q$2))</f>
        <v/>
      </c>
      <c r="R275" s="3" t="str">
        <f>IF($A275="","",IF(countif('Mens Lineup'!R$3:R1000,CONCATENATE("=",$A275))=0,"",R$2))</f>
        <v/>
      </c>
      <c r="S275" s="3" t="str">
        <f>IF($A275="","",IF(countif('Mens Lineup'!S$3:S1000,CONCATENATE("=",$A275))=0,"",S$2))</f>
        <v/>
      </c>
      <c r="W275" s="3" t="str">
        <f>IFERROR(__xludf.DUMMYFUNCTION("JOIN("","",FILTER(B275:S275,B275:S275&lt;&gt;""""))"),"100 Breast")</f>
        <v>100 Breast</v>
      </c>
    </row>
    <row r="276">
      <c r="A276" s="3" t="s">
        <v>303</v>
      </c>
      <c r="B276" s="3" t="str">
        <f>IF($A276="","",IF(countif('Mens Lineup'!B$3:B1000,CONCATENATE("=",$A276))=0,"",B$2))</f>
        <v/>
      </c>
      <c r="C276" s="3" t="str">
        <f>IF($A276="","",IF(countif('Mens Lineup'!C$3:C1000,CONCATENATE("=",$A276))=0,"",C$2))</f>
        <v/>
      </c>
      <c r="D276" s="3" t="str">
        <f>IF($A276="","",IF(countif('Mens Lineup'!D$3:D1000,CONCATENATE("=",$A276))=0,"",D$2))</f>
        <v/>
      </c>
      <c r="E276" s="3" t="str">
        <f>IF($A276="","",IF(countif('Mens Lineup'!E$3:E1000,CONCATENATE("=",$A276))=0,"",E$2))</f>
        <v/>
      </c>
      <c r="F276" s="3" t="str">
        <f>IF($A276="","",IF(countif('Mens Lineup'!F$3:F1000,CONCATENATE("=",$A276))=0,"",F$2))</f>
        <v/>
      </c>
      <c r="G276" s="3" t="str">
        <f>IF($A276="","",IF(countif('Mens Lineup'!G$3:G1000,CONCATENATE("=",$A276))=0,"",G$2))</f>
        <v/>
      </c>
      <c r="H276" s="3" t="str">
        <f>IF($A276="","",IF(countif('Mens Lineup'!H$3:H1000,CONCATENATE("=",$A276))=0,"",H$2))</f>
        <v/>
      </c>
      <c r="I276" s="3" t="str">
        <f>IF($A276="","",IF(countif('Mens Lineup'!I$3:I1000,CONCATENATE("=",$A276))=0,"",I$2))</f>
        <v>100 Breast</v>
      </c>
      <c r="J276" s="3" t="str">
        <f>IF($A276="","",IF(countif('Mens Lineup'!J$3:J1000,CONCATENATE("=",$A276))=0,"",J$2))</f>
        <v/>
      </c>
      <c r="K276" s="3" t="str">
        <f>IF($A276="","",IF(countif('Mens Lineup'!K$3:K1000,CONCATENATE("=",$A276))=0,"",K$2))</f>
        <v/>
      </c>
      <c r="L276" s="3" t="str">
        <f>IF($A276="","",IF(countif('Mens Lineup'!L$3:L1000,CONCATENATE("=",$A276))=0,"",L$2))</f>
        <v/>
      </c>
      <c r="M276" s="3" t="str">
        <f>IF($A276="","",IF(countif('Mens Lineup'!M$3:M1000,CONCATENATE("=",$A276))=0,"",M$2))</f>
        <v/>
      </c>
      <c r="N276" s="3" t="str">
        <f>IF($A276="","",IF(countif('Mens Lineup'!N$3:N1000,CONCATENATE("=",$A276))=0,"",N$2))</f>
        <v/>
      </c>
      <c r="O276" s="3" t="str">
        <f>IF($A276="","",IF(countif('Mens Lineup'!O$3:O1000,CONCATENATE("=",$A276))=0,"",O$2))</f>
        <v/>
      </c>
      <c r="P276" s="3" t="str">
        <f>IF($A276="","",IF(countif('Mens Lineup'!P$3:P1000,CONCATENATE("=",$A276))=0,"",P$2))</f>
        <v/>
      </c>
      <c r="Q276" s="3" t="str">
        <f>IF($A276="","",IF(countif('Mens Lineup'!Q$3:Q1000,CONCATENATE("=",$A276))=0,"",Q$2))</f>
        <v/>
      </c>
      <c r="R276" s="3" t="str">
        <f>IF($A276="","",IF(countif('Mens Lineup'!R$3:R1000,CONCATENATE("=",$A276))=0,"",R$2))</f>
        <v/>
      </c>
      <c r="S276" s="3" t="str">
        <f>IF($A276="","",IF(countif('Mens Lineup'!S$3:S1000,CONCATENATE("=",$A276))=0,"",S$2))</f>
        <v/>
      </c>
      <c r="W276" s="3" t="str">
        <f>IFERROR(__xludf.DUMMYFUNCTION("JOIN("","",FILTER(B276:S276,B276:S276&lt;&gt;""""))"),"100 Breast")</f>
        <v>100 Breast</v>
      </c>
    </row>
    <row r="277">
      <c r="A277" s="3" t="s">
        <v>304</v>
      </c>
      <c r="B277" s="3" t="str">
        <f>IF($A277="","",IF(countif('Mens Lineup'!B$3:B1000,CONCATENATE("=",$A277))=0,"",B$2))</f>
        <v/>
      </c>
      <c r="C277" s="3" t="str">
        <f>IF($A277="","",IF(countif('Mens Lineup'!C$3:C1000,CONCATENATE("=",$A277))=0,"",C$2))</f>
        <v/>
      </c>
      <c r="D277" s="3" t="str">
        <f>IF($A277="","",IF(countif('Mens Lineup'!D$3:D1000,CONCATENATE("=",$A277))=0,"",D$2))</f>
        <v/>
      </c>
      <c r="E277" s="3" t="str">
        <f>IF($A277="","",IF(countif('Mens Lineup'!E$3:E1000,CONCATENATE("=",$A277))=0,"",E$2))</f>
        <v/>
      </c>
      <c r="F277" s="3" t="str">
        <f>IF($A277="","",IF(countif('Mens Lineup'!F$3:F1000,CONCATENATE("=",$A277))=0,"",F$2))</f>
        <v/>
      </c>
      <c r="G277" s="3" t="str">
        <f>IF($A277="","",IF(countif('Mens Lineup'!G$3:G1000,CONCATENATE("=",$A277))=0,"",G$2))</f>
        <v/>
      </c>
      <c r="H277" s="3" t="str">
        <f>IF($A277="","",IF(countif('Mens Lineup'!H$3:H1000,CONCATENATE("=",$A277))=0,"",H$2))</f>
        <v/>
      </c>
      <c r="I277" s="3" t="str">
        <f>IF($A277="","",IF(countif('Mens Lineup'!I$3:I1000,CONCATENATE("=",$A277))=0,"",I$2))</f>
        <v>100 Breast</v>
      </c>
      <c r="J277" s="3" t="str">
        <f>IF($A277="","",IF(countif('Mens Lineup'!J$3:J1000,CONCATENATE("=",$A277))=0,"",J$2))</f>
        <v/>
      </c>
      <c r="K277" s="3" t="str">
        <f>IF($A277="","",IF(countif('Mens Lineup'!K$3:K1000,CONCATENATE("=",$A277))=0,"",K$2))</f>
        <v/>
      </c>
      <c r="L277" s="3" t="str">
        <f>IF($A277="","",IF(countif('Mens Lineup'!L$3:L1000,CONCATENATE("=",$A277))=0,"",L$2))</f>
        <v/>
      </c>
      <c r="M277" s="3" t="str">
        <f>IF($A277="","",IF(countif('Mens Lineup'!M$3:M1000,CONCATENATE("=",$A277))=0,"",M$2))</f>
        <v/>
      </c>
      <c r="N277" s="3" t="str">
        <f>IF($A277="","",IF(countif('Mens Lineup'!N$3:N1000,CONCATENATE("=",$A277))=0,"",N$2))</f>
        <v/>
      </c>
      <c r="O277" s="3" t="str">
        <f>IF($A277="","",IF(countif('Mens Lineup'!O$3:O1000,CONCATENATE("=",$A277))=0,"",O$2))</f>
        <v/>
      </c>
      <c r="P277" s="3" t="str">
        <f>IF($A277="","",IF(countif('Mens Lineup'!P$3:P1000,CONCATENATE("=",$A277))=0,"",P$2))</f>
        <v/>
      </c>
      <c r="Q277" s="3" t="str">
        <f>IF($A277="","",IF(countif('Mens Lineup'!Q$3:Q1000,CONCATENATE("=",$A277))=0,"",Q$2))</f>
        <v/>
      </c>
      <c r="R277" s="3" t="str">
        <f>IF($A277="","",IF(countif('Mens Lineup'!R$3:R1000,CONCATENATE("=",$A277))=0,"",R$2))</f>
        <v/>
      </c>
      <c r="S277" s="3" t="str">
        <f>IF($A277="","",IF(countif('Mens Lineup'!S$3:S1000,CONCATENATE("=",$A277))=0,"",S$2))</f>
        <v/>
      </c>
      <c r="W277" s="3" t="str">
        <f>IFERROR(__xludf.DUMMYFUNCTION("JOIN("","",FILTER(B277:S277,B277:S277&lt;&gt;""""))"),"100 Breast")</f>
        <v>100 Breast</v>
      </c>
    </row>
    <row r="278">
      <c r="A278" s="3" t="s">
        <v>305</v>
      </c>
      <c r="B278" s="3" t="str">
        <f>IF($A278="","",IF(countif('Mens Lineup'!B$3:B1000,CONCATENATE("=",$A278))=0,"",B$2))</f>
        <v/>
      </c>
      <c r="C278" s="3" t="str">
        <f>IF($A278="","",IF(countif('Mens Lineup'!C$3:C1000,CONCATENATE("=",$A278))=0,"",C$2))</f>
        <v/>
      </c>
      <c r="D278" s="3" t="str">
        <f>IF($A278="","",IF(countif('Mens Lineup'!D$3:D1000,CONCATENATE("=",$A278))=0,"",D$2))</f>
        <v/>
      </c>
      <c r="E278" s="3" t="str">
        <f>IF($A278="","",IF(countif('Mens Lineup'!E$3:E1000,CONCATENATE("=",$A278))=0,"",E$2))</f>
        <v/>
      </c>
      <c r="F278" s="3" t="str">
        <f>IF($A278="","",IF(countif('Mens Lineup'!F$3:F1000,CONCATENATE("=",$A278))=0,"",F$2))</f>
        <v/>
      </c>
      <c r="G278" s="3" t="str">
        <f>IF($A278="","",IF(countif('Mens Lineup'!G$3:G1000,CONCATENATE("=",$A278))=0,"",G$2))</f>
        <v/>
      </c>
      <c r="H278" s="3" t="str">
        <f>IF($A278="","",IF(countif('Mens Lineup'!H$3:H1000,CONCATENATE("=",$A278))=0,"",H$2))</f>
        <v/>
      </c>
      <c r="I278" s="3" t="str">
        <f>IF($A278="","",IF(countif('Mens Lineup'!I$3:I1000,CONCATENATE("=",$A278))=0,"",I$2))</f>
        <v/>
      </c>
      <c r="J278" s="3" t="str">
        <f>IF($A278="","",IF(countif('Mens Lineup'!J$3:J1000,CONCATENATE("=",$A278))=0,"",J$2))</f>
        <v>200 Breast</v>
      </c>
      <c r="K278" s="3" t="str">
        <f>IF($A278="","",IF(countif('Mens Lineup'!K$3:K1000,CONCATENATE("=",$A278))=0,"",K$2))</f>
        <v/>
      </c>
      <c r="L278" s="3" t="str">
        <f>IF($A278="","",IF(countif('Mens Lineup'!L$3:L1000,CONCATENATE("=",$A278))=0,"",L$2))</f>
        <v>200 Fly</v>
      </c>
      <c r="M278" s="3" t="str">
        <f>IF($A278="","",IF(countif('Mens Lineup'!M$3:M1000,CONCATENATE("=",$A278))=0,"",M$2))</f>
        <v/>
      </c>
      <c r="N278" s="3" t="str">
        <f>IF($A278="","",IF(countif('Mens Lineup'!N$3:N1000,CONCATENATE("=",$A278))=0,"",N$2))</f>
        <v/>
      </c>
      <c r="O278" s="3" t="str">
        <f>IF($A278="","",IF(countif('Mens Lineup'!O$3:O1000,CONCATENATE("=",$A278))=0,"",O$2))</f>
        <v/>
      </c>
      <c r="P278" s="3" t="str">
        <f>IF($A278="","",IF(countif('Mens Lineup'!P$3:P1000,CONCATENATE("=",$A278))=0,"",P$2))</f>
        <v/>
      </c>
      <c r="Q278" s="3" t="str">
        <f>IF($A278="","",IF(countif('Mens Lineup'!Q$3:Q1000,CONCATENATE("=",$A278))=0,"",Q$2))</f>
        <v/>
      </c>
      <c r="R278" s="3" t="str">
        <f>IF($A278="","",IF(countif('Mens Lineup'!R$3:R1000,CONCATENATE("=",$A278))=0,"",R$2))</f>
        <v/>
      </c>
      <c r="S278" s="3" t="str">
        <f>IF($A278="","",IF(countif('Mens Lineup'!S$3:S1000,CONCATENATE("=",$A278))=0,"",S$2))</f>
        <v/>
      </c>
      <c r="W278" s="3" t="str">
        <f>IFERROR(__xludf.DUMMYFUNCTION("JOIN("","",FILTER(B278:S278,B278:S278&lt;&gt;""""))"),"200 Breast,200 Fly")</f>
        <v>200 Breast,200 Fly</v>
      </c>
    </row>
    <row r="279">
      <c r="A279" s="3" t="s">
        <v>306</v>
      </c>
      <c r="B279" s="3" t="str">
        <f>IF($A279="","",IF(countif('Mens Lineup'!B$3:B1000,CONCATENATE("=",$A279))=0,"",B$2))</f>
        <v/>
      </c>
      <c r="C279" s="3" t="str">
        <f>IF($A279="","",IF(countif('Mens Lineup'!C$3:C1000,CONCATENATE("=",$A279))=0,"",C$2))</f>
        <v/>
      </c>
      <c r="D279" s="3" t="str">
        <f>IF($A279="","",IF(countif('Mens Lineup'!D$3:D1000,CONCATENATE("=",$A279))=0,"",D$2))</f>
        <v/>
      </c>
      <c r="E279" s="3" t="str">
        <f>IF($A279="","",IF(countif('Mens Lineup'!E$3:E1000,CONCATENATE("=",$A279))=0,"",E$2))</f>
        <v/>
      </c>
      <c r="F279" s="3" t="str">
        <f>IF($A279="","",IF(countif('Mens Lineup'!F$3:F1000,CONCATENATE("=",$A279))=0,"",F$2))</f>
        <v/>
      </c>
      <c r="G279" s="3" t="str">
        <f>IF($A279="","",IF(countif('Mens Lineup'!G$3:G1000,CONCATENATE("=",$A279))=0,"",G$2))</f>
        <v/>
      </c>
      <c r="H279" s="3" t="str">
        <f>IF($A279="","",IF(countif('Mens Lineup'!H$3:H1000,CONCATENATE("=",$A279))=0,"",H$2))</f>
        <v/>
      </c>
      <c r="I279" s="3" t="str">
        <f>IF($A279="","",IF(countif('Mens Lineup'!I$3:I1000,CONCATENATE("=",$A279))=0,"",I$2))</f>
        <v/>
      </c>
      <c r="J279" s="3" t="str">
        <f>IF($A279="","",IF(countif('Mens Lineup'!J$3:J1000,CONCATENATE("=",$A279))=0,"",J$2))</f>
        <v>200 Breast</v>
      </c>
      <c r="K279" s="3" t="str">
        <f>IF($A279="","",IF(countif('Mens Lineup'!K$3:K1000,CONCATENATE("=",$A279))=0,"",K$2))</f>
        <v/>
      </c>
      <c r="L279" s="3" t="str">
        <f>IF($A279="","",IF(countif('Mens Lineup'!L$3:L1000,CONCATENATE("=",$A279))=0,"",L$2))</f>
        <v/>
      </c>
      <c r="M279" s="3" t="str">
        <f>IF($A279="","",IF(countif('Mens Lineup'!M$3:M1000,CONCATENATE("=",$A279))=0,"",M$2))</f>
        <v>200 IM</v>
      </c>
      <c r="N279" s="3" t="str">
        <f>IF($A279="","",IF(countif('Mens Lineup'!N$3:N1000,CONCATENATE("=",$A279))=0,"",N$2))</f>
        <v/>
      </c>
      <c r="O279" s="3" t="str">
        <f>IF($A279="","",IF(countif('Mens Lineup'!O$3:O1000,CONCATENATE("=",$A279))=0,"",O$2))</f>
        <v/>
      </c>
      <c r="P279" s="3" t="str">
        <f>IF($A279="","",IF(countif('Mens Lineup'!P$3:P1000,CONCATENATE("=",$A279))=0,"",P$2))</f>
        <v/>
      </c>
      <c r="Q279" s="3" t="str">
        <f>IF($A279="","",IF(countif('Mens Lineup'!Q$3:Q1000,CONCATENATE("=",$A279))=0,"",Q$2))</f>
        <v/>
      </c>
      <c r="R279" s="3" t="str">
        <f>IF($A279="","",IF(countif('Mens Lineup'!R$3:R1000,CONCATENATE("=",$A279))=0,"",R$2))</f>
        <v/>
      </c>
      <c r="S279" s="3" t="str">
        <f>IF($A279="","",IF(countif('Mens Lineup'!S$3:S1000,CONCATENATE("=",$A279))=0,"",S$2))</f>
        <v/>
      </c>
      <c r="W279" s="3" t="str">
        <f>IFERROR(__xludf.DUMMYFUNCTION("JOIN("","",FILTER(B279:S279,B279:S279&lt;&gt;""""))"),"200 Breast,200 IM")</f>
        <v>200 Breast,200 IM</v>
      </c>
    </row>
    <row r="280">
      <c r="A280" s="3" t="s">
        <v>307</v>
      </c>
      <c r="B280" s="3" t="str">
        <f>IF($A280="","",IF(countif('Mens Lineup'!B$3:B1000,CONCATENATE("=",$A280))=0,"",B$2))</f>
        <v/>
      </c>
      <c r="C280" s="3" t="str">
        <f>IF($A280="","",IF(countif('Mens Lineup'!C$3:C1000,CONCATENATE("=",$A280))=0,"",C$2))</f>
        <v/>
      </c>
      <c r="D280" s="3" t="str">
        <f>IF($A280="","",IF(countif('Mens Lineup'!D$3:D1000,CONCATENATE("=",$A280))=0,"",D$2))</f>
        <v/>
      </c>
      <c r="E280" s="3" t="str">
        <f>IF($A280="","",IF(countif('Mens Lineup'!E$3:E1000,CONCATENATE("=",$A280))=0,"",E$2))</f>
        <v/>
      </c>
      <c r="F280" s="3" t="str">
        <f>IF($A280="","",IF(countif('Mens Lineup'!F$3:F1000,CONCATENATE("=",$A280))=0,"",F$2))</f>
        <v/>
      </c>
      <c r="G280" s="3" t="str">
        <f>IF($A280="","",IF(countif('Mens Lineup'!G$3:G1000,CONCATENATE("=",$A280))=0,"",G$2))</f>
        <v/>
      </c>
      <c r="H280" s="3" t="str">
        <f>IF($A280="","",IF(countif('Mens Lineup'!H$3:H1000,CONCATENATE("=",$A280))=0,"",H$2))</f>
        <v/>
      </c>
      <c r="I280" s="3" t="str">
        <f>IF($A280="","",IF(countif('Mens Lineup'!I$3:I1000,CONCATENATE("=",$A280))=0,"",I$2))</f>
        <v/>
      </c>
      <c r="J280" s="3" t="str">
        <f>IF($A280="","",IF(countif('Mens Lineup'!J$3:J1000,CONCATENATE("=",$A280))=0,"",J$2))</f>
        <v>200 Breast</v>
      </c>
      <c r="K280" s="3" t="str">
        <f>IF($A280="","",IF(countif('Mens Lineup'!K$3:K1000,CONCATENATE("=",$A280))=0,"",K$2))</f>
        <v>100 Fly</v>
      </c>
      <c r="L280" s="3" t="str">
        <f>IF($A280="","",IF(countif('Mens Lineup'!L$3:L1000,CONCATENATE("=",$A280))=0,"",L$2))</f>
        <v>200 Fly</v>
      </c>
      <c r="M280" s="3" t="str">
        <f>IF($A280="","",IF(countif('Mens Lineup'!M$3:M1000,CONCATENATE("=",$A280))=0,"",M$2))</f>
        <v>200 IM</v>
      </c>
      <c r="N280" s="3" t="str">
        <f>IF($A280="","",IF(countif('Mens Lineup'!N$3:N1000,CONCATENATE("=",$A280))=0,"",N$2))</f>
        <v>400 IM</v>
      </c>
      <c r="O280" s="3" t="str">
        <f>IF($A280="","",IF(countif('Mens Lineup'!O$3:O1000,CONCATENATE("=",$A280))=0,"",O$2))</f>
        <v>1000 Free</v>
      </c>
      <c r="P280" s="3" t="str">
        <f>IF($A280="","",IF(countif('Mens Lineup'!P$3:P1000,CONCATENATE("=",$A280))=0,"",P$2))</f>
        <v/>
      </c>
      <c r="Q280" s="3" t="str">
        <f>IF($A280="","",IF(countif('Mens Lineup'!Q$3:Q1000,CONCATENATE("=",$A280))=0,"",Q$2))</f>
        <v/>
      </c>
      <c r="R280" s="3" t="str">
        <f>IF($A280="","",IF(countif('Mens Lineup'!R$3:R1000,CONCATENATE("=",$A280))=0,"",R$2))</f>
        <v/>
      </c>
      <c r="S280" s="3" t="str">
        <f>IF($A280="","",IF(countif('Mens Lineup'!S$3:S1000,CONCATENATE("=",$A280))=0,"",S$2))</f>
        <v/>
      </c>
      <c r="W280" s="3" t="str">
        <f>IFERROR(__xludf.DUMMYFUNCTION("JOIN("","",FILTER(B280:S280,B280:S280&lt;&gt;""""))"),"200 Breast,100 Fly,200 Fly,200 IM,400 IM,1000 Free")</f>
        <v>200 Breast,100 Fly,200 Fly,200 IM,400 IM,1000 Free</v>
      </c>
    </row>
    <row r="281">
      <c r="A281" s="3" t="s">
        <v>308</v>
      </c>
      <c r="B281" s="3" t="str">
        <f>IF($A281="","",IF(countif('Mens Lineup'!B$3:B1000,CONCATENATE("=",$A281))=0,"",B$2))</f>
        <v/>
      </c>
      <c r="C281" s="3" t="str">
        <f>IF($A281="","",IF(countif('Mens Lineup'!C$3:C1000,CONCATENATE("=",$A281))=0,"",C$2))</f>
        <v/>
      </c>
      <c r="D281" s="3" t="str">
        <f>IF($A281="","",IF(countif('Mens Lineup'!D$3:D1000,CONCATENATE("=",$A281))=0,"",D$2))</f>
        <v/>
      </c>
      <c r="E281" s="3" t="str">
        <f>IF($A281="","",IF(countif('Mens Lineup'!E$3:E1000,CONCATENATE("=",$A281))=0,"",E$2))</f>
        <v/>
      </c>
      <c r="F281" s="3" t="str">
        <f>IF($A281="","",IF(countif('Mens Lineup'!F$3:F1000,CONCATENATE("=",$A281))=0,"",F$2))</f>
        <v/>
      </c>
      <c r="G281" s="3" t="str">
        <f>IF($A281="","",IF(countif('Mens Lineup'!G$3:G1000,CONCATENATE("=",$A281))=0,"",G$2))</f>
        <v/>
      </c>
      <c r="H281" s="3" t="str">
        <f>IF($A281="","",IF(countif('Mens Lineup'!H$3:H1000,CONCATENATE("=",$A281))=0,"",H$2))</f>
        <v/>
      </c>
      <c r="I281" s="3" t="str">
        <f>IF($A281="","",IF(countif('Mens Lineup'!I$3:I1000,CONCATENATE("=",$A281))=0,"",I$2))</f>
        <v/>
      </c>
      <c r="J281" s="3" t="str">
        <f>IF($A281="","",IF(countif('Mens Lineup'!J$3:J1000,CONCATENATE("=",$A281))=0,"",J$2))</f>
        <v/>
      </c>
      <c r="K281" s="3" t="str">
        <f>IF($A281="","",IF(countif('Mens Lineup'!K$3:K1000,CONCATENATE("=",$A281))=0,"",K$2))</f>
        <v>100 Fly</v>
      </c>
      <c r="L281" s="3" t="str">
        <f>IF($A281="","",IF(countif('Mens Lineup'!L$3:L1000,CONCATENATE("=",$A281))=0,"",L$2))</f>
        <v>200 Fly</v>
      </c>
      <c r="M281" s="3" t="str">
        <f>IF($A281="","",IF(countif('Mens Lineup'!M$3:M1000,CONCATENATE("=",$A281))=0,"",M$2))</f>
        <v>200 IM</v>
      </c>
      <c r="N281" s="3" t="str">
        <f>IF($A281="","",IF(countif('Mens Lineup'!N$3:N1000,CONCATENATE("=",$A281))=0,"",N$2))</f>
        <v/>
      </c>
      <c r="O281" s="3" t="str">
        <f>IF($A281="","",IF(countif('Mens Lineup'!O$3:O1000,CONCATENATE("=",$A281))=0,"",O$2))</f>
        <v/>
      </c>
      <c r="P281" s="3" t="str">
        <f>IF($A281="","",IF(countif('Mens Lineup'!P$3:P1000,CONCATENATE("=",$A281))=0,"",P$2))</f>
        <v/>
      </c>
      <c r="Q281" s="3" t="str">
        <f>IF($A281="","",IF(countif('Mens Lineup'!Q$3:Q1000,CONCATENATE("=",$A281))=0,"",Q$2))</f>
        <v/>
      </c>
      <c r="R281" s="3" t="str">
        <f>IF($A281="","",IF(countif('Mens Lineup'!R$3:R1000,CONCATENATE("=",$A281))=0,"",R$2))</f>
        <v/>
      </c>
      <c r="S281" s="3" t="str">
        <f>IF($A281="","",IF(countif('Mens Lineup'!S$3:S1000,CONCATENATE("=",$A281))=0,"",S$2))</f>
        <v/>
      </c>
      <c r="W281" s="3" t="str">
        <f>IFERROR(__xludf.DUMMYFUNCTION("JOIN("","",FILTER(B281:S281,B281:S281&lt;&gt;""""))"),"100 Fly,200 Fly,200 IM")</f>
        <v>100 Fly,200 Fly,200 IM</v>
      </c>
    </row>
    <row r="282">
      <c r="A282" s="3" t="s">
        <v>309</v>
      </c>
      <c r="B282" s="3" t="str">
        <f>IF($A282="","",IF(countif('Mens Lineup'!B$3:B1000,CONCATENATE("=",$A282))=0,"",B$2))</f>
        <v/>
      </c>
      <c r="C282" s="3" t="str">
        <f>IF($A282="","",IF(countif('Mens Lineup'!C$3:C1000,CONCATENATE("=",$A282))=0,"",C$2))</f>
        <v/>
      </c>
      <c r="D282" s="3" t="str">
        <f>IF($A282="","",IF(countif('Mens Lineup'!D$3:D1000,CONCATENATE("=",$A282))=0,"",D$2))</f>
        <v/>
      </c>
      <c r="E282" s="3" t="str">
        <f>IF($A282="","",IF(countif('Mens Lineup'!E$3:E1000,CONCATENATE("=",$A282))=0,"",E$2))</f>
        <v/>
      </c>
      <c r="F282" s="3" t="str">
        <f>IF($A282="","",IF(countif('Mens Lineup'!F$3:F1000,CONCATENATE("=",$A282))=0,"",F$2))</f>
        <v/>
      </c>
      <c r="G282" s="3" t="str">
        <f>IF($A282="","",IF(countif('Mens Lineup'!G$3:G1000,CONCATENATE("=",$A282))=0,"",G$2))</f>
        <v/>
      </c>
      <c r="H282" s="3" t="str">
        <f>IF($A282="","",IF(countif('Mens Lineup'!H$3:H1000,CONCATENATE("=",$A282))=0,"",H$2))</f>
        <v/>
      </c>
      <c r="I282" s="3" t="str">
        <f>IF($A282="","",IF(countif('Mens Lineup'!I$3:I1000,CONCATENATE("=",$A282))=0,"",I$2))</f>
        <v/>
      </c>
      <c r="J282" s="3" t="str">
        <f>IF($A282="","",IF(countif('Mens Lineup'!J$3:J1000,CONCATENATE("=",$A282))=0,"",J$2))</f>
        <v/>
      </c>
      <c r="K282" s="3" t="str">
        <f>IF($A282="","",IF(countif('Mens Lineup'!K$3:K1000,CONCATENATE("=",$A282))=0,"",K$2))</f>
        <v>100 Fly</v>
      </c>
      <c r="L282" s="3" t="str">
        <f>IF($A282="","",IF(countif('Mens Lineup'!L$3:L1000,CONCATENATE("=",$A282))=0,"",L$2))</f>
        <v>200 Fly</v>
      </c>
      <c r="M282" s="3" t="str">
        <f>IF($A282="","",IF(countif('Mens Lineup'!M$3:M1000,CONCATENATE("=",$A282))=0,"",M$2))</f>
        <v/>
      </c>
      <c r="N282" s="3" t="str">
        <f>IF($A282="","",IF(countif('Mens Lineup'!N$3:N1000,CONCATENATE("=",$A282))=0,"",N$2))</f>
        <v>400 IM</v>
      </c>
      <c r="O282" s="3" t="str">
        <f>IF($A282="","",IF(countif('Mens Lineup'!O$3:O1000,CONCATENATE("=",$A282))=0,"",O$2))</f>
        <v>1000 Free</v>
      </c>
      <c r="P282" s="3" t="str">
        <f>IF($A282="","",IF(countif('Mens Lineup'!P$3:P1000,CONCATENATE("=",$A282))=0,"",P$2))</f>
        <v/>
      </c>
      <c r="Q282" s="3" t="str">
        <f>IF($A282="","",IF(countif('Mens Lineup'!Q$3:Q1000,CONCATENATE("=",$A282))=0,"",Q$2))</f>
        <v/>
      </c>
      <c r="R282" s="3" t="str">
        <f>IF($A282="","",IF(countif('Mens Lineup'!R$3:R1000,CONCATENATE("=",$A282))=0,"",R$2))</f>
        <v/>
      </c>
      <c r="S282" s="3" t="str">
        <f>IF($A282="","",IF(countif('Mens Lineup'!S$3:S1000,CONCATENATE("=",$A282))=0,"",S$2))</f>
        <v/>
      </c>
      <c r="W282" s="3" t="str">
        <f>IFERROR(__xludf.DUMMYFUNCTION("JOIN("","",FILTER(B282:S282,B282:S282&lt;&gt;""""))"),"100 Fly,200 Fly,400 IM,1000 Free")</f>
        <v>100 Fly,200 Fly,400 IM,1000 Free</v>
      </c>
    </row>
    <row r="283">
      <c r="A283" s="3" t="s">
        <v>310</v>
      </c>
      <c r="B283" s="3" t="str">
        <f>IF($A283="","",IF(countif('Mens Lineup'!B$3:B1000,CONCATENATE("=",$A283))=0,"",B$2))</f>
        <v/>
      </c>
      <c r="C283" s="3" t="str">
        <f>IF($A283="","",IF(countif('Mens Lineup'!C$3:C1000,CONCATENATE("=",$A283))=0,"",C$2))</f>
        <v/>
      </c>
      <c r="D283" s="3" t="str">
        <f>IF($A283="","",IF(countif('Mens Lineup'!D$3:D1000,CONCATENATE("=",$A283))=0,"",D$2))</f>
        <v/>
      </c>
      <c r="E283" s="3" t="str">
        <f>IF($A283="","",IF(countif('Mens Lineup'!E$3:E1000,CONCATENATE("=",$A283))=0,"",E$2))</f>
        <v/>
      </c>
      <c r="F283" s="3" t="str">
        <f>IF($A283="","",IF(countif('Mens Lineup'!F$3:F1000,CONCATENATE("=",$A283))=0,"",F$2))</f>
        <v/>
      </c>
      <c r="G283" s="3" t="str">
        <f>IF($A283="","",IF(countif('Mens Lineup'!G$3:G1000,CONCATENATE("=",$A283))=0,"",G$2))</f>
        <v/>
      </c>
      <c r="H283" s="3" t="str">
        <f>IF($A283="","",IF(countif('Mens Lineup'!H$3:H1000,CONCATENATE("=",$A283))=0,"",H$2))</f>
        <v/>
      </c>
      <c r="I283" s="3" t="str">
        <f>IF($A283="","",IF(countif('Mens Lineup'!I$3:I1000,CONCATENATE("=",$A283))=0,"",I$2))</f>
        <v/>
      </c>
      <c r="J283" s="3" t="str">
        <f>IF($A283="","",IF(countif('Mens Lineup'!J$3:J1000,CONCATENATE("=",$A283))=0,"",J$2))</f>
        <v/>
      </c>
      <c r="K283" s="3" t="str">
        <f>IF($A283="","",IF(countif('Mens Lineup'!K$3:K1000,CONCATENATE("=",$A283))=0,"",K$2))</f>
        <v>100 Fly</v>
      </c>
      <c r="L283" s="3" t="str">
        <f>IF($A283="","",IF(countif('Mens Lineup'!L$3:L1000,CONCATENATE("=",$A283))=0,"",L$2))</f>
        <v>200 Fly</v>
      </c>
      <c r="M283" s="3" t="str">
        <f>IF($A283="","",IF(countif('Mens Lineup'!M$3:M1000,CONCATENATE("=",$A283))=0,"",M$2))</f>
        <v/>
      </c>
      <c r="N283" s="3" t="str">
        <f>IF($A283="","",IF(countif('Mens Lineup'!N$3:N1000,CONCATENATE("=",$A283))=0,"",N$2))</f>
        <v/>
      </c>
      <c r="O283" s="3" t="str">
        <f>IF($A283="","",IF(countif('Mens Lineup'!O$3:O1000,CONCATENATE("=",$A283))=0,"",O$2))</f>
        <v/>
      </c>
      <c r="P283" s="3" t="str">
        <f>IF($A283="","",IF(countif('Mens Lineup'!P$3:P1000,CONCATENATE("=",$A283))=0,"",P$2))</f>
        <v/>
      </c>
      <c r="Q283" s="3" t="str">
        <f>IF($A283="","",IF(countif('Mens Lineup'!Q$3:Q1000,CONCATENATE("=",$A283))=0,"",Q$2))</f>
        <v/>
      </c>
      <c r="R283" s="3" t="str">
        <f>IF($A283="","",IF(countif('Mens Lineup'!R$3:R1000,CONCATENATE("=",$A283))=0,"",R$2))</f>
        <v/>
      </c>
      <c r="S283" s="3" t="str">
        <f>IF($A283="","",IF(countif('Mens Lineup'!S$3:S1000,CONCATENATE("=",$A283))=0,"",S$2))</f>
        <v/>
      </c>
      <c r="W283" s="3" t="str">
        <f>IFERROR(__xludf.DUMMYFUNCTION("JOIN("","",FILTER(B283:S283,B283:S283&lt;&gt;""""))"),"100 Fly,200 Fly")</f>
        <v>100 Fly,200 Fly</v>
      </c>
    </row>
    <row r="284">
      <c r="A284" s="3" t="s">
        <v>311</v>
      </c>
      <c r="B284" s="3" t="str">
        <f>IF($A284="","",IF(countif('Mens Lineup'!B$3:B1000,CONCATENATE("=",$A284))=0,"",B$2))</f>
        <v/>
      </c>
      <c r="C284" s="3" t="str">
        <f>IF($A284="","",IF(countif('Mens Lineup'!C$3:C1000,CONCATENATE("=",$A284))=0,"",C$2))</f>
        <v/>
      </c>
      <c r="D284" s="3" t="str">
        <f>IF($A284="","",IF(countif('Mens Lineup'!D$3:D1000,CONCATENATE("=",$A284))=0,"",D$2))</f>
        <v/>
      </c>
      <c r="E284" s="3" t="str">
        <f>IF($A284="","",IF(countif('Mens Lineup'!E$3:E1000,CONCATENATE("=",$A284))=0,"",E$2))</f>
        <v/>
      </c>
      <c r="F284" s="3" t="str">
        <f>IF($A284="","",IF(countif('Mens Lineup'!F$3:F1000,CONCATENATE("=",$A284))=0,"",F$2))</f>
        <v/>
      </c>
      <c r="G284" s="3" t="str">
        <f>IF($A284="","",IF(countif('Mens Lineup'!G$3:G1000,CONCATENATE("=",$A284))=0,"",G$2))</f>
        <v/>
      </c>
      <c r="H284" s="3" t="str">
        <f>IF($A284="","",IF(countif('Mens Lineup'!H$3:H1000,CONCATENATE("=",$A284))=0,"",H$2))</f>
        <v/>
      </c>
      <c r="I284" s="3" t="str">
        <f>IF($A284="","",IF(countif('Mens Lineup'!I$3:I1000,CONCATENATE("=",$A284))=0,"",I$2))</f>
        <v/>
      </c>
      <c r="J284" s="3" t="str">
        <f>IF($A284="","",IF(countif('Mens Lineup'!J$3:J1000,CONCATENATE("=",$A284))=0,"",J$2))</f>
        <v/>
      </c>
      <c r="K284" s="3" t="str">
        <f>IF($A284="","",IF(countif('Mens Lineup'!K$3:K1000,CONCATENATE("=",$A284))=0,"",K$2))</f>
        <v>100 Fly</v>
      </c>
      <c r="L284" s="3" t="str">
        <f>IF($A284="","",IF(countif('Mens Lineup'!L$3:L1000,CONCATENATE("=",$A284))=0,"",L$2))</f>
        <v>200 Fly</v>
      </c>
      <c r="M284" s="3" t="str">
        <f>IF($A284="","",IF(countif('Mens Lineup'!M$3:M1000,CONCATENATE("=",$A284))=0,"",M$2))</f>
        <v/>
      </c>
      <c r="N284" s="3" t="str">
        <f>IF($A284="","",IF(countif('Mens Lineup'!N$3:N1000,CONCATENATE("=",$A284))=0,"",N$2))</f>
        <v/>
      </c>
      <c r="O284" s="3" t="str">
        <f>IF($A284="","",IF(countif('Mens Lineup'!O$3:O1000,CONCATENATE("=",$A284))=0,"",O$2))</f>
        <v/>
      </c>
      <c r="P284" s="3" t="str">
        <f>IF($A284="","",IF(countif('Mens Lineup'!P$3:P1000,CONCATENATE("=",$A284))=0,"",P$2))</f>
        <v/>
      </c>
      <c r="Q284" s="3" t="str">
        <f>IF($A284="","",IF(countif('Mens Lineup'!Q$3:Q1000,CONCATENATE("=",$A284))=0,"",Q$2))</f>
        <v/>
      </c>
      <c r="R284" s="3" t="str">
        <f>IF($A284="","",IF(countif('Mens Lineup'!R$3:R1000,CONCATENATE("=",$A284))=0,"",R$2))</f>
        <v/>
      </c>
      <c r="S284" s="3" t="str">
        <f>IF($A284="","",IF(countif('Mens Lineup'!S$3:S1000,CONCATENATE("=",$A284))=0,"",S$2))</f>
        <v/>
      </c>
      <c r="W284" s="3" t="str">
        <f>IFERROR(__xludf.DUMMYFUNCTION("JOIN("","",FILTER(B284:S284,B284:S284&lt;&gt;""""))"),"100 Fly,200 Fly")</f>
        <v>100 Fly,200 Fly</v>
      </c>
    </row>
    <row r="285">
      <c r="A285" s="3" t="s">
        <v>312</v>
      </c>
      <c r="B285" s="3" t="str">
        <f>IF($A285="","",IF(countif('Mens Lineup'!B$3:B1000,CONCATENATE("=",$A285))=0,"",B$2))</f>
        <v/>
      </c>
      <c r="C285" s="3" t="str">
        <f>IF($A285="","",IF(countif('Mens Lineup'!C$3:C1000,CONCATENATE("=",$A285))=0,"",C$2))</f>
        <v/>
      </c>
      <c r="D285" s="3" t="str">
        <f>IF($A285="","",IF(countif('Mens Lineup'!D$3:D1000,CONCATENATE("=",$A285))=0,"",D$2))</f>
        <v/>
      </c>
      <c r="E285" s="3" t="str">
        <f>IF($A285="","",IF(countif('Mens Lineup'!E$3:E1000,CONCATENATE("=",$A285))=0,"",E$2))</f>
        <v/>
      </c>
      <c r="F285" s="3" t="str">
        <f>IF($A285="","",IF(countif('Mens Lineup'!F$3:F1000,CONCATENATE("=",$A285))=0,"",F$2))</f>
        <v/>
      </c>
      <c r="G285" s="3" t="str">
        <f>IF($A285="","",IF(countif('Mens Lineup'!G$3:G1000,CONCATENATE("=",$A285))=0,"",G$2))</f>
        <v/>
      </c>
      <c r="H285" s="3" t="str">
        <f>IF($A285="","",IF(countif('Mens Lineup'!H$3:H1000,CONCATENATE("=",$A285))=0,"",H$2))</f>
        <v/>
      </c>
      <c r="I285" s="3" t="str">
        <f>IF($A285="","",IF(countif('Mens Lineup'!I$3:I1000,CONCATENATE("=",$A285))=0,"",I$2))</f>
        <v/>
      </c>
      <c r="J285" s="3" t="str">
        <f>IF($A285="","",IF(countif('Mens Lineup'!J$3:J1000,CONCATENATE("=",$A285))=0,"",J$2))</f>
        <v/>
      </c>
      <c r="K285" s="3" t="str">
        <f>IF($A285="","",IF(countif('Mens Lineup'!K$3:K1000,CONCATENATE("=",$A285))=0,"",K$2))</f>
        <v>100 Fly</v>
      </c>
      <c r="L285" s="3" t="str">
        <f>IF($A285="","",IF(countif('Mens Lineup'!L$3:L1000,CONCATENATE("=",$A285))=0,"",L$2))</f>
        <v>200 Fly</v>
      </c>
      <c r="M285" s="3" t="str">
        <f>IF($A285="","",IF(countif('Mens Lineup'!M$3:M1000,CONCATENATE("=",$A285))=0,"",M$2))</f>
        <v/>
      </c>
      <c r="N285" s="3" t="str">
        <f>IF($A285="","",IF(countif('Mens Lineup'!N$3:N1000,CONCATENATE("=",$A285))=0,"",N$2))</f>
        <v/>
      </c>
      <c r="O285" s="3" t="str">
        <f>IF($A285="","",IF(countif('Mens Lineup'!O$3:O1000,CONCATENATE("=",$A285))=0,"",O$2))</f>
        <v/>
      </c>
      <c r="P285" s="3" t="str">
        <f>IF($A285="","",IF(countif('Mens Lineup'!P$3:P1000,CONCATENATE("=",$A285))=0,"",P$2))</f>
        <v/>
      </c>
      <c r="Q285" s="3" t="str">
        <f>IF($A285="","",IF(countif('Mens Lineup'!Q$3:Q1000,CONCATENATE("=",$A285))=0,"",Q$2))</f>
        <v/>
      </c>
      <c r="R285" s="3" t="str">
        <f>IF($A285="","",IF(countif('Mens Lineup'!R$3:R1000,CONCATENATE("=",$A285))=0,"",R$2))</f>
        <v/>
      </c>
      <c r="S285" s="3" t="str">
        <f>IF($A285="","",IF(countif('Mens Lineup'!S$3:S1000,CONCATENATE("=",$A285))=0,"",S$2))</f>
        <v/>
      </c>
      <c r="W285" s="3" t="str">
        <f>IFERROR(__xludf.DUMMYFUNCTION("JOIN("","",FILTER(B285:S285,B285:S285&lt;&gt;""""))"),"100 Fly,200 Fly")</f>
        <v>100 Fly,200 Fly</v>
      </c>
    </row>
    <row r="286">
      <c r="A286" s="3" t="s">
        <v>313</v>
      </c>
      <c r="B286" s="3" t="str">
        <f>IF($A286="","",IF(countif('Mens Lineup'!B$3:B1000,CONCATENATE("=",$A286))=0,"",B$2))</f>
        <v/>
      </c>
      <c r="C286" s="3" t="str">
        <f>IF($A286="","",IF(countif('Mens Lineup'!C$3:C1000,CONCATENATE("=",$A286))=0,"",C$2))</f>
        <v/>
      </c>
      <c r="D286" s="3" t="str">
        <f>IF($A286="","",IF(countif('Mens Lineup'!D$3:D1000,CONCATENATE("=",$A286))=0,"",D$2))</f>
        <v/>
      </c>
      <c r="E286" s="3" t="str">
        <f>IF($A286="","",IF(countif('Mens Lineup'!E$3:E1000,CONCATENATE("=",$A286))=0,"",E$2))</f>
        <v/>
      </c>
      <c r="F286" s="3" t="str">
        <f>IF($A286="","",IF(countif('Mens Lineup'!F$3:F1000,CONCATENATE("=",$A286))=0,"",F$2))</f>
        <v/>
      </c>
      <c r="G286" s="3" t="str">
        <f>IF($A286="","",IF(countif('Mens Lineup'!G$3:G1000,CONCATENATE("=",$A286))=0,"",G$2))</f>
        <v/>
      </c>
      <c r="H286" s="3" t="str">
        <f>IF($A286="","",IF(countif('Mens Lineup'!H$3:H1000,CONCATENATE("=",$A286))=0,"",H$2))</f>
        <v/>
      </c>
      <c r="I286" s="3" t="str">
        <f>IF($A286="","",IF(countif('Mens Lineup'!I$3:I1000,CONCATENATE("=",$A286))=0,"",I$2))</f>
        <v/>
      </c>
      <c r="J286" s="3" t="str">
        <f>IF($A286="","",IF(countif('Mens Lineup'!J$3:J1000,CONCATENATE("=",$A286))=0,"",J$2))</f>
        <v/>
      </c>
      <c r="K286" s="3" t="str">
        <f>IF($A286="","",IF(countif('Mens Lineup'!K$3:K1000,CONCATENATE("=",$A286))=0,"",K$2))</f>
        <v>100 Fly</v>
      </c>
      <c r="L286" s="3" t="str">
        <f>IF($A286="","",IF(countif('Mens Lineup'!L$3:L1000,CONCATENATE("=",$A286))=0,"",L$2))</f>
        <v/>
      </c>
      <c r="M286" s="3" t="str">
        <f>IF($A286="","",IF(countif('Mens Lineup'!M$3:M1000,CONCATENATE("=",$A286))=0,"",M$2))</f>
        <v/>
      </c>
      <c r="N286" s="3" t="str">
        <f>IF($A286="","",IF(countif('Mens Lineup'!N$3:N1000,CONCATENATE("=",$A286))=0,"",N$2))</f>
        <v/>
      </c>
      <c r="O286" s="3" t="str">
        <f>IF($A286="","",IF(countif('Mens Lineup'!O$3:O1000,CONCATENATE("=",$A286))=0,"",O$2))</f>
        <v/>
      </c>
      <c r="P286" s="3" t="str">
        <f>IF($A286="","",IF(countif('Mens Lineup'!P$3:P1000,CONCATENATE("=",$A286))=0,"",P$2))</f>
        <v/>
      </c>
      <c r="Q286" s="3" t="str">
        <f>IF($A286="","",IF(countif('Mens Lineup'!Q$3:Q1000,CONCATENATE("=",$A286))=0,"",Q$2))</f>
        <v/>
      </c>
      <c r="R286" s="3" t="str">
        <f>IF($A286="","",IF(countif('Mens Lineup'!R$3:R1000,CONCATENATE("=",$A286))=0,"",R$2))</f>
        <v/>
      </c>
      <c r="S286" s="3" t="str">
        <f>IF($A286="","",IF(countif('Mens Lineup'!S$3:S1000,CONCATENATE("=",$A286))=0,"",S$2))</f>
        <v/>
      </c>
      <c r="W286" s="3" t="str">
        <f>IFERROR(__xludf.DUMMYFUNCTION("JOIN("","",FILTER(B286:S286,B286:S286&lt;&gt;""""))"),"100 Fly")</f>
        <v>100 Fly</v>
      </c>
    </row>
    <row r="287">
      <c r="A287" s="3" t="s">
        <v>314</v>
      </c>
      <c r="B287" s="3" t="str">
        <f>IF($A287="","",IF(countif('Mens Lineup'!B$3:B1000,CONCATENATE("=",$A287))=0,"",B$2))</f>
        <v/>
      </c>
      <c r="C287" s="3" t="str">
        <f>IF($A287="","",IF(countif('Mens Lineup'!C$3:C1000,CONCATENATE("=",$A287))=0,"",C$2))</f>
        <v/>
      </c>
      <c r="D287" s="3" t="str">
        <f>IF($A287="","",IF(countif('Mens Lineup'!D$3:D1000,CONCATENATE("=",$A287))=0,"",D$2))</f>
        <v/>
      </c>
      <c r="E287" s="3" t="str">
        <f>IF($A287="","",IF(countif('Mens Lineup'!E$3:E1000,CONCATENATE("=",$A287))=0,"",E$2))</f>
        <v/>
      </c>
      <c r="F287" s="3" t="str">
        <f>IF($A287="","",IF(countif('Mens Lineup'!F$3:F1000,CONCATENATE("=",$A287))=0,"",F$2))</f>
        <v/>
      </c>
      <c r="G287" s="3" t="str">
        <f>IF($A287="","",IF(countif('Mens Lineup'!G$3:G1000,CONCATENATE("=",$A287))=0,"",G$2))</f>
        <v/>
      </c>
      <c r="H287" s="3" t="str">
        <f>IF($A287="","",IF(countif('Mens Lineup'!H$3:H1000,CONCATENATE("=",$A287))=0,"",H$2))</f>
        <v/>
      </c>
      <c r="I287" s="3" t="str">
        <f>IF($A287="","",IF(countif('Mens Lineup'!I$3:I1000,CONCATENATE("=",$A287))=0,"",I$2))</f>
        <v/>
      </c>
      <c r="J287" s="3" t="str">
        <f>IF($A287="","",IF(countif('Mens Lineup'!J$3:J1000,CONCATENATE("=",$A287))=0,"",J$2))</f>
        <v/>
      </c>
      <c r="K287" s="3" t="str">
        <f>IF($A287="","",IF(countif('Mens Lineup'!K$3:K1000,CONCATENATE("=",$A287))=0,"",K$2))</f>
        <v/>
      </c>
      <c r="L287" s="3" t="str">
        <f>IF($A287="","",IF(countif('Mens Lineup'!L$3:L1000,CONCATENATE("=",$A287))=0,"",L$2))</f>
        <v>200 Fly</v>
      </c>
      <c r="M287" s="3" t="str">
        <f>IF($A287="","",IF(countif('Mens Lineup'!M$3:M1000,CONCATENATE("=",$A287))=0,"",M$2))</f>
        <v/>
      </c>
      <c r="N287" s="3" t="str">
        <f>IF($A287="","",IF(countif('Mens Lineup'!N$3:N1000,CONCATENATE("=",$A287))=0,"",N$2))</f>
        <v/>
      </c>
      <c r="O287" s="3" t="str">
        <f>IF($A287="","",IF(countif('Mens Lineup'!O$3:O1000,CONCATENATE("=",$A287))=0,"",O$2))</f>
        <v/>
      </c>
      <c r="P287" s="3" t="str">
        <f>IF($A287="","",IF(countif('Mens Lineup'!P$3:P1000,CONCATENATE("=",$A287))=0,"",P$2))</f>
        <v/>
      </c>
      <c r="Q287" s="3" t="str">
        <f>IF($A287="","",IF(countif('Mens Lineup'!Q$3:Q1000,CONCATENATE("=",$A287))=0,"",Q$2))</f>
        <v/>
      </c>
      <c r="R287" s="3" t="str">
        <f>IF($A287="","",IF(countif('Mens Lineup'!R$3:R1000,CONCATENATE("=",$A287))=0,"",R$2))</f>
        <v/>
      </c>
      <c r="S287" s="3" t="str">
        <f>IF($A287="","",IF(countif('Mens Lineup'!S$3:S1000,CONCATENATE("=",$A287))=0,"",S$2))</f>
        <v/>
      </c>
      <c r="W287" s="3" t="str">
        <f>IFERROR(__xludf.DUMMYFUNCTION("JOIN("","",FILTER(B287:S287,B287:S287&lt;&gt;""""))"),"200 Fly")</f>
        <v>200 Fly</v>
      </c>
    </row>
    <row r="288">
      <c r="A288" s="3" t="s">
        <v>315</v>
      </c>
      <c r="B288" s="3" t="str">
        <f>IF($A288="","",IF(countif('Mens Lineup'!B$3:B1000,CONCATENATE("=",$A288))=0,"",B$2))</f>
        <v/>
      </c>
      <c r="C288" s="3" t="str">
        <f>IF($A288="","",IF(countif('Mens Lineup'!C$3:C1000,CONCATENATE("=",$A288))=0,"",C$2))</f>
        <v/>
      </c>
      <c r="D288" s="3" t="str">
        <f>IF($A288="","",IF(countif('Mens Lineup'!D$3:D1000,CONCATENATE("=",$A288))=0,"",D$2))</f>
        <v/>
      </c>
      <c r="E288" s="3" t="str">
        <f>IF($A288="","",IF(countif('Mens Lineup'!E$3:E1000,CONCATENATE("=",$A288))=0,"",E$2))</f>
        <v/>
      </c>
      <c r="F288" s="3" t="str">
        <f>IF($A288="","",IF(countif('Mens Lineup'!F$3:F1000,CONCATENATE("=",$A288))=0,"",F$2))</f>
        <v/>
      </c>
      <c r="G288" s="3" t="str">
        <f>IF($A288="","",IF(countif('Mens Lineup'!G$3:G1000,CONCATENATE("=",$A288))=0,"",G$2))</f>
        <v/>
      </c>
      <c r="H288" s="3" t="str">
        <f>IF($A288="","",IF(countif('Mens Lineup'!H$3:H1000,CONCATENATE("=",$A288))=0,"",H$2))</f>
        <v/>
      </c>
      <c r="I288" s="3" t="str">
        <f>IF($A288="","",IF(countif('Mens Lineup'!I$3:I1000,CONCATENATE("=",$A288))=0,"",I$2))</f>
        <v/>
      </c>
      <c r="J288" s="3" t="str">
        <f>IF($A288="","",IF(countif('Mens Lineup'!J$3:J1000,CONCATENATE("=",$A288))=0,"",J$2))</f>
        <v/>
      </c>
      <c r="K288" s="3" t="str">
        <f>IF($A288="","",IF(countif('Mens Lineup'!K$3:K1000,CONCATENATE("=",$A288))=0,"",K$2))</f>
        <v/>
      </c>
      <c r="L288" s="3" t="str">
        <f>IF($A288="","",IF(countif('Mens Lineup'!L$3:L1000,CONCATENATE("=",$A288))=0,"",L$2))</f>
        <v>200 Fly</v>
      </c>
      <c r="M288" s="3" t="str">
        <f>IF($A288="","",IF(countif('Mens Lineup'!M$3:M1000,CONCATENATE("=",$A288))=0,"",M$2))</f>
        <v/>
      </c>
      <c r="N288" s="3" t="str">
        <f>IF($A288="","",IF(countif('Mens Lineup'!N$3:N1000,CONCATENATE("=",$A288))=0,"",N$2))</f>
        <v/>
      </c>
      <c r="O288" s="3" t="str">
        <f>IF($A288="","",IF(countif('Mens Lineup'!O$3:O1000,CONCATENATE("=",$A288))=0,"",O$2))</f>
        <v/>
      </c>
      <c r="P288" s="3" t="str">
        <f>IF($A288="","",IF(countif('Mens Lineup'!P$3:P1000,CONCATENATE("=",$A288))=0,"",P$2))</f>
        <v/>
      </c>
      <c r="Q288" s="3" t="str">
        <f>IF($A288="","",IF(countif('Mens Lineup'!Q$3:Q1000,CONCATENATE("=",$A288))=0,"",Q$2))</f>
        <v/>
      </c>
      <c r="R288" s="3" t="str">
        <f>IF($A288="","",IF(countif('Mens Lineup'!R$3:R1000,CONCATENATE("=",$A288))=0,"",R$2))</f>
        <v/>
      </c>
      <c r="S288" s="3" t="str">
        <f>IF($A288="","",IF(countif('Mens Lineup'!S$3:S1000,CONCATENATE("=",$A288))=0,"",S$2))</f>
        <v/>
      </c>
      <c r="W288" s="3" t="str">
        <f>IFERROR(__xludf.DUMMYFUNCTION("JOIN("","",FILTER(B288:S288,B288:S288&lt;&gt;""""))"),"200 Fly")</f>
        <v>200 Fly</v>
      </c>
    </row>
    <row r="289">
      <c r="A289" s="3" t="s">
        <v>316</v>
      </c>
      <c r="B289" s="3" t="str">
        <f>IF($A289="","",IF(countif('Mens Lineup'!B$3:B1000,CONCATENATE("=",$A289))=0,"",B$2))</f>
        <v/>
      </c>
      <c r="C289" s="3" t="str">
        <f>IF($A289="","",IF(countif('Mens Lineup'!C$3:C1000,CONCATENATE("=",$A289))=0,"",C$2))</f>
        <v/>
      </c>
      <c r="D289" s="3" t="str">
        <f>IF($A289="","",IF(countif('Mens Lineup'!D$3:D1000,CONCATENATE("=",$A289))=0,"",D$2))</f>
        <v/>
      </c>
      <c r="E289" s="3" t="str">
        <f>IF($A289="","",IF(countif('Mens Lineup'!E$3:E1000,CONCATENATE("=",$A289))=0,"",E$2))</f>
        <v/>
      </c>
      <c r="F289" s="3" t="str">
        <f>IF($A289="","",IF(countif('Mens Lineup'!F$3:F1000,CONCATENATE("=",$A289))=0,"",F$2))</f>
        <v/>
      </c>
      <c r="G289" s="3" t="str">
        <f>IF($A289="","",IF(countif('Mens Lineup'!G$3:G1000,CONCATENATE("=",$A289))=0,"",G$2))</f>
        <v/>
      </c>
      <c r="H289" s="3" t="str">
        <f>IF($A289="","",IF(countif('Mens Lineup'!H$3:H1000,CONCATENATE("=",$A289))=0,"",H$2))</f>
        <v/>
      </c>
      <c r="I289" s="3" t="str">
        <f>IF($A289="","",IF(countif('Mens Lineup'!I$3:I1000,CONCATENATE("=",$A289))=0,"",I$2))</f>
        <v/>
      </c>
      <c r="J289" s="3" t="str">
        <f>IF($A289="","",IF(countif('Mens Lineup'!J$3:J1000,CONCATENATE("=",$A289))=0,"",J$2))</f>
        <v/>
      </c>
      <c r="K289" s="3" t="str">
        <f>IF($A289="","",IF(countif('Mens Lineup'!K$3:K1000,CONCATENATE("=",$A289))=0,"",K$2))</f>
        <v/>
      </c>
      <c r="L289" s="3" t="str">
        <f>IF($A289="","",IF(countif('Mens Lineup'!L$3:L1000,CONCATENATE("=",$A289))=0,"",L$2))</f>
        <v>200 Fly</v>
      </c>
      <c r="M289" s="3" t="str">
        <f>IF($A289="","",IF(countif('Mens Lineup'!M$3:M1000,CONCATENATE("=",$A289))=0,"",M$2))</f>
        <v/>
      </c>
      <c r="N289" s="3" t="str">
        <f>IF($A289="","",IF(countif('Mens Lineup'!N$3:N1000,CONCATENATE("=",$A289))=0,"",N$2))</f>
        <v/>
      </c>
      <c r="O289" s="3" t="str">
        <f>IF($A289="","",IF(countif('Mens Lineup'!O$3:O1000,CONCATENATE("=",$A289))=0,"",O$2))</f>
        <v/>
      </c>
      <c r="P289" s="3" t="str">
        <f>IF($A289="","",IF(countif('Mens Lineup'!P$3:P1000,CONCATENATE("=",$A289))=0,"",P$2))</f>
        <v/>
      </c>
      <c r="Q289" s="3" t="str">
        <f>IF($A289="","",IF(countif('Mens Lineup'!Q$3:Q1000,CONCATENATE("=",$A289))=0,"",Q$2))</f>
        <v/>
      </c>
      <c r="R289" s="3" t="str">
        <f>IF($A289="","",IF(countif('Mens Lineup'!R$3:R1000,CONCATENATE("=",$A289))=0,"",R$2))</f>
        <v/>
      </c>
      <c r="S289" s="3" t="str">
        <f>IF($A289="","",IF(countif('Mens Lineup'!S$3:S1000,CONCATENATE("=",$A289))=0,"",S$2))</f>
        <v/>
      </c>
      <c r="W289" s="3" t="str">
        <f>IFERROR(__xludf.DUMMYFUNCTION("JOIN("","",FILTER(B289:S289,B289:S289&lt;&gt;""""))"),"200 Fly")</f>
        <v>200 Fly</v>
      </c>
    </row>
    <row r="290">
      <c r="A290" s="3" t="s">
        <v>317</v>
      </c>
      <c r="B290" s="3" t="str">
        <f>IF($A290="","",IF(countif('Mens Lineup'!B$3:B1000,CONCATENATE("=",$A290))=0,"",B$2))</f>
        <v/>
      </c>
      <c r="C290" s="3" t="str">
        <f>IF($A290="","",IF(countif('Mens Lineup'!C$3:C1000,CONCATENATE("=",$A290))=0,"",C$2))</f>
        <v/>
      </c>
      <c r="D290" s="3" t="str">
        <f>IF($A290="","",IF(countif('Mens Lineup'!D$3:D1000,CONCATENATE("=",$A290))=0,"",D$2))</f>
        <v/>
      </c>
      <c r="E290" s="3" t="str">
        <f>IF($A290="","",IF(countif('Mens Lineup'!E$3:E1000,CONCATENATE("=",$A290))=0,"",E$2))</f>
        <v/>
      </c>
      <c r="F290" s="3" t="str">
        <f>IF($A290="","",IF(countif('Mens Lineup'!F$3:F1000,CONCATENATE("=",$A290))=0,"",F$2))</f>
        <v/>
      </c>
      <c r="G290" s="3" t="str">
        <f>IF($A290="","",IF(countif('Mens Lineup'!G$3:G1000,CONCATENATE("=",$A290))=0,"",G$2))</f>
        <v/>
      </c>
      <c r="H290" s="3" t="str">
        <f>IF($A290="","",IF(countif('Mens Lineup'!H$3:H1000,CONCATENATE("=",$A290))=0,"",H$2))</f>
        <v/>
      </c>
      <c r="I290" s="3" t="str">
        <f>IF($A290="","",IF(countif('Mens Lineup'!I$3:I1000,CONCATENATE("=",$A290))=0,"",I$2))</f>
        <v/>
      </c>
      <c r="J290" s="3" t="str">
        <f>IF($A290="","",IF(countif('Mens Lineup'!J$3:J1000,CONCATENATE("=",$A290))=0,"",J$2))</f>
        <v/>
      </c>
      <c r="K290" s="3" t="str">
        <f>IF($A290="","",IF(countif('Mens Lineup'!K$3:K1000,CONCATENATE("=",$A290))=0,"",K$2))</f>
        <v/>
      </c>
      <c r="L290" s="3" t="str">
        <f>IF($A290="","",IF(countif('Mens Lineup'!L$3:L1000,CONCATENATE("=",$A290))=0,"",L$2))</f>
        <v>200 Fly</v>
      </c>
      <c r="M290" s="3" t="str">
        <f>IF($A290="","",IF(countif('Mens Lineup'!M$3:M1000,CONCATENATE("=",$A290))=0,"",M$2))</f>
        <v/>
      </c>
      <c r="N290" s="3" t="str">
        <f>IF($A290="","",IF(countif('Mens Lineup'!N$3:N1000,CONCATENATE("=",$A290))=0,"",N$2))</f>
        <v/>
      </c>
      <c r="O290" s="3" t="str">
        <f>IF($A290="","",IF(countif('Mens Lineup'!O$3:O1000,CONCATENATE("=",$A290))=0,"",O$2))</f>
        <v/>
      </c>
      <c r="P290" s="3" t="str">
        <f>IF($A290="","",IF(countif('Mens Lineup'!P$3:P1000,CONCATENATE("=",$A290))=0,"",P$2))</f>
        <v/>
      </c>
      <c r="Q290" s="3" t="str">
        <f>IF($A290="","",IF(countif('Mens Lineup'!Q$3:Q1000,CONCATENATE("=",$A290))=0,"",Q$2))</f>
        <v/>
      </c>
      <c r="R290" s="3" t="str">
        <f>IF($A290="","",IF(countif('Mens Lineup'!R$3:R1000,CONCATENATE("=",$A290))=0,"",R$2))</f>
        <v/>
      </c>
      <c r="S290" s="3" t="str">
        <f>IF($A290="","",IF(countif('Mens Lineup'!S$3:S1000,CONCATENATE("=",$A290))=0,"",S$2))</f>
        <v/>
      </c>
      <c r="W290" s="3" t="str">
        <f>IFERROR(__xludf.DUMMYFUNCTION("JOIN("","",FILTER(B290:S290,B290:S290&lt;&gt;""""))"),"200 Fly")</f>
        <v>200 Fly</v>
      </c>
    </row>
    <row r="291">
      <c r="A291" s="3" t="s">
        <v>318</v>
      </c>
      <c r="B291" s="3" t="str">
        <f>IF($A291="","",IF(countif('Mens Lineup'!B$3:B1000,CONCATENATE("=",$A291))=0,"",B$2))</f>
        <v/>
      </c>
      <c r="C291" s="3" t="str">
        <f>IF($A291="","",IF(countif('Mens Lineup'!C$3:C1000,CONCATENATE("=",$A291))=0,"",C$2))</f>
        <v/>
      </c>
      <c r="D291" s="3" t="str">
        <f>IF($A291="","",IF(countif('Mens Lineup'!D$3:D1000,CONCATENATE("=",$A291))=0,"",D$2))</f>
        <v/>
      </c>
      <c r="E291" s="3" t="str">
        <f>IF($A291="","",IF(countif('Mens Lineup'!E$3:E1000,CONCATENATE("=",$A291))=0,"",E$2))</f>
        <v/>
      </c>
      <c r="F291" s="3" t="str">
        <f>IF($A291="","",IF(countif('Mens Lineup'!F$3:F1000,CONCATENATE("=",$A291))=0,"",F$2))</f>
        <v/>
      </c>
      <c r="G291" s="3" t="str">
        <f>IF($A291="","",IF(countif('Mens Lineup'!G$3:G1000,CONCATENATE("=",$A291))=0,"",G$2))</f>
        <v/>
      </c>
      <c r="H291" s="3" t="str">
        <f>IF($A291="","",IF(countif('Mens Lineup'!H$3:H1000,CONCATENATE("=",$A291))=0,"",H$2))</f>
        <v/>
      </c>
      <c r="I291" s="3" t="str">
        <f>IF($A291="","",IF(countif('Mens Lineup'!I$3:I1000,CONCATENATE("=",$A291))=0,"",I$2))</f>
        <v/>
      </c>
      <c r="J291" s="3" t="str">
        <f>IF($A291="","",IF(countif('Mens Lineup'!J$3:J1000,CONCATENATE("=",$A291))=0,"",J$2))</f>
        <v/>
      </c>
      <c r="K291" s="3" t="str">
        <f>IF($A291="","",IF(countif('Mens Lineup'!K$3:K1000,CONCATENATE("=",$A291))=0,"",K$2))</f>
        <v/>
      </c>
      <c r="L291" s="3" t="str">
        <f>IF($A291="","",IF(countif('Mens Lineup'!L$3:L1000,CONCATENATE("=",$A291))=0,"",L$2))</f>
        <v/>
      </c>
      <c r="M291" s="3" t="str">
        <f>IF($A291="","",IF(countif('Mens Lineup'!M$3:M1000,CONCATENATE("=",$A291))=0,"",M$2))</f>
        <v>200 IM</v>
      </c>
      <c r="N291" s="3" t="str">
        <f>IF($A291="","",IF(countif('Mens Lineup'!N$3:N1000,CONCATENATE("=",$A291))=0,"",N$2))</f>
        <v/>
      </c>
      <c r="O291" s="3" t="str">
        <f>IF($A291="","",IF(countif('Mens Lineup'!O$3:O1000,CONCATENATE("=",$A291))=0,"",O$2))</f>
        <v/>
      </c>
      <c r="P291" s="3" t="str">
        <f>IF($A291="","",IF(countif('Mens Lineup'!P$3:P1000,CONCATENATE("=",$A291))=0,"",P$2))</f>
        <v/>
      </c>
      <c r="Q291" s="3" t="str">
        <f>IF($A291="","",IF(countif('Mens Lineup'!Q$3:Q1000,CONCATENATE("=",$A291))=0,"",Q$2))</f>
        <v/>
      </c>
      <c r="R291" s="3" t="str">
        <f>IF($A291="","",IF(countif('Mens Lineup'!R$3:R1000,CONCATENATE("=",$A291))=0,"",R$2))</f>
        <v/>
      </c>
      <c r="S291" s="3" t="str">
        <f>IF($A291="","",IF(countif('Mens Lineup'!S$3:S1000,CONCATENATE("=",$A291))=0,"",S$2))</f>
        <v/>
      </c>
      <c r="W291" s="3" t="str">
        <f>IFERROR(__xludf.DUMMYFUNCTION("JOIN("","",FILTER(B291:S291,B291:S291&lt;&gt;""""))"),"200 IM")</f>
        <v>200 IM</v>
      </c>
    </row>
    <row r="292">
      <c r="A292" s="3"/>
      <c r="B292" s="3" t="str">
        <f>IF($A292="","",IF(countif('Mens Lineup'!B$3:B1000,CONCATENATE("=",$A292))=0,"",B$2))</f>
        <v/>
      </c>
      <c r="C292" s="3" t="str">
        <f>IF($A292="","",IF(countif('Mens Lineup'!C$3:C1000,CONCATENATE("=",$A292))=0,"",C$2))</f>
        <v/>
      </c>
      <c r="D292" s="3" t="str">
        <f>IF($A292="","",IF(countif('Mens Lineup'!D$3:D1000,CONCATENATE("=",$A292))=0,"",D$2))</f>
        <v/>
      </c>
      <c r="E292" s="3" t="str">
        <f>IF($A292="","",IF(countif('Mens Lineup'!E$3:E1000,CONCATENATE("=",$A292))=0,"",E$2))</f>
        <v/>
      </c>
      <c r="F292" s="3" t="str">
        <f>IF($A292="","",IF(countif('Mens Lineup'!F$3:F1000,CONCATENATE("=",$A292))=0,"",F$2))</f>
        <v/>
      </c>
      <c r="G292" s="3" t="str">
        <f>IF($A292="","",IF(countif('Mens Lineup'!G$3:G1000,CONCATENATE("=",$A292))=0,"",G$2))</f>
        <v/>
      </c>
      <c r="H292" s="3" t="str">
        <f>IF($A292="","",IF(countif('Mens Lineup'!H$3:H1000,CONCATENATE("=",$A292))=0,"",H$2))</f>
        <v/>
      </c>
      <c r="I292" s="3" t="str">
        <f>IF($A292="","",IF(countif('Mens Lineup'!I$3:I1000,CONCATENATE("=",$A292))=0,"",I$2))</f>
        <v/>
      </c>
      <c r="J292" s="3" t="str">
        <f>IF($A292="","",IF(countif('Mens Lineup'!J$3:J1000,CONCATENATE("=",$A292))=0,"",J$2))</f>
        <v/>
      </c>
      <c r="K292" s="3" t="str">
        <f>IF($A292="","",IF(countif('Mens Lineup'!K$3:K1000,CONCATENATE("=",$A292))=0,"",K$2))</f>
        <v/>
      </c>
      <c r="L292" s="3" t="str">
        <f>IF($A292="","",IF(countif('Mens Lineup'!L$3:L1000,CONCATENATE("=",$A292))=0,"",L$2))</f>
        <v/>
      </c>
      <c r="M292" s="3" t="str">
        <f>IF($A292="","",IF(countif('Mens Lineup'!M$3:M1000,CONCATENATE("=",$A292))=0,"",M$2))</f>
        <v/>
      </c>
      <c r="N292" s="3" t="str">
        <f>IF($A292="","",IF(countif('Mens Lineup'!N$3:N1000,CONCATENATE("=",$A292))=0,"",N$2))</f>
        <v/>
      </c>
      <c r="O292" s="3" t="str">
        <f>IF($A292="","",IF(countif('Mens Lineup'!O$3:O1000,CONCATENATE("=",$A292))=0,"",O$2))</f>
        <v/>
      </c>
      <c r="P292" s="3" t="str">
        <f>IF($A292="","",IF(countif('Mens Lineup'!P$3:P1000,CONCATENATE("=",$A292))=0,"",P$2))</f>
        <v/>
      </c>
      <c r="Q292" s="3" t="str">
        <f>IF($A292="","",IF(countif('Mens Lineup'!Q$3:Q1000,CONCATENATE("=",$A292))=0,"",Q$2))</f>
        <v/>
      </c>
      <c r="R292" s="3" t="str">
        <f>IF($A292="","",IF(countif('Mens Lineup'!R$3:R1000,CONCATENATE("=",$A292))=0,"",R$2))</f>
        <v/>
      </c>
      <c r="S292" s="3" t="str">
        <f>IF($A292="","",IF(countif('Mens Lineup'!S$3:S1000,CONCATENATE("=",$A292))=0,"",S$2))</f>
        <v/>
      </c>
      <c r="W292" s="3" t="str">
        <f>IFERROR(__xludf.DUMMYFUNCTION("JOIN("","",FILTER(B292:S292,B292:S292&lt;&gt;""""))"),"#N/A")</f>
        <v>#N/A</v>
      </c>
    </row>
    <row r="293">
      <c r="A293" s="3"/>
      <c r="B293" s="3" t="str">
        <f>IF($A293="","",IF(countif('Mens Lineup'!B$3:B1000,CONCATENATE("=",$A293))=0,"",B$2))</f>
        <v/>
      </c>
      <c r="C293" s="3" t="str">
        <f>IF($A293="","",IF(countif('Mens Lineup'!C$3:C1000,CONCATENATE("=",$A293))=0,"",C$2))</f>
        <v/>
      </c>
      <c r="D293" s="3" t="str">
        <f>IF($A293="","",IF(countif('Mens Lineup'!D$3:D1000,CONCATENATE("=",$A293))=0,"",D$2))</f>
        <v/>
      </c>
      <c r="E293" s="3" t="str">
        <f>IF($A293="","",IF(countif('Mens Lineup'!E$3:E1000,CONCATENATE("=",$A293))=0,"",E$2))</f>
        <v/>
      </c>
      <c r="F293" s="3" t="str">
        <f>IF($A293="","",IF(countif('Mens Lineup'!F$3:F1000,CONCATENATE("=",$A293))=0,"",F$2))</f>
        <v/>
      </c>
      <c r="G293" s="3" t="str">
        <f>IF($A293="","",IF(countif('Mens Lineup'!G$3:G1000,CONCATENATE("=",$A293))=0,"",G$2))</f>
        <v/>
      </c>
      <c r="H293" s="3" t="str">
        <f>IF($A293="","",IF(countif('Mens Lineup'!H$3:H1000,CONCATENATE("=",$A293))=0,"",H$2))</f>
        <v/>
      </c>
      <c r="I293" s="3" t="str">
        <f>IF($A293="","",IF(countif('Mens Lineup'!I$3:I1000,CONCATENATE("=",$A293))=0,"",I$2))</f>
        <v/>
      </c>
      <c r="J293" s="3" t="str">
        <f>IF($A293="","",IF(countif('Mens Lineup'!J$3:J1000,CONCATENATE("=",$A293))=0,"",J$2))</f>
        <v/>
      </c>
      <c r="K293" s="3" t="str">
        <f>IF($A293="","",IF(countif('Mens Lineup'!K$3:K1000,CONCATENATE("=",$A293))=0,"",K$2))</f>
        <v/>
      </c>
      <c r="L293" s="3" t="str">
        <f>IF($A293="","",IF(countif('Mens Lineup'!L$3:L1000,CONCATENATE("=",$A293))=0,"",L$2))</f>
        <v/>
      </c>
      <c r="M293" s="3" t="str">
        <f>IF($A293="","",IF(countif('Mens Lineup'!M$3:M1000,CONCATENATE("=",$A293))=0,"",M$2))</f>
        <v/>
      </c>
      <c r="N293" s="3" t="str">
        <f>IF($A293="","",IF(countif('Mens Lineup'!N$3:N1000,CONCATENATE("=",$A293))=0,"",N$2))</f>
        <v/>
      </c>
      <c r="O293" s="3" t="str">
        <f>IF($A293="","",IF(countif('Mens Lineup'!O$3:O1000,CONCATENATE("=",$A293))=0,"",O$2))</f>
        <v/>
      </c>
      <c r="P293" s="3" t="str">
        <f>IF($A293="","",IF(countif('Mens Lineup'!P$3:P1000,CONCATENATE("=",$A293))=0,"",P$2))</f>
        <v/>
      </c>
      <c r="Q293" s="3" t="str">
        <f>IF($A293="","",IF(countif('Mens Lineup'!Q$3:Q1000,CONCATENATE("=",$A293))=0,"",Q$2))</f>
        <v/>
      </c>
      <c r="R293" s="3" t="str">
        <f>IF($A293="","",IF(countif('Mens Lineup'!R$3:R1000,CONCATENATE("=",$A293))=0,"",R$2))</f>
        <v/>
      </c>
      <c r="S293" s="3" t="str">
        <f>IF($A293="","",IF(countif('Mens Lineup'!S$3:S1000,CONCATENATE("=",$A293))=0,"",S$2))</f>
        <v/>
      </c>
      <c r="W293" s="3" t="str">
        <f>IFERROR(__xludf.DUMMYFUNCTION("JOIN("","",FILTER(B293:S293,B293:S293&lt;&gt;""""))"),"#N/A")</f>
        <v>#N/A</v>
      </c>
    </row>
    <row r="294">
      <c r="A294" s="3"/>
      <c r="B294" s="3" t="str">
        <f>IF($A294="","",IF(countif('Mens Lineup'!B$3:B1000,CONCATENATE("=",$A294))=0,"",B$2))</f>
        <v/>
      </c>
      <c r="C294" s="3" t="str">
        <f>IF($A294="","",IF(countif('Mens Lineup'!C$3:C1000,CONCATENATE("=",$A294))=0,"",C$2))</f>
        <v/>
      </c>
      <c r="D294" s="3" t="str">
        <f>IF($A294="","",IF(countif('Mens Lineup'!D$3:D1000,CONCATENATE("=",$A294))=0,"",D$2))</f>
        <v/>
      </c>
      <c r="E294" s="3" t="str">
        <f>IF($A294="","",IF(countif('Mens Lineup'!E$3:E1000,CONCATENATE("=",$A294))=0,"",E$2))</f>
        <v/>
      </c>
      <c r="F294" s="3" t="str">
        <f>IF($A294="","",IF(countif('Mens Lineup'!F$3:F1000,CONCATENATE("=",$A294))=0,"",F$2))</f>
        <v/>
      </c>
      <c r="G294" s="3" t="str">
        <f>IF($A294="","",IF(countif('Mens Lineup'!G$3:G1000,CONCATENATE("=",$A294))=0,"",G$2))</f>
        <v/>
      </c>
      <c r="H294" s="3" t="str">
        <f>IF($A294="","",IF(countif('Mens Lineup'!H$3:H1000,CONCATENATE("=",$A294))=0,"",H$2))</f>
        <v/>
      </c>
      <c r="I294" s="3" t="str">
        <f>IF($A294="","",IF(countif('Mens Lineup'!I$3:I1000,CONCATENATE("=",$A294))=0,"",I$2))</f>
        <v/>
      </c>
      <c r="J294" s="3" t="str">
        <f>IF($A294="","",IF(countif('Mens Lineup'!J$3:J1000,CONCATENATE("=",$A294))=0,"",J$2))</f>
        <v/>
      </c>
      <c r="K294" s="3" t="str">
        <f>IF($A294="","",IF(countif('Mens Lineup'!K$3:K1000,CONCATENATE("=",$A294))=0,"",K$2))</f>
        <v/>
      </c>
      <c r="L294" s="3" t="str">
        <f>IF($A294="","",IF(countif('Mens Lineup'!L$3:L1000,CONCATENATE("=",$A294))=0,"",L$2))</f>
        <v/>
      </c>
      <c r="M294" s="3" t="str">
        <f>IF($A294="","",IF(countif('Mens Lineup'!M$3:M1000,CONCATENATE("=",$A294))=0,"",M$2))</f>
        <v/>
      </c>
      <c r="N294" s="3" t="str">
        <f>IF($A294="","",IF(countif('Mens Lineup'!N$3:N1000,CONCATENATE("=",$A294))=0,"",N$2))</f>
        <v/>
      </c>
      <c r="O294" s="3" t="str">
        <f>IF($A294="","",IF(countif('Mens Lineup'!O$3:O1000,CONCATENATE("=",$A294))=0,"",O$2))</f>
        <v/>
      </c>
      <c r="P294" s="3" t="str">
        <f>IF($A294="","",IF(countif('Mens Lineup'!P$3:P1000,CONCATENATE("=",$A294))=0,"",P$2))</f>
        <v/>
      </c>
      <c r="Q294" s="3" t="str">
        <f>IF($A294="","",IF(countif('Mens Lineup'!Q$3:Q1000,CONCATENATE("=",$A294))=0,"",Q$2))</f>
        <v/>
      </c>
      <c r="R294" s="3" t="str">
        <f>IF($A294="","",IF(countif('Mens Lineup'!R$3:R1000,CONCATENATE("=",$A294))=0,"",R$2))</f>
        <v/>
      </c>
      <c r="S294" s="3" t="str">
        <f>IF($A294="","",IF(countif('Mens Lineup'!S$3:S1000,CONCATENATE("=",$A294))=0,"",S$2))</f>
        <v/>
      </c>
      <c r="W294" s="3" t="str">
        <f>IFERROR(__xludf.DUMMYFUNCTION("JOIN("","",FILTER(B294:S294,B294:S294&lt;&gt;""""))"),"#N/A")</f>
        <v>#N/A</v>
      </c>
    </row>
    <row r="295">
      <c r="A295" s="3"/>
      <c r="B295" s="3" t="str">
        <f>IF($A295="","",IF(countif('Mens Lineup'!B$3:B1000,CONCATENATE("=",$A295))=0,"",B$2))</f>
        <v/>
      </c>
      <c r="C295" s="3" t="str">
        <f>IF($A295="","",IF(countif('Mens Lineup'!C$3:C1000,CONCATENATE("=",$A295))=0,"",C$2))</f>
        <v/>
      </c>
      <c r="D295" s="3" t="str">
        <f>IF($A295="","",IF(countif('Mens Lineup'!D$3:D1000,CONCATENATE("=",$A295))=0,"",D$2))</f>
        <v/>
      </c>
      <c r="E295" s="3" t="str">
        <f>IF($A295="","",IF(countif('Mens Lineup'!E$3:E1000,CONCATENATE("=",$A295))=0,"",E$2))</f>
        <v/>
      </c>
      <c r="F295" s="3" t="str">
        <f>IF($A295="","",IF(countif('Mens Lineup'!F$3:F1000,CONCATENATE("=",$A295))=0,"",F$2))</f>
        <v/>
      </c>
      <c r="G295" s="3" t="str">
        <f>IF($A295="","",IF(countif('Mens Lineup'!G$3:G1000,CONCATENATE("=",$A295))=0,"",G$2))</f>
        <v/>
      </c>
      <c r="H295" s="3" t="str">
        <f>IF($A295="","",IF(countif('Mens Lineup'!H$3:H1000,CONCATENATE("=",$A295))=0,"",H$2))</f>
        <v/>
      </c>
      <c r="I295" s="3" t="str">
        <f>IF($A295="","",IF(countif('Mens Lineup'!I$3:I1000,CONCATENATE("=",$A295))=0,"",I$2))</f>
        <v/>
      </c>
      <c r="J295" s="3" t="str">
        <f>IF($A295="","",IF(countif('Mens Lineup'!J$3:J1000,CONCATENATE("=",$A295))=0,"",J$2))</f>
        <v/>
      </c>
      <c r="K295" s="3" t="str">
        <f>IF($A295="","",IF(countif('Mens Lineup'!K$3:K1000,CONCATENATE("=",$A295))=0,"",K$2))</f>
        <v/>
      </c>
      <c r="L295" s="3" t="str">
        <f>IF($A295="","",IF(countif('Mens Lineup'!L$3:L1000,CONCATENATE("=",$A295))=0,"",L$2))</f>
        <v/>
      </c>
      <c r="M295" s="3" t="str">
        <f>IF($A295="","",IF(countif('Mens Lineup'!M$3:M1000,CONCATENATE("=",$A295))=0,"",M$2))</f>
        <v/>
      </c>
      <c r="N295" s="3" t="str">
        <f>IF($A295="","",IF(countif('Mens Lineup'!N$3:N1000,CONCATENATE("=",$A295))=0,"",N$2))</f>
        <v/>
      </c>
      <c r="O295" s="3" t="str">
        <f>IF($A295="","",IF(countif('Mens Lineup'!O$3:O1000,CONCATENATE("=",$A295))=0,"",O$2))</f>
        <v/>
      </c>
      <c r="P295" s="3" t="str">
        <f>IF($A295="","",IF(countif('Mens Lineup'!P$3:P1000,CONCATENATE("=",$A295))=0,"",P$2))</f>
        <v/>
      </c>
      <c r="Q295" s="3" t="str">
        <f>IF($A295="","",IF(countif('Mens Lineup'!Q$3:Q1000,CONCATENATE("=",$A295))=0,"",Q$2))</f>
        <v/>
      </c>
      <c r="R295" s="3" t="str">
        <f>IF($A295="","",IF(countif('Mens Lineup'!R$3:R1000,CONCATENATE("=",$A295))=0,"",R$2))</f>
        <v/>
      </c>
      <c r="S295" s="3" t="str">
        <f>IF($A295="","",IF(countif('Mens Lineup'!S$3:S1000,CONCATENATE("=",$A295))=0,"",S$2))</f>
        <v/>
      </c>
      <c r="W295" s="3" t="str">
        <f>IFERROR(__xludf.DUMMYFUNCTION("JOIN("","",FILTER(B295:S295,B295:S295&lt;&gt;""""))"),"#N/A")</f>
        <v>#N/A</v>
      </c>
    </row>
    <row r="296">
      <c r="A296" s="3"/>
      <c r="B296" s="3" t="str">
        <f>IF($A296="","",IF(countif('Mens Lineup'!B$3:B1000,CONCATENATE("=",$A296))=0,"",B$2))</f>
        <v/>
      </c>
      <c r="C296" s="3" t="str">
        <f>IF($A296="","",IF(countif('Mens Lineup'!C$3:C1000,CONCATENATE("=",$A296))=0,"",C$2))</f>
        <v/>
      </c>
      <c r="D296" s="3" t="str">
        <f>IF($A296="","",IF(countif('Mens Lineup'!D$3:D1000,CONCATENATE("=",$A296))=0,"",D$2))</f>
        <v/>
      </c>
      <c r="E296" s="3" t="str">
        <f>IF($A296="","",IF(countif('Mens Lineup'!E$3:E1000,CONCATENATE("=",$A296))=0,"",E$2))</f>
        <v/>
      </c>
      <c r="F296" s="3" t="str">
        <f>IF($A296="","",IF(countif('Mens Lineup'!F$3:F1000,CONCATENATE("=",$A296))=0,"",F$2))</f>
        <v/>
      </c>
      <c r="G296" s="3" t="str">
        <f>IF($A296="","",IF(countif('Mens Lineup'!G$3:G1000,CONCATENATE("=",$A296))=0,"",G$2))</f>
        <v/>
      </c>
      <c r="H296" s="3" t="str">
        <f>IF($A296="","",IF(countif('Mens Lineup'!H$3:H1000,CONCATENATE("=",$A296))=0,"",H$2))</f>
        <v/>
      </c>
      <c r="I296" s="3" t="str">
        <f>IF($A296="","",IF(countif('Mens Lineup'!I$3:I1000,CONCATENATE("=",$A296))=0,"",I$2))</f>
        <v/>
      </c>
      <c r="J296" s="3" t="str">
        <f>IF($A296="","",IF(countif('Mens Lineup'!J$3:J1000,CONCATENATE("=",$A296))=0,"",J$2))</f>
        <v/>
      </c>
      <c r="K296" s="3" t="str">
        <f>IF($A296="","",IF(countif('Mens Lineup'!K$3:K1000,CONCATENATE("=",$A296))=0,"",K$2))</f>
        <v/>
      </c>
      <c r="L296" s="3" t="str">
        <f>IF($A296="","",IF(countif('Mens Lineup'!L$3:L1000,CONCATENATE("=",$A296))=0,"",L$2))</f>
        <v/>
      </c>
      <c r="M296" s="3" t="str">
        <f>IF($A296="","",IF(countif('Mens Lineup'!M$3:M1000,CONCATENATE("=",$A296))=0,"",M$2))</f>
        <v/>
      </c>
      <c r="N296" s="3" t="str">
        <f>IF($A296="","",IF(countif('Mens Lineup'!N$3:N1000,CONCATENATE("=",$A296))=0,"",N$2))</f>
        <v/>
      </c>
      <c r="O296" s="3" t="str">
        <f>IF($A296="","",IF(countif('Mens Lineup'!O$3:O1000,CONCATENATE("=",$A296))=0,"",O$2))</f>
        <v/>
      </c>
      <c r="P296" s="3" t="str">
        <f>IF($A296="","",IF(countif('Mens Lineup'!P$3:P1000,CONCATENATE("=",$A296))=0,"",P$2))</f>
        <v/>
      </c>
      <c r="Q296" s="3" t="str">
        <f>IF($A296="","",IF(countif('Mens Lineup'!Q$3:Q1000,CONCATENATE("=",$A296))=0,"",Q$2))</f>
        <v/>
      </c>
      <c r="R296" s="3" t="str">
        <f>IF($A296="","",IF(countif('Mens Lineup'!R$3:R1000,CONCATENATE("=",$A296))=0,"",R$2))</f>
        <v/>
      </c>
      <c r="S296" s="3" t="str">
        <f>IF($A296="","",IF(countif('Mens Lineup'!S$3:S1000,CONCATENATE("=",$A296))=0,"",S$2))</f>
        <v/>
      </c>
      <c r="W296" s="3" t="str">
        <f>IFERROR(__xludf.DUMMYFUNCTION("JOIN("","",FILTER(B296:S296,B296:S296&lt;&gt;""""))"),"#N/A")</f>
        <v>#N/A</v>
      </c>
    </row>
    <row r="297">
      <c r="A297" s="3"/>
      <c r="B297" s="3" t="str">
        <f>IF($A297="","",IF(countif('Mens Lineup'!B$3:B1000,CONCATENATE("=",$A297))=0,"",B$2))</f>
        <v/>
      </c>
      <c r="C297" s="3" t="str">
        <f>IF($A297="","",IF(countif('Mens Lineup'!C$3:C1000,CONCATENATE("=",$A297))=0,"",C$2))</f>
        <v/>
      </c>
      <c r="D297" s="3" t="str">
        <f>IF($A297="","",IF(countif('Mens Lineup'!D$3:D1000,CONCATENATE("=",$A297))=0,"",D$2))</f>
        <v/>
      </c>
      <c r="E297" s="3" t="str">
        <f>IF($A297="","",IF(countif('Mens Lineup'!E$3:E1000,CONCATENATE("=",$A297))=0,"",E$2))</f>
        <v/>
      </c>
      <c r="F297" s="3" t="str">
        <f>IF($A297="","",IF(countif('Mens Lineup'!F$3:F1000,CONCATENATE("=",$A297))=0,"",F$2))</f>
        <v/>
      </c>
      <c r="G297" s="3" t="str">
        <f>IF($A297="","",IF(countif('Mens Lineup'!G$3:G1000,CONCATENATE("=",$A297))=0,"",G$2))</f>
        <v/>
      </c>
      <c r="H297" s="3" t="str">
        <f>IF($A297="","",IF(countif('Mens Lineup'!H$3:H1000,CONCATENATE("=",$A297))=0,"",H$2))</f>
        <v/>
      </c>
      <c r="I297" s="3" t="str">
        <f>IF($A297="","",IF(countif('Mens Lineup'!I$3:I1000,CONCATENATE("=",$A297))=0,"",I$2))</f>
        <v/>
      </c>
      <c r="J297" s="3" t="str">
        <f>IF($A297="","",IF(countif('Mens Lineup'!J$3:J1000,CONCATENATE("=",$A297))=0,"",J$2))</f>
        <v/>
      </c>
      <c r="K297" s="3" t="str">
        <f>IF($A297="","",IF(countif('Mens Lineup'!K$3:K1000,CONCATENATE("=",$A297))=0,"",K$2))</f>
        <v/>
      </c>
      <c r="L297" s="3" t="str">
        <f>IF($A297="","",IF(countif('Mens Lineup'!L$3:L1000,CONCATENATE("=",$A297))=0,"",L$2))</f>
        <v/>
      </c>
      <c r="M297" s="3" t="str">
        <f>IF($A297="","",IF(countif('Mens Lineup'!M$3:M1000,CONCATENATE("=",$A297))=0,"",M$2))</f>
        <v/>
      </c>
      <c r="N297" s="3" t="str">
        <f>IF($A297="","",IF(countif('Mens Lineup'!N$3:N1000,CONCATENATE("=",$A297))=0,"",N$2))</f>
        <v/>
      </c>
      <c r="O297" s="3" t="str">
        <f>IF($A297="","",IF(countif('Mens Lineup'!O$3:O1000,CONCATENATE("=",$A297))=0,"",O$2))</f>
        <v/>
      </c>
      <c r="P297" s="3" t="str">
        <f>IF($A297="","",IF(countif('Mens Lineup'!P$3:P1000,CONCATENATE("=",$A297))=0,"",P$2))</f>
        <v/>
      </c>
      <c r="Q297" s="3" t="str">
        <f>IF($A297="","",IF(countif('Mens Lineup'!Q$3:Q1000,CONCATENATE("=",$A297))=0,"",Q$2))</f>
        <v/>
      </c>
      <c r="R297" s="3" t="str">
        <f>IF($A297="","",IF(countif('Mens Lineup'!R$3:R1000,CONCATENATE("=",$A297))=0,"",R$2))</f>
        <v/>
      </c>
      <c r="S297" s="3" t="str">
        <f>IF($A297="","",IF(countif('Mens Lineup'!S$3:S1000,CONCATENATE("=",$A297))=0,"",S$2))</f>
        <v/>
      </c>
      <c r="W297" s="3" t="str">
        <f>IFERROR(__xludf.DUMMYFUNCTION("JOIN("","",FILTER(B297:S297,B297:S297&lt;&gt;""""))"),"#N/A")</f>
        <v>#N/A</v>
      </c>
    </row>
    <row r="298">
      <c r="A298" s="3"/>
      <c r="B298" s="3" t="str">
        <f>IF($A298="","",IF(countif('Mens Lineup'!B$3:B1000,CONCATENATE("=",$A298))=0,"",B$2))</f>
        <v/>
      </c>
      <c r="C298" s="3" t="str">
        <f>IF($A298="","",IF(countif('Mens Lineup'!C$3:C1000,CONCATENATE("=",$A298))=0,"",C$2))</f>
        <v/>
      </c>
      <c r="D298" s="3" t="str">
        <f>IF($A298="","",IF(countif('Mens Lineup'!D$3:D1000,CONCATENATE("=",$A298))=0,"",D$2))</f>
        <v/>
      </c>
      <c r="E298" s="3" t="str">
        <f>IF($A298="","",IF(countif('Mens Lineup'!E$3:E1000,CONCATENATE("=",$A298))=0,"",E$2))</f>
        <v/>
      </c>
      <c r="F298" s="3" t="str">
        <f>IF($A298="","",IF(countif('Mens Lineup'!F$3:F1000,CONCATENATE("=",$A298))=0,"",F$2))</f>
        <v/>
      </c>
      <c r="G298" s="3" t="str">
        <f>IF($A298="","",IF(countif('Mens Lineup'!G$3:G1000,CONCATENATE("=",$A298))=0,"",G$2))</f>
        <v/>
      </c>
      <c r="H298" s="3" t="str">
        <f>IF($A298="","",IF(countif('Mens Lineup'!H$3:H1000,CONCATENATE("=",$A298))=0,"",H$2))</f>
        <v/>
      </c>
      <c r="I298" s="3" t="str">
        <f>IF($A298="","",IF(countif('Mens Lineup'!I$3:I1000,CONCATENATE("=",$A298))=0,"",I$2))</f>
        <v/>
      </c>
      <c r="J298" s="3" t="str">
        <f>IF($A298="","",IF(countif('Mens Lineup'!J$3:J1000,CONCATENATE("=",$A298))=0,"",J$2))</f>
        <v/>
      </c>
      <c r="K298" s="3" t="str">
        <f>IF($A298="","",IF(countif('Mens Lineup'!K$3:K1000,CONCATENATE("=",$A298))=0,"",K$2))</f>
        <v/>
      </c>
      <c r="L298" s="3" t="str">
        <f>IF($A298="","",IF(countif('Mens Lineup'!L$3:L1000,CONCATENATE("=",$A298))=0,"",L$2))</f>
        <v/>
      </c>
      <c r="M298" s="3" t="str">
        <f>IF($A298="","",IF(countif('Mens Lineup'!M$3:M1000,CONCATENATE("=",$A298))=0,"",M$2))</f>
        <v/>
      </c>
      <c r="N298" s="3" t="str">
        <f>IF($A298="","",IF(countif('Mens Lineup'!N$3:N1000,CONCATENATE("=",$A298))=0,"",N$2))</f>
        <v/>
      </c>
      <c r="O298" s="3" t="str">
        <f>IF($A298="","",IF(countif('Mens Lineup'!O$3:O1000,CONCATENATE("=",$A298))=0,"",O$2))</f>
        <v/>
      </c>
      <c r="P298" s="3" t="str">
        <f>IF($A298="","",IF(countif('Mens Lineup'!P$3:P1000,CONCATENATE("=",$A298))=0,"",P$2))</f>
        <v/>
      </c>
      <c r="Q298" s="3" t="str">
        <f>IF($A298="","",IF(countif('Mens Lineup'!Q$3:Q1000,CONCATENATE("=",$A298))=0,"",Q$2))</f>
        <v/>
      </c>
      <c r="R298" s="3" t="str">
        <f>IF($A298="","",IF(countif('Mens Lineup'!R$3:R1000,CONCATENATE("=",$A298))=0,"",R$2))</f>
        <v/>
      </c>
      <c r="S298" s="3" t="str">
        <f>IF($A298="","",IF(countif('Mens Lineup'!S$3:S1000,CONCATENATE("=",$A298))=0,"",S$2))</f>
        <v/>
      </c>
      <c r="W298" s="3" t="str">
        <f>IFERROR(__xludf.DUMMYFUNCTION("JOIN("","",FILTER(B298:S298,B298:S298&lt;&gt;""""))"),"#N/A")</f>
        <v>#N/A</v>
      </c>
    </row>
    <row r="299">
      <c r="A299" s="3"/>
      <c r="B299" s="3" t="str">
        <f>IF($A299="","",IF(countif('Mens Lineup'!B$3:B1000,CONCATENATE("=",$A299))=0,"",B$2))</f>
        <v/>
      </c>
      <c r="C299" s="3" t="str">
        <f>IF($A299="","",IF(countif('Mens Lineup'!C$3:C1000,CONCATENATE("=",$A299))=0,"",C$2))</f>
        <v/>
      </c>
      <c r="D299" s="3" t="str">
        <f>IF($A299="","",IF(countif('Mens Lineup'!D$3:D1000,CONCATENATE("=",$A299))=0,"",D$2))</f>
        <v/>
      </c>
      <c r="E299" s="3" t="str">
        <f>IF($A299="","",IF(countif('Mens Lineup'!E$3:E1000,CONCATENATE("=",$A299))=0,"",E$2))</f>
        <v/>
      </c>
      <c r="F299" s="3" t="str">
        <f>IF($A299="","",IF(countif('Mens Lineup'!F$3:F1000,CONCATENATE("=",$A299))=0,"",F$2))</f>
        <v/>
      </c>
      <c r="G299" s="3" t="str">
        <f>IF($A299="","",IF(countif('Mens Lineup'!G$3:G1000,CONCATENATE("=",$A299))=0,"",G$2))</f>
        <v/>
      </c>
      <c r="H299" s="3" t="str">
        <f>IF($A299="","",IF(countif('Mens Lineup'!H$3:H1000,CONCATENATE("=",$A299))=0,"",H$2))</f>
        <v/>
      </c>
      <c r="I299" s="3" t="str">
        <f>IF($A299="","",IF(countif('Mens Lineup'!I$3:I1000,CONCATENATE("=",$A299))=0,"",I$2))</f>
        <v/>
      </c>
      <c r="J299" s="3" t="str">
        <f>IF($A299="","",IF(countif('Mens Lineup'!J$3:J1000,CONCATENATE("=",$A299))=0,"",J$2))</f>
        <v/>
      </c>
      <c r="K299" s="3" t="str">
        <f>IF($A299="","",IF(countif('Mens Lineup'!K$3:K1000,CONCATENATE("=",$A299))=0,"",K$2))</f>
        <v/>
      </c>
      <c r="L299" s="3" t="str">
        <f>IF($A299="","",IF(countif('Mens Lineup'!L$3:L1000,CONCATENATE("=",$A299))=0,"",L$2))</f>
        <v/>
      </c>
      <c r="M299" s="3" t="str">
        <f>IF($A299="","",IF(countif('Mens Lineup'!M$3:M1000,CONCATENATE("=",$A299))=0,"",M$2))</f>
        <v/>
      </c>
      <c r="N299" s="3" t="str">
        <f>IF($A299="","",IF(countif('Mens Lineup'!N$3:N1000,CONCATENATE("=",$A299))=0,"",N$2))</f>
        <v/>
      </c>
      <c r="O299" s="3" t="str">
        <f>IF($A299="","",IF(countif('Mens Lineup'!O$3:O1000,CONCATENATE("=",$A299))=0,"",O$2))</f>
        <v/>
      </c>
      <c r="P299" s="3" t="str">
        <f>IF($A299="","",IF(countif('Mens Lineup'!P$3:P1000,CONCATENATE("=",$A299))=0,"",P$2))</f>
        <v/>
      </c>
      <c r="Q299" s="3" t="str">
        <f>IF($A299="","",IF(countif('Mens Lineup'!Q$3:Q1000,CONCATENATE("=",$A299))=0,"",Q$2))</f>
        <v/>
      </c>
      <c r="R299" s="3" t="str">
        <f>IF($A299="","",IF(countif('Mens Lineup'!R$3:R1000,CONCATENATE("=",$A299))=0,"",R$2))</f>
        <v/>
      </c>
      <c r="S299" s="3" t="str">
        <f>IF($A299="","",IF(countif('Mens Lineup'!S$3:S1000,CONCATENATE("=",$A299))=0,"",S$2))</f>
        <v/>
      </c>
      <c r="W299" s="3" t="str">
        <f>IFERROR(__xludf.DUMMYFUNCTION("JOIN("","",FILTER(B299:S299,B299:S299&lt;&gt;""""))"),"#N/A")</f>
        <v>#N/A</v>
      </c>
    </row>
    <row r="300">
      <c r="A300" s="3"/>
      <c r="B300" s="3" t="str">
        <f>IF($A300="","",IF(countif('Mens Lineup'!B$3:B1000,CONCATENATE("=",$A300))=0,"",B$2))</f>
        <v/>
      </c>
      <c r="C300" s="3" t="str">
        <f>IF($A300="","",IF(countif('Mens Lineup'!C$3:C1000,CONCATENATE("=",$A300))=0,"",C$2))</f>
        <v/>
      </c>
      <c r="D300" s="3" t="str">
        <f>IF($A300="","",IF(countif('Mens Lineup'!D$3:D1000,CONCATENATE("=",$A300))=0,"",D$2))</f>
        <v/>
      </c>
      <c r="E300" s="3" t="str">
        <f>IF($A300="","",IF(countif('Mens Lineup'!E$3:E1000,CONCATENATE("=",$A300))=0,"",E$2))</f>
        <v/>
      </c>
      <c r="F300" s="3" t="str">
        <f>IF($A300="","",IF(countif('Mens Lineup'!F$3:F1000,CONCATENATE("=",$A300))=0,"",F$2))</f>
        <v/>
      </c>
      <c r="G300" s="3" t="str">
        <f>IF($A300="","",IF(countif('Mens Lineup'!G$3:G1000,CONCATENATE("=",$A300))=0,"",G$2))</f>
        <v/>
      </c>
      <c r="H300" s="3" t="str">
        <f>IF($A300="","",IF(countif('Mens Lineup'!H$3:H1000,CONCATENATE("=",$A300))=0,"",H$2))</f>
        <v/>
      </c>
      <c r="I300" s="3" t="str">
        <f>IF($A300="","",IF(countif('Mens Lineup'!I$3:I1000,CONCATENATE("=",$A300))=0,"",I$2))</f>
        <v/>
      </c>
      <c r="J300" s="3" t="str">
        <f>IF($A300="","",IF(countif('Mens Lineup'!J$3:J1000,CONCATENATE("=",$A300))=0,"",J$2))</f>
        <v/>
      </c>
      <c r="K300" s="3" t="str">
        <f>IF($A300="","",IF(countif('Mens Lineup'!K$3:K1000,CONCATENATE("=",$A300))=0,"",K$2))</f>
        <v/>
      </c>
      <c r="L300" s="3" t="str">
        <f>IF($A300="","",IF(countif('Mens Lineup'!L$3:L1000,CONCATENATE("=",$A300))=0,"",L$2))</f>
        <v/>
      </c>
      <c r="M300" s="3" t="str">
        <f>IF($A300="","",IF(countif('Mens Lineup'!M$3:M1000,CONCATENATE("=",$A300))=0,"",M$2))</f>
        <v/>
      </c>
      <c r="N300" s="3" t="str">
        <f>IF($A300="","",IF(countif('Mens Lineup'!N$3:N1000,CONCATENATE("=",$A300))=0,"",N$2))</f>
        <v/>
      </c>
      <c r="O300" s="3" t="str">
        <f>IF($A300="","",IF(countif('Mens Lineup'!O$3:O1000,CONCATENATE("=",$A300))=0,"",O$2))</f>
        <v/>
      </c>
      <c r="P300" s="3" t="str">
        <f>IF($A300="","",IF(countif('Mens Lineup'!P$3:P1000,CONCATENATE("=",$A300))=0,"",P$2))</f>
        <v/>
      </c>
      <c r="Q300" s="3" t="str">
        <f>IF($A300="","",IF(countif('Mens Lineup'!Q$3:Q1000,CONCATENATE("=",$A300))=0,"",Q$2))</f>
        <v/>
      </c>
      <c r="R300" s="3" t="str">
        <f>IF($A300="","",IF(countif('Mens Lineup'!R$3:R1000,CONCATENATE("=",$A300))=0,"",R$2))</f>
        <v/>
      </c>
      <c r="S300" s="3" t="str">
        <f>IF($A300="","",IF(countif('Mens Lineup'!S$3:S1000,CONCATENATE("=",$A300))=0,"",S$2))</f>
        <v/>
      </c>
      <c r="W300" s="3" t="str">
        <f>IFERROR(__xludf.DUMMYFUNCTION("JOIN("","",FILTER(B300:S300,B300:S300&lt;&gt;""""))"),"#N/A")</f>
        <v>#N/A</v>
      </c>
    </row>
    <row r="301">
      <c r="A301" s="3"/>
      <c r="B301" s="3" t="str">
        <f>IF($A301="","",IF(countif('Mens Lineup'!B$3:B1000,CONCATENATE("=",$A301))=0,"",B$2))</f>
        <v/>
      </c>
      <c r="C301" s="3" t="str">
        <f>IF($A301="","",IF(countif('Mens Lineup'!C$3:C1000,CONCATENATE("=",$A301))=0,"",C$2))</f>
        <v/>
      </c>
      <c r="D301" s="3" t="str">
        <f>IF($A301="","",IF(countif('Mens Lineup'!D$3:D1000,CONCATENATE("=",$A301))=0,"",D$2))</f>
        <v/>
      </c>
      <c r="E301" s="3" t="str">
        <f>IF($A301="","",IF(countif('Mens Lineup'!E$3:E1000,CONCATENATE("=",$A301))=0,"",E$2))</f>
        <v/>
      </c>
      <c r="F301" s="3" t="str">
        <f>IF($A301="","",IF(countif('Mens Lineup'!F$3:F1000,CONCATENATE("=",$A301))=0,"",F$2))</f>
        <v/>
      </c>
      <c r="G301" s="3" t="str">
        <f>IF($A301="","",IF(countif('Mens Lineup'!G$3:G1000,CONCATENATE("=",$A301))=0,"",G$2))</f>
        <v/>
      </c>
      <c r="H301" s="3" t="str">
        <f>IF($A301="","",IF(countif('Mens Lineup'!H$3:H1000,CONCATENATE("=",$A301))=0,"",H$2))</f>
        <v/>
      </c>
      <c r="I301" s="3" t="str">
        <f>IF($A301="","",IF(countif('Mens Lineup'!I$3:I1000,CONCATENATE("=",$A301))=0,"",I$2))</f>
        <v/>
      </c>
      <c r="J301" s="3" t="str">
        <f>IF($A301="","",IF(countif('Mens Lineup'!J$3:J1000,CONCATENATE("=",$A301))=0,"",J$2))</f>
        <v/>
      </c>
      <c r="K301" s="3" t="str">
        <f>IF($A301="","",IF(countif('Mens Lineup'!K$3:K1000,CONCATENATE("=",$A301))=0,"",K$2))</f>
        <v/>
      </c>
      <c r="L301" s="3" t="str">
        <f>IF($A301="","",IF(countif('Mens Lineup'!L$3:L1000,CONCATENATE("=",$A301))=0,"",L$2))</f>
        <v/>
      </c>
      <c r="M301" s="3" t="str">
        <f>IF($A301="","",IF(countif('Mens Lineup'!M$3:M1000,CONCATENATE("=",$A301))=0,"",M$2))</f>
        <v/>
      </c>
      <c r="N301" s="3" t="str">
        <f>IF($A301="","",IF(countif('Mens Lineup'!N$3:N1000,CONCATENATE("=",$A301))=0,"",N$2))</f>
        <v/>
      </c>
      <c r="O301" s="3" t="str">
        <f>IF($A301="","",IF(countif('Mens Lineup'!O$3:O1000,CONCATENATE("=",$A301))=0,"",O$2))</f>
        <v/>
      </c>
      <c r="P301" s="3" t="str">
        <f>IF($A301="","",IF(countif('Mens Lineup'!P$3:P1000,CONCATENATE("=",$A301))=0,"",P$2))</f>
        <v/>
      </c>
      <c r="Q301" s="3" t="str">
        <f>IF($A301="","",IF(countif('Mens Lineup'!Q$3:Q1000,CONCATENATE("=",$A301))=0,"",Q$2))</f>
        <v/>
      </c>
      <c r="R301" s="3" t="str">
        <f>IF($A301="","",IF(countif('Mens Lineup'!R$3:R1000,CONCATENATE("=",$A301))=0,"",R$2))</f>
        <v/>
      </c>
      <c r="S301" s="3" t="str">
        <f>IF($A301="","",IF(countif('Mens Lineup'!S$3:S1000,CONCATENATE("=",$A301))=0,"",S$2))</f>
        <v/>
      </c>
      <c r="W301" s="3" t="str">
        <f>IFERROR(__xludf.DUMMYFUNCTION("JOIN("","",FILTER(B301:S301,B301:S301&lt;&gt;""""))"),"#N/A")</f>
        <v>#N/A</v>
      </c>
    </row>
    <row r="302">
      <c r="A302" s="3"/>
      <c r="B302" s="3" t="str">
        <f>IF($A302="","",IF(countif('Mens Lineup'!B$3:B1000,CONCATENATE("=",$A302))=0,"",B$2))</f>
        <v/>
      </c>
      <c r="C302" s="3" t="str">
        <f>IF($A302="","",IF(countif('Mens Lineup'!C$3:C1000,CONCATENATE("=",$A302))=0,"",C$2))</f>
        <v/>
      </c>
      <c r="D302" s="3" t="str">
        <f>IF($A302="","",IF(countif('Mens Lineup'!D$3:D1000,CONCATENATE("=",$A302))=0,"",D$2))</f>
        <v/>
      </c>
      <c r="E302" s="3" t="str">
        <f>IF($A302="","",IF(countif('Mens Lineup'!E$3:E1000,CONCATENATE("=",$A302))=0,"",E$2))</f>
        <v/>
      </c>
      <c r="F302" s="3" t="str">
        <f>IF($A302="","",IF(countif('Mens Lineup'!F$3:F1000,CONCATENATE("=",$A302))=0,"",F$2))</f>
        <v/>
      </c>
      <c r="G302" s="3" t="str">
        <f>IF($A302="","",IF(countif('Mens Lineup'!G$3:G1000,CONCATENATE("=",$A302))=0,"",G$2))</f>
        <v/>
      </c>
      <c r="H302" s="3" t="str">
        <f>IF($A302="","",IF(countif('Mens Lineup'!H$3:H1000,CONCATENATE("=",$A302))=0,"",H$2))</f>
        <v/>
      </c>
      <c r="I302" s="3" t="str">
        <f>IF($A302="","",IF(countif('Mens Lineup'!I$3:I1000,CONCATENATE("=",$A302))=0,"",I$2))</f>
        <v/>
      </c>
      <c r="J302" s="3" t="str">
        <f>IF($A302="","",IF(countif('Mens Lineup'!J$3:J1000,CONCATENATE("=",$A302))=0,"",J$2))</f>
        <v/>
      </c>
      <c r="K302" s="3" t="str">
        <f>IF($A302="","",IF(countif('Mens Lineup'!K$3:K1000,CONCATENATE("=",$A302))=0,"",K$2))</f>
        <v/>
      </c>
      <c r="L302" s="3" t="str">
        <f>IF($A302="","",IF(countif('Mens Lineup'!L$3:L1000,CONCATENATE("=",$A302))=0,"",L$2))</f>
        <v/>
      </c>
      <c r="M302" s="3" t="str">
        <f>IF($A302="","",IF(countif('Mens Lineup'!M$3:M1000,CONCATENATE("=",$A302))=0,"",M$2))</f>
        <v/>
      </c>
      <c r="N302" s="3" t="str">
        <f>IF($A302="","",IF(countif('Mens Lineup'!N$3:N1000,CONCATENATE("=",$A302))=0,"",N$2))</f>
        <v/>
      </c>
      <c r="O302" s="3" t="str">
        <f>IF($A302="","",IF(countif('Mens Lineup'!O$3:O1000,CONCATENATE("=",$A302))=0,"",O$2))</f>
        <v/>
      </c>
      <c r="P302" s="3" t="str">
        <f>IF($A302="","",IF(countif('Mens Lineup'!P$3:P1000,CONCATENATE("=",$A302))=0,"",P$2))</f>
        <v/>
      </c>
      <c r="Q302" s="3" t="str">
        <f>IF($A302="","",IF(countif('Mens Lineup'!Q$3:Q1000,CONCATENATE("=",$A302))=0,"",Q$2))</f>
        <v/>
      </c>
      <c r="R302" s="3" t="str">
        <f>IF($A302="","",IF(countif('Mens Lineup'!R$3:R1000,CONCATENATE("=",$A302))=0,"",R$2))</f>
        <v/>
      </c>
      <c r="S302" s="3" t="str">
        <f>IF($A302="","",IF(countif('Mens Lineup'!S$3:S1000,CONCATENATE("=",$A302))=0,"",S$2))</f>
        <v/>
      </c>
      <c r="W302" s="3" t="str">
        <f>IFERROR(__xludf.DUMMYFUNCTION("JOIN("","",FILTER(B302:S302,B302:S302&lt;&gt;""""))"),"#N/A")</f>
        <v>#N/A</v>
      </c>
    </row>
    <row r="303">
      <c r="A303" s="3"/>
      <c r="B303" s="3" t="str">
        <f>IF($A303="","",IF(countif('Mens Lineup'!B$3:B1000,CONCATENATE("=",$A303))=0,"",B$2))</f>
        <v/>
      </c>
      <c r="C303" s="3" t="str">
        <f>IF($A303="","",IF(countif('Mens Lineup'!C$3:C1000,CONCATENATE("=",$A303))=0,"",C$2))</f>
        <v/>
      </c>
      <c r="D303" s="3" t="str">
        <f>IF($A303="","",IF(countif('Mens Lineup'!D$3:D1000,CONCATENATE("=",$A303))=0,"",D$2))</f>
        <v/>
      </c>
      <c r="E303" s="3" t="str">
        <f>IF($A303="","",IF(countif('Mens Lineup'!E$3:E1000,CONCATENATE("=",$A303))=0,"",E$2))</f>
        <v/>
      </c>
      <c r="F303" s="3" t="str">
        <f>IF($A303="","",IF(countif('Mens Lineup'!F$3:F1000,CONCATENATE("=",$A303))=0,"",F$2))</f>
        <v/>
      </c>
      <c r="G303" s="3" t="str">
        <f>IF($A303="","",IF(countif('Mens Lineup'!G$3:G1000,CONCATENATE("=",$A303))=0,"",G$2))</f>
        <v/>
      </c>
      <c r="H303" s="3" t="str">
        <f>IF($A303="","",IF(countif('Mens Lineup'!H$3:H1000,CONCATENATE("=",$A303))=0,"",H$2))</f>
        <v/>
      </c>
      <c r="I303" s="3" t="str">
        <f>IF($A303="","",IF(countif('Mens Lineup'!I$3:I1000,CONCATENATE("=",$A303))=0,"",I$2))</f>
        <v/>
      </c>
      <c r="J303" s="3" t="str">
        <f>IF($A303="","",IF(countif('Mens Lineup'!J$3:J1000,CONCATENATE("=",$A303))=0,"",J$2))</f>
        <v/>
      </c>
      <c r="K303" s="3" t="str">
        <f>IF($A303="","",IF(countif('Mens Lineup'!K$3:K1000,CONCATENATE("=",$A303))=0,"",K$2))</f>
        <v/>
      </c>
      <c r="L303" s="3" t="str">
        <f>IF($A303="","",IF(countif('Mens Lineup'!L$3:L1000,CONCATENATE("=",$A303))=0,"",L$2))</f>
        <v/>
      </c>
      <c r="M303" s="3" t="str">
        <f>IF($A303="","",IF(countif('Mens Lineup'!M$3:M1000,CONCATENATE("=",$A303))=0,"",M$2))</f>
        <v/>
      </c>
      <c r="N303" s="3" t="str">
        <f>IF($A303="","",IF(countif('Mens Lineup'!N$3:N1000,CONCATENATE("=",$A303))=0,"",N$2))</f>
        <v/>
      </c>
      <c r="O303" s="3" t="str">
        <f>IF($A303="","",IF(countif('Mens Lineup'!O$3:O1000,CONCATENATE("=",$A303))=0,"",O$2))</f>
        <v/>
      </c>
      <c r="P303" s="3" t="str">
        <f>IF($A303="","",IF(countif('Mens Lineup'!P$3:P1000,CONCATENATE("=",$A303))=0,"",P$2))</f>
        <v/>
      </c>
      <c r="Q303" s="3" t="str">
        <f>IF($A303="","",IF(countif('Mens Lineup'!Q$3:Q1000,CONCATENATE("=",$A303))=0,"",Q$2))</f>
        <v/>
      </c>
      <c r="R303" s="3" t="str">
        <f>IF($A303="","",IF(countif('Mens Lineup'!R$3:R1000,CONCATENATE("=",$A303))=0,"",R$2))</f>
        <v/>
      </c>
      <c r="S303" s="3" t="str">
        <f>IF($A303="","",IF(countif('Mens Lineup'!S$3:S1000,CONCATENATE("=",$A303))=0,"",S$2))</f>
        <v/>
      </c>
      <c r="W303" s="3" t="str">
        <f>IFERROR(__xludf.DUMMYFUNCTION("JOIN("","",FILTER(B303:S303,B303:S303&lt;&gt;""""))"),"#N/A")</f>
        <v>#N/A</v>
      </c>
    </row>
    <row r="304">
      <c r="A304" s="3"/>
      <c r="B304" s="3" t="str">
        <f>IF($A304="","",IF(countif('Mens Lineup'!B$3:B1000,CONCATENATE("=",$A304))=0,"",B$2))</f>
        <v/>
      </c>
      <c r="C304" s="3" t="str">
        <f>IF($A304="","",IF(countif('Mens Lineup'!C$3:C1000,CONCATENATE("=",$A304))=0,"",C$2))</f>
        <v/>
      </c>
      <c r="D304" s="3" t="str">
        <f>IF($A304="","",IF(countif('Mens Lineup'!D$3:D1000,CONCATENATE("=",$A304))=0,"",D$2))</f>
        <v/>
      </c>
      <c r="E304" s="3" t="str">
        <f>IF($A304="","",IF(countif('Mens Lineup'!E$3:E1000,CONCATENATE("=",$A304))=0,"",E$2))</f>
        <v/>
      </c>
      <c r="F304" s="3" t="str">
        <f>IF($A304="","",IF(countif('Mens Lineup'!F$3:F1000,CONCATENATE("=",$A304))=0,"",F$2))</f>
        <v/>
      </c>
      <c r="G304" s="3" t="str">
        <f>IF($A304="","",IF(countif('Mens Lineup'!G$3:G1000,CONCATENATE("=",$A304))=0,"",G$2))</f>
        <v/>
      </c>
      <c r="H304" s="3" t="str">
        <f>IF($A304="","",IF(countif('Mens Lineup'!H$3:H1000,CONCATENATE("=",$A304))=0,"",H$2))</f>
        <v/>
      </c>
      <c r="I304" s="3" t="str">
        <f>IF($A304="","",IF(countif('Mens Lineup'!I$3:I1000,CONCATENATE("=",$A304))=0,"",I$2))</f>
        <v/>
      </c>
      <c r="J304" s="3" t="str">
        <f>IF($A304="","",IF(countif('Mens Lineup'!J$3:J1000,CONCATENATE("=",$A304))=0,"",J$2))</f>
        <v/>
      </c>
      <c r="K304" s="3" t="str">
        <f>IF($A304="","",IF(countif('Mens Lineup'!K$3:K1000,CONCATENATE("=",$A304))=0,"",K$2))</f>
        <v/>
      </c>
      <c r="L304" s="3" t="str">
        <f>IF($A304="","",IF(countif('Mens Lineup'!L$3:L1000,CONCATENATE("=",$A304))=0,"",L$2))</f>
        <v/>
      </c>
      <c r="M304" s="3" t="str">
        <f>IF($A304="","",IF(countif('Mens Lineup'!M$3:M1000,CONCATENATE("=",$A304))=0,"",M$2))</f>
        <v/>
      </c>
      <c r="N304" s="3" t="str">
        <f>IF($A304="","",IF(countif('Mens Lineup'!N$3:N1000,CONCATENATE("=",$A304))=0,"",N$2))</f>
        <v/>
      </c>
      <c r="O304" s="3" t="str">
        <f>IF($A304="","",IF(countif('Mens Lineup'!O$3:O1000,CONCATENATE("=",$A304))=0,"",O$2))</f>
        <v/>
      </c>
      <c r="P304" s="3" t="str">
        <f>IF($A304="","",IF(countif('Mens Lineup'!P$3:P1000,CONCATENATE("=",$A304))=0,"",P$2))</f>
        <v/>
      </c>
      <c r="Q304" s="3" t="str">
        <f>IF($A304="","",IF(countif('Mens Lineup'!Q$3:Q1000,CONCATENATE("=",$A304))=0,"",Q$2))</f>
        <v/>
      </c>
      <c r="R304" s="3" t="str">
        <f>IF($A304="","",IF(countif('Mens Lineup'!R$3:R1000,CONCATENATE("=",$A304))=0,"",R$2))</f>
        <v/>
      </c>
      <c r="S304" s="3" t="str">
        <f>IF($A304="","",IF(countif('Mens Lineup'!S$3:S1000,CONCATENATE("=",$A304))=0,"",S$2))</f>
        <v/>
      </c>
      <c r="W304" s="3" t="str">
        <f>IFERROR(__xludf.DUMMYFUNCTION("JOIN("","",FILTER(B304:S304,B304:S304&lt;&gt;""""))"),"#N/A")</f>
        <v>#N/A</v>
      </c>
    </row>
    <row r="305">
      <c r="A305" s="3"/>
      <c r="B305" s="3" t="str">
        <f>IF($A305="","",IF(countif('Mens Lineup'!B$3:B1000,CONCATENATE("=",$A305))=0,"",B$2))</f>
        <v/>
      </c>
      <c r="C305" s="3" t="str">
        <f>IF($A305="","",IF(countif('Mens Lineup'!C$3:C1000,CONCATENATE("=",$A305))=0,"",C$2))</f>
        <v/>
      </c>
      <c r="D305" s="3" t="str">
        <f>IF($A305="","",IF(countif('Mens Lineup'!D$3:D1000,CONCATENATE("=",$A305))=0,"",D$2))</f>
        <v/>
      </c>
      <c r="E305" s="3" t="str">
        <f>IF($A305="","",IF(countif('Mens Lineup'!E$3:E1000,CONCATENATE("=",$A305))=0,"",E$2))</f>
        <v/>
      </c>
      <c r="F305" s="3" t="str">
        <f>IF($A305="","",IF(countif('Mens Lineup'!F$3:F1000,CONCATENATE("=",$A305))=0,"",F$2))</f>
        <v/>
      </c>
      <c r="G305" s="3" t="str">
        <f>IF($A305="","",IF(countif('Mens Lineup'!G$3:G1000,CONCATENATE("=",$A305))=0,"",G$2))</f>
        <v/>
      </c>
      <c r="H305" s="3" t="str">
        <f>IF($A305="","",IF(countif('Mens Lineup'!H$3:H1000,CONCATENATE("=",$A305))=0,"",H$2))</f>
        <v/>
      </c>
      <c r="I305" s="3" t="str">
        <f>IF($A305="","",IF(countif('Mens Lineup'!I$3:I1000,CONCATENATE("=",$A305))=0,"",I$2))</f>
        <v/>
      </c>
      <c r="J305" s="3" t="str">
        <f>IF($A305="","",IF(countif('Mens Lineup'!J$3:J1000,CONCATENATE("=",$A305))=0,"",J$2))</f>
        <v/>
      </c>
      <c r="K305" s="3" t="str">
        <f>IF($A305="","",IF(countif('Mens Lineup'!K$3:K1000,CONCATENATE("=",$A305))=0,"",K$2))</f>
        <v/>
      </c>
      <c r="L305" s="3" t="str">
        <f>IF($A305="","",IF(countif('Mens Lineup'!L$3:L1000,CONCATENATE("=",$A305))=0,"",L$2))</f>
        <v/>
      </c>
      <c r="M305" s="3" t="str">
        <f>IF($A305="","",IF(countif('Mens Lineup'!M$3:M1000,CONCATENATE("=",$A305))=0,"",M$2))</f>
        <v/>
      </c>
      <c r="N305" s="3" t="str">
        <f>IF($A305="","",IF(countif('Mens Lineup'!N$3:N1000,CONCATENATE("=",$A305))=0,"",N$2))</f>
        <v/>
      </c>
      <c r="O305" s="3" t="str">
        <f>IF($A305="","",IF(countif('Mens Lineup'!O$3:O1000,CONCATENATE("=",$A305))=0,"",O$2))</f>
        <v/>
      </c>
      <c r="P305" s="3" t="str">
        <f>IF($A305="","",IF(countif('Mens Lineup'!P$3:P1000,CONCATENATE("=",$A305))=0,"",P$2))</f>
        <v/>
      </c>
      <c r="Q305" s="3" t="str">
        <f>IF($A305="","",IF(countif('Mens Lineup'!Q$3:Q1000,CONCATENATE("=",$A305))=0,"",Q$2))</f>
        <v/>
      </c>
      <c r="R305" s="3" t="str">
        <f>IF($A305="","",IF(countif('Mens Lineup'!R$3:R1000,CONCATENATE("=",$A305))=0,"",R$2))</f>
        <v/>
      </c>
      <c r="S305" s="3" t="str">
        <f>IF($A305="","",IF(countif('Mens Lineup'!S$3:S1000,CONCATENATE("=",$A305))=0,"",S$2))</f>
        <v/>
      </c>
      <c r="W305" s="3" t="str">
        <f>IFERROR(__xludf.DUMMYFUNCTION("JOIN("","",FILTER(B305:S305,B305:S305&lt;&gt;""""))"),"#N/A")</f>
        <v>#N/A</v>
      </c>
    </row>
    <row r="306">
      <c r="A306" s="3"/>
      <c r="B306" s="3" t="str">
        <f>IF($A306="","",IF(countif('Mens Lineup'!B$3:B1000,CONCATENATE("=",$A306))=0,"",B$2))</f>
        <v/>
      </c>
      <c r="C306" s="3" t="str">
        <f>IF($A306="","",IF(countif('Mens Lineup'!C$3:C1000,CONCATENATE("=",$A306))=0,"",C$2))</f>
        <v/>
      </c>
      <c r="D306" s="3" t="str">
        <f>IF($A306="","",IF(countif('Mens Lineup'!D$3:D1000,CONCATENATE("=",$A306))=0,"",D$2))</f>
        <v/>
      </c>
      <c r="E306" s="3" t="str">
        <f>IF($A306="","",IF(countif('Mens Lineup'!E$3:E1000,CONCATENATE("=",$A306))=0,"",E$2))</f>
        <v/>
      </c>
      <c r="F306" s="3" t="str">
        <f>IF($A306="","",IF(countif('Mens Lineup'!F$3:F1000,CONCATENATE("=",$A306))=0,"",F$2))</f>
        <v/>
      </c>
      <c r="G306" s="3" t="str">
        <f>IF($A306="","",IF(countif('Mens Lineup'!G$3:G1000,CONCATENATE("=",$A306))=0,"",G$2))</f>
        <v/>
      </c>
      <c r="H306" s="3" t="str">
        <f>IF($A306="","",IF(countif('Mens Lineup'!H$3:H1000,CONCATENATE("=",$A306))=0,"",H$2))</f>
        <v/>
      </c>
      <c r="I306" s="3" t="str">
        <f>IF($A306="","",IF(countif('Mens Lineup'!I$3:I1000,CONCATENATE("=",$A306))=0,"",I$2))</f>
        <v/>
      </c>
      <c r="J306" s="3" t="str">
        <f>IF($A306="","",IF(countif('Mens Lineup'!J$3:J1000,CONCATENATE("=",$A306))=0,"",J$2))</f>
        <v/>
      </c>
      <c r="K306" s="3" t="str">
        <f>IF($A306="","",IF(countif('Mens Lineup'!K$3:K1000,CONCATENATE("=",$A306))=0,"",K$2))</f>
        <v/>
      </c>
      <c r="L306" s="3" t="str">
        <f>IF($A306="","",IF(countif('Mens Lineup'!L$3:L1000,CONCATENATE("=",$A306))=0,"",L$2))</f>
        <v/>
      </c>
      <c r="M306" s="3" t="str">
        <f>IF($A306="","",IF(countif('Mens Lineup'!M$3:M1000,CONCATENATE("=",$A306))=0,"",M$2))</f>
        <v/>
      </c>
      <c r="N306" s="3" t="str">
        <f>IF($A306="","",IF(countif('Mens Lineup'!N$3:N1000,CONCATENATE("=",$A306))=0,"",N$2))</f>
        <v/>
      </c>
      <c r="O306" s="3" t="str">
        <f>IF($A306="","",IF(countif('Mens Lineup'!O$3:O1000,CONCATENATE("=",$A306))=0,"",O$2))</f>
        <v/>
      </c>
      <c r="P306" s="3" t="str">
        <f>IF($A306="","",IF(countif('Mens Lineup'!P$3:P1000,CONCATENATE("=",$A306))=0,"",P$2))</f>
        <v/>
      </c>
      <c r="Q306" s="3" t="str">
        <f>IF($A306="","",IF(countif('Mens Lineup'!Q$3:Q1000,CONCATENATE("=",$A306))=0,"",Q$2))</f>
        <v/>
      </c>
      <c r="R306" s="3" t="str">
        <f>IF($A306="","",IF(countif('Mens Lineup'!R$3:R1000,CONCATENATE("=",$A306))=0,"",R$2))</f>
        <v/>
      </c>
      <c r="S306" s="3" t="str">
        <f>IF($A306="","",IF(countif('Mens Lineup'!S$3:S1000,CONCATENATE("=",$A306))=0,"",S$2))</f>
        <v/>
      </c>
      <c r="W306" s="3" t="str">
        <f>IFERROR(__xludf.DUMMYFUNCTION("JOIN("","",FILTER(B306:S306,B306:S306&lt;&gt;""""))"),"#N/A")</f>
        <v>#N/A</v>
      </c>
    </row>
    <row r="307">
      <c r="A307" s="3"/>
      <c r="B307" s="3" t="str">
        <f>IF($A307="","",IF(countif('Mens Lineup'!B$3:B1000,CONCATENATE("=",$A307))=0,"",B$2))</f>
        <v/>
      </c>
      <c r="C307" s="3" t="str">
        <f>IF($A307="","",IF(countif('Mens Lineup'!C$3:C1000,CONCATENATE("=",$A307))=0,"",C$2))</f>
        <v/>
      </c>
      <c r="D307" s="3" t="str">
        <f>IF($A307="","",IF(countif('Mens Lineup'!D$3:D1000,CONCATENATE("=",$A307))=0,"",D$2))</f>
        <v/>
      </c>
      <c r="E307" s="3" t="str">
        <f>IF($A307="","",IF(countif('Mens Lineup'!E$3:E1000,CONCATENATE("=",$A307))=0,"",E$2))</f>
        <v/>
      </c>
      <c r="F307" s="3" t="str">
        <f>IF($A307="","",IF(countif('Mens Lineup'!F$3:F1000,CONCATENATE("=",$A307))=0,"",F$2))</f>
        <v/>
      </c>
      <c r="G307" s="3" t="str">
        <f>IF($A307="","",IF(countif('Mens Lineup'!G$3:G1000,CONCATENATE("=",$A307))=0,"",G$2))</f>
        <v/>
      </c>
      <c r="H307" s="3" t="str">
        <f>IF($A307="","",IF(countif('Mens Lineup'!H$3:H1000,CONCATENATE("=",$A307))=0,"",H$2))</f>
        <v/>
      </c>
      <c r="I307" s="3" t="str">
        <f>IF($A307="","",IF(countif('Mens Lineup'!I$3:I1000,CONCATENATE("=",$A307))=0,"",I$2))</f>
        <v/>
      </c>
      <c r="J307" s="3" t="str">
        <f>IF($A307="","",IF(countif('Mens Lineup'!J$3:J1000,CONCATENATE("=",$A307))=0,"",J$2))</f>
        <v/>
      </c>
      <c r="K307" s="3" t="str">
        <f>IF($A307="","",IF(countif('Mens Lineup'!K$3:K1000,CONCATENATE("=",$A307))=0,"",K$2))</f>
        <v/>
      </c>
      <c r="L307" s="3" t="str">
        <f>IF($A307="","",IF(countif('Mens Lineup'!L$3:L1000,CONCATENATE("=",$A307))=0,"",L$2))</f>
        <v/>
      </c>
      <c r="M307" s="3" t="str">
        <f>IF($A307="","",IF(countif('Mens Lineup'!M$3:M1000,CONCATENATE("=",$A307))=0,"",M$2))</f>
        <v/>
      </c>
      <c r="N307" s="3" t="str">
        <f>IF($A307="","",IF(countif('Mens Lineup'!N$3:N1000,CONCATENATE("=",$A307))=0,"",N$2))</f>
        <v/>
      </c>
      <c r="O307" s="3" t="str">
        <f>IF($A307="","",IF(countif('Mens Lineup'!O$3:O1000,CONCATENATE("=",$A307))=0,"",O$2))</f>
        <v/>
      </c>
      <c r="P307" s="3" t="str">
        <f>IF($A307="","",IF(countif('Mens Lineup'!P$3:P1000,CONCATENATE("=",$A307))=0,"",P$2))</f>
        <v/>
      </c>
      <c r="Q307" s="3" t="str">
        <f>IF($A307="","",IF(countif('Mens Lineup'!Q$3:Q1000,CONCATENATE("=",$A307))=0,"",Q$2))</f>
        <v/>
      </c>
      <c r="R307" s="3" t="str">
        <f>IF($A307="","",IF(countif('Mens Lineup'!R$3:R1000,CONCATENATE("=",$A307))=0,"",R$2))</f>
        <v/>
      </c>
      <c r="S307" s="3" t="str">
        <f>IF($A307="","",IF(countif('Mens Lineup'!S$3:S1000,CONCATENATE("=",$A307))=0,"",S$2))</f>
        <v/>
      </c>
      <c r="W307" s="3" t="str">
        <f>IFERROR(__xludf.DUMMYFUNCTION("JOIN("","",FILTER(B307:S307,B307:S307&lt;&gt;""""))"),"#N/A")</f>
        <v>#N/A</v>
      </c>
    </row>
    <row r="308">
      <c r="A308" s="3"/>
      <c r="B308" s="3" t="str">
        <f>IF($A308="","",IF(countif('Mens Lineup'!B$3:B1000,CONCATENATE("=",$A308))=0,"",B$2))</f>
        <v/>
      </c>
      <c r="C308" s="3" t="str">
        <f>IF($A308="","",IF(countif('Mens Lineup'!C$3:C1000,CONCATENATE("=",$A308))=0,"",C$2))</f>
        <v/>
      </c>
      <c r="D308" s="3" t="str">
        <f>IF($A308="","",IF(countif('Mens Lineup'!D$3:D1000,CONCATENATE("=",$A308))=0,"",D$2))</f>
        <v/>
      </c>
      <c r="E308" s="3" t="str">
        <f>IF($A308="","",IF(countif('Mens Lineup'!E$3:E1000,CONCATENATE("=",$A308))=0,"",E$2))</f>
        <v/>
      </c>
      <c r="F308" s="3" t="str">
        <f>IF($A308="","",IF(countif('Mens Lineup'!F$3:F1000,CONCATENATE("=",$A308))=0,"",F$2))</f>
        <v/>
      </c>
      <c r="G308" s="3" t="str">
        <f>IF($A308="","",IF(countif('Mens Lineup'!G$3:G1000,CONCATENATE("=",$A308))=0,"",G$2))</f>
        <v/>
      </c>
      <c r="H308" s="3" t="str">
        <f>IF($A308="","",IF(countif('Mens Lineup'!H$3:H1000,CONCATENATE("=",$A308))=0,"",H$2))</f>
        <v/>
      </c>
      <c r="I308" s="3" t="str">
        <f>IF($A308="","",IF(countif('Mens Lineup'!I$3:I1000,CONCATENATE("=",$A308))=0,"",I$2))</f>
        <v/>
      </c>
      <c r="J308" s="3" t="str">
        <f>IF($A308="","",IF(countif('Mens Lineup'!J$3:J1000,CONCATENATE("=",$A308))=0,"",J$2))</f>
        <v/>
      </c>
      <c r="K308" s="3" t="str">
        <f>IF($A308="","",IF(countif('Mens Lineup'!K$3:K1000,CONCATENATE("=",$A308))=0,"",K$2))</f>
        <v/>
      </c>
      <c r="L308" s="3" t="str">
        <f>IF($A308="","",IF(countif('Mens Lineup'!L$3:L1000,CONCATENATE("=",$A308))=0,"",L$2))</f>
        <v/>
      </c>
      <c r="M308" s="3" t="str">
        <f>IF($A308="","",IF(countif('Mens Lineup'!M$3:M1000,CONCATENATE("=",$A308))=0,"",M$2))</f>
        <v/>
      </c>
      <c r="N308" s="3" t="str">
        <f>IF($A308="","",IF(countif('Mens Lineup'!N$3:N1000,CONCATENATE("=",$A308))=0,"",N$2))</f>
        <v/>
      </c>
      <c r="O308" s="3" t="str">
        <f>IF($A308="","",IF(countif('Mens Lineup'!O$3:O1000,CONCATENATE("=",$A308))=0,"",O$2))</f>
        <v/>
      </c>
      <c r="P308" s="3" t="str">
        <f>IF($A308="","",IF(countif('Mens Lineup'!P$3:P1000,CONCATENATE("=",$A308))=0,"",P$2))</f>
        <v/>
      </c>
      <c r="Q308" s="3" t="str">
        <f>IF($A308="","",IF(countif('Mens Lineup'!Q$3:Q1000,CONCATENATE("=",$A308))=0,"",Q$2))</f>
        <v/>
      </c>
      <c r="R308" s="3" t="str">
        <f>IF($A308="","",IF(countif('Mens Lineup'!R$3:R1000,CONCATENATE("=",$A308))=0,"",R$2))</f>
        <v/>
      </c>
      <c r="S308" s="3" t="str">
        <f>IF($A308="","",IF(countif('Mens Lineup'!S$3:S1000,CONCATENATE("=",$A308))=0,"",S$2))</f>
        <v/>
      </c>
      <c r="W308" s="3" t="str">
        <f>IFERROR(__xludf.DUMMYFUNCTION("JOIN("","",FILTER(B308:S308,B308:S308&lt;&gt;""""))"),"#N/A")</f>
        <v>#N/A</v>
      </c>
    </row>
    <row r="309">
      <c r="A309" s="3"/>
      <c r="B309" s="3" t="str">
        <f>IF($A309="","",IF(countif('Mens Lineup'!B$3:B1000,CONCATENATE("=",$A309))=0,"",B$2))</f>
        <v/>
      </c>
      <c r="C309" s="3" t="str">
        <f>IF($A309="","",IF(countif('Mens Lineup'!C$3:C1000,CONCATENATE("=",$A309))=0,"",C$2))</f>
        <v/>
      </c>
      <c r="D309" s="3" t="str">
        <f>IF($A309="","",IF(countif('Mens Lineup'!D$3:D1000,CONCATENATE("=",$A309))=0,"",D$2))</f>
        <v/>
      </c>
      <c r="E309" s="3" t="str">
        <f>IF($A309="","",IF(countif('Mens Lineup'!E$3:E1000,CONCATENATE("=",$A309))=0,"",E$2))</f>
        <v/>
      </c>
      <c r="F309" s="3" t="str">
        <f>IF($A309="","",IF(countif('Mens Lineup'!F$3:F1000,CONCATENATE("=",$A309))=0,"",F$2))</f>
        <v/>
      </c>
      <c r="G309" s="3" t="str">
        <f>IF($A309="","",IF(countif('Mens Lineup'!G$3:G1000,CONCATENATE("=",$A309))=0,"",G$2))</f>
        <v/>
      </c>
      <c r="H309" s="3" t="str">
        <f>IF($A309="","",IF(countif('Mens Lineup'!H$3:H1000,CONCATENATE("=",$A309))=0,"",H$2))</f>
        <v/>
      </c>
      <c r="I309" s="3" t="str">
        <f>IF($A309="","",IF(countif('Mens Lineup'!I$3:I1000,CONCATENATE("=",$A309))=0,"",I$2))</f>
        <v/>
      </c>
      <c r="J309" s="3" t="str">
        <f>IF($A309="","",IF(countif('Mens Lineup'!J$3:J1000,CONCATENATE("=",$A309))=0,"",J$2))</f>
        <v/>
      </c>
      <c r="K309" s="3" t="str">
        <f>IF($A309="","",IF(countif('Mens Lineup'!K$3:K1000,CONCATENATE("=",$A309))=0,"",K$2))</f>
        <v/>
      </c>
      <c r="L309" s="3" t="str">
        <f>IF($A309="","",IF(countif('Mens Lineup'!L$3:L1000,CONCATENATE("=",$A309))=0,"",L$2))</f>
        <v/>
      </c>
      <c r="M309" s="3" t="str">
        <f>IF($A309="","",IF(countif('Mens Lineup'!M$3:M1000,CONCATENATE("=",$A309))=0,"",M$2))</f>
        <v/>
      </c>
      <c r="N309" s="3" t="str">
        <f>IF($A309="","",IF(countif('Mens Lineup'!N$3:N1000,CONCATENATE("=",$A309))=0,"",N$2))</f>
        <v/>
      </c>
      <c r="O309" s="3" t="str">
        <f>IF($A309="","",IF(countif('Mens Lineup'!O$3:O1000,CONCATENATE("=",$A309))=0,"",O$2))</f>
        <v/>
      </c>
      <c r="P309" s="3" t="str">
        <f>IF($A309="","",IF(countif('Mens Lineup'!P$3:P1000,CONCATENATE("=",$A309))=0,"",P$2))</f>
        <v/>
      </c>
      <c r="Q309" s="3" t="str">
        <f>IF($A309="","",IF(countif('Mens Lineup'!Q$3:Q1000,CONCATENATE("=",$A309))=0,"",Q$2))</f>
        <v/>
      </c>
      <c r="R309" s="3" t="str">
        <f>IF($A309="","",IF(countif('Mens Lineup'!R$3:R1000,CONCATENATE("=",$A309))=0,"",R$2))</f>
        <v/>
      </c>
      <c r="S309" s="3" t="str">
        <f>IF($A309="","",IF(countif('Mens Lineup'!S$3:S1000,CONCATENATE("=",$A309))=0,"",S$2))</f>
        <v/>
      </c>
      <c r="W309" s="3" t="str">
        <f>IFERROR(__xludf.DUMMYFUNCTION("JOIN("","",FILTER(B309:S309,B309:S309&lt;&gt;""""))"),"#N/A")</f>
        <v>#N/A</v>
      </c>
    </row>
    <row r="310">
      <c r="A310" s="3"/>
      <c r="B310" s="3" t="str">
        <f>IF($A310="","",IF(countif('Mens Lineup'!B$3:B1000,CONCATENATE("=",$A310))=0,"",B$2))</f>
        <v/>
      </c>
      <c r="C310" s="3" t="str">
        <f>IF($A310="","",IF(countif('Mens Lineup'!C$3:C1000,CONCATENATE("=",$A310))=0,"",C$2))</f>
        <v/>
      </c>
      <c r="D310" s="3" t="str">
        <f>IF($A310="","",IF(countif('Mens Lineup'!D$3:D1000,CONCATENATE("=",$A310))=0,"",D$2))</f>
        <v/>
      </c>
      <c r="E310" s="3" t="str">
        <f>IF($A310="","",IF(countif('Mens Lineup'!E$3:E1000,CONCATENATE("=",$A310))=0,"",E$2))</f>
        <v/>
      </c>
      <c r="F310" s="3" t="str">
        <f>IF($A310="","",IF(countif('Mens Lineup'!F$3:F1000,CONCATENATE("=",$A310))=0,"",F$2))</f>
        <v/>
      </c>
      <c r="G310" s="3" t="str">
        <f>IF($A310="","",IF(countif('Mens Lineup'!G$3:G1000,CONCATENATE("=",$A310))=0,"",G$2))</f>
        <v/>
      </c>
      <c r="H310" s="3" t="str">
        <f>IF($A310="","",IF(countif('Mens Lineup'!H$3:H1000,CONCATENATE("=",$A310))=0,"",H$2))</f>
        <v/>
      </c>
      <c r="I310" s="3" t="str">
        <f>IF($A310="","",IF(countif('Mens Lineup'!I$3:I1000,CONCATENATE("=",$A310))=0,"",I$2))</f>
        <v/>
      </c>
      <c r="J310" s="3" t="str">
        <f>IF($A310="","",IF(countif('Mens Lineup'!J$3:J1000,CONCATENATE("=",$A310))=0,"",J$2))</f>
        <v/>
      </c>
      <c r="K310" s="3" t="str">
        <f>IF($A310="","",IF(countif('Mens Lineup'!K$3:K1000,CONCATENATE("=",$A310))=0,"",K$2))</f>
        <v/>
      </c>
      <c r="L310" s="3" t="str">
        <f>IF($A310="","",IF(countif('Mens Lineup'!L$3:L1000,CONCATENATE("=",$A310))=0,"",L$2))</f>
        <v/>
      </c>
      <c r="M310" s="3" t="str">
        <f>IF($A310="","",IF(countif('Mens Lineup'!M$3:M1000,CONCATENATE("=",$A310))=0,"",M$2))</f>
        <v/>
      </c>
      <c r="N310" s="3" t="str">
        <f>IF($A310="","",IF(countif('Mens Lineup'!N$3:N1000,CONCATENATE("=",$A310))=0,"",N$2))</f>
        <v/>
      </c>
      <c r="O310" s="3" t="str">
        <f>IF($A310="","",IF(countif('Mens Lineup'!O$3:O1000,CONCATENATE("=",$A310))=0,"",O$2))</f>
        <v/>
      </c>
      <c r="P310" s="3" t="str">
        <f>IF($A310="","",IF(countif('Mens Lineup'!P$3:P1000,CONCATENATE("=",$A310))=0,"",P$2))</f>
        <v/>
      </c>
      <c r="Q310" s="3" t="str">
        <f>IF($A310="","",IF(countif('Mens Lineup'!Q$3:Q1000,CONCATENATE("=",$A310))=0,"",Q$2))</f>
        <v/>
      </c>
      <c r="R310" s="3" t="str">
        <f>IF($A310="","",IF(countif('Mens Lineup'!R$3:R1000,CONCATENATE("=",$A310))=0,"",R$2))</f>
        <v/>
      </c>
      <c r="S310" s="3" t="str">
        <f>IF($A310="","",IF(countif('Mens Lineup'!S$3:S1000,CONCATENATE("=",$A310))=0,"",S$2))</f>
        <v/>
      </c>
      <c r="W310" s="3" t="str">
        <f>IFERROR(__xludf.DUMMYFUNCTION("JOIN("","",FILTER(B310:S310,B310:S310&lt;&gt;""""))"),"#N/A")</f>
        <v>#N/A</v>
      </c>
    </row>
    <row r="311">
      <c r="A311" s="3"/>
      <c r="B311" s="3" t="str">
        <f>IF($A311="","",IF(countif('Mens Lineup'!B$3:B1000,CONCATENATE("=",$A311))=0,"",B$2))</f>
        <v/>
      </c>
      <c r="C311" s="3" t="str">
        <f>IF($A311="","",IF(countif('Mens Lineup'!C$3:C1000,CONCATENATE("=",$A311))=0,"",C$2))</f>
        <v/>
      </c>
      <c r="D311" s="3" t="str">
        <f>IF($A311="","",IF(countif('Mens Lineup'!D$3:D1000,CONCATENATE("=",$A311))=0,"",D$2))</f>
        <v/>
      </c>
      <c r="E311" s="3" t="str">
        <f>IF($A311="","",IF(countif('Mens Lineup'!E$3:E1000,CONCATENATE("=",$A311))=0,"",E$2))</f>
        <v/>
      </c>
      <c r="F311" s="3" t="str">
        <f>IF($A311="","",IF(countif('Mens Lineup'!F$3:F1000,CONCATENATE("=",$A311))=0,"",F$2))</f>
        <v/>
      </c>
      <c r="G311" s="3" t="str">
        <f>IF($A311="","",IF(countif('Mens Lineup'!G$3:G1000,CONCATENATE("=",$A311))=0,"",G$2))</f>
        <v/>
      </c>
      <c r="H311" s="3" t="str">
        <f>IF($A311="","",IF(countif('Mens Lineup'!H$3:H1000,CONCATENATE("=",$A311))=0,"",H$2))</f>
        <v/>
      </c>
      <c r="I311" s="3" t="str">
        <f>IF($A311="","",IF(countif('Mens Lineup'!I$3:I1000,CONCATENATE("=",$A311))=0,"",I$2))</f>
        <v/>
      </c>
      <c r="J311" s="3" t="str">
        <f>IF($A311="","",IF(countif('Mens Lineup'!J$3:J1000,CONCATENATE("=",$A311))=0,"",J$2))</f>
        <v/>
      </c>
      <c r="K311" s="3" t="str">
        <f>IF($A311="","",IF(countif('Mens Lineup'!K$3:K1000,CONCATENATE("=",$A311))=0,"",K$2))</f>
        <v/>
      </c>
      <c r="L311" s="3" t="str">
        <f>IF($A311="","",IF(countif('Mens Lineup'!L$3:L1000,CONCATENATE("=",$A311))=0,"",L$2))</f>
        <v/>
      </c>
      <c r="M311" s="3" t="str">
        <f>IF($A311="","",IF(countif('Mens Lineup'!M$3:M1000,CONCATENATE("=",$A311))=0,"",M$2))</f>
        <v/>
      </c>
      <c r="N311" s="3" t="str">
        <f>IF($A311="","",IF(countif('Mens Lineup'!N$3:N1000,CONCATENATE("=",$A311))=0,"",N$2))</f>
        <v/>
      </c>
      <c r="O311" s="3" t="str">
        <f>IF($A311="","",IF(countif('Mens Lineup'!O$3:O1000,CONCATENATE("=",$A311))=0,"",O$2))</f>
        <v/>
      </c>
      <c r="P311" s="3" t="str">
        <f>IF($A311="","",IF(countif('Mens Lineup'!P$3:P1000,CONCATENATE("=",$A311))=0,"",P$2))</f>
        <v/>
      </c>
      <c r="Q311" s="3" t="str">
        <f>IF($A311="","",IF(countif('Mens Lineup'!Q$3:Q1000,CONCATENATE("=",$A311))=0,"",Q$2))</f>
        <v/>
      </c>
      <c r="R311" s="3" t="str">
        <f>IF($A311="","",IF(countif('Mens Lineup'!R$3:R1000,CONCATENATE("=",$A311))=0,"",R$2))</f>
        <v/>
      </c>
      <c r="S311" s="3" t="str">
        <f>IF($A311="","",IF(countif('Mens Lineup'!S$3:S1000,CONCATENATE("=",$A311))=0,"",S$2))</f>
        <v/>
      </c>
      <c r="W311" s="3" t="str">
        <f>IFERROR(__xludf.DUMMYFUNCTION("JOIN("","",FILTER(B311:S311,B311:S311&lt;&gt;""""))"),"#N/A")</f>
        <v>#N/A</v>
      </c>
    </row>
    <row r="312">
      <c r="A312" s="3"/>
      <c r="B312" s="3" t="str">
        <f>IF($A312="","",IF(countif('Mens Lineup'!B$3:B1000,CONCATENATE("=",$A312))=0,"",B$2))</f>
        <v/>
      </c>
      <c r="C312" s="3" t="str">
        <f>IF($A312="","",IF(countif('Mens Lineup'!C$3:C1000,CONCATENATE("=",$A312))=0,"",C$2))</f>
        <v/>
      </c>
      <c r="D312" s="3" t="str">
        <f>IF($A312="","",IF(countif('Mens Lineup'!D$3:D1000,CONCATENATE("=",$A312))=0,"",D$2))</f>
        <v/>
      </c>
      <c r="E312" s="3" t="str">
        <f>IF($A312="","",IF(countif('Mens Lineup'!E$3:E1000,CONCATENATE("=",$A312))=0,"",E$2))</f>
        <v/>
      </c>
      <c r="F312" s="3" t="str">
        <f>IF($A312="","",IF(countif('Mens Lineup'!F$3:F1000,CONCATENATE("=",$A312))=0,"",F$2))</f>
        <v/>
      </c>
      <c r="G312" s="3" t="str">
        <f>IF($A312="","",IF(countif('Mens Lineup'!G$3:G1000,CONCATENATE("=",$A312))=0,"",G$2))</f>
        <v/>
      </c>
      <c r="H312" s="3" t="str">
        <f>IF($A312="","",IF(countif('Mens Lineup'!H$3:H1000,CONCATENATE("=",$A312))=0,"",H$2))</f>
        <v/>
      </c>
      <c r="I312" s="3" t="str">
        <f>IF($A312="","",IF(countif('Mens Lineup'!I$3:I1000,CONCATENATE("=",$A312))=0,"",I$2))</f>
        <v/>
      </c>
      <c r="J312" s="3" t="str">
        <f>IF($A312="","",IF(countif('Mens Lineup'!J$3:J1000,CONCATENATE("=",$A312))=0,"",J$2))</f>
        <v/>
      </c>
      <c r="K312" s="3" t="str">
        <f>IF($A312="","",IF(countif('Mens Lineup'!K$3:K1000,CONCATENATE("=",$A312))=0,"",K$2))</f>
        <v/>
      </c>
      <c r="L312" s="3" t="str">
        <f>IF($A312="","",IF(countif('Mens Lineup'!L$3:L1000,CONCATENATE("=",$A312))=0,"",L$2))</f>
        <v/>
      </c>
      <c r="M312" s="3" t="str">
        <f>IF($A312="","",IF(countif('Mens Lineup'!M$3:M1000,CONCATENATE("=",$A312))=0,"",M$2))</f>
        <v/>
      </c>
      <c r="N312" s="3" t="str">
        <f>IF($A312="","",IF(countif('Mens Lineup'!N$3:N1000,CONCATENATE("=",$A312))=0,"",N$2))</f>
        <v/>
      </c>
      <c r="O312" s="3" t="str">
        <f>IF($A312="","",IF(countif('Mens Lineup'!O$3:O1000,CONCATENATE("=",$A312))=0,"",O$2))</f>
        <v/>
      </c>
      <c r="P312" s="3" t="str">
        <f>IF($A312="","",IF(countif('Mens Lineup'!P$3:P1000,CONCATENATE("=",$A312))=0,"",P$2))</f>
        <v/>
      </c>
      <c r="Q312" s="3" t="str">
        <f>IF($A312="","",IF(countif('Mens Lineup'!Q$3:Q1000,CONCATENATE("=",$A312))=0,"",Q$2))</f>
        <v/>
      </c>
      <c r="R312" s="3" t="str">
        <f>IF($A312="","",IF(countif('Mens Lineup'!R$3:R1000,CONCATENATE("=",$A312))=0,"",R$2))</f>
        <v/>
      </c>
      <c r="S312" s="3" t="str">
        <f>IF($A312="","",IF(countif('Mens Lineup'!S$3:S1000,CONCATENATE("=",$A312))=0,"",S$2))</f>
        <v/>
      </c>
      <c r="W312" s="3" t="str">
        <f>IFERROR(__xludf.DUMMYFUNCTION("JOIN("","",FILTER(B312:S312,B312:S312&lt;&gt;""""))"),"#N/A")</f>
        <v>#N/A</v>
      </c>
    </row>
    <row r="313">
      <c r="A313" s="3"/>
      <c r="B313" s="3" t="str">
        <f>IF($A313="","",IF(countif('Mens Lineup'!B$3:B1000,CONCATENATE("=",$A313))=0,"",B$2))</f>
        <v/>
      </c>
      <c r="C313" s="3" t="str">
        <f>IF($A313="","",IF(countif('Mens Lineup'!C$3:C1000,CONCATENATE("=",$A313))=0,"",C$2))</f>
        <v/>
      </c>
      <c r="D313" s="3" t="str">
        <f>IF($A313="","",IF(countif('Mens Lineup'!D$3:D1000,CONCATENATE("=",$A313))=0,"",D$2))</f>
        <v/>
      </c>
      <c r="E313" s="3" t="str">
        <f>IF($A313="","",IF(countif('Mens Lineup'!E$3:E1000,CONCATENATE("=",$A313))=0,"",E$2))</f>
        <v/>
      </c>
      <c r="F313" s="3" t="str">
        <f>IF($A313="","",IF(countif('Mens Lineup'!F$3:F1000,CONCATENATE("=",$A313))=0,"",F$2))</f>
        <v/>
      </c>
      <c r="G313" s="3" t="str">
        <f>IF($A313="","",IF(countif('Mens Lineup'!G$3:G1000,CONCATENATE("=",$A313))=0,"",G$2))</f>
        <v/>
      </c>
      <c r="H313" s="3" t="str">
        <f>IF($A313="","",IF(countif('Mens Lineup'!H$3:H1000,CONCATENATE("=",$A313))=0,"",H$2))</f>
        <v/>
      </c>
      <c r="I313" s="3" t="str">
        <f>IF($A313="","",IF(countif('Mens Lineup'!I$3:I1000,CONCATENATE("=",$A313))=0,"",I$2))</f>
        <v/>
      </c>
      <c r="J313" s="3" t="str">
        <f>IF($A313="","",IF(countif('Mens Lineup'!J$3:J1000,CONCATENATE("=",$A313))=0,"",J$2))</f>
        <v/>
      </c>
      <c r="K313" s="3" t="str">
        <f>IF($A313="","",IF(countif('Mens Lineup'!K$3:K1000,CONCATENATE("=",$A313))=0,"",K$2))</f>
        <v/>
      </c>
      <c r="L313" s="3" t="str">
        <f>IF($A313="","",IF(countif('Mens Lineup'!L$3:L1000,CONCATENATE("=",$A313))=0,"",L$2))</f>
        <v/>
      </c>
      <c r="M313" s="3" t="str">
        <f>IF($A313="","",IF(countif('Mens Lineup'!M$3:M1000,CONCATENATE("=",$A313))=0,"",M$2))</f>
        <v/>
      </c>
      <c r="N313" s="3" t="str">
        <f>IF($A313="","",IF(countif('Mens Lineup'!N$3:N1000,CONCATENATE("=",$A313))=0,"",N$2))</f>
        <v/>
      </c>
      <c r="O313" s="3" t="str">
        <f>IF($A313="","",IF(countif('Mens Lineup'!O$3:O1000,CONCATENATE("=",$A313))=0,"",O$2))</f>
        <v/>
      </c>
      <c r="P313" s="3" t="str">
        <f>IF($A313="","",IF(countif('Mens Lineup'!P$3:P1000,CONCATENATE("=",$A313))=0,"",P$2))</f>
        <v/>
      </c>
      <c r="Q313" s="3" t="str">
        <f>IF($A313="","",IF(countif('Mens Lineup'!Q$3:Q1000,CONCATENATE("=",$A313))=0,"",Q$2))</f>
        <v/>
      </c>
      <c r="R313" s="3" t="str">
        <f>IF($A313="","",IF(countif('Mens Lineup'!R$3:R1000,CONCATENATE("=",$A313))=0,"",R$2))</f>
        <v/>
      </c>
      <c r="S313" s="3" t="str">
        <f>IF($A313="","",IF(countif('Mens Lineup'!S$3:S1000,CONCATENATE("=",$A313))=0,"",S$2))</f>
        <v/>
      </c>
      <c r="W313" s="3" t="str">
        <f>IFERROR(__xludf.DUMMYFUNCTION("JOIN("","",FILTER(B313:S313,B313:S313&lt;&gt;""""))"),"#N/A")</f>
        <v>#N/A</v>
      </c>
    </row>
    <row r="314">
      <c r="A314" s="3"/>
      <c r="B314" s="3" t="str">
        <f>IF($A314="","",IF(countif('Mens Lineup'!B$3:B1000,CONCATENATE("=",$A314))=0,"",B$2))</f>
        <v/>
      </c>
      <c r="C314" s="3" t="str">
        <f>IF($A314="","",IF(countif('Mens Lineup'!C$3:C1000,CONCATENATE("=",$A314))=0,"",C$2))</f>
        <v/>
      </c>
      <c r="D314" s="3" t="str">
        <f>IF($A314="","",IF(countif('Mens Lineup'!D$3:D1000,CONCATENATE("=",$A314))=0,"",D$2))</f>
        <v/>
      </c>
      <c r="E314" s="3" t="str">
        <f>IF($A314="","",IF(countif('Mens Lineup'!E$3:E1000,CONCATENATE("=",$A314))=0,"",E$2))</f>
        <v/>
      </c>
      <c r="F314" s="3" t="str">
        <f>IF($A314="","",IF(countif('Mens Lineup'!F$3:F1000,CONCATENATE("=",$A314))=0,"",F$2))</f>
        <v/>
      </c>
      <c r="G314" s="3" t="str">
        <f>IF($A314="","",IF(countif('Mens Lineup'!G$3:G1000,CONCATENATE("=",$A314))=0,"",G$2))</f>
        <v/>
      </c>
      <c r="H314" s="3" t="str">
        <f>IF($A314="","",IF(countif('Mens Lineup'!H$3:H1000,CONCATENATE("=",$A314))=0,"",H$2))</f>
        <v/>
      </c>
      <c r="I314" s="3" t="str">
        <f>IF($A314="","",IF(countif('Mens Lineup'!I$3:I1000,CONCATENATE("=",$A314))=0,"",I$2))</f>
        <v/>
      </c>
      <c r="J314" s="3" t="str">
        <f>IF($A314="","",IF(countif('Mens Lineup'!J$3:J1000,CONCATENATE("=",$A314))=0,"",J$2))</f>
        <v/>
      </c>
      <c r="K314" s="3" t="str">
        <f>IF($A314="","",IF(countif('Mens Lineup'!K$3:K1000,CONCATENATE("=",$A314))=0,"",K$2))</f>
        <v/>
      </c>
      <c r="L314" s="3" t="str">
        <f>IF($A314="","",IF(countif('Mens Lineup'!L$3:L1000,CONCATENATE("=",$A314))=0,"",L$2))</f>
        <v/>
      </c>
      <c r="M314" s="3" t="str">
        <f>IF($A314="","",IF(countif('Mens Lineup'!M$3:M1000,CONCATENATE("=",$A314))=0,"",M$2))</f>
        <v/>
      </c>
      <c r="N314" s="3" t="str">
        <f>IF($A314="","",IF(countif('Mens Lineup'!N$3:N1000,CONCATENATE("=",$A314))=0,"",N$2))</f>
        <v/>
      </c>
      <c r="O314" s="3" t="str">
        <f>IF($A314="","",IF(countif('Mens Lineup'!O$3:O1000,CONCATENATE("=",$A314))=0,"",O$2))</f>
        <v/>
      </c>
      <c r="P314" s="3" t="str">
        <f>IF($A314="","",IF(countif('Mens Lineup'!P$3:P1000,CONCATENATE("=",$A314))=0,"",P$2))</f>
        <v/>
      </c>
      <c r="Q314" s="3" t="str">
        <f>IF($A314="","",IF(countif('Mens Lineup'!Q$3:Q1000,CONCATENATE("=",$A314))=0,"",Q$2))</f>
        <v/>
      </c>
      <c r="R314" s="3" t="str">
        <f>IF($A314="","",IF(countif('Mens Lineup'!R$3:R1000,CONCATENATE("=",$A314))=0,"",R$2))</f>
        <v/>
      </c>
      <c r="S314" s="3" t="str">
        <f>IF($A314="","",IF(countif('Mens Lineup'!S$3:S1000,CONCATENATE("=",$A314))=0,"",S$2))</f>
        <v/>
      </c>
      <c r="W314" s="3" t="str">
        <f>IFERROR(__xludf.DUMMYFUNCTION("JOIN("","",FILTER(B314:S314,B314:S314&lt;&gt;""""))"),"#N/A")</f>
        <v>#N/A</v>
      </c>
    </row>
    <row r="315">
      <c r="A315" s="3"/>
      <c r="B315" s="3" t="str">
        <f>IF($A315="","",IF(countif('Mens Lineup'!B$3:B1000,CONCATENATE("=",$A315))=0,"",B$2))</f>
        <v/>
      </c>
      <c r="C315" s="3" t="str">
        <f>IF($A315="","",IF(countif('Mens Lineup'!C$3:C1000,CONCATENATE("=",$A315))=0,"",C$2))</f>
        <v/>
      </c>
      <c r="D315" s="3" t="str">
        <f>IF($A315="","",IF(countif('Mens Lineup'!D$3:D1000,CONCATENATE("=",$A315))=0,"",D$2))</f>
        <v/>
      </c>
      <c r="E315" s="3" t="str">
        <f>IF($A315="","",IF(countif('Mens Lineup'!E$3:E1000,CONCATENATE("=",$A315))=0,"",E$2))</f>
        <v/>
      </c>
      <c r="F315" s="3" t="str">
        <f>IF($A315="","",IF(countif('Mens Lineup'!F$3:F1000,CONCATENATE("=",$A315))=0,"",F$2))</f>
        <v/>
      </c>
      <c r="G315" s="3" t="str">
        <f>IF($A315="","",IF(countif('Mens Lineup'!G$3:G1000,CONCATENATE("=",$A315))=0,"",G$2))</f>
        <v/>
      </c>
      <c r="H315" s="3" t="str">
        <f>IF($A315="","",IF(countif('Mens Lineup'!H$3:H1000,CONCATENATE("=",$A315))=0,"",H$2))</f>
        <v/>
      </c>
      <c r="I315" s="3" t="str">
        <f>IF($A315="","",IF(countif('Mens Lineup'!I$3:I1000,CONCATENATE("=",$A315))=0,"",I$2))</f>
        <v/>
      </c>
      <c r="J315" s="3" t="str">
        <f>IF($A315="","",IF(countif('Mens Lineup'!J$3:J1000,CONCATENATE("=",$A315))=0,"",J$2))</f>
        <v/>
      </c>
      <c r="K315" s="3" t="str">
        <f>IF($A315="","",IF(countif('Mens Lineup'!K$3:K1000,CONCATENATE("=",$A315))=0,"",K$2))</f>
        <v/>
      </c>
      <c r="L315" s="3" t="str">
        <f>IF($A315="","",IF(countif('Mens Lineup'!L$3:L1000,CONCATENATE("=",$A315))=0,"",L$2))</f>
        <v/>
      </c>
      <c r="M315" s="3" t="str">
        <f>IF($A315="","",IF(countif('Mens Lineup'!M$3:M1000,CONCATENATE("=",$A315))=0,"",M$2))</f>
        <v/>
      </c>
      <c r="N315" s="3" t="str">
        <f>IF($A315="","",IF(countif('Mens Lineup'!N$3:N1000,CONCATENATE("=",$A315))=0,"",N$2))</f>
        <v/>
      </c>
      <c r="O315" s="3" t="str">
        <f>IF($A315="","",IF(countif('Mens Lineup'!O$3:O1000,CONCATENATE("=",$A315))=0,"",O$2))</f>
        <v/>
      </c>
      <c r="P315" s="3" t="str">
        <f>IF($A315="","",IF(countif('Mens Lineup'!P$3:P1000,CONCATENATE("=",$A315))=0,"",P$2))</f>
        <v/>
      </c>
      <c r="Q315" s="3" t="str">
        <f>IF($A315="","",IF(countif('Mens Lineup'!Q$3:Q1000,CONCATENATE("=",$A315))=0,"",Q$2))</f>
        <v/>
      </c>
      <c r="R315" s="3" t="str">
        <f>IF($A315="","",IF(countif('Mens Lineup'!R$3:R1000,CONCATENATE("=",$A315))=0,"",R$2))</f>
        <v/>
      </c>
      <c r="S315" s="3" t="str">
        <f>IF($A315="","",IF(countif('Mens Lineup'!S$3:S1000,CONCATENATE("=",$A315))=0,"",S$2))</f>
        <v/>
      </c>
      <c r="W315" s="3" t="str">
        <f>IFERROR(__xludf.DUMMYFUNCTION("JOIN("","",FILTER(B315:S315,B315:S315&lt;&gt;""""))"),"#N/A")</f>
        <v>#N/A</v>
      </c>
    </row>
    <row r="316">
      <c r="A316" s="3"/>
      <c r="B316" s="3" t="str">
        <f>IF($A316="","",IF(countif('Mens Lineup'!B$3:B1000,CONCATENATE("=",$A316))=0,"",B$2))</f>
        <v/>
      </c>
      <c r="C316" s="3" t="str">
        <f>IF($A316="","",IF(countif('Mens Lineup'!C$3:C1000,CONCATENATE("=",$A316))=0,"",C$2))</f>
        <v/>
      </c>
      <c r="D316" s="3" t="str">
        <f>IF($A316="","",IF(countif('Mens Lineup'!D$3:D1000,CONCATENATE("=",$A316))=0,"",D$2))</f>
        <v/>
      </c>
      <c r="E316" s="3" t="str">
        <f>IF($A316="","",IF(countif('Mens Lineup'!E$3:E1000,CONCATENATE("=",$A316))=0,"",E$2))</f>
        <v/>
      </c>
      <c r="F316" s="3" t="str">
        <f>IF($A316="","",IF(countif('Mens Lineup'!F$3:F1000,CONCATENATE("=",$A316))=0,"",F$2))</f>
        <v/>
      </c>
      <c r="G316" s="3" t="str">
        <f>IF($A316="","",IF(countif('Mens Lineup'!G$3:G1000,CONCATENATE("=",$A316))=0,"",G$2))</f>
        <v/>
      </c>
      <c r="H316" s="3" t="str">
        <f>IF($A316="","",IF(countif('Mens Lineup'!H$3:H1000,CONCATENATE("=",$A316))=0,"",H$2))</f>
        <v/>
      </c>
      <c r="I316" s="3" t="str">
        <f>IF($A316="","",IF(countif('Mens Lineup'!I$3:I1000,CONCATENATE("=",$A316))=0,"",I$2))</f>
        <v/>
      </c>
      <c r="J316" s="3" t="str">
        <f>IF($A316="","",IF(countif('Mens Lineup'!J$3:J1000,CONCATENATE("=",$A316))=0,"",J$2))</f>
        <v/>
      </c>
      <c r="K316" s="3" t="str">
        <f>IF($A316="","",IF(countif('Mens Lineup'!K$3:K1000,CONCATENATE("=",$A316))=0,"",K$2))</f>
        <v/>
      </c>
      <c r="L316" s="3" t="str">
        <f>IF($A316="","",IF(countif('Mens Lineup'!L$3:L1000,CONCATENATE("=",$A316))=0,"",L$2))</f>
        <v/>
      </c>
      <c r="M316" s="3" t="str">
        <f>IF($A316="","",IF(countif('Mens Lineup'!M$3:M1000,CONCATENATE("=",$A316))=0,"",M$2))</f>
        <v/>
      </c>
      <c r="N316" s="3" t="str">
        <f>IF($A316="","",IF(countif('Mens Lineup'!N$3:N1000,CONCATENATE("=",$A316))=0,"",N$2))</f>
        <v/>
      </c>
      <c r="O316" s="3" t="str">
        <f>IF($A316="","",IF(countif('Mens Lineup'!O$3:O1000,CONCATENATE("=",$A316))=0,"",O$2))</f>
        <v/>
      </c>
      <c r="P316" s="3" t="str">
        <f>IF($A316="","",IF(countif('Mens Lineup'!P$3:P1000,CONCATENATE("=",$A316))=0,"",P$2))</f>
        <v/>
      </c>
      <c r="Q316" s="3" t="str">
        <f>IF($A316="","",IF(countif('Mens Lineup'!Q$3:Q1000,CONCATENATE("=",$A316))=0,"",Q$2))</f>
        <v/>
      </c>
      <c r="R316" s="3" t="str">
        <f>IF($A316="","",IF(countif('Mens Lineup'!R$3:R1000,CONCATENATE("=",$A316))=0,"",R$2))</f>
        <v/>
      </c>
      <c r="S316" s="3" t="str">
        <f>IF($A316="","",IF(countif('Mens Lineup'!S$3:S1000,CONCATENATE("=",$A316))=0,"",S$2))</f>
        <v/>
      </c>
      <c r="W316" s="3" t="str">
        <f>IFERROR(__xludf.DUMMYFUNCTION("JOIN("","",FILTER(B316:S316,B316:S316&lt;&gt;""""))"),"#N/A")</f>
        <v>#N/A</v>
      </c>
    </row>
    <row r="317">
      <c r="A317" s="3"/>
      <c r="B317" s="3" t="str">
        <f>IF($A317="","",IF(countif('Mens Lineup'!B$3:B1000,CONCATENATE("=",$A317))=0,"",B$2))</f>
        <v/>
      </c>
      <c r="C317" s="3" t="str">
        <f>IF($A317="","",IF(countif('Mens Lineup'!C$3:C1000,CONCATENATE("=",$A317))=0,"",C$2))</f>
        <v/>
      </c>
      <c r="D317" s="3" t="str">
        <f>IF($A317="","",IF(countif('Mens Lineup'!D$3:D1000,CONCATENATE("=",$A317))=0,"",D$2))</f>
        <v/>
      </c>
      <c r="E317" s="3" t="str">
        <f>IF($A317="","",IF(countif('Mens Lineup'!E$3:E1000,CONCATENATE("=",$A317))=0,"",E$2))</f>
        <v/>
      </c>
      <c r="F317" s="3" t="str">
        <f>IF($A317="","",IF(countif('Mens Lineup'!F$3:F1000,CONCATENATE("=",$A317))=0,"",F$2))</f>
        <v/>
      </c>
      <c r="G317" s="3" t="str">
        <f>IF($A317="","",IF(countif('Mens Lineup'!G$3:G1000,CONCATENATE("=",$A317))=0,"",G$2))</f>
        <v/>
      </c>
      <c r="H317" s="3" t="str">
        <f>IF($A317="","",IF(countif('Mens Lineup'!H$3:H1000,CONCATENATE("=",$A317))=0,"",H$2))</f>
        <v/>
      </c>
      <c r="I317" s="3" t="str">
        <f>IF($A317="","",IF(countif('Mens Lineup'!I$3:I1000,CONCATENATE("=",$A317))=0,"",I$2))</f>
        <v/>
      </c>
      <c r="J317" s="3" t="str">
        <f>IF($A317="","",IF(countif('Mens Lineup'!J$3:J1000,CONCATENATE("=",$A317))=0,"",J$2))</f>
        <v/>
      </c>
      <c r="K317" s="3" t="str">
        <f>IF($A317="","",IF(countif('Mens Lineup'!K$3:K1000,CONCATENATE("=",$A317))=0,"",K$2))</f>
        <v/>
      </c>
      <c r="L317" s="3" t="str">
        <f>IF($A317="","",IF(countif('Mens Lineup'!L$3:L1000,CONCATENATE("=",$A317))=0,"",L$2))</f>
        <v/>
      </c>
      <c r="M317" s="3" t="str">
        <f>IF($A317="","",IF(countif('Mens Lineup'!M$3:M1000,CONCATENATE("=",$A317))=0,"",M$2))</f>
        <v/>
      </c>
      <c r="N317" s="3" t="str">
        <f>IF($A317="","",IF(countif('Mens Lineup'!N$3:N1000,CONCATENATE("=",$A317))=0,"",N$2))</f>
        <v/>
      </c>
      <c r="O317" s="3" t="str">
        <f>IF($A317="","",IF(countif('Mens Lineup'!O$3:O1000,CONCATENATE("=",$A317))=0,"",O$2))</f>
        <v/>
      </c>
      <c r="P317" s="3" t="str">
        <f>IF($A317="","",IF(countif('Mens Lineup'!P$3:P1000,CONCATENATE("=",$A317))=0,"",P$2))</f>
        <v/>
      </c>
      <c r="Q317" s="3" t="str">
        <f>IF($A317="","",IF(countif('Mens Lineup'!Q$3:Q1000,CONCATENATE("=",$A317))=0,"",Q$2))</f>
        <v/>
      </c>
      <c r="R317" s="3" t="str">
        <f>IF($A317="","",IF(countif('Mens Lineup'!R$3:R1000,CONCATENATE("=",$A317))=0,"",R$2))</f>
        <v/>
      </c>
      <c r="S317" s="3" t="str">
        <f>IF($A317="","",IF(countif('Mens Lineup'!S$3:S1000,CONCATENATE("=",$A317))=0,"",S$2))</f>
        <v/>
      </c>
      <c r="W317" s="3" t="str">
        <f>IFERROR(__xludf.DUMMYFUNCTION("JOIN("","",FILTER(B317:S317,B317:S317&lt;&gt;""""))"),"#N/A")</f>
        <v>#N/A</v>
      </c>
    </row>
    <row r="318">
      <c r="A318" s="3"/>
      <c r="B318" s="3" t="str">
        <f>IF($A318="","",IF(countif('Mens Lineup'!B$3:B1000,CONCATENATE("=",$A318))=0,"",B$2))</f>
        <v/>
      </c>
      <c r="C318" s="3" t="str">
        <f>IF($A318="","",IF(countif('Mens Lineup'!C$3:C1000,CONCATENATE("=",$A318))=0,"",C$2))</f>
        <v/>
      </c>
      <c r="D318" s="3" t="str">
        <f>IF($A318="","",IF(countif('Mens Lineup'!D$3:D1000,CONCATENATE("=",$A318))=0,"",D$2))</f>
        <v/>
      </c>
      <c r="E318" s="3" t="str">
        <f>IF($A318="","",IF(countif('Mens Lineup'!E$3:E1000,CONCATENATE("=",$A318))=0,"",E$2))</f>
        <v/>
      </c>
      <c r="F318" s="3" t="str">
        <f>IF($A318="","",IF(countif('Mens Lineup'!F$3:F1000,CONCATENATE("=",$A318))=0,"",F$2))</f>
        <v/>
      </c>
      <c r="G318" s="3" t="str">
        <f>IF($A318="","",IF(countif('Mens Lineup'!G$3:G1000,CONCATENATE("=",$A318))=0,"",G$2))</f>
        <v/>
      </c>
      <c r="H318" s="3" t="str">
        <f>IF($A318="","",IF(countif('Mens Lineup'!H$3:H1000,CONCATENATE("=",$A318))=0,"",H$2))</f>
        <v/>
      </c>
      <c r="I318" s="3" t="str">
        <f>IF($A318="","",IF(countif('Mens Lineup'!I$3:I1000,CONCATENATE("=",$A318))=0,"",I$2))</f>
        <v/>
      </c>
      <c r="J318" s="3" t="str">
        <f>IF($A318="","",IF(countif('Mens Lineup'!J$3:J1000,CONCATENATE("=",$A318))=0,"",J$2))</f>
        <v/>
      </c>
      <c r="K318" s="3" t="str">
        <f>IF($A318="","",IF(countif('Mens Lineup'!K$3:K1000,CONCATENATE("=",$A318))=0,"",K$2))</f>
        <v/>
      </c>
      <c r="L318" s="3" t="str">
        <f>IF($A318="","",IF(countif('Mens Lineup'!L$3:L1000,CONCATENATE("=",$A318))=0,"",L$2))</f>
        <v/>
      </c>
      <c r="M318" s="3" t="str">
        <f>IF($A318="","",IF(countif('Mens Lineup'!M$3:M1000,CONCATENATE("=",$A318))=0,"",M$2))</f>
        <v/>
      </c>
      <c r="N318" s="3" t="str">
        <f>IF($A318="","",IF(countif('Mens Lineup'!N$3:N1000,CONCATENATE("=",$A318))=0,"",N$2))</f>
        <v/>
      </c>
      <c r="O318" s="3" t="str">
        <f>IF($A318="","",IF(countif('Mens Lineup'!O$3:O1000,CONCATENATE("=",$A318))=0,"",O$2))</f>
        <v/>
      </c>
      <c r="P318" s="3" t="str">
        <f>IF($A318="","",IF(countif('Mens Lineup'!P$3:P1000,CONCATENATE("=",$A318))=0,"",P$2))</f>
        <v/>
      </c>
      <c r="Q318" s="3" t="str">
        <f>IF($A318="","",IF(countif('Mens Lineup'!Q$3:Q1000,CONCATENATE("=",$A318))=0,"",Q$2))</f>
        <v/>
      </c>
      <c r="R318" s="3" t="str">
        <f>IF($A318="","",IF(countif('Mens Lineup'!R$3:R1000,CONCATENATE("=",$A318))=0,"",R$2))</f>
        <v/>
      </c>
      <c r="S318" s="3" t="str">
        <f>IF($A318="","",IF(countif('Mens Lineup'!S$3:S1000,CONCATENATE("=",$A318))=0,"",S$2))</f>
        <v/>
      </c>
      <c r="W318" s="3" t="str">
        <f>IFERROR(__xludf.DUMMYFUNCTION("JOIN("","",FILTER(B318:S318,B318:S318&lt;&gt;""""))"),"#N/A")</f>
        <v>#N/A</v>
      </c>
    </row>
    <row r="319">
      <c r="A319" s="3"/>
      <c r="B319" s="3" t="str">
        <f>IF($A319="","",IF(countif('Mens Lineup'!B$3:B1000,CONCATENATE("=",$A319))=0,"",B$2))</f>
        <v/>
      </c>
      <c r="C319" s="3" t="str">
        <f>IF($A319="","",IF(countif('Mens Lineup'!C$3:C1000,CONCATENATE("=",$A319))=0,"",C$2))</f>
        <v/>
      </c>
      <c r="D319" s="3" t="str">
        <f>IF($A319="","",IF(countif('Mens Lineup'!D$3:D1000,CONCATENATE("=",$A319))=0,"",D$2))</f>
        <v/>
      </c>
      <c r="E319" s="3" t="str">
        <f>IF($A319="","",IF(countif('Mens Lineup'!E$3:E1000,CONCATENATE("=",$A319))=0,"",E$2))</f>
        <v/>
      </c>
      <c r="F319" s="3" t="str">
        <f>IF($A319="","",IF(countif('Mens Lineup'!F$3:F1000,CONCATENATE("=",$A319))=0,"",F$2))</f>
        <v/>
      </c>
      <c r="G319" s="3" t="str">
        <f>IF($A319="","",IF(countif('Mens Lineup'!G$3:G1000,CONCATENATE("=",$A319))=0,"",G$2))</f>
        <v/>
      </c>
      <c r="H319" s="3" t="str">
        <f>IF($A319="","",IF(countif('Mens Lineup'!H$3:H1000,CONCATENATE("=",$A319))=0,"",H$2))</f>
        <v/>
      </c>
      <c r="I319" s="3" t="str">
        <f>IF($A319="","",IF(countif('Mens Lineup'!I$3:I1000,CONCATENATE("=",$A319))=0,"",I$2))</f>
        <v/>
      </c>
      <c r="J319" s="3" t="str">
        <f>IF($A319="","",IF(countif('Mens Lineup'!J$3:J1000,CONCATENATE("=",$A319))=0,"",J$2))</f>
        <v/>
      </c>
      <c r="K319" s="3" t="str">
        <f>IF($A319="","",IF(countif('Mens Lineup'!K$3:K1000,CONCATENATE("=",$A319))=0,"",K$2))</f>
        <v/>
      </c>
      <c r="L319" s="3" t="str">
        <f>IF($A319="","",IF(countif('Mens Lineup'!L$3:L1000,CONCATENATE("=",$A319))=0,"",L$2))</f>
        <v/>
      </c>
      <c r="M319" s="3" t="str">
        <f>IF($A319="","",IF(countif('Mens Lineup'!M$3:M1000,CONCATENATE("=",$A319))=0,"",M$2))</f>
        <v/>
      </c>
      <c r="N319" s="3" t="str">
        <f>IF($A319="","",IF(countif('Mens Lineup'!N$3:N1000,CONCATENATE("=",$A319))=0,"",N$2))</f>
        <v/>
      </c>
      <c r="O319" s="3" t="str">
        <f>IF($A319="","",IF(countif('Mens Lineup'!O$3:O1000,CONCATENATE("=",$A319))=0,"",O$2))</f>
        <v/>
      </c>
      <c r="P319" s="3" t="str">
        <f>IF($A319="","",IF(countif('Mens Lineup'!P$3:P1000,CONCATENATE("=",$A319))=0,"",P$2))</f>
        <v/>
      </c>
      <c r="Q319" s="3" t="str">
        <f>IF($A319="","",IF(countif('Mens Lineup'!Q$3:Q1000,CONCATENATE("=",$A319))=0,"",Q$2))</f>
        <v/>
      </c>
      <c r="R319" s="3" t="str">
        <f>IF($A319="","",IF(countif('Mens Lineup'!R$3:R1000,CONCATENATE("=",$A319))=0,"",R$2))</f>
        <v/>
      </c>
      <c r="S319" s="3" t="str">
        <f>IF($A319="","",IF(countif('Mens Lineup'!S$3:S1000,CONCATENATE("=",$A319))=0,"",S$2))</f>
        <v/>
      </c>
      <c r="W319" s="3" t="str">
        <f>IFERROR(__xludf.DUMMYFUNCTION("JOIN("","",FILTER(B319:S319,B319:S319&lt;&gt;""""))"),"#N/A")</f>
        <v>#N/A</v>
      </c>
    </row>
    <row r="320">
      <c r="A320" s="3"/>
      <c r="B320" s="3" t="str">
        <f>IF($A320="","",IF(countif('Mens Lineup'!B$3:B1000,CONCATENATE("=",$A320))=0,"",B$2))</f>
        <v/>
      </c>
      <c r="C320" s="3" t="str">
        <f>IF($A320="","",IF(countif('Mens Lineup'!C$3:C1000,CONCATENATE("=",$A320))=0,"",C$2))</f>
        <v/>
      </c>
      <c r="D320" s="3" t="str">
        <f>IF($A320="","",IF(countif('Mens Lineup'!D$3:D1000,CONCATENATE("=",$A320))=0,"",D$2))</f>
        <v/>
      </c>
      <c r="E320" s="3" t="str">
        <f>IF($A320="","",IF(countif('Mens Lineup'!E$3:E1000,CONCATENATE("=",$A320))=0,"",E$2))</f>
        <v/>
      </c>
      <c r="F320" s="3" t="str">
        <f>IF($A320="","",IF(countif('Mens Lineup'!F$3:F1000,CONCATENATE("=",$A320))=0,"",F$2))</f>
        <v/>
      </c>
      <c r="G320" s="3" t="str">
        <f>IF($A320="","",IF(countif('Mens Lineup'!G$3:G1000,CONCATENATE("=",$A320))=0,"",G$2))</f>
        <v/>
      </c>
      <c r="H320" s="3" t="str">
        <f>IF($A320="","",IF(countif('Mens Lineup'!H$3:H1000,CONCATENATE("=",$A320))=0,"",H$2))</f>
        <v/>
      </c>
      <c r="I320" s="3" t="str">
        <f>IF($A320="","",IF(countif('Mens Lineup'!I$3:I1000,CONCATENATE("=",$A320))=0,"",I$2))</f>
        <v/>
      </c>
      <c r="J320" s="3" t="str">
        <f>IF($A320="","",IF(countif('Mens Lineup'!J$3:J1000,CONCATENATE("=",$A320))=0,"",J$2))</f>
        <v/>
      </c>
      <c r="K320" s="3" t="str">
        <f>IF($A320="","",IF(countif('Mens Lineup'!K$3:K1000,CONCATENATE("=",$A320))=0,"",K$2))</f>
        <v/>
      </c>
      <c r="L320" s="3" t="str">
        <f>IF($A320="","",IF(countif('Mens Lineup'!L$3:L1000,CONCATENATE("=",$A320))=0,"",L$2))</f>
        <v/>
      </c>
      <c r="M320" s="3" t="str">
        <f>IF($A320="","",IF(countif('Mens Lineup'!M$3:M1000,CONCATENATE("=",$A320))=0,"",M$2))</f>
        <v/>
      </c>
      <c r="N320" s="3" t="str">
        <f>IF($A320="","",IF(countif('Mens Lineup'!N$3:N1000,CONCATENATE("=",$A320))=0,"",N$2))</f>
        <v/>
      </c>
      <c r="O320" s="3" t="str">
        <f>IF($A320="","",IF(countif('Mens Lineup'!O$3:O1000,CONCATENATE("=",$A320))=0,"",O$2))</f>
        <v/>
      </c>
      <c r="P320" s="3" t="str">
        <f>IF($A320="","",IF(countif('Mens Lineup'!P$3:P1000,CONCATENATE("=",$A320))=0,"",P$2))</f>
        <v/>
      </c>
      <c r="Q320" s="3" t="str">
        <f>IF($A320="","",IF(countif('Mens Lineup'!Q$3:Q1000,CONCATENATE("=",$A320))=0,"",Q$2))</f>
        <v/>
      </c>
      <c r="R320" s="3" t="str">
        <f>IF($A320="","",IF(countif('Mens Lineup'!R$3:R1000,CONCATENATE("=",$A320))=0,"",R$2))</f>
        <v/>
      </c>
      <c r="S320" s="3" t="str">
        <f>IF($A320="","",IF(countif('Mens Lineup'!S$3:S1000,CONCATENATE("=",$A320))=0,"",S$2))</f>
        <v/>
      </c>
      <c r="W320" s="3" t="str">
        <f>IFERROR(__xludf.DUMMYFUNCTION("JOIN("","",FILTER(B320:S320,B320:S320&lt;&gt;""""))"),"#N/A")</f>
        <v>#N/A</v>
      </c>
    </row>
    <row r="321">
      <c r="A321" s="3"/>
      <c r="B321" s="3" t="str">
        <f>IF($A321="","",IF(countif('Mens Lineup'!B$3:B1000,CONCATENATE("=",$A321))=0,"",B$2))</f>
        <v/>
      </c>
      <c r="C321" s="3" t="str">
        <f>IF($A321="","",IF(countif('Mens Lineup'!C$3:C1000,CONCATENATE("=",$A321))=0,"",C$2))</f>
        <v/>
      </c>
      <c r="D321" s="3" t="str">
        <f>IF($A321="","",IF(countif('Mens Lineup'!D$3:D1000,CONCATENATE("=",$A321))=0,"",D$2))</f>
        <v/>
      </c>
      <c r="E321" s="3" t="str">
        <f>IF($A321="","",IF(countif('Mens Lineup'!E$3:E1000,CONCATENATE("=",$A321))=0,"",E$2))</f>
        <v/>
      </c>
      <c r="F321" s="3" t="str">
        <f>IF($A321="","",IF(countif('Mens Lineup'!F$3:F1000,CONCATENATE("=",$A321))=0,"",F$2))</f>
        <v/>
      </c>
      <c r="G321" s="3" t="str">
        <f>IF($A321="","",IF(countif('Mens Lineup'!G$3:G1000,CONCATENATE("=",$A321))=0,"",G$2))</f>
        <v/>
      </c>
      <c r="H321" s="3" t="str">
        <f>IF($A321="","",IF(countif('Mens Lineup'!H$3:H1000,CONCATENATE("=",$A321))=0,"",H$2))</f>
        <v/>
      </c>
      <c r="I321" s="3" t="str">
        <f>IF($A321="","",IF(countif('Mens Lineup'!I$3:I1000,CONCATENATE("=",$A321))=0,"",I$2))</f>
        <v/>
      </c>
      <c r="J321" s="3" t="str">
        <f>IF($A321="","",IF(countif('Mens Lineup'!J$3:J1000,CONCATENATE("=",$A321))=0,"",J$2))</f>
        <v/>
      </c>
      <c r="K321" s="3" t="str">
        <f>IF($A321="","",IF(countif('Mens Lineup'!K$3:K1000,CONCATENATE("=",$A321))=0,"",K$2))</f>
        <v/>
      </c>
      <c r="L321" s="3" t="str">
        <f>IF($A321="","",IF(countif('Mens Lineup'!L$3:L1000,CONCATENATE("=",$A321))=0,"",L$2))</f>
        <v/>
      </c>
      <c r="M321" s="3" t="str">
        <f>IF($A321="","",IF(countif('Mens Lineup'!M$3:M1000,CONCATENATE("=",$A321))=0,"",M$2))</f>
        <v/>
      </c>
      <c r="N321" s="3" t="str">
        <f>IF($A321="","",IF(countif('Mens Lineup'!N$3:N1000,CONCATENATE("=",$A321))=0,"",N$2))</f>
        <v/>
      </c>
      <c r="O321" s="3" t="str">
        <f>IF($A321="","",IF(countif('Mens Lineup'!O$3:O1000,CONCATENATE("=",$A321))=0,"",O$2))</f>
        <v/>
      </c>
      <c r="P321" s="3" t="str">
        <f>IF($A321="","",IF(countif('Mens Lineup'!P$3:P1000,CONCATENATE("=",$A321))=0,"",P$2))</f>
        <v/>
      </c>
      <c r="Q321" s="3" t="str">
        <f>IF($A321="","",IF(countif('Mens Lineup'!Q$3:Q1000,CONCATENATE("=",$A321))=0,"",Q$2))</f>
        <v/>
      </c>
      <c r="R321" s="3" t="str">
        <f>IF($A321="","",IF(countif('Mens Lineup'!R$3:R1000,CONCATENATE("=",$A321))=0,"",R$2))</f>
        <v/>
      </c>
      <c r="S321" s="3" t="str">
        <f>IF($A321="","",IF(countif('Mens Lineup'!S$3:S1000,CONCATENATE("=",$A321))=0,"",S$2))</f>
        <v/>
      </c>
      <c r="W321" s="3" t="str">
        <f>IFERROR(__xludf.DUMMYFUNCTION("JOIN("","",FILTER(B321:S321,B321:S321&lt;&gt;""""))"),"#N/A")</f>
        <v>#N/A</v>
      </c>
    </row>
    <row r="322">
      <c r="A322" s="3"/>
      <c r="B322" s="3" t="str">
        <f>IF($A322="","",IF(countif('Mens Lineup'!B$3:B1000,CONCATENATE("=",$A322))=0,"",B$2))</f>
        <v/>
      </c>
      <c r="C322" s="3" t="str">
        <f>IF($A322="","",IF(countif('Mens Lineup'!C$3:C1000,CONCATENATE("=",$A322))=0,"",C$2))</f>
        <v/>
      </c>
      <c r="D322" s="3" t="str">
        <f>IF($A322="","",IF(countif('Mens Lineup'!D$3:D1000,CONCATENATE("=",$A322))=0,"",D$2))</f>
        <v/>
      </c>
      <c r="E322" s="3" t="str">
        <f>IF($A322="","",IF(countif('Mens Lineup'!E$3:E1000,CONCATENATE("=",$A322))=0,"",E$2))</f>
        <v/>
      </c>
      <c r="F322" s="3" t="str">
        <f>IF($A322="","",IF(countif('Mens Lineup'!F$3:F1000,CONCATENATE("=",$A322))=0,"",F$2))</f>
        <v/>
      </c>
      <c r="G322" s="3" t="str">
        <f>IF($A322="","",IF(countif('Mens Lineup'!G$3:G1000,CONCATENATE("=",$A322))=0,"",G$2))</f>
        <v/>
      </c>
      <c r="H322" s="3" t="str">
        <f>IF($A322="","",IF(countif('Mens Lineup'!H$3:H1000,CONCATENATE("=",$A322))=0,"",H$2))</f>
        <v/>
      </c>
      <c r="I322" s="3" t="str">
        <f>IF($A322="","",IF(countif('Mens Lineup'!I$3:I1000,CONCATENATE("=",$A322))=0,"",I$2))</f>
        <v/>
      </c>
      <c r="J322" s="3" t="str">
        <f>IF($A322="","",IF(countif('Mens Lineup'!J$3:J1000,CONCATENATE("=",$A322))=0,"",J$2))</f>
        <v/>
      </c>
      <c r="K322" s="3" t="str">
        <f>IF($A322="","",IF(countif('Mens Lineup'!K$3:K1000,CONCATENATE("=",$A322))=0,"",K$2))</f>
        <v/>
      </c>
      <c r="L322" s="3" t="str">
        <f>IF($A322="","",IF(countif('Mens Lineup'!L$3:L1000,CONCATENATE("=",$A322))=0,"",L$2))</f>
        <v/>
      </c>
      <c r="M322" s="3" t="str">
        <f>IF($A322="","",IF(countif('Mens Lineup'!M$3:M1000,CONCATENATE("=",$A322))=0,"",M$2))</f>
        <v/>
      </c>
      <c r="N322" s="3" t="str">
        <f>IF($A322="","",IF(countif('Mens Lineup'!N$3:N1000,CONCATENATE("=",$A322))=0,"",N$2))</f>
        <v/>
      </c>
      <c r="O322" s="3" t="str">
        <f>IF($A322="","",IF(countif('Mens Lineup'!O$3:O1000,CONCATENATE("=",$A322))=0,"",O$2))</f>
        <v/>
      </c>
      <c r="P322" s="3" t="str">
        <f>IF($A322="","",IF(countif('Mens Lineup'!P$3:P1000,CONCATENATE("=",$A322))=0,"",P$2))</f>
        <v/>
      </c>
      <c r="Q322" s="3" t="str">
        <f>IF($A322="","",IF(countif('Mens Lineup'!Q$3:Q1000,CONCATENATE("=",$A322))=0,"",Q$2))</f>
        <v/>
      </c>
      <c r="R322" s="3" t="str">
        <f>IF($A322="","",IF(countif('Mens Lineup'!R$3:R1000,CONCATENATE("=",$A322))=0,"",R$2))</f>
        <v/>
      </c>
      <c r="S322" s="3" t="str">
        <f>IF($A322="","",IF(countif('Mens Lineup'!S$3:S1000,CONCATENATE("=",$A322))=0,"",S$2))</f>
        <v/>
      </c>
      <c r="W322" s="3" t="str">
        <f>IFERROR(__xludf.DUMMYFUNCTION("JOIN("","",FILTER(B322:S322,B322:S322&lt;&gt;""""))"),"#N/A")</f>
        <v>#N/A</v>
      </c>
    </row>
    <row r="323">
      <c r="A323" s="3"/>
      <c r="B323" s="3" t="str">
        <f>IF($A323="","",IF(countif('Mens Lineup'!B$3:B1000,CONCATENATE("=",$A323))=0,"",B$2))</f>
        <v/>
      </c>
      <c r="C323" s="3" t="str">
        <f>IF($A323="","",IF(countif('Mens Lineup'!C$3:C1000,CONCATENATE("=",$A323))=0,"",C$2))</f>
        <v/>
      </c>
      <c r="D323" s="3" t="str">
        <f>IF($A323="","",IF(countif('Mens Lineup'!D$3:D1000,CONCATENATE("=",$A323))=0,"",D$2))</f>
        <v/>
      </c>
      <c r="E323" s="3" t="str">
        <f>IF($A323="","",IF(countif('Mens Lineup'!E$3:E1000,CONCATENATE("=",$A323))=0,"",E$2))</f>
        <v/>
      </c>
      <c r="F323" s="3" t="str">
        <f>IF($A323="","",IF(countif('Mens Lineup'!F$3:F1000,CONCATENATE("=",$A323))=0,"",F$2))</f>
        <v/>
      </c>
      <c r="G323" s="3" t="str">
        <f>IF($A323="","",IF(countif('Mens Lineup'!G$3:G1000,CONCATENATE("=",$A323))=0,"",G$2))</f>
        <v/>
      </c>
      <c r="H323" s="3" t="str">
        <f>IF($A323="","",IF(countif('Mens Lineup'!H$3:H1000,CONCATENATE("=",$A323))=0,"",H$2))</f>
        <v/>
      </c>
      <c r="I323" s="3" t="str">
        <f>IF($A323="","",IF(countif('Mens Lineup'!I$3:I1000,CONCATENATE("=",$A323))=0,"",I$2))</f>
        <v/>
      </c>
      <c r="J323" s="3" t="str">
        <f>IF($A323="","",IF(countif('Mens Lineup'!J$3:J1000,CONCATENATE("=",$A323))=0,"",J$2))</f>
        <v/>
      </c>
      <c r="K323" s="3" t="str">
        <f>IF($A323="","",IF(countif('Mens Lineup'!K$3:K1000,CONCATENATE("=",$A323))=0,"",K$2))</f>
        <v/>
      </c>
      <c r="L323" s="3" t="str">
        <f>IF($A323="","",IF(countif('Mens Lineup'!L$3:L1000,CONCATENATE("=",$A323))=0,"",L$2))</f>
        <v/>
      </c>
      <c r="M323" s="3" t="str">
        <f>IF($A323="","",IF(countif('Mens Lineup'!M$3:M1000,CONCATENATE("=",$A323))=0,"",M$2))</f>
        <v/>
      </c>
      <c r="N323" s="3" t="str">
        <f>IF($A323="","",IF(countif('Mens Lineup'!N$3:N1000,CONCATENATE("=",$A323))=0,"",N$2))</f>
        <v/>
      </c>
      <c r="O323" s="3" t="str">
        <f>IF($A323="","",IF(countif('Mens Lineup'!O$3:O1000,CONCATENATE("=",$A323))=0,"",O$2))</f>
        <v/>
      </c>
      <c r="P323" s="3" t="str">
        <f>IF($A323="","",IF(countif('Mens Lineup'!P$3:P1000,CONCATENATE("=",$A323))=0,"",P$2))</f>
        <v/>
      </c>
      <c r="Q323" s="3" t="str">
        <f>IF($A323="","",IF(countif('Mens Lineup'!Q$3:Q1000,CONCATENATE("=",$A323))=0,"",Q$2))</f>
        <v/>
      </c>
      <c r="R323" s="3" t="str">
        <f>IF($A323="","",IF(countif('Mens Lineup'!R$3:R1000,CONCATENATE("=",$A323))=0,"",R$2))</f>
        <v/>
      </c>
      <c r="S323" s="3" t="str">
        <f>IF($A323="","",IF(countif('Mens Lineup'!S$3:S1000,CONCATENATE("=",$A323))=0,"",S$2))</f>
        <v/>
      </c>
      <c r="W323" s="3" t="str">
        <f>IFERROR(__xludf.DUMMYFUNCTION("JOIN("","",FILTER(B323:S323,B323:S323&lt;&gt;""""))"),"#N/A")</f>
        <v>#N/A</v>
      </c>
    </row>
    <row r="324">
      <c r="A324" s="3"/>
      <c r="B324" s="3" t="str">
        <f>IF($A324="","",IF(countif('Mens Lineup'!B$3:B1000,CONCATENATE("=",$A324))=0,"",B$2))</f>
        <v/>
      </c>
      <c r="C324" s="3" t="str">
        <f>IF($A324="","",IF(countif('Mens Lineup'!C$3:C1000,CONCATENATE("=",$A324))=0,"",C$2))</f>
        <v/>
      </c>
      <c r="D324" s="3" t="str">
        <f>IF($A324="","",IF(countif('Mens Lineup'!D$3:D1000,CONCATENATE("=",$A324))=0,"",D$2))</f>
        <v/>
      </c>
      <c r="E324" s="3" t="str">
        <f>IF($A324="","",IF(countif('Mens Lineup'!E$3:E1000,CONCATENATE("=",$A324))=0,"",E$2))</f>
        <v/>
      </c>
      <c r="F324" s="3" t="str">
        <f>IF($A324="","",IF(countif('Mens Lineup'!F$3:F1000,CONCATENATE("=",$A324))=0,"",F$2))</f>
        <v/>
      </c>
      <c r="G324" s="3" t="str">
        <f>IF($A324="","",IF(countif('Mens Lineup'!G$3:G1000,CONCATENATE("=",$A324))=0,"",G$2))</f>
        <v/>
      </c>
      <c r="H324" s="3" t="str">
        <f>IF($A324="","",IF(countif('Mens Lineup'!H$3:H1000,CONCATENATE("=",$A324))=0,"",H$2))</f>
        <v/>
      </c>
      <c r="I324" s="3" t="str">
        <f>IF($A324="","",IF(countif('Mens Lineup'!I$3:I1000,CONCATENATE("=",$A324))=0,"",I$2))</f>
        <v/>
      </c>
      <c r="J324" s="3" t="str">
        <f>IF($A324="","",IF(countif('Mens Lineup'!J$3:J1000,CONCATENATE("=",$A324))=0,"",J$2))</f>
        <v/>
      </c>
      <c r="K324" s="3" t="str">
        <f>IF($A324="","",IF(countif('Mens Lineup'!K$3:K1000,CONCATENATE("=",$A324))=0,"",K$2))</f>
        <v/>
      </c>
      <c r="L324" s="3" t="str">
        <f>IF($A324="","",IF(countif('Mens Lineup'!L$3:L1000,CONCATENATE("=",$A324))=0,"",L$2))</f>
        <v/>
      </c>
      <c r="M324" s="3" t="str">
        <f>IF($A324="","",IF(countif('Mens Lineup'!M$3:M1000,CONCATENATE("=",$A324))=0,"",M$2))</f>
        <v/>
      </c>
      <c r="N324" s="3" t="str">
        <f>IF($A324="","",IF(countif('Mens Lineup'!N$3:N1000,CONCATENATE("=",$A324))=0,"",N$2))</f>
        <v/>
      </c>
      <c r="O324" s="3" t="str">
        <f>IF($A324="","",IF(countif('Mens Lineup'!O$3:O1000,CONCATENATE("=",$A324))=0,"",O$2))</f>
        <v/>
      </c>
      <c r="P324" s="3" t="str">
        <f>IF($A324="","",IF(countif('Mens Lineup'!P$3:P1000,CONCATENATE("=",$A324))=0,"",P$2))</f>
        <v/>
      </c>
      <c r="Q324" s="3" t="str">
        <f>IF($A324="","",IF(countif('Mens Lineup'!Q$3:Q1000,CONCATENATE("=",$A324))=0,"",Q$2))</f>
        <v/>
      </c>
      <c r="R324" s="3" t="str">
        <f>IF($A324="","",IF(countif('Mens Lineup'!R$3:R1000,CONCATENATE("=",$A324))=0,"",R$2))</f>
        <v/>
      </c>
      <c r="S324" s="3" t="str">
        <f>IF($A324="","",IF(countif('Mens Lineup'!S$3:S1000,CONCATENATE("=",$A324))=0,"",S$2))</f>
        <v/>
      </c>
      <c r="W324" s="3" t="str">
        <f>IFERROR(__xludf.DUMMYFUNCTION("JOIN("","",FILTER(B324:S324,B324:S324&lt;&gt;""""))"),"#N/A")</f>
        <v>#N/A</v>
      </c>
    </row>
    <row r="325">
      <c r="A325" s="3"/>
      <c r="B325" s="3" t="str">
        <f>IF($A325="","",IF(countif('Mens Lineup'!B$3:B1000,CONCATENATE("=",$A325))=0,"",B$2))</f>
        <v/>
      </c>
      <c r="C325" s="3" t="str">
        <f>IF($A325="","",IF(countif('Mens Lineup'!C$3:C1000,CONCATENATE("=",$A325))=0,"",C$2))</f>
        <v/>
      </c>
      <c r="D325" s="3" t="str">
        <f>IF($A325="","",IF(countif('Mens Lineup'!D$3:D1000,CONCATENATE("=",$A325))=0,"",D$2))</f>
        <v/>
      </c>
      <c r="E325" s="3" t="str">
        <f>IF($A325="","",IF(countif('Mens Lineup'!E$3:E1000,CONCATENATE("=",$A325))=0,"",E$2))</f>
        <v/>
      </c>
      <c r="F325" s="3" t="str">
        <f>IF($A325="","",IF(countif('Mens Lineup'!F$3:F1000,CONCATENATE("=",$A325))=0,"",F$2))</f>
        <v/>
      </c>
      <c r="G325" s="3" t="str">
        <f>IF($A325="","",IF(countif('Mens Lineup'!G$3:G1000,CONCATENATE("=",$A325))=0,"",G$2))</f>
        <v/>
      </c>
      <c r="H325" s="3" t="str">
        <f>IF($A325="","",IF(countif('Mens Lineup'!H$3:H1000,CONCATENATE("=",$A325))=0,"",H$2))</f>
        <v/>
      </c>
      <c r="I325" s="3" t="str">
        <f>IF($A325="","",IF(countif('Mens Lineup'!I$3:I1000,CONCATENATE("=",$A325))=0,"",I$2))</f>
        <v/>
      </c>
      <c r="J325" s="3" t="str">
        <f>IF($A325="","",IF(countif('Mens Lineup'!J$3:J1000,CONCATENATE("=",$A325))=0,"",J$2))</f>
        <v/>
      </c>
      <c r="K325" s="3" t="str">
        <f>IF($A325="","",IF(countif('Mens Lineup'!K$3:K1000,CONCATENATE("=",$A325))=0,"",K$2))</f>
        <v/>
      </c>
      <c r="L325" s="3" t="str">
        <f>IF($A325="","",IF(countif('Mens Lineup'!L$3:L1000,CONCATENATE("=",$A325))=0,"",L$2))</f>
        <v/>
      </c>
      <c r="M325" s="3" t="str">
        <f>IF($A325="","",IF(countif('Mens Lineup'!M$3:M1000,CONCATENATE("=",$A325))=0,"",M$2))</f>
        <v/>
      </c>
      <c r="N325" s="3" t="str">
        <f>IF($A325="","",IF(countif('Mens Lineup'!N$3:N1000,CONCATENATE("=",$A325))=0,"",N$2))</f>
        <v/>
      </c>
      <c r="O325" s="3" t="str">
        <f>IF($A325="","",IF(countif('Mens Lineup'!O$3:O1000,CONCATENATE("=",$A325))=0,"",O$2))</f>
        <v/>
      </c>
      <c r="P325" s="3" t="str">
        <f>IF($A325="","",IF(countif('Mens Lineup'!P$3:P1000,CONCATENATE("=",$A325))=0,"",P$2))</f>
        <v/>
      </c>
      <c r="Q325" s="3" t="str">
        <f>IF($A325="","",IF(countif('Mens Lineup'!Q$3:Q1000,CONCATENATE("=",$A325))=0,"",Q$2))</f>
        <v/>
      </c>
      <c r="R325" s="3" t="str">
        <f>IF($A325="","",IF(countif('Mens Lineup'!R$3:R1000,CONCATENATE("=",$A325))=0,"",R$2))</f>
        <v/>
      </c>
      <c r="S325" s="3" t="str">
        <f>IF($A325="","",IF(countif('Mens Lineup'!S$3:S1000,CONCATENATE("=",$A325))=0,"",S$2))</f>
        <v/>
      </c>
      <c r="W325" s="3" t="str">
        <f>IFERROR(__xludf.DUMMYFUNCTION("JOIN("","",FILTER(B325:S325,B325:S325&lt;&gt;""""))"),"#N/A")</f>
        <v>#N/A</v>
      </c>
    </row>
    <row r="326">
      <c r="A326" s="3"/>
      <c r="B326" s="3" t="str">
        <f>IF($A326="","",IF(countif('Mens Lineup'!B$3:B1000,CONCATENATE("=",$A326))=0,"",B$2))</f>
        <v/>
      </c>
      <c r="C326" s="3" t="str">
        <f>IF($A326="","",IF(countif('Mens Lineup'!C$3:C1000,CONCATENATE("=",$A326))=0,"",C$2))</f>
        <v/>
      </c>
      <c r="D326" s="3" t="str">
        <f>IF($A326="","",IF(countif('Mens Lineup'!D$3:D1000,CONCATENATE("=",$A326))=0,"",D$2))</f>
        <v/>
      </c>
      <c r="E326" s="3" t="str">
        <f>IF($A326="","",IF(countif('Mens Lineup'!E$3:E1000,CONCATENATE("=",$A326))=0,"",E$2))</f>
        <v/>
      </c>
      <c r="F326" s="3" t="str">
        <f>IF($A326="","",IF(countif('Mens Lineup'!F$3:F1000,CONCATENATE("=",$A326))=0,"",F$2))</f>
        <v/>
      </c>
      <c r="G326" s="3" t="str">
        <f>IF($A326="","",IF(countif('Mens Lineup'!G$3:G1000,CONCATENATE("=",$A326))=0,"",G$2))</f>
        <v/>
      </c>
      <c r="H326" s="3" t="str">
        <f>IF($A326="","",IF(countif('Mens Lineup'!H$3:H1000,CONCATENATE("=",$A326))=0,"",H$2))</f>
        <v/>
      </c>
      <c r="I326" s="3" t="str">
        <f>IF($A326="","",IF(countif('Mens Lineup'!I$3:I1000,CONCATENATE("=",$A326))=0,"",I$2))</f>
        <v/>
      </c>
      <c r="J326" s="3" t="str">
        <f>IF($A326="","",IF(countif('Mens Lineup'!J$3:J1000,CONCATENATE("=",$A326))=0,"",J$2))</f>
        <v/>
      </c>
      <c r="K326" s="3" t="str">
        <f>IF($A326="","",IF(countif('Mens Lineup'!K$3:K1000,CONCATENATE("=",$A326))=0,"",K$2))</f>
        <v/>
      </c>
      <c r="L326" s="3" t="str">
        <f>IF($A326="","",IF(countif('Mens Lineup'!L$3:L1000,CONCATENATE("=",$A326))=0,"",L$2))</f>
        <v/>
      </c>
      <c r="M326" s="3" t="str">
        <f>IF($A326="","",IF(countif('Mens Lineup'!M$3:M1000,CONCATENATE("=",$A326))=0,"",M$2))</f>
        <v/>
      </c>
      <c r="N326" s="3" t="str">
        <f>IF($A326="","",IF(countif('Mens Lineup'!N$3:N1000,CONCATENATE("=",$A326))=0,"",N$2))</f>
        <v/>
      </c>
      <c r="O326" s="3" t="str">
        <f>IF($A326="","",IF(countif('Mens Lineup'!O$3:O1000,CONCATENATE("=",$A326))=0,"",O$2))</f>
        <v/>
      </c>
      <c r="P326" s="3" t="str">
        <f>IF($A326="","",IF(countif('Mens Lineup'!P$3:P1000,CONCATENATE("=",$A326))=0,"",P$2))</f>
        <v/>
      </c>
      <c r="Q326" s="3" t="str">
        <f>IF($A326="","",IF(countif('Mens Lineup'!Q$3:Q1000,CONCATENATE("=",$A326))=0,"",Q$2))</f>
        <v/>
      </c>
      <c r="R326" s="3" t="str">
        <f>IF($A326="","",IF(countif('Mens Lineup'!R$3:R1000,CONCATENATE("=",$A326))=0,"",R$2))</f>
        <v/>
      </c>
      <c r="S326" s="3" t="str">
        <f>IF($A326="","",IF(countif('Mens Lineup'!S$3:S1000,CONCATENATE("=",$A326))=0,"",S$2))</f>
        <v/>
      </c>
      <c r="W326" s="3" t="str">
        <f>IFERROR(__xludf.DUMMYFUNCTION("JOIN("","",FILTER(B326:S326,B326:S326&lt;&gt;""""))"),"#N/A")</f>
        <v>#N/A</v>
      </c>
    </row>
    <row r="327">
      <c r="A327" s="3"/>
      <c r="B327" s="3" t="str">
        <f>IF($A327="","",IF(countif('Mens Lineup'!B$3:B1000,CONCATENATE("=",$A327))=0,"",B$2))</f>
        <v/>
      </c>
      <c r="C327" s="3" t="str">
        <f>IF($A327="","",IF(countif('Mens Lineup'!C$3:C1000,CONCATENATE("=",$A327))=0,"",C$2))</f>
        <v/>
      </c>
      <c r="D327" s="3" t="str">
        <f>IF($A327="","",IF(countif('Mens Lineup'!D$3:D1000,CONCATENATE("=",$A327))=0,"",D$2))</f>
        <v/>
      </c>
      <c r="E327" s="3" t="str">
        <f>IF($A327="","",IF(countif('Mens Lineup'!E$3:E1000,CONCATENATE("=",$A327))=0,"",E$2))</f>
        <v/>
      </c>
      <c r="F327" s="3" t="str">
        <f>IF($A327="","",IF(countif('Mens Lineup'!F$3:F1000,CONCATENATE("=",$A327))=0,"",F$2))</f>
        <v/>
      </c>
      <c r="G327" s="3" t="str">
        <f>IF($A327="","",IF(countif('Mens Lineup'!G$3:G1000,CONCATENATE("=",$A327))=0,"",G$2))</f>
        <v/>
      </c>
      <c r="H327" s="3" t="str">
        <f>IF($A327="","",IF(countif('Mens Lineup'!H$3:H1000,CONCATENATE("=",$A327))=0,"",H$2))</f>
        <v/>
      </c>
      <c r="I327" s="3" t="str">
        <f>IF($A327="","",IF(countif('Mens Lineup'!I$3:I1000,CONCATENATE("=",$A327))=0,"",I$2))</f>
        <v/>
      </c>
      <c r="J327" s="3" t="str">
        <f>IF($A327="","",IF(countif('Mens Lineup'!J$3:J1000,CONCATENATE("=",$A327))=0,"",J$2))</f>
        <v/>
      </c>
      <c r="K327" s="3" t="str">
        <f>IF($A327="","",IF(countif('Mens Lineup'!K$3:K1000,CONCATENATE("=",$A327))=0,"",K$2))</f>
        <v/>
      </c>
      <c r="L327" s="3" t="str">
        <f>IF($A327="","",IF(countif('Mens Lineup'!L$3:L1000,CONCATENATE("=",$A327))=0,"",L$2))</f>
        <v/>
      </c>
      <c r="M327" s="3" t="str">
        <f>IF($A327="","",IF(countif('Mens Lineup'!M$3:M1000,CONCATENATE("=",$A327))=0,"",M$2))</f>
        <v/>
      </c>
      <c r="N327" s="3" t="str">
        <f>IF($A327="","",IF(countif('Mens Lineup'!N$3:N1000,CONCATENATE("=",$A327))=0,"",N$2))</f>
        <v/>
      </c>
      <c r="O327" s="3" t="str">
        <f>IF($A327="","",IF(countif('Mens Lineup'!O$3:O1000,CONCATENATE("=",$A327))=0,"",O$2))</f>
        <v/>
      </c>
      <c r="P327" s="3" t="str">
        <f>IF($A327="","",IF(countif('Mens Lineup'!P$3:P1000,CONCATENATE("=",$A327))=0,"",P$2))</f>
        <v/>
      </c>
      <c r="Q327" s="3" t="str">
        <f>IF($A327="","",IF(countif('Mens Lineup'!Q$3:Q1000,CONCATENATE("=",$A327))=0,"",Q$2))</f>
        <v/>
      </c>
      <c r="R327" s="3" t="str">
        <f>IF($A327="","",IF(countif('Mens Lineup'!R$3:R1000,CONCATENATE("=",$A327))=0,"",R$2))</f>
        <v/>
      </c>
      <c r="S327" s="3" t="str">
        <f>IF($A327="","",IF(countif('Mens Lineup'!S$3:S1000,CONCATENATE("=",$A327))=0,"",S$2))</f>
        <v/>
      </c>
      <c r="W327" s="3" t="str">
        <f>IFERROR(__xludf.DUMMYFUNCTION("JOIN("","",FILTER(B327:S327,B327:S327&lt;&gt;""""))"),"#N/A")</f>
        <v>#N/A</v>
      </c>
    </row>
    <row r="328">
      <c r="A328" s="3"/>
      <c r="B328" s="3" t="str">
        <f>IF($A328="","",IF(countif('Mens Lineup'!B$3:B1000,CONCATENATE("=",$A328))=0,"",B$2))</f>
        <v/>
      </c>
      <c r="C328" s="3" t="str">
        <f>IF($A328="","",IF(countif('Mens Lineup'!C$3:C1000,CONCATENATE("=",$A328))=0,"",C$2))</f>
        <v/>
      </c>
      <c r="D328" s="3" t="str">
        <f>IF($A328="","",IF(countif('Mens Lineup'!D$3:D1000,CONCATENATE("=",$A328))=0,"",D$2))</f>
        <v/>
      </c>
      <c r="E328" s="3" t="str">
        <f>IF($A328="","",IF(countif('Mens Lineup'!E$3:E1000,CONCATENATE("=",$A328))=0,"",E$2))</f>
        <v/>
      </c>
      <c r="F328" s="3" t="str">
        <f>IF($A328="","",IF(countif('Mens Lineup'!F$3:F1000,CONCATENATE("=",$A328))=0,"",F$2))</f>
        <v/>
      </c>
      <c r="G328" s="3" t="str">
        <f>IF($A328="","",IF(countif('Mens Lineup'!G$3:G1000,CONCATENATE("=",$A328))=0,"",G$2))</f>
        <v/>
      </c>
      <c r="H328" s="3" t="str">
        <f>IF($A328="","",IF(countif('Mens Lineup'!H$3:H1000,CONCATENATE("=",$A328))=0,"",H$2))</f>
        <v/>
      </c>
      <c r="I328" s="3" t="str">
        <f>IF($A328="","",IF(countif('Mens Lineup'!I$3:I1000,CONCATENATE("=",$A328))=0,"",I$2))</f>
        <v/>
      </c>
      <c r="J328" s="3" t="str">
        <f>IF($A328="","",IF(countif('Mens Lineup'!J$3:J1000,CONCATENATE("=",$A328))=0,"",J$2))</f>
        <v/>
      </c>
      <c r="K328" s="3" t="str">
        <f>IF($A328="","",IF(countif('Mens Lineup'!K$3:K1000,CONCATENATE("=",$A328))=0,"",K$2))</f>
        <v/>
      </c>
      <c r="L328" s="3" t="str">
        <f>IF($A328="","",IF(countif('Mens Lineup'!L$3:L1000,CONCATENATE("=",$A328))=0,"",L$2))</f>
        <v/>
      </c>
      <c r="M328" s="3" t="str">
        <f>IF($A328="","",IF(countif('Mens Lineup'!M$3:M1000,CONCATENATE("=",$A328))=0,"",M$2))</f>
        <v/>
      </c>
      <c r="N328" s="3" t="str">
        <f>IF($A328="","",IF(countif('Mens Lineup'!N$3:N1000,CONCATENATE("=",$A328))=0,"",N$2))</f>
        <v/>
      </c>
      <c r="O328" s="3" t="str">
        <f>IF($A328="","",IF(countif('Mens Lineup'!O$3:O1000,CONCATENATE("=",$A328))=0,"",O$2))</f>
        <v/>
      </c>
      <c r="P328" s="3" t="str">
        <f>IF($A328="","",IF(countif('Mens Lineup'!P$3:P1000,CONCATENATE("=",$A328))=0,"",P$2))</f>
        <v/>
      </c>
      <c r="Q328" s="3" t="str">
        <f>IF($A328="","",IF(countif('Mens Lineup'!Q$3:Q1000,CONCATENATE("=",$A328))=0,"",Q$2))</f>
        <v/>
      </c>
      <c r="R328" s="3" t="str">
        <f>IF($A328="","",IF(countif('Mens Lineup'!R$3:R1000,CONCATENATE("=",$A328))=0,"",R$2))</f>
        <v/>
      </c>
      <c r="S328" s="3" t="str">
        <f>IF($A328="","",IF(countif('Mens Lineup'!S$3:S1000,CONCATENATE("=",$A328))=0,"",S$2))</f>
        <v/>
      </c>
      <c r="W328" s="3" t="str">
        <f>IFERROR(__xludf.DUMMYFUNCTION("JOIN("","",FILTER(B328:S328,B328:S328&lt;&gt;""""))"),"#N/A")</f>
        <v>#N/A</v>
      </c>
    </row>
    <row r="329">
      <c r="A329" s="3"/>
      <c r="B329" s="3" t="str">
        <f>IF($A329="","",IF(countif('Mens Lineup'!B$3:B1000,CONCATENATE("=",$A329))=0,"",B$2))</f>
        <v/>
      </c>
      <c r="C329" s="3" t="str">
        <f>IF($A329="","",IF(countif('Mens Lineup'!C$3:C1000,CONCATENATE("=",$A329))=0,"",C$2))</f>
        <v/>
      </c>
      <c r="D329" s="3" t="str">
        <f>IF($A329="","",IF(countif('Mens Lineup'!D$3:D1000,CONCATENATE("=",$A329))=0,"",D$2))</f>
        <v/>
      </c>
      <c r="E329" s="3" t="str">
        <f>IF($A329="","",IF(countif('Mens Lineup'!E$3:E1000,CONCATENATE("=",$A329))=0,"",E$2))</f>
        <v/>
      </c>
      <c r="F329" s="3" t="str">
        <f>IF($A329="","",IF(countif('Mens Lineup'!F$3:F1000,CONCATENATE("=",$A329))=0,"",F$2))</f>
        <v/>
      </c>
      <c r="G329" s="3" t="str">
        <f>IF($A329="","",IF(countif('Mens Lineup'!G$3:G1000,CONCATENATE("=",$A329))=0,"",G$2))</f>
        <v/>
      </c>
      <c r="H329" s="3" t="str">
        <f>IF($A329="","",IF(countif('Mens Lineup'!H$3:H1000,CONCATENATE("=",$A329))=0,"",H$2))</f>
        <v/>
      </c>
      <c r="I329" s="3" t="str">
        <f>IF($A329="","",IF(countif('Mens Lineup'!I$3:I1000,CONCATENATE("=",$A329))=0,"",I$2))</f>
        <v/>
      </c>
      <c r="J329" s="3" t="str">
        <f>IF($A329="","",IF(countif('Mens Lineup'!J$3:J1000,CONCATENATE("=",$A329))=0,"",J$2))</f>
        <v/>
      </c>
      <c r="K329" s="3" t="str">
        <f>IF($A329="","",IF(countif('Mens Lineup'!K$3:K1000,CONCATENATE("=",$A329))=0,"",K$2))</f>
        <v/>
      </c>
      <c r="L329" s="3" t="str">
        <f>IF($A329="","",IF(countif('Mens Lineup'!L$3:L1000,CONCATENATE("=",$A329))=0,"",L$2))</f>
        <v/>
      </c>
      <c r="M329" s="3" t="str">
        <f>IF($A329="","",IF(countif('Mens Lineup'!M$3:M1000,CONCATENATE("=",$A329))=0,"",M$2))</f>
        <v/>
      </c>
      <c r="N329" s="3" t="str">
        <f>IF($A329="","",IF(countif('Mens Lineup'!N$3:N1000,CONCATENATE("=",$A329))=0,"",N$2))</f>
        <v/>
      </c>
      <c r="O329" s="3" t="str">
        <f>IF($A329="","",IF(countif('Mens Lineup'!O$3:O1000,CONCATENATE("=",$A329))=0,"",O$2))</f>
        <v/>
      </c>
      <c r="P329" s="3" t="str">
        <f>IF($A329="","",IF(countif('Mens Lineup'!P$3:P1000,CONCATENATE("=",$A329))=0,"",P$2))</f>
        <v/>
      </c>
      <c r="Q329" s="3" t="str">
        <f>IF($A329="","",IF(countif('Mens Lineup'!Q$3:Q1000,CONCATENATE("=",$A329))=0,"",Q$2))</f>
        <v/>
      </c>
      <c r="R329" s="3" t="str">
        <f>IF($A329="","",IF(countif('Mens Lineup'!R$3:R1000,CONCATENATE("=",$A329))=0,"",R$2))</f>
        <v/>
      </c>
      <c r="S329" s="3" t="str">
        <f>IF($A329="","",IF(countif('Mens Lineup'!S$3:S1000,CONCATENATE("=",$A329))=0,"",S$2))</f>
        <v/>
      </c>
      <c r="W329" s="3" t="str">
        <f>IFERROR(__xludf.DUMMYFUNCTION("JOIN("","",FILTER(B329:S329,B329:S329&lt;&gt;""""))"),"#N/A")</f>
        <v>#N/A</v>
      </c>
    </row>
    <row r="330">
      <c r="A330" s="3"/>
      <c r="B330" s="3" t="str">
        <f>IF($A330="","",IF(countif('Mens Lineup'!B$3:B1000,CONCATENATE("=",$A330))=0,"",B$2))</f>
        <v/>
      </c>
      <c r="C330" s="3" t="str">
        <f>IF($A330="","",IF(countif('Mens Lineup'!C$3:C1000,CONCATENATE("=",$A330))=0,"",C$2))</f>
        <v/>
      </c>
      <c r="D330" s="3" t="str">
        <f>IF($A330="","",IF(countif('Mens Lineup'!D$3:D1000,CONCATENATE("=",$A330))=0,"",D$2))</f>
        <v/>
      </c>
      <c r="E330" s="3" t="str">
        <f>IF($A330="","",IF(countif('Mens Lineup'!E$3:E1000,CONCATENATE("=",$A330))=0,"",E$2))</f>
        <v/>
      </c>
      <c r="F330" s="3" t="str">
        <f>IF($A330="","",IF(countif('Mens Lineup'!F$3:F1000,CONCATENATE("=",$A330))=0,"",F$2))</f>
        <v/>
      </c>
      <c r="G330" s="3" t="str">
        <f>IF($A330="","",IF(countif('Mens Lineup'!G$3:G1000,CONCATENATE("=",$A330))=0,"",G$2))</f>
        <v/>
      </c>
      <c r="H330" s="3" t="str">
        <f>IF($A330="","",IF(countif('Mens Lineup'!H$3:H1000,CONCATENATE("=",$A330))=0,"",H$2))</f>
        <v/>
      </c>
      <c r="I330" s="3" t="str">
        <f>IF($A330="","",IF(countif('Mens Lineup'!I$3:I1000,CONCATENATE("=",$A330))=0,"",I$2))</f>
        <v/>
      </c>
      <c r="J330" s="3" t="str">
        <f>IF($A330="","",IF(countif('Mens Lineup'!J$3:J1000,CONCATENATE("=",$A330))=0,"",J$2))</f>
        <v/>
      </c>
      <c r="K330" s="3" t="str">
        <f>IF($A330="","",IF(countif('Mens Lineup'!K$3:K1000,CONCATENATE("=",$A330))=0,"",K$2))</f>
        <v/>
      </c>
      <c r="L330" s="3" t="str">
        <f>IF($A330="","",IF(countif('Mens Lineup'!L$3:L1000,CONCATENATE("=",$A330))=0,"",L$2))</f>
        <v/>
      </c>
      <c r="M330" s="3" t="str">
        <f>IF($A330="","",IF(countif('Mens Lineup'!M$3:M1000,CONCATENATE("=",$A330))=0,"",M$2))</f>
        <v/>
      </c>
      <c r="N330" s="3" t="str">
        <f>IF($A330="","",IF(countif('Mens Lineup'!N$3:N1000,CONCATENATE("=",$A330))=0,"",N$2))</f>
        <v/>
      </c>
      <c r="O330" s="3" t="str">
        <f>IF($A330="","",IF(countif('Mens Lineup'!O$3:O1000,CONCATENATE("=",$A330))=0,"",O$2))</f>
        <v/>
      </c>
      <c r="P330" s="3" t="str">
        <f>IF($A330="","",IF(countif('Mens Lineup'!P$3:P1000,CONCATENATE("=",$A330))=0,"",P$2))</f>
        <v/>
      </c>
      <c r="Q330" s="3" t="str">
        <f>IF($A330="","",IF(countif('Mens Lineup'!Q$3:Q1000,CONCATENATE("=",$A330))=0,"",Q$2))</f>
        <v/>
      </c>
      <c r="R330" s="3" t="str">
        <f>IF($A330="","",IF(countif('Mens Lineup'!R$3:R1000,CONCATENATE("=",$A330))=0,"",R$2))</f>
        <v/>
      </c>
      <c r="S330" s="3" t="str">
        <f>IF($A330="","",IF(countif('Mens Lineup'!S$3:S1000,CONCATENATE("=",$A330))=0,"",S$2))</f>
        <v/>
      </c>
      <c r="W330" s="3" t="str">
        <f>IFERROR(__xludf.DUMMYFUNCTION("JOIN("","",FILTER(B330:S330,B330:S330&lt;&gt;""""))"),"#N/A")</f>
        <v>#N/A</v>
      </c>
    </row>
    <row r="331">
      <c r="A331" s="3"/>
      <c r="B331" s="3" t="str">
        <f>IF($A331="","",IF(countif('Mens Lineup'!B$3:B1000,CONCATENATE("=",$A331))=0,"",B$2))</f>
        <v/>
      </c>
      <c r="C331" s="3" t="str">
        <f>IF($A331="","",IF(countif('Mens Lineup'!C$3:C1000,CONCATENATE("=",$A331))=0,"",C$2))</f>
        <v/>
      </c>
      <c r="D331" s="3" t="str">
        <f>IF($A331="","",IF(countif('Mens Lineup'!D$3:D1000,CONCATENATE("=",$A331))=0,"",D$2))</f>
        <v/>
      </c>
      <c r="E331" s="3" t="str">
        <f>IF($A331="","",IF(countif('Mens Lineup'!E$3:E1000,CONCATENATE("=",$A331))=0,"",E$2))</f>
        <v/>
      </c>
      <c r="F331" s="3" t="str">
        <f>IF($A331="","",IF(countif('Mens Lineup'!F$3:F1000,CONCATENATE("=",$A331))=0,"",F$2))</f>
        <v/>
      </c>
      <c r="G331" s="3" t="str">
        <f>IF($A331="","",IF(countif('Mens Lineup'!G$3:G1000,CONCATENATE("=",$A331))=0,"",G$2))</f>
        <v/>
      </c>
      <c r="H331" s="3" t="str">
        <f>IF($A331="","",IF(countif('Mens Lineup'!H$3:H1000,CONCATENATE("=",$A331))=0,"",H$2))</f>
        <v/>
      </c>
      <c r="I331" s="3" t="str">
        <f>IF($A331="","",IF(countif('Mens Lineup'!I$3:I1000,CONCATENATE("=",$A331))=0,"",I$2))</f>
        <v/>
      </c>
      <c r="J331" s="3" t="str">
        <f>IF($A331="","",IF(countif('Mens Lineup'!J$3:J1000,CONCATENATE("=",$A331))=0,"",J$2))</f>
        <v/>
      </c>
      <c r="K331" s="3" t="str">
        <f>IF($A331="","",IF(countif('Mens Lineup'!K$3:K1000,CONCATENATE("=",$A331))=0,"",K$2))</f>
        <v/>
      </c>
      <c r="L331" s="3" t="str">
        <f>IF($A331="","",IF(countif('Mens Lineup'!L$3:L1000,CONCATENATE("=",$A331))=0,"",L$2))</f>
        <v/>
      </c>
      <c r="M331" s="3" t="str">
        <f>IF($A331="","",IF(countif('Mens Lineup'!M$3:M1000,CONCATENATE("=",$A331))=0,"",M$2))</f>
        <v/>
      </c>
      <c r="N331" s="3" t="str">
        <f>IF($A331="","",IF(countif('Mens Lineup'!N$3:N1000,CONCATENATE("=",$A331))=0,"",N$2))</f>
        <v/>
      </c>
      <c r="O331" s="3" t="str">
        <f>IF($A331="","",IF(countif('Mens Lineup'!O$3:O1000,CONCATENATE("=",$A331))=0,"",O$2))</f>
        <v/>
      </c>
      <c r="P331" s="3" t="str">
        <f>IF($A331="","",IF(countif('Mens Lineup'!P$3:P1000,CONCATENATE("=",$A331))=0,"",P$2))</f>
        <v/>
      </c>
      <c r="Q331" s="3" t="str">
        <f>IF($A331="","",IF(countif('Mens Lineup'!Q$3:Q1000,CONCATENATE("=",$A331))=0,"",Q$2))</f>
        <v/>
      </c>
      <c r="R331" s="3" t="str">
        <f>IF($A331="","",IF(countif('Mens Lineup'!R$3:R1000,CONCATENATE("=",$A331))=0,"",R$2))</f>
        <v/>
      </c>
      <c r="S331" s="3" t="str">
        <f>IF($A331="","",IF(countif('Mens Lineup'!S$3:S1000,CONCATENATE("=",$A331))=0,"",S$2))</f>
        <v/>
      </c>
      <c r="W331" s="3" t="str">
        <f>IFERROR(__xludf.DUMMYFUNCTION("JOIN("","",FILTER(B331:S331,B331:S331&lt;&gt;""""))"),"#N/A")</f>
        <v>#N/A</v>
      </c>
    </row>
    <row r="332">
      <c r="A332" s="3"/>
      <c r="B332" s="3" t="str">
        <f>IF($A332="","",IF(countif('Mens Lineup'!B$3:B1000,CONCATENATE("=",$A332))=0,"",B$2))</f>
        <v/>
      </c>
      <c r="C332" s="3" t="str">
        <f>IF($A332="","",IF(countif('Mens Lineup'!C$3:C1000,CONCATENATE("=",$A332))=0,"",C$2))</f>
        <v/>
      </c>
      <c r="D332" s="3" t="str">
        <f>IF($A332="","",IF(countif('Mens Lineup'!D$3:D1000,CONCATENATE("=",$A332))=0,"",D$2))</f>
        <v/>
      </c>
      <c r="E332" s="3" t="str">
        <f>IF($A332="","",IF(countif('Mens Lineup'!E$3:E1000,CONCATENATE("=",$A332))=0,"",E$2))</f>
        <v/>
      </c>
      <c r="F332" s="3" t="str">
        <f>IF($A332="","",IF(countif('Mens Lineup'!F$3:F1000,CONCATENATE("=",$A332))=0,"",F$2))</f>
        <v/>
      </c>
      <c r="G332" s="3" t="str">
        <f>IF($A332="","",IF(countif('Mens Lineup'!G$3:G1000,CONCATENATE("=",$A332))=0,"",G$2))</f>
        <v/>
      </c>
      <c r="H332" s="3" t="str">
        <f>IF($A332="","",IF(countif('Mens Lineup'!H$3:H1000,CONCATENATE("=",$A332))=0,"",H$2))</f>
        <v/>
      </c>
      <c r="I332" s="3" t="str">
        <f>IF($A332="","",IF(countif('Mens Lineup'!I$3:I1000,CONCATENATE("=",$A332))=0,"",I$2))</f>
        <v/>
      </c>
      <c r="J332" s="3" t="str">
        <f>IF($A332="","",IF(countif('Mens Lineup'!J$3:J1000,CONCATENATE("=",$A332))=0,"",J$2))</f>
        <v/>
      </c>
      <c r="K332" s="3" t="str">
        <f>IF($A332="","",IF(countif('Mens Lineup'!K$3:K1000,CONCATENATE("=",$A332))=0,"",K$2))</f>
        <v/>
      </c>
      <c r="L332" s="3" t="str">
        <f>IF($A332="","",IF(countif('Mens Lineup'!L$3:L1000,CONCATENATE("=",$A332))=0,"",L$2))</f>
        <v/>
      </c>
      <c r="M332" s="3" t="str">
        <f>IF($A332="","",IF(countif('Mens Lineup'!M$3:M1000,CONCATENATE("=",$A332))=0,"",M$2))</f>
        <v/>
      </c>
      <c r="N332" s="3" t="str">
        <f>IF($A332="","",IF(countif('Mens Lineup'!N$3:N1000,CONCATENATE("=",$A332))=0,"",N$2))</f>
        <v/>
      </c>
      <c r="O332" s="3" t="str">
        <f>IF($A332="","",IF(countif('Mens Lineup'!O$3:O1000,CONCATENATE("=",$A332))=0,"",O$2))</f>
        <v/>
      </c>
      <c r="P332" s="3" t="str">
        <f>IF($A332="","",IF(countif('Mens Lineup'!P$3:P1000,CONCATENATE("=",$A332))=0,"",P$2))</f>
        <v/>
      </c>
      <c r="Q332" s="3" t="str">
        <f>IF($A332="","",IF(countif('Mens Lineup'!Q$3:Q1000,CONCATENATE("=",$A332))=0,"",Q$2))</f>
        <v/>
      </c>
      <c r="R332" s="3" t="str">
        <f>IF($A332="","",IF(countif('Mens Lineup'!R$3:R1000,CONCATENATE("=",$A332))=0,"",R$2))</f>
        <v/>
      </c>
      <c r="S332" s="3" t="str">
        <f>IF($A332="","",IF(countif('Mens Lineup'!S$3:S1000,CONCATENATE("=",$A332))=0,"",S$2))</f>
        <v/>
      </c>
      <c r="W332" s="3" t="str">
        <f>IFERROR(__xludf.DUMMYFUNCTION("JOIN("","",FILTER(B332:S332,B332:S332&lt;&gt;""""))"),"#N/A")</f>
        <v>#N/A</v>
      </c>
    </row>
    <row r="333">
      <c r="A333" s="3"/>
      <c r="B333" s="3" t="str">
        <f>IF($A333="","",IF(countif('Mens Lineup'!B$3:B1000,CONCATENATE("=",$A333))=0,"",B$2))</f>
        <v/>
      </c>
      <c r="C333" s="3" t="str">
        <f>IF($A333="","",IF(countif('Mens Lineup'!C$3:C1000,CONCATENATE("=",$A333))=0,"",C$2))</f>
        <v/>
      </c>
      <c r="D333" s="3" t="str">
        <f>IF($A333="","",IF(countif('Mens Lineup'!D$3:D1000,CONCATENATE("=",$A333))=0,"",D$2))</f>
        <v/>
      </c>
      <c r="E333" s="3" t="str">
        <f>IF($A333="","",IF(countif('Mens Lineup'!E$3:E1000,CONCATENATE("=",$A333))=0,"",E$2))</f>
        <v/>
      </c>
      <c r="F333" s="3" t="str">
        <f>IF($A333="","",IF(countif('Mens Lineup'!F$3:F1000,CONCATENATE("=",$A333))=0,"",F$2))</f>
        <v/>
      </c>
      <c r="G333" s="3" t="str">
        <f>IF($A333="","",IF(countif('Mens Lineup'!G$3:G1000,CONCATENATE("=",$A333))=0,"",G$2))</f>
        <v/>
      </c>
      <c r="H333" s="3" t="str">
        <f>IF($A333="","",IF(countif('Mens Lineup'!H$3:H1000,CONCATENATE("=",$A333))=0,"",H$2))</f>
        <v/>
      </c>
      <c r="I333" s="3" t="str">
        <f>IF($A333="","",IF(countif('Mens Lineup'!I$3:I1000,CONCATENATE("=",$A333))=0,"",I$2))</f>
        <v/>
      </c>
      <c r="J333" s="3" t="str">
        <f>IF($A333="","",IF(countif('Mens Lineup'!J$3:J1000,CONCATENATE("=",$A333))=0,"",J$2))</f>
        <v/>
      </c>
      <c r="K333" s="3" t="str">
        <f>IF($A333="","",IF(countif('Mens Lineup'!K$3:K1000,CONCATENATE("=",$A333))=0,"",K$2))</f>
        <v/>
      </c>
      <c r="L333" s="3" t="str">
        <f>IF($A333="","",IF(countif('Mens Lineup'!L$3:L1000,CONCATENATE("=",$A333))=0,"",L$2))</f>
        <v/>
      </c>
      <c r="M333" s="3" t="str">
        <f>IF($A333="","",IF(countif('Mens Lineup'!M$3:M1000,CONCATENATE("=",$A333))=0,"",M$2))</f>
        <v/>
      </c>
      <c r="N333" s="3" t="str">
        <f>IF($A333="","",IF(countif('Mens Lineup'!N$3:N1000,CONCATENATE("=",$A333))=0,"",N$2))</f>
        <v/>
      </c>
      <c r="O333" s="3" t="str">
        <f>IF($A333="","",IF(countif('Mens Lineup'!O$3:O1000,CONCATENATE("=",$A333))=0,"",O$2))</f>
        <v/>
      </c>
      <c r="P333" s="3" t="str">
        <f>IF($A333="","",IF(countif('Mens Lineup'!P$3:P1000,CONCATENATE("=",$A333))=0,"",P$2))</f>
        <v/>
      </c>
      <c r="Q333" s="3" t="str">
        <f>IF($A333="","",IF(countif('Mens Lineup'!Q$3:Q1000,CONCATENATE("=",$A333))=0,"",Q$2))</f>
        <v/>
      </c>
      <c r="R333" s="3" t="str">
        <f>IF($A333="","",IF(countif('Mens Lineup'!R$3:R1000,CONCATENATE("=",$A333))=0,"",R$2))</f>
        <v/>
      </c>
      <c r="S333" s="3" t="str">
        <f>IF($A333="","",IF(countif('Mens Lineup'!S$3:S1000,CONCATENATE("=",$A333))=0,"",S$2))</f>
        <v/>
      </c>
      <c r="W333" s="3" t="str">
        <f>IFERROR(__xludf.DUMMYFUNCTION("JOIN("","",FILTER(B333:S333,B333:S333&lt;&gt;""""))"),"#N/A")</f>
        <v>#N/A</v>
      </c>
    </row>
    <row r="334">
      <c r="A334" s="3"/>
      <c r="B334" s="3" t="str">
        <f>IF($A334="","",IF(countif('Mens Lineup'!B$3:B1000,CONCATENATE("=",$A334))=0,"",B$2))</f>
        <v/>
      </c>
      <c r="C334" s="3" t="str">
        <f>IF($A334="","",IF(countif('Mens Lineup'!C$3:C1000,CONCATENATE("=",$A334))=0,"",C$2))</f>
        <v/>
      </c>
      <c r="D334" s="3" t="str">
        <f>IF($A334="","",IF(countif('Mens Lineup'!D$3:D1000,CONCATENATE("=",$A334))=0,"",D$2))</f>
        <v/>
      </c>
      <c r="E334" s="3" t="str">
        <f>IF($A334="","",IF(countif('Mens Lineup'!E$3:E1000,CONCATENATE("=",$A334))=0,"",E$2))</f>
        <v/>
      </c>
      <c r="F334" s="3" t="str">
        <f>IF($A334="","",IF(countif('Mens Lineup'!F$3:F1000,CONCATENATE("=",$A334))=0,"",F$2))</f>
        <v/>
      </c>
      <c r="G334" s="3" t="str">
        <f>IF($A334="","",IF(countif('Mens Lineup'!G$3:G1000,CONCATENATE("=",$A334))=0,"",G$2))</f>
        <v/>
      </c>
      <c r="H334" s="3" t="str">
        <f>IF($A334="","",IF(countif('Mens Lineup'!H$3:H1000,CONCATENATE("=",$A334))=0,"",H$2))</f>
        <v/>
      </c>
      <c r="I334" s="3" t="str">
        <f>IF($A334="","",IF(countif('Mens Lineup'!I$3:I1000,CONCATENATE("=",$A334))=0,"",I$2))</f>
        <v/>
      </c>
      <c r="J334" s="3" t="str">
        <f>IF($A334="","",IF(countif('Mens Lineup'!J$3:J1000,CONCATENATE("=",$A334))=0,"",J$2))</f>
        <v/>
      </c>
      <c r="K334" s="3" t="str">
        <f>IF($A334="","",IF(countif('Mens Lineup'!K$3:K1000,CONCATENATE("=",$A334))=0,"",K$2))</f>
        <v/>
      </c>
      <c r="L334" s="3" t="str">
        <f>IF($A334="","",IF(countif('Mens Lineup'!L$3:L1000,CONCATENATE("=",$A334))=0,"",L$2))</f>
        <v/>
      </c>
      <c r="M334" s="3" t="str">
        <f>IF($A334="","",IF(countif('Mens Lineup'!M$3:M1000,CONCATENATE("=",$A334))=0,"",M$2))</f>
        <v/>
      </c>
      <c r="N334" s="3" t="str">
        <f>IF($A334="","",IF(countif('Mens Lineup'!N$3:N1000,CONCATENATE("=",$A334))=0,"",N$2))</f>
        <v/>
      </c>
      <c r="O334" s="3" t="str">
        <f>IF($A334="","",IF(countif('Mens Lineup'!O$3:O1000,CONCATENATE("=",$A334))=0,"",O$2))</f>
        <v/>
      </c>
      <c r="P334" s="3" t="str">
        <f>IF($A334="","",IF(countif('Mens Lineup'!P$3:P1000,CONCATENATE("=",$A334))=0,"",P$2))</f>
        <v/>
      </c>
      <c r="Q334" s="3" t="str">
        <f>IF($A334="","",IF(countif('Mens Lineup'!Q$3:Q1000,CONCATENATE("=",$A334))=0,"",Q$2))</f>
        <v/>
      </c>
      <c r="R334" s="3" t="str">
        <f>IF($A334="","",IF(countif('Mens Lineup'!R$3:R1000,CONCATENATE("=",$A334))=0,"",R$2))</f>
        <v/>
      </c>
      <c r="S334" s="3" t="str">
        <f>IF($A334="","",IF(countif('Mens Lineup'!S$3:S1000,CONCATENATE("=",$A334))=0,"",S$2))</f>
        <v/>
      </c>
      <c r="W334" s="3" t="str">
        <f>IFERROR(__xludf.DUMMYFUNCTION("JOIN("","",FILTER(B334:S334,B334:S334&lt;&gt;""""))"),"#N/A")</f>
        <v>#N/A</v>
      </c>
    </row>
    <row r="335">
      <c r="A335" s="3"/>
      <c r="B335" s="3" t="str">
        <f>IF($A335="","",IF(countif('Mens Lineup'!B$3:B1000,CONCATENATE("=",$A335))=0,"",B$2))</f>
        <v/>
      </c>
      <c r="C335" s="3" t="str">
        <f>IF($A335="","",IF(countif('Mens Lineup'!C$3:C1000,CONCATENATE("=",$A335))=0,"",C$2))</f>
        <v/>
      </c>
      <c r="D335" s="3" t="str">
        <f>IF($A335="","",IF(countif('Mens Lineup'!D$3:D1000,CONCATENATE("=",$A335))=0,"",D$2))</f>
        <v/>
      </c>
      <c r="E335" s="3" t="str">
        <f>IF($A335="","",IF(countif('Mens Lineup'!E$3:E1000,CONCATENATE("=",$A335))=0,"",E$2))</f>
        <v/>
      </c>
      <c r="F335" s="3" t="str">
        <f>IF($A335="","",IF(countif('Mens Lineup'!F$3:F1000,CONCATENATE("=",$A335))=0,"",F$2))</f>
        <v/>
      </c>
      <c r="G335" s="3" t="str">
        <f>IF($A335="","",IF(countif('Mens Lineup'!G$3:G1000,CONCATENATE("=",$A335))=0,"",G$2))</f>
        <v/>
      </c>
      <c r="H335" s="3" t="str">
        <f>IF($A335="","",IF(countif('Mens Lineup'!H$3:H1000,CONCATENATE("=",$A335))=0,"",H$2))</f>
        <v/>
      </c>
      <c r="I335" s="3" t="str">
        <f>IF($A335="","",IF(countif('Mens Lineup'!I$3:I1000,CONCATENATE("=",$A335))=0,"",I$2))</f>
        <v/>
      </c>
      <c r="J335" s="3" t="str">
        <f>IF($A335="","",IF(countif('Mens Lineup'!J$3:J1000,CONCATENATE("=",$A335))=0,"",J$2))</f>
        <v/>
      </c>
      <c r="K335" s="3" t="str">
        <f>IF($A335="","",IF(countif('Mens Lineup'!K$3:K1000,CONCATENATE("=",$A335))=0,"",K$2))</f>
        <v/>
      </c>
      <c r="L335" s="3" t="str">
        <f>IF($A335="","",IF(countif('Mens Lineup'!L$3:L1000,CONCATENATE("=",$A335))=0,"",L$2))</f>
        <v/>
      </c>
      <c r="M335" s="3" t="str">
        <f>IF($A335="","",IF(countif('Mens Lineup'!M$3:M1000,CONCATENATE("=",$A335))=0,"",M$2))</f>
        <v/>
      </c>
      <c r="N335" s="3" t="str">
        <f>IF($A335="","",IF(countif('Mens Lineup'!N$3:N1000,CONCATENATE("=",$A335))=0,"",N$2))</f>
        <v/>
      </c>
      <c r="O335" s="3" t="str">
        <f>IF($A335="","",IF(countif('Mens Lineup'!O$3:O1000,CONCATENATE("=",$A335))=0,"",O$2))</f>
        <v/>
      </c>
      <c r="P335" s="3" t="str">
        <f>IF($A335="","",IF(countif('Mens Lineup'!P$3:P1000,CONCATENATE("=",$A335))=0,"",P$2))</f>
        <v/>
      </c>
      <c r="Q335" s="3" t="str">
        <f>IF($A335="","",IF(countif('Mens Lineup'!Q$3:Q1000,CONCATENATE("=",$A335))=0,"",Q$2))</f>
        <v/>
      </c>
      <c r="R335" s="3" t="str">
        <f>IF($A335="","",IF(countif('Mens Lineup'!R$3:R1000,CONCATENATE("=",$A335))=0,"",R$2))</f>
        <v/>
      </c>
      <c r="S335" s="3" t="str">
        <f>IF($A335="","",IF(countif('Mens Lineup'!S$3:S1000,CONCATENATE("=",$A335))=0,"",S$2))</f>
        <v/>
      </c>
      <c r="W335" s="3" t="str">
        <f>IFERROR(__xludf.DUMMYFUNCTION("JOIN("","",FILTER(B335:S335,B335:S335&lt;&gt;""""))"),"#N/A")</f>
        <v>#N/A</v>
      </c>
    </row>
    <row r="336">
      <c r="A336" s="3"/>
      <c r="B336" s="3" t="str">
        <f>IF($A336="","",IF(countif('Mens Lineup'!B$3:B1000,CONCATENATE("=",$A336))=0,"",B$2))</f>
        <v/>
      </c>
      <c r="C336" s="3" t="str">
        <f>IF($A336="","",IF(countif('Mens Lineup'!C$3:C1000,CONCATENATE("=",$A336))=0,"",C$2))</f>
        <v/>
      </c>
      <c r="D336" s="3" t="str">
        <f>IF($A336="","",IF(countif('Mens Lineup'!D$3:D1000,CONCATENATE("=",$A336))=0,"",D$2))</f>
        <v/>
      </c>
      <c r="E336" s="3" t="str">
        <f>IF($A336="","",IF(countif('Mens Lineup'!E$3:E1000,CONCATENATE("=",$A336))=0,"",E$2))</f>
        <v/>
      </c>
      <c r="F336" s="3" t="str">
        <f>IF($A336="","",IF(countif('Mens Lineup'!F$3:F1000,CONCATENATE("=",$A336))=0,"",F$2))</f>
        <v/>
      </c>
      <c r="G336" s="3" t="str">
        <f>IF($A336="","",IF(countif('Mens Lineup'!G$3:G1000,CONCATENATE("=",$A336))=0,"",G$2))</f>
        <v/>
      </c>
      <c r="H336" s="3" t="str">
        <f>IF($A336="","",IF(countif('Mens Lineup'!H$3:H1000,CONCATENATE("=",$A336))=0,"",H$2))</f>
        <v/>
      </c>
      <c r="I336" s="3" t="str">
        <f>IF($A336="","",IF(countif('Mens Lineup'!I$3:I1000,CONCATENATE("=",$A336))=0,"",I$2))</f>
        <v/>
      </c>
      <c r="J336" s="3" t="str">
        <f>IF($A336="","",IF(countif('Mens Lineup'!J$3:J1000,CONCATENATE("=",$A336))=0,"",J$2))</f>
        <v/>
      </c>
      <c r="K336" s="3" t="str">
        <f>IF($A336="","",IF(countif('Mens Lineup'!K$3:K1000,CONCATENATE("=",$A336))=0,"",K$2))</f>
        <v/>
      </c>
      <c r="L336" s="3" t="str">
        <f>IF($A336="","",IF(countif('Mens Lineup'!L$3:L1000,CONCATENATE("=",$A336))=0,"",L$2))</f>
        <v/>
      </c>
      <c r="M336" s="3" t="str">
        <f>IF($A336="","",IF(countif('Mens Lineup'!M$3:M1000,CONCATENATE("=",$A336))=0,"",M$2))</f>
        <v/>
      </c>
      <c r="N336" s="3" t="str">
        <f>IF($A336="","",IF(countif('Mens Lineup'!N$3:N1000,CONCATENATE("=",$A336))=0,"",N$2))</f>
        <v/>
      </c>
      <c r="O336" s="3" t="str">
        <f>IF($A336="","",IF(countif('Mens Lineup'!O$3:O1000,CONCATENATE("=",$A336))=0,"",O$2))</f>
        <v/>
      </c>
      <c r="P336" s="3" t="str">
        <f>IF($A336="","",IF(countif('Mens Lineup'!P$3:P1000,CONCATENATE("=",$A336))=0,"",P$2))</f>
        <v/>
      </c>
      <c r="Q336" s="3" t="str">
        <f>IF($A336="","",IF(countif('Mens Lineup'!Q$3:Q1000,CONCATENATE("=",$A336))=0,"",Q$2))</f>
        <v/>
      </c>
      <c r="R336" s="3" t="str">
        <f>IF($A336="","",IF(countif('Mens Lineup'!R$3:R1000,CONCATENATE("=",$A336))=0,"",R$2))</f>
        <v/>
      </c>
      <c r="S336" s="3" t="str">
        <f>IF($A336="","",IF(countif('Mens Lineup'!S$3:S1000,CONCATENATE("=",$A336))=0,"",S$2))</f>
        <v/>
      </c>
      <c r="W336" s="3" t="str">
        <f>IFERROR(__xludf.DUMMYFUNCTION("JOIN("","",FILTER(B336:S336,B336:S336&lt;&gt;""""))"),"#N/A")</f>
        <v>#N/A</v>
      </c>
    </row>
    <row r="337">
      <c r="A337" s="3"/>
      <c r="B337" s="3" t="str">
        <f>IF($A337="","",IF(countif('Mens Lineup'!B$3:B1000,CONCATENATE("=",$A337))=0,"",B$2))</f>
        <v/>
      </c>
      <c r="C337" s="3" t="str">
        <f>IF($A337="","",IF(countif('Mens Lineup'!C$3:C1000,CONCATENATE("=",$A337))=0,"",C$2))</f>
        <v/>
      </c>
      <c r="D337" s="3" t="str">
        <f>IF($A337="","",IF(countif('Mens Lineup'!D$3:D1000,CONCATENATE("=",$A337))=0,"",D$2))</f>
        <v/>
      </c>
      <c r="E337" s="3" t="str">
        <f>IF($A337="","",IF(countif('Mens Lineup'!E$3:E1000,CONCATENATE("=",$A337))=0,"",E$2))</f>
        <v/>
      </c>
      <c r="F337" s="3" t="str">
        <f>IF($A337="","",IF(countif('Mens Lineup'!F$3:F1000,CONCATENATE("=",$A337))=0,"",F$2))</f>
        <v/>
      </c>
      <c r="G337" s="3" t="str">
        <f>IF($A337="","",IF(countif('Mens Lineup'!G$3:G1000,CONCATENATE("=",$A337))=0,"",G$2))</f>
        <v/>
      </c>
      <c r="H337" s="3" t="str">
        <f>IF($A337="","",IF(countif('Mens Lineup'!H$3:H1000,CONCATENATE("=",$A337))=0,"",H$2))</f>
        <v/>
      </c>
      <c r="I337" s="3" t="str">
        <f>IF($A337="","",IF(countif('Mens Lineup'!I$3:I1000,CONCATENATE("=",$A337))=0,"",I$2))</f>
        <v/>
      </c>
      <c r="J337" s="3" t="str">
        <f>IF($A337="","",IF(countif('Mens Lineup'!J$3:J1000,CONCATENATE("=",$A337))=0,"",J$2))</f>
        <v/>
      </c>
      <c r="K337" s="3" t="str">
        <f>IF($A337="","",IF(countif('Mens Lineup'!K$3:K1000,CONCATENATE("=",$A337))=0,"",K$2))</f>
        <v/>
      </c>
      <c r="L337" s="3" t="str">
        <f>IF($A337="","",IF(countif('Mens Lineup'!L$3:L1000,CONCATENATE("=",$A337))=0,"",L$2))</f>
        <v/>
      </c>
      <c r="M337" s="3" t="str">
        <f>IF($A337="","",IF(countif('Mens Lineup'!M$3:M1000,CONCATENATE("=",$A337))=0,"",M$2))</f>
        <v/>
      </c>
      <c r="N337" s="3" t="str">
        <f>IF($A337="","",IF(countif('Mens Lineup'!N$3:N1000,CONCATENATE("=",$A337))=0,"",N$2))</f>
        <v/>
      </c>
      <c r="O337" s="3" t="str">
        <f>IF($A337="","",IF(countif('Mens Lineup'!O$3:O1000,CONCATENATE("=",$A337))=0,"",O$2))</f>
        <v/>
      </c>
      <c r="P337" s="3" t="str">
        <f>IF($A337="","",IF(countif('Mens Lineup'!P$3:P1000,CONCATENATE("=",$A337))=0,"",P$2))</f>
        <v/>
      </c>
      <c r="Q337" s="3" t="str">
        <f>IF($A337="","",IF(countif('Mens Lineup'!Q$3:Q1000,CONCATENATE("=",$A337))=0,"",Q$2))</f>
        <v/>
      </c>
      <c r="R337" s="3" t="str">
        <f>IF($A337="","",IF(countif('Mens Lineup'!R$3:R1000,CONCATENATE("=",$A337))=0,"",R$2))</f>
        <v/>
      </c>
      <c r="S337" s="3" t="str">
        <f>IF($A337="","",IF(countif('Mens Lineup'!S$3:S1000,CONCATENATE("=",$A337))=0,"",S$2))</f>
        <v/>
      </c>
      <c r="W337" s="3" t="str">
        <f>IFERROR(__xludf.DUMMYFUNCTION("JOIN("","",FILTER(B337:S337,B337:S337&lt;&gt;""""))"),"#N/A")</f>
        <v>#N/A</v>
      </c>
    </row>
    <row r="338">
      <c r="A338" s="3"/>
      <c r="B338" s="3" t="str">
        <f>IF($A338="","",IF(countif('Mens Lineup'!B$3:B1000,CONCATENATE("=",$A338))=0,"",B$2))</f>
        <v/>
      </c>
      <c r="C338" s="3" t="str">
        <f>IF($A338="","",IF(countif('Mens Lineup'!C$3:C1000,CONCATENATE("=",$A338))=0,"",C$2))</f>
        <v/>
      </c>
      <c r="D338" s="3" t="str">
        <f>IF($A338="","",IF(countif('Mens Lineup'!D$3:D1000,CONCATENATE("=",$A338))=0,"",D$2))</f>
        <v/>
      </c>
      <c r="E338" s="3" t="str">
        <f>IF($A338="","",IF(countif('Mens Lineup'!E$3:E1000,CONCATENATE("=",$A338))=0,"",E$2))</f>
        <v/>
      </c>
      <c r="F338" s="3" t="str">
        <f>IF($A338="","",IF(countif('Mens Lineup'!F$3:F1000,CONCATENATE("=",$A338))=0,"",F$2))</f>
        <v/>
      </c>
      <c r="G338" s="3" t="str">
        <f>IF($A338="","",IF(countif('Mens Lineup'!G$3:G1000,CONCATENATE("=",$A338))=0,"",G$2))</f>
        <v/>
      </c>
      <c r="H338" s="3" t="str">
        <f>IF($A338="","",IF(countif('Mens Lineup'!H$3:H1000,CONCATENATE("=",$A338))=0,"",H$2))</f>
        <v/>
      </c>
      <c r="I338" s="3" t="str">
        <f>IF($A338="","",IF(countif('Mens Lineup'!I$3:I1000,CONCATENATE("=",$A338))=0,"",I$2))</f>
        <v/>
      </c>
      <c r="J338" s="3" t="str">
        <f>IF($A338="","",IF(countif('Mens Lineup'!J$3:J1000,CONCATENATE("=",$A338))=0,"",J$2))</f>
        <v/>
      </c>
      <c r="K338" s="3" t="str">
        <f>IF($A338="","",IF(countif('Mens Lineup'!K$3:K1000,CONCATENATE("=",$A338))=0,"",K$2))</f>
        <v/>
      </c>
      <c r="L338" s="3" t="str">
        <f>IF($A338="","",IF(countif('Mens Lineup'!L$3:L1000,CONCATENATE("=",$A338))=0,"",L$2))</f>
        <v/>
      </c>
      <c r="M338" s="3" t="str">
        <f>IF($A338="","",IF(countif('Mens Lineup'!M$3:M1000,CONCATENATE("=",$A338))=0,"",M$2))</f>
        <v/>
      </c>
      <c r="N338" s="3" t="str">
        <f>IF($A338="","",IF(countif('Mens Lineup'!N$3:N1000,CONCATENATE("=",$A338))=0,"",N$2))</f>
        <v/>
      </c>
      <c r="O338" s="3" t="str">
        <f>IF($A338="","",IF(countif('Mens Lineup'!O$3:O1000,CONCATENATE("=",$A338))=0,"",O$2))</f>
        <v/>
      </c>
      <c r="P338" s="3" t="str">
        <f>IF($A338="","",IF(countif('Mens Lineup'!P$3:P1000,CONCATENATE("=",$A338))=0,"",P$2))</f>
        <v/>
      </c>
      <c r="Q338" s="3" t="str">
        <f>IF($A338="","",IF(countif('Mens Lineup'!Q$3:Q1000,CONCATENATE("=",$A338))=0,"",Q$2))</f>
        <v/>
      </c>
      <c r="R338" s="3" t="str">
        <f>IF($A338="","",IF(countif('Mens Lineup'!R$3:R1000,CONCATENATE("=",$A338))=0,"",R$2))</f>
        <v/>
      </c>
      <c r="S338" s="3" t="str">
        <f>IF($A338="","",IF(countif('Mens Lineup'!S$3:S1000,CONCATENATE("=",$A338))=0,"",S$2))</f>
        <v/>
      </c>
      <c r="W338" s="3" t="str">
        <f>IFERROR(__xludf.DUMMYFUNCTION("JOIN("","",FILTER(B338:S338,B338:S338&lt;&gt;""""))"),"#N/A")</f>
        <v>#N/A</v>
      </c>
    </row>
    <row r="339">
      <c r="A339" s="3"/>
      <c r="B339" s="3" t="str">
        <f>IF($A339="","",IF(countif('Mens Lineup'!B$3:B1000,CONCATENATE("=",$A339))=0,"",B$2))</f>
        <v/>
      </c>
      <c r="C339" s="3" t="str">
        <f>IF($A339="","",IF(countif('Mens Lineup'!C$3:C1000,CONCATENATE("=",$A339))=0,"",C$2))</f>
        <v/>
      </c>
      <c r="D339" s="3" t="str">
        <f>IF($A339="","",IF(countif('Mens Lineup'!D$3:D1000,CONCATENATE("=",$A339))=0,"",D$2))</f>
        <v/>
      </c>
      <c r="E339" s="3" t="str">
        <f>IF($A339="","",IF(countif('Mens Lineup'!E$3:E1000,CONCATENATE("=",$A339))=0,"",E$2))</f>
        <v/>
      </c>
      <c r="F339" s="3" t="str">
        <f>IF($A339="","",IF(countif('Mens Lineup'!F$3:F1000,CONCATENATE("=",$A339))=0,"",F$2))</f>
        <v/>
      </c>
      <c r="G339" s="3" t="str">
        <f>IF($A339="","",IF(countif('Mens Lineup'!G$3:G1000,CONCATENATE("=",$A339))=0,"",G$2))</f>
        <v/>
      </c>
      <c r="H339" s="3" t="str">
        <f>IF($A339="","",IF(countif('Mens Lineup'!H$3:H1000,CONCATENATE("=",$A339))=0,"",H$2))</f>
        <v/>
      </c>
      <c r="I339" s="3" t="str">
        <f>IF($A339="","",IF(countif('Mens Lineup'!I$3:I1000,CONCATENATE("=",$A339))=0,"",I$2))</f>
        <v/>
      </c>
      <c r="J339" s="3" t="str">
        <f>IF($A339="","",IF(countif('Mens Lineup'!J$3:J1000,CONCATENATE("=",$A339))=0,"",J$2))</f>
        <v/>
      </c>
      <c r="K339" s="3" t="str">
        <f>IF($A339="","",IF(countif('Mens Lineup'!K$3:K1000,CONCATENATE("=",$A339))=0,"",K$2))</f>
        <v/>
      </c>
      <c r="L339" s="3" t="str">
        <f>IF($A339="","",IF(countif('Mens Lineup'!L$3:L1000,CONCATENATE("=",$A339))=0,"",L$2))</f>
        <v/>
      </c>
      <c r="M339" s="3" t="str">
        <f>IF($A339="","",IF(countif('Mens Lineup'!M$3:M1000,CONCATENATE("=",$A339))=0,"",M$2))</f>
        <v/>
      </c>
      <c r="N339" s="3" t="str">
        <f>IF($A339="","",IF(countif('Mens Lineup'!N$3:N1000,CONCATENATE("=",$A339))=0,"",N$2))</f>
        <v/>
      </c>
      <c r="O339" s="3" t="str">
        <f>IF($A339="","",IF(countif('Mens Lineup'!O$3:O1000,CONCATENATE("=",$A339))=0,"",O$2))</f>
        <v/>
      </c>
      <c r="P339" s="3" t="str">
        <f>IF($A339="","",IF(countif('Mens Lineup'!P$3:P1000,CONCATENATE("=",$A339))=0,"",P$2))</f>
        <v/>
      </c>
      <c r="Q339" s="3" t="str">
        <f>IF($A339="","",IF(countif('Mens Lineup'!Q$3:Q1000,CONCATENATE("=",$A339))=0,"",Q$2))</f>
        <v/>
      </c>
      <c r="R339" s="3" t="str">
        <f>IF($A339="","",IF(countif('Mens Lineup'!R$3:R1000,CONCATENATE("=",$A339))=0,"",R$2))</f>
        <v/>
      </c>
      <c r="S339" s="3" t="str">
        <f>IF($A339="","",IF(countif('Mens Lineup'!S$3:S1000,CONCATENATE("=",$A339))=0,"",S$2))</f>
        <v/>
      </c>
      <c r="W339" s="3" t="str">
        <f>IFERROR(__xludf.DUMMYFUNCTION("JOIN("","",FILTER(B339:S339,B339:S339&lt;&gt;""""))"),"#N/A")</f>
        <v>#N/A</v>
      </c>
    </row>
    <row r="340">
      <c r="A340" s="3"/>
      <c r="B340" s="3" t="str">
        <f>IF($A340="","",IF(countif('Mens Lineup'!B$3:B1000,CONCATENATE("=",$A340))=0,"",B$2))</f>
        <v/>
      </c>
      <c r="C340" s="3" t="str">
        <f>IF($A340="","",IF(countif('Mens Lineup'!C$3:C1000,CONCATENATE("=",$A340))=0,"",C$2))</f>
        <v/>
      </c>
      <c r="D340" s="3" t="str">
        <f>IF($A340="","",IF(countif('Mens Lineup'!D$3:D1000,CONCATENATE("=",$A340))=0,"",D$2))</f>
        <v/>
      </c>
      <c r="E340" s="3" t="str">
        <f>IF($A340="","",IF(countif('Mens Lineup'!E$3:E1000,CONCATENATE("=",$A340))=0,"",E$2))</f>
        <v/>
      </c>
      <c r="F340" s="3" t="str">
        <f>IF($A340="","",IF(countif('Mens Lineup'!F$3:F1000,CONCATENATE("=",$A340))=0,"",F$2))</f>
        <v/>
      </c>
      <c r="G340" s="3" t="str">
        <f>IF($A340="","",IF(countif('Mens Lineup'!G$3:G1000,CONCATENATE("=",$A340))=0,"",G$2))</f>
        <v/>
      </c>
      <c r="H340" s="3" t="str">
        <f>IF($A340="","",IF(countif('Mens Lineup'!H$3:H1000,CONCATENATE("=",$A340))=0,"",H$2))</f>
        <v/>
      </c>
      <c r="I340" s="3" t="str">
        <f>IF($A340="","",IF(countif('Mens Lineup'!I$3:I1000,CONCATENATE("=",$A340))=0,"",I$2))</f>
        <v/>
      </c>
      <c r="J340" s="3" t="str">
        <f>IF($A340="","",IF(countif('Mens Lineup'!J$3:J1000,CONCATENATE("=",$A340))=0,"",J$2))</f>
        <v/>
      </c>
      <c r="K340" s="3" t="str">
        <f>IF($A340="","",IF(countif('Mens Lineup'!K$3:K1000,CONCATENATE("=",$A340))=0,"",K$2))</f>
        <v/>
      </c>
      <c r="L340" s="3" t="str">
        <f>IF($A340="","",IF(countif('Mens Lineup'!L$3:L1000,CONCATENATE("=",$A340))=0,"",L$2))</f>
        <v/>
      </c>
      <c r="M340" s="3" t="str">
        <f>IF($A340="","",IF(countif('Mens Lineup'!M$3:M1000,CONCATENATE("=",$A340))=0,"",M$2))</f>
        <v/>
      </c>
      <c r="N340" s="3" t="str">
        <f>IF($A340="","",IF(countif('Mens Lineup'!N$3:N1000,CONCATENATE("=",$A340))=0,"",N$2))</f>
        <v/>
      </c>
      <c r="O340" s="3" t="str">
        <f>IF($A340="","",IF(countif('Mens Lineup'!O$3:O1000,CONCATENATE("=",$A340))=0,"",O$2))</f>
        <v/>
      </c>
      <c r="P340" s="3" t="str">
        <f>IF($A340="","",IF(countif('Mens Lineup'!P$3:P1000,CONCATENATE("=",$A340))=0,"",P$2))</f>
        <v/>
      </c>
      <c r="Q340" s="3" t="str">
        <f>IF($A340="","",IF(countif('Mens Lineup'!Q$3:Q1000,CONCATENATE("=",$A340))=0,"",Q$2))</f>
        <v/>
      </c>
      <c r="R340" s="3" t="str">
        <f>IF($A340="","",IF(countif('Mens Lineup'!R$3:R1000,CONCATENATE("=",$A340))=0,"",R$2))</f>
        <v/>
      </c>
      <c r="S340" s="3" t="str">
        <f>IF($A340="","",IF(countif('Mens Lineup'!S$3:S1000,CONCATENATE("=",$A340))=0,"",S$2))</f>
        <v/>
      </c>
      <c r="W340" s="3" t="str">
        <f>IFERROR(__xludf.DUMMYFUNCTION("JOIN("","",FILTER(B340:S340,B340:S340&lt;&gt;""""))"),"#N/A")</f>
        <v>#N/A</v>
      </c>
    </row>
    <row r="341">
      <c r="A341" s="3"/>
      <c r="B341" s="3" t="str">
        <f>IF($A341="","",IF(countif('Mens Lineup'!B$3:B1000,CONCATENATE("=",$A341))=0,"",B$2))</f>
        <v/>
      </c>
      <c r="C341" s="3" t="str">
        <f>IF($A341="","",IF(countif('Mens Lineup'!C$3:C1000,CONCATENATE("=",$A341))=0,"",C$2))</f>
        <v/>
      </c>
      <c r="D341" s="3" t="str">
        <f>IF($A341="","",IF(countif('Mens Lineup'!D$3:D1000,CONCATENATE("=",$A341))=0,"",D$2))</f>
        <v/>
      </c>
      <c r="E341" s="3" t="str">
        <f>IF($A341="","",IF(countif('Mens Lineup'!E$3:E1000,CONCATENATE("=",$A341))=0,"",E$2))</f>
        <v/>
      </c>
      <c r="F341" s="3" t="str">
        <f>IF($A341="","",IF(countif('Mens Lineup'!F$3:F1000,CONCATENATE("=",$A341))=0,"",F$2))</f>
        <v/>
      </c>
      <c r="G341" s="3" t="str">
        <f>IF($A341="","",IF(countif('Mens Lineup'!G$3:G1000,CONCATENATE("=",$A341))=0,"",G$2))</f>
        <v/>
      </c>
      <c r="H341" s="3" t="str">
        <f>IF($A341="","",IF(countif('Mens Lineup'!H$3:H1000,CONCATENATE("=",$A341))=0,"",H$2))</f>
        <v/>
      </c>
      <c r="I341" s="3" t="str">
        <f>IF($A341="","",IF(countif('Mens Lineup'!I$3:I1000,CONCATENATE("=",$A341))=0,"",I$2))</f>
        <v/>
      </c>
      <c r="J341" s="3" t="str">
        <f>IF($A341="","",IF(countif('Mens Lineup'!J$3:J1000,CONCATENATE("=",$A341))=0,"",J$2))</f>
        <v/>
      </c>
      <c r="K341" s="3" t="str">
        <f>IF($A341="","",IF(countif('Mens Lineup'!K$3:K1000,CONCATENATE("=",$A341))=0,"",K$2))</f>
        <v/>
      </c>
      <c r="L341" s="3" t="str">
        <f>IF($A341="","",IF(countif('Mens Lineup'!L$3:L1000,CONCATENATE("=",$A341))=0,"",L$2))</f>
        <v/>
      </c>
      <c r="M341" s="3" t="str">
        <f>IF($A341="","",IF(countif('Mens Lineup'!M$3:M1000,CONCATENATE("=",$A341))=0,"",M$2))</f>
        <v/>
      </c>
      <c r="N341" s="3" t="str">
        <f>IF($A341="","",IF(countif('Mens Lineup'!N$3:N1000,CONCATENATE("=",$A341))=0,"",N$2))</f>
        <v/>
      </c>
      <c r="O341" s="3" t="str">
        <f>IF($A341="","",IF(countif('Mens Lineup'!O$3:O1000,CONCATENATE("=",$A341))=0,"",O$2))</f>
        <v/>
      </c>
      <c r="P341" s="3" t="str">
        <f>IF($A341="","",IF(countif('Mens Lineup'!P$3:P1000,CONCATENATE("=",$A341))=0,"",P$2))</f>
        <v/>
      </c>
      <c r="Q341" s="3" t="str">
        <f>IF($A341="","",IF(countif('Mens Lineup'!Q$3:Q1000,CONCATENATE("=",$A341))=0,"",Q$2))</f>
        <v/>
      </c>
      <c r="R341" s="3" t="str">
        <f>IF($A341="","",IF(countif('Mens Lineup'!R$3:R1000,CONCATENATE("=",$A341))=0,"",R$2))</f>
        <v/>
      </c>
      <c r="S341" s="3" t="str">
        <f>IF($A341="","",IF(countif('Mens Lineup'!S$3:S1000,CONCATENATE("=",$A341))=0,"",S$2))</f>
        <v/>
      </c>
      <c r="W341" s="3" t="str">
        <f>IFERROR(__xludf.DUMMYFUNCTION("JOIN("","",FILTER(B341:S341,B341:S341&lt;&gt;""""))"),"#N/A")</f>
        <v>#N/A</v>
      </c>
    </row>
    <row r="342">
      <c r="A342" s="3"/>
      <c r="B342" s="3" t="str">
        <f>IF($A342="","",IF(countif('Mens Lineup'!B$3:B1000,CONCATENATE("=",$A342))=0,"",B$2))</f>
        <v/>
      </c>
      <c r="C342" s="3" t="str">
        <f>IF($A342="","",IF(countif('Mens Lineup'!C$3:C1000,CONCATENATE("=",$A342))=0,"",C$2))</f>
        <v/>
      </c>
      <c r="D342" s="3" t="str">
        <f>IF($A342="","",IF(countif('Mens Lineup'!D$3:D1000,CONCATENATE("=",$A342))=0,"",D$2))</f>
        <v/>
      </c>
      <c r="E342" s="3" t="str">
        <f>IF($A342="","",IF(countif('Mens Lineup'!E$3:E1000,CONCATENATE("=",$A342))=0,"",E$2))</f>
        <v/>
      </c>
      <c r="F342" s="3" t="str">
        <f>IF($A342="","",IF(countif('Mens Lineup'!F$3:F1000,CONCATENATE("=",$A342))=0,"",F$2))</f>
        <v/>
      </c>
      <c r="G342" s="3" t="str">
        <f>IF($A342="","",IF(countif('Mens Lineup'!G$3:G1000,CONCATENATE("=",$A342))=0,"",G$2))</f>
        <v/>
      </c>
      <c r="H342" s="3" t="str">
        <f>IF($A342="","",IF(countif('Mens Lineup'!H$3:H1000,CONCATENATE("=",$A342))=0,"",H$2))</f>
        <v/>
      </c>
      <c r="I342" s="3" t="str">
        <f>IF($A342="","",IF(countif('Mens Lineup'!I$3:I1000,CONCATENATE("=",$A342))=0,"",I$2))</f>
        <v/>
      </c>
      <c r="J342" s="3" t="str">
        <f>IF($A342="","",IF(countif('Mens Lineup'!J$3:J1000,CONCATENATE("=",$A342))=0,"",J$2))</f>
        <v/>
      </c>
      <c r="K342" s="3" t="str">
        <f>IF($A342="","",IF(countif('Mens Lineup'!K$3:K1000,CONCATENATE("=",$A342))=0,"",K$2))</f>
        <v/>
      </c>
      <c r="L342" s="3" t="str">
        <f>IF($A342="","",IF(countif('Mens Lineup'!L$3:L1000,CONCATENATE("=",$A342))=0,"",L$2))</f>
        <v/>
      </c>
      <c r="M342" s="3" t="str">
        <f>IF($A342="","",IF(countif('Mens Lineup'!M$3:M1000,CONCATENATE("=",$A342))=0,"",M$2))</f>
        <v/>
      </c>
      <c r="N342" s="3" t="str">
        <f>IF($A342="","",IF(countif('Mens Lineup'!N$3:N1000,CONCATENATE("=",$A342))=0,"",N$2))</f>
        <v/>
      </c>
      <c r="O342" s="3" t="str">
        <f>IF($A342="","",IF(countif('Mens Lineup'!O$3:O1000,CONCATENATE("=",$A342))=0,"",O$2))</f>
        <v/>
      </c>
      <c r="P342" s="3" t="str">
        <f>IF($A342="","",IF(countif('Mens Lineup'!P$3:P1000,CONCATENATE("=",$A342))=0,"",P$2))</f>
        <v/>
      </c>
      <c r="Q342" s="3" t="str">
        <f>IF($A342="","",IF(countif('Mens Lineup'!Q$3:Q1000,CONCATENATE("=",$A342))=0,"",Q$2))</f>
        <v/>
      </c>
      <c r="R342" s="3" t="str">
        <f>IF($A342="","",IF(countif('Mens Lineup'!R$3:R1000,CONCATENATE("=",$A342))=0,"",R$2))</f>
        <v/>
      </c>
      <c r="S342" s="3" t="str">
        <f>IF($A342="","",IF(countif('Mens Lineup'!S$3:S1000,CONCATENATE("=",$A342))=0,"",S$2))</f>
        <v/>
      </c>
      <c r="W342" s="3" t="str">
        <f>IFERROR(__xludf.DUMMYFUNCTION("JOIN("","",FILTER(B342:S342,B342:S342&lt;&gt;""""))"),"#N/A")</f>
        <v>#N/A</v>
      </c>
    </row>
    <row r="343">
      <c r="A343" s="3"/>
      <c r="B343" s="3" t="str">
        <f>IF($A343="","",IF(countif('Mens Lineup'!B$3:B1000,CONCATENATE("=",$A343))=0,"",B$2))</f>
        <v/>
      </c>
      <c r="C343" s="3" t="str">
        <f>IF($A343="","",IF(countif('Mens Lineup'!C$3:C1000,CONCATENATE("=",$A343))=0,"",C$2))</f>
        <v/>
      </c>
      <c r="D343" s="3" t="str">
        <f>IF($A343="","",IF(countif('Mens Lineup'!D$3:D1000,CONCATENATE("=",$A343))=0,"",D$2))</f>
        <v/>
      </c>
      <c r="E343" s="3" t="str">
        <f>IF($A343="","",IF(countif('Mens Lineup'!E$3:E1000,CONCATENATE("=",$A343))=0,"",E$2))</f>
        <v/>
      </c>
      <c r="F343" s="3" t="str">
        <f>IF($A343="","",IF(countif('Mens Lineup'!F$3:F1000,CONCATENATE("=",$A343))=0,"",F$2))</f>
        <v/>
      </c>
      <c r="G343" s="3" t="str">
        <f>IF($A343="","",IF(countif('Mens Lineup'!G$3:G1000,CONCATENATE("=",$A343))=0,"",G$2))</f>
        <v/>
      </c>
      <c r="H343" s="3" t="str">
        <f>IF($A343="","",IF(countif('Mens Lineup'!H$3:H1000,CONCATENATE("=",$A343))=0,"",H$2))</f>
        <v/>
      </c>
      <c r="I343" s="3" t="str">
        <f>IF($A343="","",IF(countif('Mens Lineup'!I$3:I1000,CONCATENATE("=",$A343))=0,"",I$2))</f>
        <v/>
      </c>
      <c r="J343" s="3" t="str">
        <f>IF($A343="","",IF(countif('Mens Lineup'!J$3:J1000,CONCATENATE("=",$A343))=0,"",J$2))</f>
        <v/>
      </c>
      <c r="K343" s="3" t="str">
        <f>IF($A343="","",IF(countif('Mens Lineup'!K$3:K1000,CONCATENATE("=",$A343))=0,"",K$2))</f>
        <v/>
      </c>
      <c r="L343" s="3" t="str">
        <f>IF($A343="","",IF(countif('Mens Lineup'!L$3:L1000,CONCATENATE("=",$A343))=0,"",L$2))</f>
        <v/>
      </c>
      <c r="M343" s="3" t="str">
        <f>IF($A343="","",IF(countif('Mens Lineup'!M$3:M1000,CONCATENATE("=",$A343))=0,"",M$2))</f>
        <v/>
      </c>
      <c r="N343" s="3" t="str">
        <f>IF($A343="","",IF(countif('Mens Lineup'!N$3:N1000,CONCATENATE("=",$A343))=0,"",N$2))</f>
        <v/>
      </c>
      <c r="O343" s="3" t="str">
        <f>IF($A343="","",IF(countif('Mens Lineup'!O$3:O1000,CONCATENATE("=",$A343))=0,"",O$2))</f>
        <v/>
      </c>
      <c r="P343" s="3" t="str">
        <f>IF($A343="","",IF(countif('Mens Lineup'!P$3:P1000,CONCATENATE("=",$A343))=0,"",P$2))</f>
        <v/>
      </c>
      <c r="Q343" s="3" t="str">
        <f>IF($A343="","",IF(countif('Mens Lineup'!Q$3:Q1000,CONCATENATE("=",$A343))=0,"",Q$2))</f>
        <v/>
      </c>
      <c r="R343" s="3" t="str">
        <f>IF($A343="","",IF(countif('Mens Lineup'!R$3:R1000,CONCATENATE("=",$A343))=0,"",R$2))</f>
        <v/>
      </c>
      <c r="S343" s="3" t="str">
        <f>IF($A343="","",IF(countif('Mens Lineup'!S$3:S1000,CONCATENATE("=",$A343))=0,"",S$2))</f>
        <v/>
      </c>
      <c r="W343" s="3" t="str">
        <f>IFERROR(__xludf.DUMMYFUNCTION("JOIN("","",FILTER(B343:S343,B343:S343&lt;&gt;""""))"),"#N/A")</f>
        <v>#N/A</v>
      </c>
    </row>
    <row r="344">
      <c r="A344" s="3"/>
      <c r="B344" s="3" t="str">
        <f>IF($A344="","",IF(countif('Mens Lineup'!B$3:B1000,CONCATENATE("=",$A344))=0,"",B$2))</f>
        <v/>
      </c>
      <c r="C344" s="3" t="str">
        <f>IF($A344="","",IF(countif('Mens Lineup'!C$3:C1000,CONCATENATE("=",$A344))=0,"",C$2))</f>
        <v/>
      </c>
      <c r="D344" s="3" t="str">
        <f>IF($A344="","",IF(countif('Mens Lineup'!D$3:D1000,CONCATENATE("=",$A344))=0,"",D$2))</f>
        <v/>
      </c>
      <c r="E344" s="3" t="str">
        <f>IF($A344="","",IF(countif('Mens Lineup'!E$3:E1000,CONCATENATE("=",$A344))=0,"",E$2))</f>
        <v/>
      </c>
      <c r="F344" s="3" t="str">
        <f>IF($A344="","",IF(countif('Mens Lineup'!F$3:F1000,CONCATENATE("=",$A344))=0,"",F$2))</f>
        <v/>
      </c>
      <c r="G344" s="3" t="str">
        <f>IF($A344="","",IF(countif('Mens Lineup'!G$3:G1000,CONCATENATE("=",$A344))=0,"",G$2))</f>
        <v/>
      </c>
      <c r="H344" s="3" t="str">
        <f>IF($A344="","",IF(countif('Mens Lineup'!H$3:H1000,CONCATENATE("=",$A344))=0,"",H$2))</f>
        <v/>
      </c>
      <c r="I344" s="3" t="str">
        <f>IF($A344="","",IF(countif('Mens Lineup'!I$3:I1000,CONCATENATE("=",$A344))=0,"",I$2))</f>
        <v/>
      </c>
      <c r="J344" s="3" t="str">
        <f>IF($A344="","",IF(countif('Mens Lineup'!J$3:J1000,CONCATENATE("=",$A344))=0,"",J$2))</f>
        <v/>
      </c>
      <c r="K344" s="3" t="str">
        <f>IF($A344="","",IF(countif('Mens Lineup'!K$3:K1000,CONCATENATE("=",$A344))=0,"",K$2))</f>
        <v/>
      </c>
      <c r="L344" s="3" t="str">
        <f>IF($A344="","",IF(countif('Mens Lineup'!L$3:L1000,CONCATENATE("=",$A344))=0,"",L$2))</f>
        <v/>
      </c>
      <c r="M344" s="3" t="str">
        <f>IF($A344="","",IF(countif('Mens Lineup'!M$3:M1000,CONCATENATE("=",$A344))=0,"",M$2))</f>
        <v/>
      </c>
      <c r="N344" s="3" t="str">
        <f>IF($A344="","",IF(countif('Mens Lineup'!N$3:N1000,CONCATENATE("=",$A344))=0,"",N$2))</f>
        <v/>
      </c>
      <c r="O344" s="3" t="str">
        <f>IF($A344="","",IF(countif('Mens Lineup'!O$3:O1000,CONCATENATE("=",$A344))=0,"",O$2))</f>
        <v/>
      </c>
      <c r="P344" s="3" t="str">
        <f>IF($A344="","",IF(countif('Mens Lineup'!P$3:P1000,CONCATENATE("=",$A344))=0,"",P$2))</f>
        <v/>
      </c>
      <c r="Q344" s="3" t="str">
        <f>IF($A344="","",IF(countif('Mens Lineup'!Q$3:Q1000,CONCATENATE("=",$A344))=0,"",Q$2))</f>
        <v/>
      </c>
      <c r="R344" s="3" t="str">
        <f>IF($A344="","",IF(countif('Mens Lineup'!R$3:R1000,CONCATENATE("=",$A344))=0,"",R$2))</f>
        <v/>
      </c>
      <c r="S344" s="3" t="str">
        <f>IF($A344="","",IF(countif('Mens Lineup'!S$3:S1000,CONCATENATE("=",$A344))=0,"",S$2))</f>
        <v/>
      </c>
      <c r="W344" s="3" t="str">
        <f>IFERROR(__xludf.DUMMYFUNCTION("JOIN("","",FILTER(B344:S344,B344:S344&lt;&gt;""""))"),"#N/A")</f>
        <v>#N/A</v>
      </c>
    </row>
    <row r="345">
      <c r="A345" s="3"/>
      <c r="B345" s="3" t="str">
        <f>IF($A345="","",IF(countif('Mens Lineup'!B$3:B1000,CONCATENATE("=",$A345))=0,"",B$2))</f>
        <v/>
      </c>
      <c r="C345" s="3" t="str">
        <f>IF($A345="","",IF(countif('Mens Lineup'!C$3:C1000,CONCATENATE("=",$A345))=0,"",C$2))</f>
        <v/>
      </c>
      <c r="D345" s="3" t="str">
        <f>IF($A345="","",IF(countif('Mens Lineup'!D$3:D1000,CONCATENATE("=",$A345))=0,"",D$2))</f>
        <v/>
      </c>
      <c r="E345" s="3" t="str">
        <f>IF($A345="","",IF(countif('Mens Lineup'!E$3:E1000,CONCATENATE("=",$A345))=0,"",E$2))</f>
        <v/>
      </c>
      <c r="F345" s="3" t="str">
        <f>IF($A345="","",IF(countif('Mens Lineup'!F$3:F1000,CONCATENATE("=",$A345))=0,"",F$2))</f>
        <v/>
      </c>
      <c r="G345" s="3" t="str">
        <f>IF($A345="","",IF(countif('Mens Lineup'!G$3:G1000,CONCATENATE("=",$A345))=0,"",G$2))</f>
        <v/>
      </c>
      <c r="H345" s="3" t="str">
        <f>IF($A345="","",IF(countif('Mens Lineup'!H$3:H1000,CONCATENATE("=",$A345))=0,"",H$2))</f>
        <v/>
      </c>
      <c r="I345" s="3" t="str">
        <f>IF($A345="","",IF(countif('Mens Lineup'!I$3:I1000,CONCATENATE("=",$A345))=0,"",I$2))</f>
        <v/>
      </c>
      <c r="J345" s="3" t="str">
        <f>IF($A345="","",IF(countif('Mens Lineup'!J$3:J1000,CONCATENATE("=",$A345))=0,"",J$2))</f>
        <v/>
      </c>
      <c r="K345" s="3" t="str">
        <f>IF($A345="","",IF(countif('Mens Lineup'!K$3:K1000,CONCATENATE("=",$A345))=0,"",K$2))</f>
        <v/>
      </c>
      <c r="L345" s="3" t="str">
        <f>IF($A345="","",IF(countif('Mens Lineup'!L$3:L1000,CONCATENATE("=",$A345))=0,"",L$2))</f>
        <v/>
      </c>
      <c r="M345" s="3" t="str">
        <f>IF($A345="","",IF(countif('Mens Lineup'!M$3:M1000,CONCATENATE("=",$A345))=0,"",M$2))</f>
        <v/>
      </c>
      <c r="N345" s="3" t="str">
        <f>IF($A345="","",IF(countif('Mens Lineup'!N$3:N1000,CONCATENATE("=",$A345))=0,"",N$2))</f>
        <v/>
      </c>
      <c r="O345" s="3" t="str">
        <f>IF($A345="","",IF(countif('Mens Lineup'!O$3:O1000,CONCATENATE("=",$A345))=0,"",O$2))</f>
        <v/>
      </c>
      <c r="P345" s="3" t="str">
        <f>IF($A345="","",IF(countif('Mens Lineup'!P$3:P1000,CONCATENATE("=",$A345))=0,"",P$2))</f>
        <v/>
      </c>
      <c r="Q345" s="3" t="str">
        <f>IF($A345="","",IF(countif('Mens Lineup'!Q$3:Q1000,CONCATENATE("=",$A345))=0,"",Q$2))</f>
        <v/>
      </c>
      <c r="R345" s="3" t="str">
        <f>IF($A345="","",IF(countif('Mens Lineup'!R$3:R1000,CONCATENATE("=",$A345))=0,"",R$2))</f>
        <v/>
      </c>
      <c r="S345" s="3" t="str">
        <f>IF($A345="","",IF(countif('Mens Lineup'!S$3:S1000,CONCATENATE("=",$A345))=0,"",S$2))</f>
        <v/>
      </c>
      <c r="W345" s="3" t="str">
        <f>IFERROR(__xludf.DUMMYFUNCTION("JOIN("","",FILTER(B345:S345,B345:S345&lt;&gt;""""))"),"#N/A")</f>
        <v>#N/A</v>
      </c>
    </row>
    <row r="346">
      <c r="A346" s="3"/>
      <c r="B346" s="3" t="str">
        <f>IF($A346="","",IF(countif('Mens Lineup'!B$3:B1000,CONCATENATE("=",$A346))=0,"",B$2))</f>
        <v/>
      </c>
      <c r="C346" s="3" t="str">
        <f>IF($A346="","",IF(countif('Mens Lineup'!C$3:C1000,CONCATENATE("=",$A346))=0,"",C$2))</f>
        <v/>
      </c>
      <c r="D346" s="3" t="str">
        <f>IF($A346="","",IF(countif('Mens Lineup'!D$3:D1000,CONCATENATE("=",$A346))=0,"",D$2))</f>
        <v/>
      </c>
      <c r="E346" s="3" t="str">
        <f>IF($A346="","",IF(countif('Mens Lineup'!E$3:E1000,CONCATENATE("=",$A346))=0,"",E$2))</f>
        <v/>
      </c>
      <c r="F346" s="3" t="str">
        <f>IF($A346="","",IF(countif('Mens Lineup'!F$3:F1000,CONCATENATE("=",$A346))=0,"",F$2))</f>
        <v/>
      </c>
      <c r="G346" s="3" t="str">
        <f>IF($A346="","",IF(countif('Mens Lineup'!G$3:G1000,CONCATENATE("=",$A346))=0,"",G$2))</f>
        <v/>
      </c>
      <c r="H346" s="3" t="str">
        <f>IF($A346="","",IF(countif('Mens Lineup'!H$3:H1000,CONCATENATE("=",$A346))=0,"",H$2))</f>
        <v/>
      </c>
      <c r="I346" s="3" t="str">
        <f>IF($A346="","",IF(countif('Mens Lineup'!I$3:I1000,CONCATENATE("=",$A346))=0,"",I$2))</f>
        <v/>
      </c>
      <c r="J346" s="3" t="str">
        <f>IF($A346="","",IF(countif('Mens Lineup'!J$3:J1000,CONCATENATE("=",$A346))=0,"",J$2))</f>
        <v/>
      </c>
      <c r="K346" s="3" t="str">
        <f>IF($A346="","",IF(countif('Mens Lineup'!K$3:K1000,CONCATENATE("=",$A346))=0,"",K$2))</f>
        <v/>
      </c>
      <c r="L346" s="3" t="str">
        <f>IF($A346="","",IF(countif('Mens Lineup'!L$3:L1000,CONCATENATE("=",$A346))=0,"",L$2))</f>
        <v/>
      </c>
      <c r="M346" s="3" t="str">
        <f>IF($A346="","",IF(countif('Mens Lineup'!M$3:M1000,CONCATENATE("=",$A346))=0,"",M$2))</f>
        <v/>
      </c>
      <c r="N346" s="3" t="str">
        <f>IF($A346="","",IF(countif('Mens Lineup'!N$3:N1000,CONCATENATE("=",$A346))=0,"",N$2))</f>
        <v/>
      </c>
      <c r="O346" s="3" t="str">
        <f>IF($A346="","",IF(countif('Mens Lineup'!O$3:O1000,CONCATENATE("=",$A346))=0,"",O$2))</f>
        <v/>
      </c>
      <c r="P346" s="3" t="str">
        <f>IF($A346="","",IF(countif('Mens Lineup'!P$3:P1000,CONCATENATE("=",$A346))=0,"",P$2))</f>
        <v/>
      </c>
      <c r="Q346" s="3" t="str">
        <f>IF($A346="","",IF(countif('Mens Lineup'!Q$3:Q1000,CONCATENATE("=",$A346))=0,"",Q$2))</f>
        <v/>
      </c>
      <c r="R346" s="3" t="str">
        <f>IF($A346="","",IF(countif('Mens Lineup'!R$3:R1000,CONCATENATE("=",$A346))=0,"",R$2))</f>
        <v/>
      </c>
      <c r="S346" s="3" t="str">
        <f>IF($A346="","",IF(countif('Mens Lineup'!S$3:S1000,CONCATENATE("=",$A346))=0,"",S$2))</f>
        <v/>
      </c>
      <c r="W346" s="3" t="str">
        <f>IFERROR(__xludf.DUMMYFUNCTION("JOIN("","",FILTER(B346:S346,B346:S346&lt;&gt;""""))"),"#N/A")</f>
        <v>#N/A</v>
      </c>
    </row>
    <row r="347">
      <c r="A347" s="3"/>
      <c r="B347" s="3" t="str">
        <f>IF($A347="","",IF(countif('Mens Lineup'!B$3:B1000,CONCATENATE("=",$A347))=0,"",B$2))</f>
        <v/>
      </c>
      <c r="C347" s="3" t="str">
        <f>IF($A347="","",IF(countif('Mens Lineup'!C$3:C1000,CONCATENATE("=",$A347))=0,"",C$2))</f>
        <v/>
      </c>
      <c r="D347" s="3" t="str">
        <f>IF($A347="","",IF(countif('Mens Lineup'!D$3:D1000,CONCATENATE("=",$A347))=0,"",D$2))</f>
        <v/>
      </c>
      <c r="E347" s="3" t="str">
        <f>IF($A347="","",IF(countif('Mens Lineup'!E$3:E1000,CONCATENATE("=",$A347))=0,"",E$2))</f>
        <v/>
      </c>
      <c r="F347" s="3" t="str">
        <f>IF($A347="","",IF(countif('Mens Lineup'!F$3:F1000,CONCATENATE("=",$A347))=0,"",F$2))</f>
        <v/>
      </c>
      <c r="G347" s="3" t="str">
        <f>IF($A347="","",IF(countif('Mens Lineup'!G$3:G1000,CONCATENATE("=",$A347))=0,"",G$2))</f>
        <v/>
      </c>
      <c r="H347" s="3" t="str">
        <f>IF($A347="","",IF(countif('Mens Lineup'!H$3:H1000,CONCATENATE("=",$A347))=0,"",H$2))</f>
        <v/>
      </c>
      <c r="I347" s="3" t="str">
        <f>IF($A347="","",IF(countif('Mens Lineup'!I$3:I1000,CONCATENATE("=",$A347))=0,"",I$2))</f>
        <v/>
      </c>
      <c r="J347" s="3" t="str">
        <f>IF($A347="","",IF(countif('Mens Lineup'!J$3:J1000,CONCATENATE("=",$A347))=0,"",J$2))</f>
        <v/>
      </c>
      <c r="K347" s="3" t="str">
        <f>IF($A347="","",IF(countif('Mens Lineup'!K$3:K1000,CONCATENATE("=",$A347))=0,"",K$2))</f>
        <v/>
      </c>
      <c r="L347" s="3" t="str">
        <f>IF($A347="","",IF(countif('Mens Lineup'!L$3:L1000,CONCATENATE("=",$A347))=0,"",L$2))</f>
        <v/>
      </c>
      <c r="M347" s="3" t="str">
        <f>IF($A347="","",IF(countif('Mens Lineup'!M$3:M1000,CONCATENATE("=",$A347))=0,"",M$2))</f>
        <v/>
      </c>
      <c r="N347" s="3" t="str">
        <f>IF($A347="","",IF(countif('Mens Lineup'!N$3:N1000,CONCATENATE("=",$A347))=0,"",N$2))</f>
        <v/>
      </c>
      <c r="O347" s="3" t="str">
        <f>IF($A347="","",IF(countif('Mens Lineup'!O$3:O1000,CONCATENATE("=",$A347))=0,"",O$2))</f>
        <v/>
      </c>
      <c r="P347" s="3" t="str">
        <f>IF($A347="","",IF(countif('Mens Lineup'!P$3:P1000,CONCATENATE("=",$A347))=0,"",P$2))</f>
        <v/>
      </c>
      <c r="Q347" s="3" t="str">
        <f>IF($A347="","",IF(countif('Mens Lineup'!Q$3:Q1000,CONCATENATE("=",$A347))=0,"",Q$2))</f>
        <v/>
      </c>
      <c r="R347" s="3" t="str">
        <f>IF($A347="","",IF(countif('Mens Lineup'!R$3:R1000,CONCATENATE("=",$A347))=0,"",R$2))</f>
        <v/>
      </c>
      <c r="S347" s="3" t="str">
        <f>IF($A347="","",IF(countif('Mens Lineup'!S$3:S1000,CONCATENATE("=",$A347))=0,"",S$2))</f>
        <v/>
      </c>
      <c r="W347" s="3" t="str">
        <f>IFERROR(__xludf.DUMMYFUNCTION("JOIN("","",FILTER(B347:S347,B347:S347&lt;&gt;""""))"),"#N/A")</f>
        <v>#N/A</v>
      </c>
    </row>
    <row r="348">
      <c r="A348" s="3"/>
      <c r="B348" s="3" t="str">
        <f>IF($A348="","",IF(countif('Mens Lineup'!B$3:B1000,CONCATENATE("=",$A348))=0,"",B$2))</f>
        <v/>
      </c>
      <c r="C348" s="3" t="str">
        <f>IF($A348="","",IF(countif('Mens Lineup'!C$3:C1000,CONCATENATE("=",$A348))=0,"",C$2))</f>
        <v/>
      </c>
      <c r="D348" s="3" t="str">
        <f>IF($A348="","",IF(countif('Mens Lineup'!D$3:D1000,CONCATENATE("=",$A348))=0,"",D$2))</f>
        <v/>
      </c>
      <c r="E348" s="3" t="str">
        <f>IF($A348="","",IF(countif('Mens Lineup'!E$3:E1000,CONCATENATE("=",$A348))=0,"",E$2))</f>
        <v/>
      </c>
      <c r="F348" s="3" t="str">
        <f>IF($A348="","",IF(countif('Mens Lineup'!F$3:F1000,CONCATENATE("=",$A348))=0,"",F$2))</f>
        <v/>
      </c>
      <c r="G348" s="3" t="str">
        <f>IF($A348="","",IF(countif('Mens Lineup'!G$3:G1000,CONCATENATE("=",$A348))=0,"",G$2))</f>
        <v/>
      </c>
      <c r="H348" s="3" t="str">
        <f>IF($A348="","",IF(countif('Mens Lineup'!H$3:H1000,CONCATENATE("=",$A348))=0,"",H$2))</f>
        <v/>
      </c>
      <c r="I348" s="3" t="str">
        <f>IF($A348="","",IF(countif('Mens Lineup'!I$3:I1000,CONCATENATE("=",$A348))=0,"",I$2))</f>
        <v/>
      </c>
      <c r="J348" s="3" t="str">
        <f>IF($A348="","",IF(countif('Mens Lineup'!J$3:J1000,CONCATENATE("=",$A348))=0,"",J$2))</f>
        <v/>
      </c>
      <c r="K348" s="3" t="str">
        <f>IF($A348="","",IF(countif('Mens Lineup'!K$3:K1000,CONCATENATE("=",$A348))=0,"",K$2))</f>
        <v/>
      </c>
      <c r="L348" s="3" t="str">
        <f>IF($A348="","",IF(countif('Mens Lineup'!L$3:L1000,CONCATENATE("=",$A348))=0,"",L$2))</f>
        <v/>
      </c>
      <c r="M348" s="3" t="str">
        <f>IF($A348="","",IF(countif('Mens Lineup'!M$3:M1000,CONCATENATE("=",$A348))=0,"",M$2))</f>
        <v/>
      </c>
      <c r="N348" s="3" t="str">
        <f>IF($A348="","",IF(countif('Mens Lineup'!N$3:N1000,CONCATENATE("=",$A348))=0,"",N$2))</f>
        <v/>
      </c>
      <c r="O348" s="3" t="str">
        <f>IF($A348="","",IF(countif('Mens Lineup'!O$3:O1000,CONCATENATE("=",$A348))=0,"",O$2))</f>
        <v/>
      </c>
      <c r="P348" s="3" t="str">
        <f>IF($A348="","",IF(countif('Mens Lineup'!P$3:P1000,CONCATENATE("=",$A348))=0,"",P$2))</f>
        <v/>
      </c>
      <c r="Q348" s="3" t="str">
        <f>IF($A348="","",IF(countif('Mens Lineup'!Q$3:Q1000,CONCATENATE("=",$A348))=0,"",Q$2))</f>
        <v/>
      </c>
      <c r="R348" s="3" t="str">
        <f>IF($A348="","",IF(countif('Mens Lineup'!R$3:R1000,CONCATENATE("=",$A348))=0,"",R$2))</f>
        <v/>
      </c>
      <c r="S348" s="3" t="str">
        <f>IF($A348="","",IF(countif('Mens Lineup'!S$3:S1000,CONCATENATE("=",$A348))=0,"",S$2))</f>
        <v/>
      </c>
      <c r="W348" s="3" t="str">
        <f>IFERROR(__xludf.DUMMYFUNCTION("JOIN("","",FILTER(B348:S348,B348:S348&lt;&gt;""""))"),"#N/A")</f>
        <v>#N/A</v>
      </c>
    </row>
    <row r="349">
      <c r="A349" s="3"/>
      <c r="B349" s="3" t="str">
        <f>IF($A349="","",IF(countif('Mens Lineup'!B$3:B1000,CONCATENATE("=",$A349))=0,"",B$2))</f>
        <v/>
      </c>
      <c r="C349" s="3" t="str">
        <f>IF($A349="","",IF(countif('Mens Lineup'!C$3:C1000,CONCATENATE("=",$A349))=0,"",C$2))</f>
        <v/>
      </c>
      <c r="D349" s="3" t="str">
        <f>IF($A349="","",IF(countif('Mens Lineup'!D$3:D1000,CONCATENATE("=",$A349))=0,"",D$2))</f>
        <v/>
      </c>
      <c r="E349" s="3" t="str">
        <f>IF($A349="","",IF(countif('Mens Lineup'!E$3:E1000,CONCATENATE("=",$A349))=0,"",E$2))</f>
        <v/>
      </c>
      <c r="F349" s="3" t="str">
        <f>IF($A349="","",IF(countif('Mens Lineup'!F$3:F1000,CONCATENATE("=",$A349))=0,"",F$2))</f>
        <v/>
      </c>
      <c r="G349" s="3" t="str">
        <f>IF($A349="","",IF(countif('Mens Lineup'!G$3:G1000,CONCATENATE("=",$A349))=0,"",G$2))</f>
        <v/>
      </c>
      <c r="H349" s="3" t="str">
        <f>IF($A349="","",IF(countif('Mens Lineup'!H$3:H1000,CONCATENATE("=",$A349))=0,"",H$2))</f>
        <v/>
      </c>
      <c r="I349" s="3" t="str">
        <f>IF($A349="","",IF(countif('Mens Lineup'!I$3:I1000,CONCATENATE("=",$A349))=0,"",I$2))</f>
        <v/>
      </c>
      <c r="J349" s="3" t="str">
        <f>IF($A349="","",IF(countif('Mens Lineup'!J$3:J1000,CONCATENATE("=",$A349))=0,"",J$2))</f>
        <v/>
      </c>
      <c r="K349" s="3" t="str">
        <f>IF($A349="","",IF(countif('Mens Lineup'!K$3:K1000,CONCATENATE("=",$A349))=0,"",K$2))</f>
        <v/>
      </c>
      <c r="L349" s="3" t="str">
        <f>IF($A349="","",IF(countif('Mens Lineup'!L$3:L1000,CONCATENATE("=",$A349))=0,"",L$2))</f>
        <v/>
      </c>
      <c r="M349" s="3" t="str">
        <f>IF($A349="","",IF(countif('Mens Lineup'!M$3:M1000,CONCATENATE("=",$A349))=0,"",M$2))</f>
        <v/>
      </c>
      <c r="N349" s="3" t="str">
        <f>IF($A349="","",IF(countif('Mens Lineup'!N$3:N1000,CONCATENATE("=",$A349))=0,"",N$2))</f>
        <v/>
      </c>
      <c r="O349" s="3" t="str">
        <f>IF($A349="","",IF(countif('Mens Lineup'!O$3:O1000,CONCATENATE("=",$A349))=0,"",O$2))</f>
        <v/>
      </c>
      <c r="P349" s="3" t="str">
        <f>IF($A349="","",IF(countif('Mens Lineup'!P$3:P1000,CONCATENATE("=",$A349))=0,"",P$2))</f>
        <v/>
      </c>
      <c r="Q349" s="3" t="str">
        <f>IF($A349="","",IF(countif('Mens Lineup'!Q$3:Q1000,CONCATENATE("=",$A349))=0,"",Q$2))</f>
        <v/>
      </c>
      <c r="R349" s="3" t="str">
        <f>IF($A349="","",IF(countif('Mens Lineup'!R$3:R1000,CONCATENATE("=",$A349))=0,"",R$2))</f>
        <v/>
      </c>
      <c r="S349" s="3" t="str">
        <f>IF($A349="","",IF(countif('Mens Lineup'!S$3:S1000,CONCATENATE("=",$A349))=0,"",S$2))</f>
        <v/>
      </c>
      <c r="W349" s="3" t="str">
        <f>IFERROR(__xludf.DUMMYFUNCTION("JOIN("","",FILTER(B349:S349,B349:S349&lt;&gt;""""))"),"#N/A")</f>
        <v>#N/A</v>
      </c>
    </row>
    <row r="350">
      <c r="A350" s="3"/>
      <c r="B350" s="3" t="str">
        <f>IF($A350="","",IF(countif('Mens Lineup'!B$3:B1000,CONCATENATE("=",$A350))=0,"",B$2))</f>
        <v/>
      </c>
      <c r="C350" s="3" t="str">
        <f>IF($A350="","",IF(countif('Mens Lineup'!C$3:C1000,CONCATENATE("=",$A350))=0,"",C$2))</f>
        <v/>
      </c>
      <c r="D350" s="3" t="str">
        <f>IF($A350="","",IF(countif('Mens Lineup'!D$3:D1000,CONCATENATE("=",$A350))=0,"",D$2))</f>
        <v/>
      </c>
      <c r="E350" s="3" t="str">
        <f>IF($A350="","",IF(countif('Mens Lineup'!E$3:E1000,CONCATENATE("=",$A350))=0,"",E$2))</f>
        <v/>
      </c>
      <c r="F350" s="3" t="str">
        <f>IF($A350="","",IF(countif('Mens Lineup'!F$3:F1000,CONCATENATE("=",$A350))=0,"",F$2))</f>
        <v/>
      </c>
      <c r="G350" s="3" t="str">
        <f>IF($A350="","",IF(countif('Mens Lineup'!G$3:G1000,CONCATENATE("=",$A350))=0,"",G$2))</f>
        <v/>
      </c>
      <c r="H350" s="3" t="str">
        <f>IF($A350="","",IF(countif('Mens Lineup'!H$3:H1000,CONCATENATE("=",$A350))=0,"",H$2))</f>
        <v/>
      </c>
      <c r="I350" s="3" t="str">
        <f>IF($A350="","",IF(countif('Mens Lineup'!I$3:I1000,CONCATENATE("=",$A350))=0,"",I$2))</f>
        <v/>
      </c>
      <c r="J350" s="3" t="str">
        <f>IF($A350="","",IF(countif('Mens Lineup'!J$3:J1000,CONCATENATE("=",$A350))=0,"",J$2))</f>
        <v/>
      </c>
      <c r="K350" s="3" t="str">
        <f>IF($A350="","",IF(countif('Mens Lineup'!K$3:K1000,CONCATENATE("=",$A350))=0,"",K$2))</f>
        <v/>
      </c>
      <c r="L350" s="3" t="str">
        <f>IF($A350="","",IF(countif('Mens Lineup'!L$3:L1000,CONCATENATE("=",$A350))=0,"",L$2))</f>
        <v/>
      </c>
      <c r="M350" s="3" t="str">
        <f>IF($A350="","",IF(countif('Mens Lineup'!M$3:M1000,CONCATENATE("=",$A350))=0,"",M$2))</f>
        <v/>
      </c>
      <c r="N350" s="3" t="str">
        <f>IF($A350="","",IF(countif('Mens Lineup'!N$3:N1000,CONCATENATE("=",$A350))=0,"",N$2))</f>
        <v/>
      </c>
      <c r="O350" s="3" t="str">
        <f>IF($A350="","",IF(countif('Mens Lineup'!O$3:O1000,CONCATENATE("=",$A350))=0,"",O$2))</f>
        <v/>
      </c>
      <c r="P350" s="3" t="str">
        <f>IF($A350="","",IF(countif('Mens Lineup'!P$3:P1000,CONCATENATE("=",$A350))=0,"",P$2))</f>
        <v/>
      </c>
      <c r="Q350" s="3" t="str">
        <f>IF($A350="","",IF(countif('Mens Lineup'!Q$3:Q1000,CONCATENATE("=",$A350))=0,"",Q$2))</f>
        <v/>
      </c>
      <c r="R350" s="3" t="str">
        <f>IF($A350="","",IF(countif('Mens Lineup'!R$3:R1000,CONCATENATE("=",$A350))=0,"",R$2))</f>
        <v/>
      </c>
      <c r="S350" s="3" t="str">
        <f>IF($A350="","",IF(countif('Mens Lineup'!S$3:S1000,CONCATENATE("=",$A350))=0,"",S$2))</f>
        <v/>
      </c>
      <c r="W350" s="3" t="str">
        <f>IFERROR(__xludf.DUMMYFUNCTION("JOIN("","",FILTER(B350:S350,B350:S350&lt;&gt;""""))"),"#N/A")</f>
        <v>#N/A</v>
      </c>
    </row>
    <row r="351">
      <c r="A351" s="3"/>
      <c r="B351" s="3" t="str">
        <f>IF($A351="","",IF(countif('Mens Lineup'!B$3:B1000,CONCATENATE("=",$A351))=0,"",B$2))</f>
        <v/>
      </c>
      <c r="C351" s="3" t="str">
        <f>IF($A351="","",IF(countif('Mens Lineup'!C$3:C1000,CONCATENATE("=",$A351))=0,"",C$2))</f>
        <v/>
      </c>
      <c r="D351" s="3" t="str">
        <f>IF($A351="","",IF(countif('Mens Lineup'!D$3:D1000,CONCATENATE("=",$A351))=0,"",D$2))</f>
        <v/>
      </c>
      <c r="E351" s="3" t="str">
        <f>IF($A351="","",IF(countif('Mens Lineup'!E$3:E1000,CONCATENATE("=",$A351))=0,"",E$2))</f>
        <v/>
      </c>
      <c r="F351" s="3" t="str">
        <f>IF($A351="","",IF(countif('Mens Lineup'!F$3:F1000,CONCATENATE("=",$A351))=0,"",F$2))</f>
        <v/>
      </c>
      <c r="G351" s="3" t="str">
        <f>IF($A351="","",IF(countif('Mens Lineup'!G$3:G1000,CONCATENATE("=",$A351))=0,"",G$2))</f>
        <v/>
      </c>
      <c r="H351" s="3" t="str">
        <f>IF($A351="","",IF(countif('Mens Lineup'!H$3:H1000,CONCATENATE("=",$A351))=0,"",H$2))</f>
        <v/>
      </c>
      <c r="I351" s="3" t="str">
        <f>IF($A351="","",IF(countif('Mens Lineup'!I$3:I1000,CONCATENATE("=",$A351))=0,"",I$2))</f>
        <v/>
      </c>
      <c r="J351" s="3" t="str">
        <f>IF($A351="","",IF(countif('Mens Lineup'!J$3:J1000,CONCATENATE("=",$A351))=0,"",J$2))</f>
        <v/>
      </c>
      <c r="K351" s="3" t="str">
        <f>IF($A351="","",IF(countif('Mens Lineup'!K$3:K1000,CONCATENATE("=",$A351))=0,"",K$2))</f>
        <v/>
      </c>
      <c r="L351" s="3" t="str">
        <f>IF($A351="","",IF(countif('Mens Lineup'!L$3:L1000,CONCATENATE("=",$A351))=0,"",L$2))</f>
        <v/>
      </c>
      <c r="M351" s="3" t="str">
        <f>IF($A351="","",IF(countif('Mens Lineup'!M$3:M1000,CONCATENATE("=",$A351))=0,"",M$2))</f>
        <v/>
      </c>
      <c r="N351" s="3" t="str">
        <f>IF($A351="","",IF(countif('Mens Lineup'!N$3:N1000,CONCATENATE("=",$A351))=0,"",N$2))</f>
        <v/>
      </c>
      <c r="O351" s="3" t="str">
        <f>IF($A351="","",IF(countif('Mens Lineup'!O$3:O1000,CONCATENATE("=",$A351))=0,"",O$2))</f>
        <v/>
      </c>
      <c r="P351" s="3" t="str">
        <f>IF($A351="","",IF(countif('Mens Lineup'!P$3:P1000,CONCATENATE("=",$A351))=0,"",P$2))</f>
        <v/>
      </c>
      <c r="Q351" s="3" t="str">
        <f>IF($A351="","",IF(countif('Mens Lineup'!Q$3:Q1000,CONCATENATE("=",$A351))=0,"",Q$2))</f>
        <v/>
      </c>
      <c r="R351" s="3" t="str">
        <f>IF($A351="","",IF(countif('Mens Lineup'!R$3:R1000,CONCATENATE("=",$A351))=0,"",R$2))</f>
        <v/>
      </c>
      <c r="S351" s="3" t="str">
        <f>IF($A351="","",IF(countif('Mens Lineup'!S$3:S1000,CONCATENATE("=",$A351))=0,"",S$2))</f>
        <v/>
      </c>
      <c r="W351" s="3" t="str">
        <f>IFERROR(__xludf.DUMMYFUNCTION("JOIN("","",FILTER(B351:S351,B351:S351&lt;&gt;""""))"),"#N/A")</f>
        <v>#N/A</v>
      </c>
    </row>
    <row r="352">
      <c r="A352" s="3"/>
      <c r="B352" s="3" t="str">
        <f>IF($A352="","",IF(countif('Mens Lineup'!B$3:B1000,CONCATENATE("=",$A352))=0,"",B$2))</f>
        <v/>
      </c>
      <c r="C352" s="3" t="str">
        <f>IF($A352="","",IF(countif('Mens Lineup'!C$3:C1000,CONCATENATE("=",$A352))=0,"",C$2))</f>
        <v/>
      </c>
      <c r="D352" s="3" t="str">
        <f>IF($A352="","",IF(countif('Mens Lineup'!D$3:D1000,CONCATENATE("=",$A352))=0,"",D$2))</f>
        <v/>
      </c>
      <c r="E352" s="3" t="str">
        <f>IF($A352="","",IF(countif('Mens Lineup'!E$3:E1000,CONCATENATE("=",$A352))=0,"",E$2))</f>
        <v/>
      </c>
      <c r="F352" s="3" t="str">
        <f>IF($A352="","",IF(countif('Mens Lineup'!F$3:F1000,CONCATENATE("=",$A352))=0,"",F$2))</f>
        <v/>
      </c>
      <c r="G352" s="3" t="str">
        <f>IF($A352="","",IF(countif('Mens Lineup'!G$3:G1000,CONCATENATE("=",$A352))=0,"",G$2))</f>
        <v/>
      </c>
      <c r="H352" s="3" t="str">
        <f>IF($A352="","",IF(countif('Mens Lineup'!H$3:H1000,CONCATENATE("=",$A352))=0,"",H$2))</f>
        <v/>
      </c>
      <c r="I352" s="3" t="str">
        <f>IF($A352="","",IF(countif('Mens Lineup'!I$3:I1000,CONCATENATE("=",$A352))=0,"",I$2))</f>
        <v/>
      </c>
      <c r="J352" s="3" t="str">
        <f>IF($A352="","",IF(countif('Mens Lineup'!J$3:J1000,CONCATENATE("=",$A352))=0,"",J$2))</f>
        <v/>
      </c>
      <c r="K352" s="3" t="str">
        <f>IF($A352="","",IF(countif('Mens Lineup'!K$3:K1000,CONCATENATE("=",$A352))=0,"",K$2))</f>
        <v/>
      </c>
      <c r="L352" s="3" t="str">
        <f>IF($A352="","",IF(countif('Mens Lineup'!L$3:L1000,CONCATENATE("=",$A352))=0,"",L$2))</f>
        <v/>
      </c>
      <c r="M352" s="3" t="str">
        <f>IF($A352="","",IF(countif('Mens Lineup'!M$3:M1000,CONCATENATE("=",$A352))=0,"",M$2))</f>
        <v/>
      </c>
      <c r="N352" s="3" t="str">
        <f>IF($A352="","",IF(countif('Mens Lineup'!N$3:N1000,CONCATENATE("=",$A352))=0,"",N$2))</f>
        <v/>
      </c>
      <c r="O352" s="3" t="str">
        <f>IF($A352="","",IF(countif('Mens Lineup'!O$3:O1000,CONCATENATE("=",$A352))=0,"",O$2))</f>
        <v/>
      </c>
      <c r="P352" s="3" t="str">
        <f>IF($A352="","",IF(countif('Mens Lineup'!P$3:P1000,CONCATENATE("=",$A352))=0,"",P$2))</f>
        <v/>
      </c>
      <c r="Q352" s="3" t="str">
        <f>IF($A352="","",IF(countif('Mens Lineup'!Q$3:Q1000,CONCATENATE("=",$A352))=0,"",Q$2))</f>
        <v/>
      </c>
      <c r="R352" s="3" t="str">
        <f>IF($A352="","",IF(countif('Mens Lineup'!R$3:R1000,CONCATENATE("=",$A352))=0,"",R$2))</f>
        <v/>
      </c>
      <c r="S352" s="3" t="str">
        <f>IF($A352="","",IF(countif('Mens Lineup'!S$3:S1000,CONCATENATE("=",$A352))=0,"",S$2))</f>
        <v/>
      </c>
      <c r="W352" s="3" t="str">
        <f>IFERROR(__xludf.DUMMYFUNCTION("JOIN("","",FILTER(B352:S352,B352:S352&lt;&gt;""""))"),"#N/A")</f>
        <v>#N/A</v>
      </c>
    </row>
    <row r="353">
      <c r="A353" s="3"/>
      <c r="B353" s="3" t="str">
        <f>IF($A353="","",IF(countif('Mens Lineup'!B$3:B1000,CONCATENATE("=",$A353))=0,"",B$2))</f>
        <v/>
      </c>
      <c r="C353" s="3" t="str">
        <f>IF($A353="","",IF(countif('Mens Lineup'!C$3:C1000,CONCATENATE("=",$A353))=0,"",C$2))</f>
        <v/>
      </c>
      <c r="D353" s="3" t="str">
        <f>IF($A353="","",IF(countif('Mens Lineup'!D$3:D1000,CONCATENATE("=",$A353))=0,"",D$2))</f>
        <v/>
      </c>
      <c r="E353" s="3" t="str">
        <f>IF($A353="","",IF(countif('Mens Lineup'!E$3:E1000,CONCATENATE("=",$A353))=0,"",E$2))</f>
        <v/>
      </c>
      <c r="F353" s="3" t="str">
        <f>IF($A353="","",IF(countif('Mens Lineup'!F$3:F1000,CONCATENATE("=",$A353))=0,"",F$2))</f>
        <v/>
      </c>
      <c r="G353" s="3" t="str">
        <f>IF($A353="","",IF(countif('Mens Lineup'!G$3:G1000,CONCATENATE("=",$A353))=0,"",G$2))</f>
        <v/>
      </c>
      <c r="H353" s="3" t="str">
        <f>IF($A353="","",IF(countif('Mens Lineup'!H$3:H1000,CONCATENATE("=",$A353))=0,"",H$2))</f>
        <v/>
      </c>
      <c r="I353" s="3" t="str">
        <f>IF($A353="","",IF(countif('Mens Lineup'!I$3:I1000,CONCATENATE("=",$A353))=0,"",I$2))</f>
        <v/>
      </c>
      <c r="J353" s="3" t="str">
        <f>IF($A353="","",IF(countif('Mens Lineup'!J$3:J1000,CONCATENATE("=",$A353))=0,"",J$2))</f>
        <v/>
      </c>
      <c r="K353" s="3" t="str">
        <f>IF($A353="","",IF(countif('Mens Lineup'!K$3:K1000,CONCATENATE("=",$A353))=0,"",K$2))</f>
        <v/>
      </c>
      <c r="L353" s="3" t="str">
        <f>IF($A353="","",IF(countif('Mens Lineup'!L$3:L1000,CONCATENATE("=",$A353))=0,"",L$2))</f>
        <v/>
      </c>
      <c r="M353" s="3" t="str">
        <f>IF($A353="","",IF(countif('Mens Lineup'!M$3:M1000,CONCATENATE("=",$A353))=0,"",M$2))</f>
        <v/>
      </c>
      <c r="N353" s="3" t="str">
        <f>IF($A353="","",IF(countif('Mens Lineup'!N$3:N1000,CONCATENATE("=",$A353))=0,"",N$2))</f>
        <v/>
      </c>
      <c r="O353" s="3" t="str">
        <f>IF($A353="","",IF(countif('Mens Lineup'!O$3:O1000,CONCATENATE("=",$A353))=0,"",O$2))</f>
        <v/>
      </c>
      <c r="P353" s="3" t="str">
        <f>IF($A353="","",IF(countif('Mens Lineup'!P$3:P1000,CONCATENATE("=",$A353))=0,"",P$2))</f>
        <v/>
      </c>
      <c r="Q353" s="3" t="str">
        <f>IF($A353="","",IF(countif('Mens Lineup'!Q$3:Q1000,CONCATENATE("=",$A353))=0,"",Q$2))</f>
        <v/>
      </c>
      <c r="R353" s="3" t="str">
        <f>IF($A353="","",IF(countif('Mens Lineup'!R$3:R1000,CONCATENATE("=",$A353))=0,"",R$2))</f>
        <v/>
      </c>
      <c r="S353" s="3" t="str">
        <f>IF($A353="","",IF(countif('Mens Lineup'!S$3:S1000,CONCATENATE("=",$A353))=0,"",S$2))</f>
        <v/>
      </c>
      <c r="W353" s="3" t="str">
        <f>IFERROR(__xludf.DUMMYFUNCTION("JOIN("","",FILTER(B353:S353,B353:S353&lt;&gt;""""))"),"#N/A")</f>
        <v>#N/A</v>
      </c>
    </row>
    <row r="354">
      <c r="A354" s="3"/>
      <c r="B354" s="3" t="str">
        <f>IF($A354="","",IF(countif('Mens Lineup'!B$3:B1000,CONCATENATE("=",$A354))=0,"",B$2))</f>
        <v/>
      </c>
      <c r="C354" s="3" t="str">
        <f>IF($A354="","",IF(countif('Mens Lineup'!C$3:C1000,CONCATENATE("=",$A354))=0,"",C$2))</f>
        <v/>
      </c>
      <c r="D354" s="3" t="str">
        <f>IF($A354="","",IF(countif('Mens Lineup'!D$3:D1000,CONCATENATE("=",$A354))=0,"",D$2))</f>
        <v/>
      </c>
      <c r="E354" s="3" t="str">
        <f>IF($A354="","",IF(countif('Mens Lineup'!E$3:E1000,CONCATENATE("=",$A354))=0,"",E$2))</f>
        <v/>
      </c>
      <c r="F354" s="3" t="str">
        <f>IF($A354="","",IF(countif('Mens Lineup'!F$3:F1000,CONCATENATE("=",$A354))=0,"",F$2))</f>
        <v/>
      </c>
      <c r="G354" s="3" t="str">
        <f>IF($A354="","",IF(countif('Mens Lineup'!G$3:G1000,CONCATENATE("=",$A354))=0,"",G$2))</f>
        <v/>
      </c>
      <c r="H354" s="3" t="str">
        <f>IF($A354="","",IF(countif('Mens Lineup'!H$3:H1000,CONCATENATE("=",$A354))=0,"",H$2))</f>
        <v/>
      </c>
      <c r="I354" s="3" t="str">
        <f>IF($A354="","",IF(countif('Mens Lineup'!I$3:I1000,CONCATENATE("=",$A354))=0,"",I$2))</f>
        <v/>
      </c>
      <c r="J354" s="3" t="str">
        <f>IF($A354="","",IF(countif('Mens Lineup'!J$3:J1000,CONCATENATE("=",$A354))=0,"",J$2))</f>
        <v/>
      </c>
      <c r="K354" s="3" t="str">
        <f>IF($A354="","",IF(countif('Mens Lineup'!K$3:K1000,CONCATENATE("=",$A354))=0,"",K$2))</f>
        <v/>
      </c>
      <c r="L354" s="3" t="str">
        <f>IF($A354="","",IF(countif('Mens Lineup'!L$3:L1000,CONCATENATE("=",$A354))=0,"",L$2))</f>
        <v/>
      </c>
      <c r="M354" s="3" t="str">
        <f>IF($A354="","",IF(countif('Mens Lineup'!M$3:M1000,CONCATENATE("=",$A354))=0,"",M$2))</f>
        <v/>
      </c>
      <c r="N354" s="3" t="str">
        <f>IF($A354="","",IF(countif('Mens Lineup'!N$3:N1000,CONCATENATE("=",$A354))=0,"",N$2))</f>
        <v/>
      </c>
      <c r="O354" s="3" t="str">
        <f>IF($A354="","",IF(countif('Mens Lineup'!O$3:O1000,CONCATENATE("=",$A354))=0,"",O$2))</f>
        <v/>
      </c>
      <c r="P354" s="3" t="str">
        <f>IF($A354="","",IF(countif('Mens Lineup'!P$3:P1000,CONCATENATE("=",$A354))=0,"",P$2))</f>
        <v/>
      </c>
      <c r="Q354" s="3" t="str">
        <f>IF($A354="","",IF(countif('Mens Lineup'!Q$3:Q1000,CONCATENATE("=",$A354))=0,"",Q$2))</f>
        <v/>
      </c>
      <c r="R354" s="3" t="str">
        <f>IF($A354="","",IF(countif('Mens Lineup'!R$3:R1000,CONCATENATE("=",$A354))=0,"",R$2))</f>
        <v/>
      </c>
      <c r="S354" s="3" t="str">
        <f>IF($A354="","",IF(countif('Mens Lineup'!S$3:S1000,CONCATENATE("=",$A354))=0,"",S$2))</f>
        <v/>
      </c>
      <c r="W354" s="3" t="str">
        <f>IFERROR(__xludf.DUMMYFUNCTION("JOIN("","",FILTER(B354:S354,B354:S354&lt;&gt;""""))"),"#N/A")</f>
        <v>#N/A</v>
      </c>
    </row>
    <row r="355">
      <c r="A355" s="3"/>
      <c r="B355" s="3" t="str">
        <f>IF($A355="","",IF(countif('Mens Lineup'!B$3:B1000,CONCATENATE("=",$A355))=0,"",B$2))</f>
        <v/>
      </c>
      <c r="C355" s="3" t="str">
        <f>IF($A355="","",IF(countif('Mens Lineup'!C$3:C1000,CONCATENATE("=",$A355))=0,"",C$2))</f>
        <v/>
      </c>
      <c r="D355" s="3" t="str">
        <f>IF($A355="","",IF(countif('Mens Lineup'!D$3:D1000,CONCATENATE("=",$A355))=0,"",D$2))</f>
        <v/>
      </c>
      <c r="E355" s="3" t="str">
        <f>IF($A355="","",IF(countif('Mens Lineup'!E$3:E1000,CONCATENATE("=",$A355))=0,"",E$2))</f>
        <v/>
      </c>
      <c r="F355" s="3" t="str">
        <f>IF($A355="","",IF(countif('Mens Lineup'!F$3:F1000,CONCATENATE("=",$A355))=0,"",F$2))</f>
        <v/>
      </c>
      <c r="G355" s="3" t="str">
        <f>IF($A355="","",IF(countif('Mens Lineup'!G$3:G1000,CONCATENATE("=",$A355))=0,"",G$2))</f>
        <v/>
      </c>
      <c r="H355" s="3" t="str">
        <f>IF($A355="","",IF(countif('Mens Lineup'!H$3:H1000,CONCATENATE("=",$A355))=0,"",H$2))</f>
        <v/>
      </c>
      <c r="I355" s="3" t="str">
        <f>IF($A355="","",IF(countif('Mens Lineup'!I$3:I1000,CONCATENATE("=",$A355))=0,"",I$2))</f>
        <v/>
      </c>
      <c r="J355" s="3" t="str">
        <f>IF($A355="","",IF(countif('Mens Lineup'!J$3:J1000,CONCATENATE("=",$A355))=0,"",J$2))</f>
        <v/>
      </c>
      <c r="K355" s="3" t="str">
        <f>IF($A355="","",IF(countif('Mens Lineup'!K$3:K1000,CONCATENATE("=",$A355))=0,"",K$2))</f>
        <v/>
      </c>
      <c r="L355" s="3" t="str">
        <f>IF($A355="","",IF(countif('Mens Lineup'!L$3:L1000,CONCATENATE("=",$A355))=0,"",L$2))</f>
        <v/>
      </c>
      <c r="M355" s="3" t="str">
        <f>IF($A355="","",IF(countif('Mens Lineup'!M$3:M1000,CONCATENATE("=",$A355))=0,"",M$2))</f>
        <v/>
      </c>
      <c r="N355" s="3" t="str">
        <f>IF($A355="","",IF(countif('Mens Lineup'!N$3:N1000,CONCATENATE("=",$A355))=0,"",N$2))</f>
        <v/>
      </c>
      <c r="O355" s="3" t="str">
        <f>IF($A355="","",IF(countif('Mens Lineup'!O$3:O1000,CONCATENATE("=",$A355))=0,"",O$2))</f>
        <v/>
      </c>
      <c r="P355" s="3" t="str">
        <f>IF($A355="","",IF(countif('Mens Lineup'!P$3:P1000,CONCATENATE("=",$A355))=0,"",P$2))</f>
        <v/>
      </c>
      <c r="Q355" s="3" t="str">
        <f>IF($A355="","",IF(countif('Mens Lineup'!Q$3:Q1000,CONCATENATE("=",$A355))=0,"",Q$2))</f>
        <v/>
      </c>
      <c r="R355" s="3" t="str">
        <f>IF($A355="","",IF(countif('Mens Lineup'!R$3:R1000,CONCATENATE("=",$A355))=0,"",R$2))</f>
        <v/>
      </c>
      <c r="S355" s="3" t="str">
        <f>IF($A355="","",IF(countif('Mens Lineup'!S$3:S1000,CONCATENATE("=",$A355))=0,"",S$2))</f>
        <v/>
      </c>
      <c r="W355" s="3" t="str">
        <f>IFERROR(__xludf.DUMMYFUNCTION("JOIN("","",FILTER(B355:S355,B355:S355&lt;&gt;""""))"),"#N/A")</f>
        <v>#N/A</v>
      </c>
    </row>
    <row r="356">
      <c r="A356" s="3"/>
      <c r="B356" s="3" t="str">
        <f>IF($A356="","",IF(countif('Mens Lineup'!B$3:B1000,CONCATENATE("=",$A356))=0,"",B$2))</f>
        <v/>
      </c>
      <c r="C356" s="3" t="str">
        <f>IF($A356="","",IF(countif('Mens Lineup'!C$3:C1000,CONCATENATE("=",$A356))=0,"",C$2))</f>
        <v/>
      </c>
      <c r="D356" s="3" t="str">
        <f>IF($A356="","",IF(countif('Mens Lineup'!D$3:D1000,CONCATENATE("=",$A356))=0,"",D$2))</f>
        <v/>
      </c>
      <c r="E356" s="3" t="str">
        <f>IF($A356="","",IF(countif('Mens Lineup'!E$3:E1000,CONCATENATE("=",$A356))=0,"",E$2))</f>
        <v/>
      </c>
      <c r="F356" s="3" t="str">
        <f>IF($A356="","",IF(countif('Mens Lineup'!F$3:F1000,CONCATENATE("=",$A356))=0,"",F$2))</f>
        <v/>
      </c>
      <c r="G356" s="3" t="str">
        <f>IF($A356="","",IF(countif('Mens Lineup'!G$3:G1000,CONCATENATE("=",$A356))=0,"",G$2))</f>
        <v/>
      </c>
      <c r="H356" s="3" t="str">
        <f>IF($A356="","",IF(countif('Mens Lineup'!H$3:H1000,CONCATENATE("=",$A356))=0,"",H$2))</f>
        <v/>
      </c>
      <c r="I356" s="3" t="str">
        <f>IF($A356="","",IF(countif('Mens Lineup'!I$3:I1000,CONCATENATE("=",$A356))=0,"",I$2))</f>
        <v/>
      </c>
      <c r="J356" s="3" t="str">
        <f>IF($A356="","",IF(countif('Mens Lineup'!J$3:J1000,CONCATENATE("=",$A356))=0,"",J$2))</f>
        <v/>
      </c>
      <c r="K356" s="3" t="str">
        <f>IF($A356="","",IF(countif('Mens Lineup'!K$3:K1000,CONCATENATE("=",$A356))=0,"",K$2))</f>
        <v/>
      </c>
      <c r="L356" s="3" t="str">
        <f>IF($A356="","",IF(countif('Mens Lineup'!L$3:L1000,CONCATENATE("=",$A356))=0,"",L$2))</f>
        <v/>
      </c>
      <c r="M356" s="3" t="str">
        <f>IF($A356="","",IF(countif('Mens Lineup'!M$3:M1000,CONCATENATE("=",$A356))=0,"",M$2))</f>
        <v/>
      </c>
      <c r="N356" s="3" t="str">
        <f>IF($A356="","",IF(countif('Mens Lineup'!N$3:N1000,CONCATENATE("=",$A356))=0,"",N$2))</f>
        <v/>
      </c>
      <c r="O356" s="3" t="str">
        <f>IF($A356="","",IF(countif('Mens Lineup'!O$3:O1000,CONCATENATE("=",$A356))=0,"",O$2))</f>
        <v/>
      </c>
      <c r="P356" s="3" t="str">
        <f>IF($A356="","",IF(countif('Mens Lineup'!P$3:P1000,CONCATENATE("=",$A356))=0,"",P$2))</f>
        <v/>
      </c>
      <c r="Q356" s="3" t="str">
        <f>IF($A356="","",IF(countif('Mens Lineup'!Q$3:Q1000,CONCATENATE("=",$A356))=0,"",Q$2))</f>
        <v/>
      </c>
      <c r="R356" s="3" t="str">
        <f>IF($A356="","",IF(countif('Mens Lineup'!R$3:R1000,CONCATENATE("=",$A356))=0,"",R$2))</f>
        <v/>
      </c>
      <c r="S356" s="3" t="str">
        <f>IF($A356="","",IF(countif('Mens Lineup'!S$3:S1000,CONCATENATE("=",$A356))=0,"",S$2))</f>
        <v/>
      </c>
      <c r="W356" s="3" t="str">
        <f>IFERROR(__xludf.DUMMYFUNCTION("JOIN("","",FILTER(B356:S356,B356:S356&lt;&gt;""""))"),"#N/A")</f>
        <v>#N/A</v>
      </c>
    </row>
    <row r="357">
      <c r="A357" s="3"/>
      <c r="B357" s="3" t="str">
        <f>IF($A357="","",IF(countif('Mens Lineup'!B$3:B1000,CONCATENATE("=",$A357))=0,"",B$2))</f>
        <v/>
      </c>
      <c r="C357" s="3" t="str">
        <f>IF($A357="","",IF(countif('Mens Lineup'!C$3:C1000,CONCATENATE("=",$A357))=0,"",C$2))</f>
        <v/>
      </c>
      <c r="D357" s="3" t="str">
        <f>IF($A357="","",IF(countif('Mens Lineup'!D$3:D1000,CONCATENATE("=",$A357))=0,"",D$2))</f>
        <v/>
      </c>
      <c r="E357" s="3" t="str">
        <f>IF($A357="","",IF(countif('Mens Lineup'!E$3:E1000,CONCATENATE("=",$A357))=0,"",E$2))</f>
        <v/>
      </c>
      <c r="F357" s="3" t="str">
        <f>IF($A357="","",IF(countif('Mens Lineup'!F$3:F1000,CONCATENATE("=",$A357))=0,"",F$2))</f>
        <v/>
      </c>
      <c r="G357" s="3" t="str">
        <f>IF($A357="","",IF(countif('Mens Lineup'!G$3:G1000,CONCATENATE("=",$A357))=0,"",G$2))</f>
        <v/>
      </c>
      <c r="H357" s="3" t="str">
        <f>IF($A357="","",IF(countif('Mens Lineup'!H$3:H1000,CONCATENATE("=",$A357))=0,"",H$2))</f>
        <v/>
      </c>
      <c r="I357" s="3" t="str">
        <f>IF($A357="","",IF(countif('Mens Lineup'!I$3:I1000,CONCATENATE("=",$A357))=0,"",I$2))</f>
        <v/>
      </c>
      <c r="J357" s="3" t="str">
        <f>IF($A357="","",IF(countif('Mens Lineup'!J$3:J1000,CONCATENATE("=",$A357))=0,"",J$2))</f>
        <v/>
      </c>
      <c r="K357" s="3" t="str">
        <f>IF($A357="","",IF(countif('Mens Lineup'!K$3:K1000,CONCATENATE("=",$A357))=0,"",K$2))</f>
        <v/>
      </c>
      <c r="L357" s="3" t="str">
        <f>IF($A357="","",IF(countif('Mens Lineup'!L$3:L1000,CONCATENATE("=",$A357))=0,"",L$2))</f>
        <v/>
      </c>
      <c r="M357" s="3" t="str">
        <f>IF($A357="","",IF(countif('Mens Lineup'!M$3:M1000,CONCATENATE("=",$A357))=0,"",M$2))</f>
        <v/>
      </c>
      <c r="N357" s="3" t="str">
        <f>IF($A357="","",IF(countif('Mens Lineup'!N$3:N1000,CONCATENATE("=",$A357))=0,"",N$2))</f>
        <v/>
      </c>
      <c r="O357" s="3" t="str">
        <f>IF($A357="","",IF(countif('Mens Lineup'!O$3:O1000,CONCATENATE("=",$A357))=0,"",O$2))</f>
        <v/>
      </c>
      <c r="P357" s="3" t="str">
        <f>IF($A357="","",IF(countif('Mens Lineup'!P$3:P1000,CONCATENATE("=",$A357))=0,"",P$2))</f>
        <v/>
      </c>
      <c r="Q357" s="3" t="str">
        <f>IF($A357="","",IF(countif('Mens Lineup'!Q$3:Q1000,CONCATENATE("=",$A357))=0,"",Q$2))</f>
        <v/>
      </c>
      <c r="R357" s="3" t="str">
        <f>IF($A357="","",IF(countif('Mens Lineup'!R$3:R1000,CONCATENATE("=",$A357))=0,"",R$2))</f>
        <v/>
      </c>
      <c r="S357" s="3" t="str">
        <f>IF($A357="","",IF(countif('Mens Lineup'!S$3:S1000,CONCATENATE("=",$A357))=0,"",S$2))</f>
        <v/>
      </c>
      <c r="W357" s="3" t="str">
        <f>IFERROR(__xludf.DUMMYFUNCTION("JOIN("","",FILTER(B357:S357,B357:S357&lt;&gt;""""))"),"#N/A")</f>
        <v>#N/A</v>
      </c>
    </row>
    <row r="358">
      <c r="A358" s="3"/>
      <c r="B358" s="3" t="str">
        <f>IF($A358="","",IF(countif('Mens Lineup'!B$3:B1000,CONCATENATE("=",$A358))=0,"",B$2))</f>
        <v/>
      </c>
      <c r="C358" s="3" t="str">
        <f>IF($A358="","",IF(countif('Mens Lineup'!C$3:C1000,CONCATENATE("=",$A358))=0,"",C$2))</f>
        <v/>
      </c>
      <c r="D358" s="3" t="str">
        <f>IF($A358="","",IF(countif('Mens Lineup'!D$3:D1000,CONCATENATE("=",$A358))=0,"",D$2))</f>
        <v/>
      </c>
      <c r="E358" s="3" t="str">
        <f>IF($A358="","",IF(countif('Mens Lineup'!E$3:E1000,CONCATENATE("=",$A358))=0,"",E$2))</f>
        <v/>
      </c>
      <c r="F358" s="3" t="str">
        <f>IF($A358="","",IF(countif('Mens Lineup'!F$3:F1000,CONCATENATE("=",$A358))=0,"",F$2))</f>
        <v/>
      </c>
      <c r="G358" s="3" t="str">
        <f>IF($A358="","",IF(countif('Mens Lineup'!G$3:G1000,CONCATENATE("=",$A358))=0,"",G$2))</f>
        <v/>
      </c>
      <c r="H358" s="3" t="str">
        <f>IF($A358="","",IF(countif('Mens Lineup'!H$3:H1000,CONCATENATE("=",$A358))=0,"",H$2))</f>
        <v/>
      </c>
      <c r="I358" s="3" t="str">
        <f>IF($A358="","",IF(countif('Mens Lineup'!I$3:I1000,CONCATENATE("=",$A358))=0,"",I$2))</f>
        <v/>
      </c>
      <c r="J358" s="3" t="str">
        <f>IF($A358="","",IF(countif('Mens Lineup'!J$3:J1000,CONCATENATE("=",$A358))=0,"",J$2))</f>
        <v/>
      </c>
      <c r="K358" s="3" t="str">
        <f>IF($A358="","",IF(countif('Mens Lineup'!K$3:K1000,CONCATENATE("=",$A358))=0,"",K$2))</f>
        <v/>
      </c>
      <c r="L358" s="3" t="str">
        <f>IF($A358="","",IF(countif('Mens Lineup'!L$3:L1000,CONCATENATE("=",$A358))=0,"",L$2))</f>
        <v/>
      </c>
      <c r="M358" s="3" t="str">
        <f>IF($A358="","",IF(countif('Mens Lineup'!M$3:M1000,CONCATENATE("=",$A358))=0,"",M$2))</f>
        <v/>
      </c>
      <c r="N358" s="3" t="str">
        <f>IF($A358="","",IF(countif('Mens Lineup'!N$3:N1000,CONCATENATE("=",$A358))=0,"",N$2))</f>
        <v/>
      </c>
      <c r="O358" s="3" t="str">
        <f>IF($A358="","",IF(countif('Mens Lineup'!O$3:O1000,CONCATENATE("=",$A358))=0,"",O$2))</f>
        <v/>
      </c>
      <c r="P358" s="3" t="str">
        <f>IF($A358="","",IF(countif('Mens Lineup'!P$3:P1000,CONCATENATE("=",$A358))=0,"",P$2))</f>
        <v/>
      </c>
      <c r="Q358" s="3" t="str">
        <f>IF($A358="","",IF(countif('Mens Lineup'!Q$3:Q1000,CONCATENATE("=",$A358))=0,"",Q$2))</f>
        <v/>
      </c>
      <c r="R358" s="3" t="str">
        <f>IF($A358="","",IF(countif('Mens Lineup'!R$3:R1000,CONCATENATE("=",$A358))=0,"",R$2))</f>
        <v/>
      </c>
      <c r="S358" s="3" t="str">
        <f>IF($A358="","",IF(countif('Mens Lineup'!S$3:S1000,CONCATENATE("=",$A358))=0,"",S$2))</f>
        <v/>
      </c>
      <c r="W358" s="3" t="str">
        <f>IFERROR(__xludf.DUMMYFUNCTION("JOIN("","",FILTER(B358:S358,B358:S358&lt;&gt;""""))"),"#N/A")</f>
        <v>#N/A</v>
      </c>
    </row>
    <row r="359">
      <c r="A359" s="3"/>
      <c r="B359" s="3" t="str">
        <f>IF($A359="","",IF(countif('Mens Lineup'!B$3:B1000,CONCATENATE("=",$A359))=0,"",B$2))</f>
        <v/>
      </c>
      <c r="C359" s="3" t="str">
        <f>IF($A359="","",IF(countif('Mens Lineup'!C$3:C1000,CONCATENATE("=",$A359))=0,"",C$2))</f>
        <v/>
      </c>
      <c r="D359" s="3" t="str">
        <f>IF($A359="","",IF(countif('Mens Lineup'!D$3:D1000,CONCATENATE("=",$A359))=0,"",D$2))</f>
        <v/>
      </c>
      <c r="E359" s="3" t="str">
        <f>IF($A359="","",IF(countif('Mens Lineup'!E$3:E1000,CONCATENATE("=",$A359))=0,"",E$2))</f>
        <v/>
      </c>
      <c r="F359" s="3" t="str">
        <f>IF($A359="","",IF(countif('Mens Lineup'!F$3:F1000,CONCATENATE("=",$A359))=0,"",F$2))</f>
        <v/>
      </c>
      <c r="G359" s="3" t="str">
        <f>IF($A359="","",IF(countif('Mens Lineup'!G$3:G1000,CONCATENATE("=",$A359))=0,"",G$2))</f>
        <v/>
      </c>
      <c r="H359" s="3" t="str">
        <f>IF($A359="","",IF(countif('Mens Lineup'!H$3:H1000,CONCATENATE("=",$A359))=0,"",H$2))</f>
        <v/>
      </c>
      <c r="I359" s="3" t="str">
        <f>IF($A359="","",IF(countif('Mens Lineup'!I$3:I1000,CONCATENATE("=",$A359))=0,"",I$2))</f>
        <v/>
      </c>
      <c r="J359" s="3" t="str">
        <f>IF($A359="","",IF(countif('Mens Lineup'!J$3:J1000,CONCATENATE("=",$A359))=0,"",J$2))</f>
        <v/>
      </c>
      <c r="K359" s="3" t="str">
        <f>IF($A359="","",IF(countif('Mens Lineup'!K$3:K1000,CONCATENATE("=",$A359))=0,"",K$2))</f>
        <v/>
      </c>
      <c r="L359" s="3" t="str">
        <f>IF($A359="","",IF(countif('Mens Lineup'!L$3:L1000,CONCATENATE("=",$A359))=0,"",L$2))</f>
        <v/>
      </c>
      <c r="M359" s="3" t="str">
        <f>IF($A359="","",IF(countif('Mens Lineup'!M$3:M1000,CONCATENATE("=",$A359))=0,"",M$2))</f>
        <v/>
      </c>
      <c r="N359" s="3" t="str">
        <f>IF($A359="","",IF(countif('Mens Lineup'!N$3:N1000,CONCATENATE("=",$A359))=0,"",N$2))</f>
        <v/>
      </c>
      <c r="O359" s="3" t="str">
        <f>IF($A359="","",IF(countif('Mens Lineup'!O$3:O1000,CONCATENATE("=",$A359))=0,"",O$2))</f>
        <v/>
      </c>
      <c r="P359" s="3" t="str">
        <f>IF($A359="","",IF(countif('Mens Lineup'!P$3:P1000,CONCATENATE("=",$A359))=0,"",P$2))</f>
        <v/>
      </c>
      <c r="Q359" s="3" t="str">
        <f>IF($A359="","",IF(countif('Mens Lineup'!Q$3:Q1000,CONCATENATE("=",$A359))=0,"",Q$2))</f>
        <v/>
      </c>
      <c r="R359" s="3" t="str">
        <f>IF($A359="","",IF(countif('Mens Lineup'!R$3:R1000,CONCATENATE("=",$A359))=0,"",R$2))</f>
        <v/>
      </c>
      <c r="S359" s="3" t="str">
        <f>IF($A359="","",IF(countif('Mens Lineup'!S$3:S1000,CONCATENATE("=",$A359))=0,"",S$2))</f>
        <v/>
      </c>
      <c r="W359" s="3" t="str">
        <f>IFERROR(__xludf.DUMMYFUNCTION("JOIN("","",FILTER(B359:S359,B359:S359&lt;&gt;""""))"),"#N/A")</f>
        <v>#N/A</v>
      </c>
    </row>
    <row r="360">
      <c r="A360" s="3"/>
      <c r="B360" s="3" t="str">
        <f>IF($A360="","",IF(countif('Mens Lineup'!B$3:B1000,CONCATENATE("=",$A360))=0,"",B$2))</f>
        <v/>
      </c>
      <c r="C360" s="3" t="str">
        <f>IF($A360="","",IF(countif('Mens Lineup'!C$3:C1000,CONCATENATE("=",$A360))=0,"",C$2))</f>
        <v/>
      </c>
      <c r="D360" s="3" t="str">
        <f>IF($A360="","",IF(countif('Mens Lineup'!D$3:D1000,CONCATENATE("=",$A360))=0,"",D$2))</f>
        <v/>
      </c>
      <c r="E360" s="3" t="str">
        <f>IF($A360="","",IF(countif('Mens Lineup'!E$3:E1000,CONCATENATE("=",$A360))=0,"",E$2))</f>
        <v/>
      </c>
      <c r="F360" s="3" t="str">
        <f>IF($A360="","",IF(countif('Mens Lineup'!F$3:F1000,CONCATENATE("=",$A360))=0,"",F$2))</f>
        <v/>
      </c>
      <c r="G360" s="3" t="str">
        <f>IF($A360="","",IF(countif('Mens Lineup'!G$3:G1000,CONCATENATE("=",$A360))=0,"",G$2))</f>
        <v/>
      </c>
      <c r="H360" s="3" t="str">
        <f>IF($A360="","",IF(countif('Mens Lineup'!H$3:H1000,CONCATENATE("=",$A360))=0,"",H$2))</f>
        <v/>
      </c>
      <c r="I360" s="3" t="str">
        <f>IF($A360="","",IF(countif('Mens Lineup'!I$3:I1000,CONCATENATE("=",$A360))=0,"",I$2))</f>
        <v/>
      </c>
      <c r="J360" s="3" t="str">
        <f>IF($A360="","",IF(countif('Mens Lineup'!J$3:J1000,CONCATENATE("=",$A360))=0,"",J$2))</f>
        <v/>
      </c>
      <c r="K360" s="3" t="str">
        <f>IF($A360="","",IF(countif('Mens Lineup'!K$3:K1000,CONCATENATE("=",$A360))=0,"",K$2))</f>
        <v/>
      </c>
      <c r="L360" s="3" t="str">
        <f>IF($A360="","",IF(countif('Mens Lineup'!L$3:L1000,CONCATENATE("=",$A360))=0,"",L$2))</f>
        <v/>
      </c>
      <c r="M360" s="3" t="str">
        <f>IF($A360="","",IF(countif('Mens Lineup'!M$3:M1000,CONCATENATE("=",$A360))=0,"",M$2))</f>
        <v/>
      </c>
      <c r="N360" s="3" t="str">
        <f>IF($A360="","",IF(countif('Mens Lineup'!N$3:N1000,CONCATENATE("=",$A360))=0,"",N$2))</f>
        <v/>
      </c>
      <c r="O360" s="3" t="str">
        <f>IF($A360="","",IF(countif('Mens Lineup'!O$3:O1000,CONCATENATE("=",$A360))=0,"",O$2))</f>
        <v/>
      </c>
      <c r="P360" s="3" t="str">
        <f>IF($A360="","",IF(countif('Mens Lineup'!P$3:P1000,CONCATENATE("=",$A360))=0,"",P$2))</f>
        <v/>
      </c>
      <c r="Q360" s="3" t="str">
        <f>IF($A360="","",IF(countif('Mens Lineup'!Q$3:Q1000,CONCATENATE("=",$A360))=0,"",Q$2))</f>
        <v/>
      </c>
      <c r="R360" s="3" t="str">
        <f>IF($A360="","",IF(countif('Mens Lineup'!R$3:R1000,CONCATENATE("=",$A360))=0,"",R$2))</f>
        <v/>
      </c>
      <c r="S360" s="3" t="str">
        <f>IF($A360="","",IF(countif('Mens Lineup'!S$3:S1000,CONCATENATE("=",$A360))=0,"",S$2))</f>
        <v/>
      </c>
      <c r="W360" s="3" t="str">
        <f>IFERROR(__xludf.DUMMYFUNCTION("JOIN("","",FILTER(B360:S360,B360:S360&lt;&gt;""""))"),"#N/A")</f>
        <v>#N/A</v>
      </c>
    </row>
    <row r="361">
      <c r="A361" s="3"/>
      <c r="B361" s="3" t="str">
        <f>IF($A361="","",IF(countif('Mens Lineup'!B$3:B1000,CONCATENATE("=",$A361))=0,"",B$2))</f>
        <v/>
      </c>
      <c r="C361" s="3" t="str">
        <f>IF($A361="","",IF(countif('Mens Lineup'!C$3:C1000,CONCATENATE("=",$A361))=0,"",C$2))</f>
        <v/>
      </c>
      <c r="D361" s="3" t="str">
        <f>IF($A361="","",IF(countif('Mens Lineup'!D$3:D1000,CONCATENATE("=",$A361))=0,"",D$2))</f>
        <v/>
      </c>
      <c r="E361" s="3" t="str">
        <f>IF($A361="","",IF(countif('Mens Lineup'!E$3:E1000,CONCATENATE("=",$A361))=0,"",E$2))</f>
        <v/>
      </c>
      <c r="F361" s="3" t="str">
        <f>IF($A361="","",IF(countif('Mens Lineup'!F$3:F1000,CONCATENATE("=",$A361))=0,"",F$2))</f>
        <v/>
      </c>
      <c r="G361" s="3" t="str">
        <f>IF($A361="","",IF(countif('Mens Lineup'!G$3:G1000,CONCATENATE("=",$A361))=0,"",G$2))</f>
        <v/>
      </c>
      <c r="H361" s="3" t="str">
        <f>IF($A361="","",IF(countif('Mens Lineup'!H$3:H1000,CONCATENATE("=",$A361))=0,"",H$2))</f>
        <v/>
      </c>
      <c r="I361" s="3" t="str">
        <f>IF($A361="","",IF(countif('Mens Lineup'!I$3:I1000,CONCATENATE("=",$A361))=0,"",I$2))</f>
        <v/>
      </c>
      <c r="J361" s="3" t="str">
        <f>IF($A361="","",IF(countif('Mens Lineup'!J$3:J1000,CONCATENATE("=",$A361))=0,"",J$2))</f>
        <v/>
      </c>
      <c r="K361" s="3" t="str">
        <f>IF($A361="","",IF(countif('Mens Lineup'!K$3:K1000,CONCATENATE("=",$A361))=0,"",K$2))</f>
        <v/>
      </c>
      <c r="L361" s="3" t="str">
        <f>IF($A361="","",IF(countif('Mens Lineup'!L$3:L1000,CONCATENATE("=",$A361))=0,"",L$2))</f>
        <v/>
      </c>
      <c r="M361" s="3" t="str">
        <f>IF($A361="","",IF(countif('Mens Lineup'!M$3:M1000,CONCATENATE("=",$A361))=0,"",M$2))</f>
        <v/>
      </c>
      <c r="N361" s="3" t="str">
        <f>IF($A361="","",IF(countif('Mens Lineup'!N$3:N1000,CONCATENATE("=",$A361))=0,"",N$2))</f>
        <v/>
      </c>
      <c r="O361" s="3" t="str">
        <f>IF($A361="","",IF(countif('Mens Lineup'!O$3:O1000,CONCATENATE("=",$A361))=0,"",O$2))</f>
        <v/>
      </c>
      <c r="P361" s="3" t="str">
        <f>IF($A361="","",IF(countif('Mens Lineup'!P$3:P1000,CONCATENATE("=",$A361))=0,"",P$2))</f>
        <v/>
      </c>
      <c r="Q361" s="3" t="str">
        <f>IF($A361="","",IF(countif('Mens Lineup'!Q$3:Q1000,CONCATENATE("=",$A361))=0,"",Q$2))</f>
        <v/>
      </c>
      <c r="R361" s="3" t="str">
        <f>IF($A361="","",IF(countif('Mens Lineup'!R$3:R1000,CONCATENATE("=",$A361))=0,"",R$2))</f>
        <v/>
      </c>
      <c r="S361" s="3" t="str">
        <f>IF($A361="","",IF(countif('Mens Lineup'!S$3:S1000,CONCATENATE("=",$A361))=0,"",S$2))</f>
        <v/>
      </c>
      <c r="W361" s="3" t="str">
        <f>IFERROR(__xludf.DUMMYFUNCTION("JOIN("","",FILTER(B361:S361,B361:S361&lt;&gt;""""))"),"#N/A")</f>
        <v>#N/A</v>
      </c>
    </row>
    <row r="362">
      <c r="A362" s="3"/>
      <c r="B362" s="3" t="str">
        <f>IF($A362="","",IF(countif('Mens Lineup'!B$3:B1000,CONCATENATE("=",$A362))=0,"",B$2))</f>
        <v/>
      </c>
      <c r="C362" s="3" t="str">
        <f>IF($A362="","",IF(countif('Mens Lineup'!C$3:C1000,CONCATENATE("=",$A362))=0,"",C$2))</f>
        <v/>
      </c>
      <c r="D362" s="3" t="str">
        <f>IF($A362="","",IF(countif('Mens Lineup'!D$3:D1000,CONCATENATE("=",$A362))=0,"",D$2))</f>
        <v/>
      </c>
      <c r="E362" s="3" t="str">
        <f>IF($A362="","",IF(countif('Mens Lineup'!E$3:E1000,CONCATENATE("=",$A362))=0,"",E$2))</f>
        <v/>
      </c>
      <c r="F362" s="3" t="str">
        <f>IF($A362="","",IF(countif('Mens Lineup'!F$3:F1000,CONCATENATE("=",$A362))=0,"",F$2))</f>
        <v/>
      </c>
      <c r="G362" s="3" t="str">
        <f>IF($A362="","",IF(countif('Mens Lineup'!G$3:G1000,CONCATENATE("=",$A362))=0,"",G$2))</f>
        <v/>
      </c>
      <c r="H362" s="3" t="str">
        <f>IF($A362="","",IF(countif('Mens Lineup'!H$3:H1000,CONCATENATE("=",$A362))=0,"",H$2))</f>
        <v/>
      </c>
      <c r="I362" s="3" t="str">
        <f>IF($A362="","",IF(countif('Mens Lineup'!I$3:I1000,CONCATENATE("=",$A362))=0,"",I$2))</f>
        <v/>
      </c>
      <c r="J362" s="3" t="str">
        <f>IF($A362="","",IF(countif('Mens Lineup'!J$3:J1000,CONCATENATE("=",$A362))=0,"",J$2))</f>
        <v/>
      </c>
      <c r="K362" s="3" t="str">
        <f>IF($A362="","",IF(countif('Mens Lineup'!K$3:K1000,CONCATENATE("=",$A362))=0,"",K$2))</f>
        <v/>
      </c>
      <c r="L362" s="3" t="str">
        <f>IF($A362="","",IF(countif('Mens Lineup'!L$3:L1000,CONCATENATE("=",$A362))=0,"",L$2))</f>
        <v/>
      </c>
      <c r="M362" s="3" t="str">
        <f>IF($A362="","",IF(countif('Mens Lineup'!M$3:M1000,CONCATENATE("=",$A362))=0,"",M$2))</f>
        <v/>
      </c>
      <c r="N362" s="3" t="str">
        <f>IF($A362="","",IF(countif('Mens Lineup'!N$3:N1000,CONCATENATE("=",$A362))=0,"",N$2))</f>
        <v/>
      </c>
      <c r="O362" s="3" t="str">
        <f>IF($A362="","",IF(countif('Mens Lineup'!O$3:O1000,CONCATENATE("=",$A362))=0,"",O$2))</f>
        <v/>
      </c>
      <c r="P362" s="3" t="str">
        <f>IF($A362="","",IF(countif('Mens Lineup'!P$3:P1000,CONCATENATE("=",$A362))=0,"",P$2))</f>
        <v/>
      </c>
      <c r="Q362" s="3" t="str">
        <f>IF($A362="","",IF(countif('Mens Lineup'!Q$3:Q1000,CONCATENATE("=",$A362))=0,"",Q$2))</f>
        <v/>
      </c>
      <c r="R362" s="3" t="str">
        <f>IF($A362="","",IF(countif('Mens Lineup'!R$3:R1000,CONCATENATE("=",$A362))=0,"",R$2))</f>
        <v/>
      </c>
      <c r="S362" s="3" t="str">
        <f>IF($A362="","",IF(countif('Mens Lineup'!S$3:S1000,CONCATENATE("=",$A362))=0,"",S$2))</f>
        <v/>
      </c>
      <c r="W362" s="3" t="str">
        <f>IFERROR(__xludf.DUMMYFUNCTION("JOIN("","",FILTER(B362:S362,B362:S362&lt;&gt;""""))"),"#N/A")</f>
        <v>#N/A</v>
      </c>
    </row>
    <row r="363">
      <c r="A363" s="3"/>
      <c r="B363" s="3" t="str">
        <f>IF($A363="","",IF(countif('Mens Lineup'!B$3:B1000,CONCATENATE("=",$A363))=0,"",B$2))</f>
        <v/>
      </c>
      <c r="C363" s="3" t="str">
        <f>IF($A363="","",IF(countif('Mens Lineup'!C$3:C1000,CONCATENATE("=",$A363))=0,"",C$2))</f>
        <v/>
      </c>
      <c r="D363" s="3" t="str">
        <f>IF($A363="","",IF(countif('Mens Lineup'!D$3:D1000,CONCATENATE("=",$A363))=0,"",D$2))</f>
        <v/>
      </c>
      <c r="E363" s="3" t="str">
        <f>IF($A363="","",IF(countif('Mens Lineup'!E$3:E1000,CONCATENATE("=",$A363))=0,"",E$2))</f>
        <v/>
      </c>
      <c r="F363" s="3" t="str">
        <f>IF($A363="","",IF(countif('Mens Lineup'!F$3:F1000,CONCATENATE("=",$A363))=0,"",F$2))</f>
        <v/>
      </c>
      <c r="G363" s="3" t="str">
        <f>IF($A363="","",IF(countif('Mens Lineup'!G$3:G1000,CONCATENATE("=",$A363))=0,"",G$2))</f>
        <v/>
      </c>
      <c r="H363" s="3" t="str">
        <f>IF($A363="","",IF(countif('Mens Lineup'!H$3:H1000,CONCATENATE("=",$A363))=0,"",H$2))</f>
        <v/>
      </c>
      <c r="I363" s="3" t="str">
        <f>IF($A363="","",IF(countif('Mens Lineup'!I$3:I1000,CONCATENATE("=",$A363))=0,"",I$2))</f>
        <v/>
      </c>
      <c r="J363" s="3" t="str">
        <f>IF($A363="","",IF(countif('Mens Lineup'!J$3:J1000,CONCATENATE("=",$A363))=0,"",J$2))</f>
        <v/>
      </c>
      <c r="K363" s="3" t="str">
        <f>IF($A363="","",IF(countif('Mens Lineup'!K$3:K1000,CONCATENATE("=",$A363))=0,"",K$2))</f>
        <v/>
      </c>
      <c r="L363" s="3" t="str">
        <f>IF($A363="","",IF(countif('Mens Lineup'!L$3:L1000,CONCATENATE("=",$A363))=0,"",L$2))</f>
        <v/>
      </c>
      <c r="M363" s="3" t="str">
        <f>IF($A363="","",IF(countif('Mens Lineup'!M$3:M1000,CONCATENATE("=",$A363))=0,"",M$2))</f>
        <v/>
      </c>
      <c r="N363" s="3" t="str">
        <f>IF($A363="","",IF(countif('Mens Lineup'!N$3:N1000,CONCATENATE("=",$A363))=0,"",N$2))</f>
        <v/>
      </c>
      <c r="O363" s="3" t="str">
        <f>IF($A363="","",IF(countif('Mens Lineup'!O$3:O1000,CONCATENATE("=",$A363))=0,"",O$2))</f>
        <v/>
      </c>
      <c r="P363" s="3" t="str">
        <f>IF($A363="","",IF(countif('Mens Lineup'!P$3:P1000,CONCATENATE("=",$A363))=0,"",P$2))</f>
        <v/>
      </c>
      <c r="Q363" s="3" t="str">
        <f>IF($A363="","",IF(countif('Mens Lineup'!Q$3:Q1000,CONCATENATE("=",$A363))=0,"",Q$2))</f>
        <v/>
      </c>
      <c r="R363" s="3" t="str">
        <f>IF($A363="","",IF(countif('Mens Lineup'!R$3:R1000,CONCATENATE("=",$A363))=0,"",R$2))</f>
        <v/>
      </c>
      <c r="S363" s="3" t="str">
        <f>IF($A363="","",IF(countif('Mens Lineup'!S$3:S1000,CONCATENATE("=",$A363))=0,"",S$2))</f>
        <v/>
      </c>
      <c r="W363" s="3" t="str">
        <f>IFERROR(__xludf.DUMMYFUNCTION("JOIN("","",FILTER(B363:S363,B363:S363&lt;&gt;""""))"),"#N/A")</f>
        <v>#N/A</v>
      </c>
    </row>
    <row r="364">
      <c r="A364" s="3"/>
      <c r="B364" s="3" t="str">
        <f>IF($A364="","",IF(countif('Mens Lineup'!B$3:B1000,CONCATENATE("=",$A364))=0,"",B$2))</f>
        <v/>
      </c>
      <c r="C364" s="3" t="str">
        <f>IF($A364="","",IF(countif('Mens Lineup'!C$3:C1000,CONCATENATE("=",$A364))=0,"",C$2))</f>
        <v/>
      </c>
      <c r="D364" s="3" t="str">
        <f>IF($A364="","",IF(countif('Mens Lineup'!D$3:D1000,CONCATENATE("=",$A364))=0,"",D$2))</f>
        <v/>
      </c>
      <c r="E364" s="3" t="str">
        <f>IF($A364="","",IF(countif('Mens Lineup'!E$3:E1000,CONCATENATE("=",$A364))=0,"",E$2))</f>
        <v/>
      </c>
      <c r="F364" s="3" t="str">
        <f>IF($A364="","",IF(countif('Mens Lineup'!F$3:F1000,CONCATENATE("=",$A364))=0,"",F$2))</f>
        <v/>
      </c>
      <c r="G364" s="3" t="str">
        <f>IF($A364="","",IF(countif('Mens Lineup'!G$3:G1000,CONCATENATE("=",$A364))=0,"",G$2))</f>
        <v/>
      </c>
      <c r="H364" s="3" t="str">
        <f>IF($A364="","",IF(countif('Mens Lineup'!H$3:H1000,CONCATENATE("=",$A364))=0,"",H$2))</f>
        <v/>
      </c>
      <c r="I364" s="3" t="str">
        <f>IF($A364="","",IF(countif('Mens Lineup'!I$3:I1000,CONCATENATE("=",$A364))=0,"",I$2))</f>
        <v/>
      </c>
      <c r="J364" s="3" t="str">
        <f>IF($A364="","",IF(countif('Mens Lineup'!J$3:J1000,CONCATENATE("=",$A364))=0,"",J$2))</f>
        <v/>
      </c>
      <c r="K364" s="3" t="str">
        <f>IF($A364="","",IF(countif('Mens Lineup'!K$3:K1000,CONCATENATE("=",$A364))=0,"",K$2))</f>
        <v/>
      </c>
      <c r="L364" s="3" t="str">
        <f>IF($A364="","",IF(countif('Mens Lineup'!L$3:L1000,CONCATENATE("=",$A364))=0,"",L$2))</f>
        <v/>
      </c>
      <c r="M364" s="3" t="str">
        <f>IF($A364="","",IF(countif('Mens Lineup'!M$3:M1000,CONCATENATE("=",$A364))=0,"",M$2))</f>
        <v/>
      </c>
      <c r="N364" s="3" t="str">
        <f>IF($A364="","",IF(countif('Mens Lineup'!N$3:N1000,CONCATENATE("=",$A364))=0,"",N$2))</f>
        <v/>
      </c>
      <c r="O364" s="3" t="str">
        <f>IF($A364="","",IF(countif('Mens Lineup'!O$3:O1000,CONCATENATE("=",$A364))=0,"",O$2))</f>
        <v/>
      </c>
      <c r="P364" s="3" t="str">
        <f>IF($A364="","",IF(countif('Mens Lineup'!P$3:P1000,CONCATENATE("=",$A364))=0,"",P$2))</f>
        <v/>
      </c>
      <c r="Q364" s="3" t="str">
        <f>IF($A364="","",IF(countif('Mens Lineup'!Q$3:Q1000,CONCATENATE("=",$A364))=0,"",Q$2))</f>
        <v/>
      </c>
      <c r="R364" s="3" t="str">
        <f>IF($A364="","",IF(countif('Mens Lineup'!R$3:R1000,CONCATENATE("=",$A364))=0,"",R$2))</f>
        <v/>
      </c>
      <c r="S364" s="3" t="str">
        <f>IF($A364="","",IF(countif('Mens Lineup'!S$3:S1000,CONCATENATE("=",$A364))=0,"",S$2))</f>
        <v/>
      </c>
      <c r="W364" s="3" t="str">
        <f>IFERROR(__xludf.DUMMYFUNCTION("JOIN("","",FILTER(B364:S364,B364:S364&lt;&gt;""""))"),"#N/A")</f>
        <v>#N/A</v>
      </c>
    </row>
    <row r="365">
      <c r="A365" s="3"/>
      <c r="B365" s="3" t="str">
        <f>IF($A365="","",IF(countif('Mens Lineup'!B$3:B1000,CONCATENATE("=",$A365))=0,"",B$2))</f>
        <v/>
      </c>
      <c r="C365" s="3" t="str">
        <f>IF($A365="","",IF(countif('Mens Lineup'!C$3:C1000,CONCATENATE("=",$A365))=0,"",C$2))</f>
        <v/>
      </c>
      <c r="D365" s="3" t="str">
        <f>IF($A365="","",IF(countif('Mens Lineup'!D$3:D1000,CONCATENATE("=",$A365))=0,"",D$2))</f>
        <v/>
      </c>
      <c r="E365" s="3" t="str">
        <f>IF($A365="","",IF(countif('Mens Lineup'!E$3:E1000,CONCATENATE("=",$A365))=0,"",E$2))</f>
        <v/>
      </c>
      <c r="F365" s="3" t="str">
        <f>IF($A365="","",IF(countif('Mens Lineup'!F$3:F1000,CONCATENATE("=",$A365))=0,"",F$2))</f>
        <v/>
      </c>
      <c r="G365" s="3" t="str">
        <f>IF($A365="","",IF(countif('Mens Lineup'!G$3:G1000,CONCATENATE("=",$A365))=0,"",G$2))</f>
        <v/>
      </c>
      <c r="H365" s="3" t="str">
        <f>IF($A365="","",IF(countif('Mens Lineup'!H$3:H1000,CONCATENATE("=",$A365))=0,"",H$2))</f>
        <v/>
      </c>
      <c r="I365" s="3" t="str">
        <f>IF($A365="","",IF(countif('Mens Lineup'!I$3:I1000,CONCATENATE("=",$A365))=0,"",I$2))</f>
        <v/>
      </c>
      <c r="J365" s="3" t="str">
        <f>IF($A365="","",IF(countif('Mens Lineup'!J$3:J1000,CONCATENATE("=",$A365))=0,"",J$2))</f>
        <v/>
      </c>
      <c r="K365" s="3" t="str">
        <f>IF($A365="","",IF(countif('Mens Lineup'!K$3:K1000,CONCATENATE("=",$A365))=0,"",K$2))</f>
        <v/>
      </c>
      <c r="L365" s="3" t="str">
        <f>IF($A365="","",IF(countif('Mens Lineup'!L$3:L1000,CONCATENATE("=",$A365))=0,"",L$2))</f>
        <v/>
      </c>
      <c r="M365" s="3" t="str">
        <f>IF($A365="","",IF(countif('Mens Lineup'!M$3:M1000,CONCATENATE("=",$A365))=0,"",M$2))</f>
        <v/>
      </c>
      <c r="N365" s="3" t="str">
        <f>IF($A365="","",IF(countif('Mens Lineup'!N$3:N1000,CONCATENATE("=",$A365))=0,"",N$2))</f>
        <v/>
      </c>
      <c r="O365" s="3" t="str">
        <f>IF($A365="","",IF(countif('Mens Lineup'!O$3:O1000,CONCATENATE("=",$A365))=0,"",O$2))</f>
        <v/>
      </c>
      <c r="P365" s="3" t="str">
        <f>IF($A365="","",IF(countif('Mens Lineup'!P$3:P1000,CONCATENATE("=",$A365))=0,"",P$2))</f>
        <v/>
      </c>
      <c r="Q365" s="3" t="str">
        <f>IF($A365="","",IF(countif('Mens Lineup'!Q$3:Q1000,CONCATENATE("=",$A365))=0,"",Q$2))</f>
        <v/>
      </c>
      <c r="R365" s="3" t="str">
        <f>IF($A365="","",IF(countif('Mens Lineup'!R$3:R1000,CONCATENATE("=",$A365))=0,"",R$2))</f>
        <v/>
      </c>
      <c r="S365" s="3" t="str">
        <f>IF($A365="","",IF(countif('Mens Lineup'!S$3:S1000,CONCATENATE("=",$A365))=0,"",S$2))</f>
        <v/>
      </c>
      <c r="W365" s="3" t="str">
        <f>IFERROR(__xludf.DUMMYFUNCTION("JOIN("","",FILTER(B365:S365,B365:S365&lt;&gt;""""))"),"#N/A")</f>
        <v>#N/A</v>
      </c>
    </row>
    <row r="366">
      <c r="A366" s="3"/>
      <c r="B366" s="3" t="str">
        <f>IF($A366="","",IF(countif('Mens Lineup'!B$3:B1000,CONCATENATE("=",$A366))=0,"",B$2))</f>
        <v/>
      </c>
      <c r="C366" s="3" t="str">
        <f>IF($A366="","",IF(countif('Mens Lineup'!C$3:C1000,CONCATENATE("=",$A366))=0,"",C$2))</f>
        <v/>
      </c>
      <c r="D366" s="3" t="str">
        <f>IF($A366="","",IF(countif('Mens Lineup'!D$3:D1000,CONCATENATE("=",$A366))=0,"",D$2))</f>
        <v/>
      </c>
      <c r="E366" s="3" t="str">
        <f>IF($A366="","",IF(countif('Mens Lineup'!E$3:E1000,CONCATENATE("=",$A366))=0,"",E$2))</f>
        <v/>
      </c>
      <c r="F366" s="3" t="str">
        <f>IF($A366="","",IF(countif('Mens Lineup'!F$3:F1000,CONCATENATE("=",$A366))=0,"",F$2))</f>
        <v/>
      </c>
      <c r="G366" s="3" t="str">
        <f>IF($A366="","",IF(countif('Mens Lineup'!G$3:G1000,CONCATENATE("=",$A366))=0,"",G$2))</f>
        <v/>
      </c>
      <c r="H366" s="3" t="str">
        <f>IF($A366="","",IF(countif('Mens Lineup'!H$3:H1000,CONCATENATE("=",$A366))=0,"",H$2))</f>
        <v/>
      </c>
      <c r="I366" s="3" t="str">
        <f>IF($A366="","",IF(countif('Mens Lineup'!I$3:I1000,CONCATENATE("=",$A366))=0,"",I$2))</f>
        <v/>
      </c>
      <c r="J366" s="3" t="str">
        <f>IF($A366="","",IF(countif('Mens Lineup'!J$3:J1000,CONCATENATE("=",$A366))=0,"",J$2))</f>
        <v/>
      </c>
      <c r="K366" s="3" t="str">
        <f>IF($A366="","",IF(countif('Mens Lineup'!K$3:K1000,CONCATENATE("=",$A366))=0,"",K$2))</f>
        <v/>
      </c>
      <c r="L366" s="3" t="str">
        <f>IF($A366="","",IF(countif('Mens Lineup'!L$3:L1000,CONCATENATE("=",$A366))=0,"",L$2))</f>
        <v/>
      </c>
      <c r="M366" s="3" t="str">
        <f>IF($A366="","",IF(countif('Mens Lineup'!M$3:M1000,CONCATENATE("=",$A366))=0,"",M$2))</f>
        <v/>
      </c>
      <c r="N366" s="3" t="str">
        <f>IF($A366="","",IF(countif('Mens Lineup'!N$3:N1000,CONCATENATE("=",$A366))=0,"",N$2))</f>
        <v/>
      </c>
      <c r="O366" s="3" t="str">
        <f>IF($A366="","",IF(countif('Mens Lineup'!O$3:O1000,CONCATENATE("=",$A366))=0,"",O$2))</f>
        <v/>
      </c>
      <c r="P366" s="3" t="str">
        <f>IF($A366="","",IF(countif('Mens Lineup'!P$3:P1000,CONCATENATE("=",$A366))=0,"",P$2))</f>
        <v/>
      </c>
      <c r="Q366" s="3" t="str">
        <f>IF($A366="","",IF(countif('Mens Lineup'!Q$3:Q1000,CONCATENATE("=",$A366))=0,"",Q$2))</f>
        <v/>
      </c>
      <c r="R366" s="3" t="str">
        <f>IF($A366="","",IF(countif('Mens Lineup'!R$3:R1000,CONCATENATE("=",$A366))=0,"",R$2))</f>
        <v/>
      </c>
      <c r="S366" s="3" t="str">
        <f>IF($A366="","",IF(countif('Mens Lineup'!S$3:S1000,CONCATENATE("=",$A366))=0,"",S$2))</f>
        <v/>
      </c>
      <c r="W366" s="3" t="str">
        <f>IFERROR(__xludf.DUMMYFUNCTION("JOIN("","",FILTER(B366:S366,B366:S366&lt;&gt;""""))"),"#N/A")</f>
        <v>#N/A</v>
      </c>
    </row>
    <row r="367">
      <c r="A367" s="3"/>
      <c r="B367" s="3" t="str">
        <f>IF($A367="","",IF(countif('Mens Lineup'!B$3:B1000,CONCATENATE("=",$A367))=0,"",B$2))</f>
        <v/>
      </c>
      <c r="C367" s="3" t="str">
        <f>IF($A367="","",IF(countif('Mens Lineup'!C$3:C1000,CONCATENATE("=",$A367))=0,"",C$2))</f>
        <v/>
      </c>
      <c r="D367" s="3" t="str">
        <f>IF($A367="","",IF(countif('Mens Lineup'!D$3:D1000,CONCATENATE("=",$A367))=0,"",D$2))</f>
        <v/>
      </c>
      <c r="E367" s="3" t="str">
        <f>IF($A367="","",IF(countif('Mens Lineup'!E$3:E1000,CONCATENATE("=",$A367))=0,"",E$2))</f>
        <v/>
      </c>
      <c r="F367" s="3" t="str">
        <f>IF($A367="","",IF(countif('Mens Lineup'!F$3:F1000,CONCATENATE("=",$A367))=0,"",F$2))</f>
        <v/>
      </c>
      <c r="G367" s="3" t="str">
        <f>IF($A367="","",IF(countif('Mens Lineup'!G$3:G1000,CONCATENATE("=",$A367))=0,"",G$2))</f>
        <v/>
      </c>
      <c r="H367" s="3" t="str">
        <f>IF($A367="","",IF(countif('Mens Lineup'!H$3:H1000,CONCATENATE("=",$A367))=0,"",H$2))</f>
        <v/>
      </c>
      <c r="I367" s="3" t="str">
        <f>IF($A367="","",IF(countif('Mens Lineup'!I$3:I1000,CONCATENATE("=",$A367))=0,"",I$2))</f>
        <v/>
      </c>
      <c r="J367" s="3" t="str">
        <f>IF($A367="","",IF(countif('Mens Lineup'!J$3:J1000,CONCATENATE("=",$A367))=0,"",J$2))</f>
        <v/>
      </c>
      <c r="K367" s="3" t="str">
        <f>IF($A367="","",IF(countif('Mens Lineup'!K$3:K1000,CONCATENATE("=",$A367))=0,"",K$2))</f>
        <v/>
      </c>
      <c r="L367" s="3" t="str">
        <f>IF($A367="","",IF(countif('Mens Lineup'!L$3:L1000,CONCATENATE("=",$A367))=0,"",L$2))</f>
        <v/>
      </c>
      <c r="M367" s="3" t="str">
        <f>IF($A367="","",IF(countif('Mens Lineup'!M$3:M1000,CONCATENATE("=",$A367))=0,"",M$2))</f>
        <v/>
      </c>
      <c r="N367" s="3" t="str">
        <f>IF($A367="","",IF(countif('Mens Lineup'!N$3:N1000,CONCATENATE("=",$A367))=0,"",N$2))</f>
        <v/>
      </c>
      <c r="O367" s="3" t="str">
        <f>IF($A367="","",IF(countif('Mens Lineup'!O$3:O1000,CONCATENATE("=",$A367))=0,"",O$2))</f>
        <v/>
      </c>
      <c r="P367" s="3" t="str">
        <f>IF($A367="","",IF(countif('Mens Lineup'!P$3:P1000,CONCATENATE("=",$A367))=0,"",P$2))</f>
        <v/>
      </c>
      <c r="Q367" s="3" t="str">
        <f>IF($A367="","",IF(countif('Mens Lineup'!Q$3:Q1000,CONCATENATE("=",$A367))=0,"",Q$2))</f>
        <v/>
      </c>
      <c r="R367" s="3" t="str">
        <f>IF($A367="","",IF(countif('Mens Lineup'!R$3:R1000,CONCATENATE("=",$A367))=0,"",R$2))</f>
        <v/>
      </c>
      <c r="S367" s="3" t="str">
        <f>IF($A367="","",IF(countif('Mens Lineup'!S$3:S1000,CONCATENATE("=",$A367))=0,"",S$2))</f>
        <v/>
      </c>
      <c r="W367" s="3" t="str">
        <f>IFERROR(__xludf.DUMMYFUNCTION("JOIN("","",FILTER(B367:S367,B367:S367&lt;&gt;""""))"),"#N/A")</f>
        <v>#N/A</v>
      </c>
    </row>
    <row r="368">
      <c r="A368" s="3"/>
      <c r="B368" s="3" t="str">
        <f>IF($A368="","",IF(countif('Mens Lineup'!B$3:B1000,CONCATENATE("=",$A368))=0,"",B$2))</f>
        <v/>
      </c>
      <c r="C368" s="3" t="str">
        <f>IF($A368="","",IF(countif('Mens Lineup'!C$3:C1000,CONCATENATE("=",$A368))=0,"",C$2))</f>
        <v/>
      </c>
      <c r="D368" s="3" t="str">
        <f>IF($A368="","",IF(countif('Mens Lineup'!D$3:D1000,CONCATENATE("=",$A368))=0,"",D$2))</f>
        <v/>
      </c>
      <c r="E368" s="3" t="str">
        <f>IF($A368="","",IF(countif('Mens Lineup'!E$3:E1000,CONCATENATE("=",$A368))=0,"",E$2))</f>
        <v/>
      </c>
      <c r="F368" s="3" t="str">
        <f>IF($A368="","",IF(countif('Mens Lineup'!F$3:F1000,CONCATENATE("=",$A368))=0,"",F$2))</f>
        <v/>
      </c>
      <c r="G368" s="3" t="str">
        <f>IF($A368="","",IF(countif('Mens Lineup'!G$3:G1000,CONCATENATE("=",$A368))=0,"",G$2))</f>
        <v/>
      </c>
      <c r="H368" s="3" t="str">
        <f>IF($A368="","",IF(countif('Mens Lineup'!H$3:H1000,CONCATENATE("=",$A368))=0,"",H$2))</f>
        <v/>
      </c>
      <c r="I368" s="3" t="str">
        <f>IF($A368="","",IF(countif('Mens Lineup'!I$3:I1000,CONCATENATE("=",$A368))=0,"",I$2))</f>
        <v/>
      </c>
      <c r="J368" s="3" t="str">
        <f>IF($A368="","",IF(countif('Mens Lineup'!J$3:J1000,CONCATENATE("=",$A368))=0,"",J$2))</f>
        <v/>
      </c>
      <c r="K368" s="3" t="str">
        <f>IF($A368="","",IF(countif('Mens Lineup'!K$3:K1000,CONCATENATE("=",$A368))=0,"",K$2))</f>
        <v/>
      </c>
      <c r="L368" s="3" t="str">
        <f>IF($A368="","",IF(countif('Mens Lineup'!L$3:L1000,CONCATENATE("=",$A368))=0,"",L$2))</f>
        <v/>
      </c>
      <c r="M368" s="3" t="str">
        <f>IF($A368="","",IF(countif('Mens Lineup'!M$3:M1000,CONCATENATE("=",$A368))=0,"",M$2))</f>
        <v/>
      </c>
      <c r="N368" s="3" t="str">
        <f>IF($A368="","",IF(countif('Mens Lineup'!N$3:N1000,CONCATENATE("=",$A368))=0,"",N$2))</f>
        <v/>
      </c>
      <c r="O368" s="3" t="str">
        <f>IF($A368="","",IF(countif('Mens Lineup'!O$3:O1000,CONCATENATE("=",$A368))=0,"",O$2))</f>
        <v/>
      </c>
      <c r="P368" s="3" t="str">
        <f>IF($A368="","",IF(countif('Mens Lineup'!P$3:P1000,CONCATENATE("=",$A368))=0,"",P$2))</f>
        <v/>
      </c>
      <c r="Q368" s="3" t="str">
        <f>IF($A368="","",IF(countif('Mens Lineup'!Q$3:Q1000,CONCATENATE("=",$A368))=0,"",Q$2))</f>
        <v/>
      </c>
      <c r="R368" s="3" t="str">
        <f>IF($A368="","",IF(countif('Mens Lineup'!R$3:R1000,CONCATENATE("=",$A368))=0,"",R$2))</f>
        <v/>
      </c>
      <c r="S368" s="3" t="str">
        <f>IF($A368="","",IF(countif('Mens Lineup'!S$3:S1000,CONCATENATE("=",$A368))=0,"",S$2))</f>
        <v/>
      </c>
      <c r="W368" s="3" t="str">
        <f>IFERROR(__xludf.DUMMYFUNCTION("JOIN("","",FILTER(B368:S368,B368:S368&lt;&gt;""""))"),"#N/A")</f>
        <v>#N/A</v>
      </c>
    </row>
    <row r="369">
      <c r="A369" s="3"/>
      <c r="B369" s="3" t="str">
        <f>IF($A369="","",IF(countif('Mens Lineup'!B$3:B1000,CONCATENATE("=",$A369))=0,"",B$2))</f>
        <v/>
      </c>
      <c r="C369" s="3" t="str">
        <f>IF($A369="","",IF(countif('Mens Lineup'!C$3:C1000,CONCATENATE("=",$A369))=0,"",C$2))</f>
        <v/>
      </c>
      <c r="D369" s="3" t="str">
        <f>IF($A369="","",IF(countif('Mens Lineup'!D$3:D1000,CONCATENATE("=",$A369))=0,"",D$2))</f>
        <v/>
      </c>
      <c r="E369" s="3" t="str">
        <f>IF($A369="","",IF(countif('Mens Lineup'!E$3:E1000,CONCATENATE("=",$A369))=0,"",E$2))</f>
        <v/>
      </c>
      <c r="F369" s="3" t="str">
        <f>IF($A369="","",IF(countif('Mens Lineup'!F$3:F1000,CONCATENATE("=",$A369))=0,"",F$2))</f>
        <v/>
      </c>
      <c r="G369" s="3" t="str">
        <f>IF($A369="","",IF(countif('Mens Lineup'!G$3:G1000,CONCATENATE("=",$A369))=0,"",G$2))</f>
        <v/>
      </c>
      <c r="H369" s="3" t="str">
        <f>IF($A369="","",IF(countif('Mens Lineup'!H$3:H1000,CONCATENATE("=",$A369))=0,"",H$2))</f>
        <v/>
      </c>
      <c r="I369" s="3" t="str">
        <f>IF($A369="","",IF(countif('Mens Lineup'!I$3:I1000,CONCATENATE("=",$A369))=0,"",I$2))</f>
        <v/>
      </c>
      <c r="J369" s="3" t="str">
        <f>IF($A369="","",IF(countif('Mens Lineup'!J$3:J1000,CONCATENATE("=",$A369))=0,"",J$2))</f>
        <v/>
      </c>
      <c r="K369" s="3" t="str">
        <f>IF($A369="","",IF(countif('Mens Lineup'!K$3:K1000,CONCATENATE("=",$A369))=0,"",K$2))</f>
        <v/>
      </c>
      <c r="L369" s="3" t="str">
        <f>IF($A369="","",IF(countif('Mens Lineup'!L$3:L1000,CONCATENATE("=",$A369))=0,"",L$2))</f>
        <v/>
      </c>
      <c r="M369" s="3" t="str">
        <f>IF($A369="","",IF(countif('Mens Lineup'!M$3:M1000,CONCATENATE("=",$A369))=0,"",M$2))</f>
        <v/>
      </c>
      <c r="N369" s="3" t="str">
        <f>IF($A369="","",IF(countif('Mens Lineup'!N$3:N1000,CONCATENATE("=",$A369))=0,"",N$2))</f>
        <v/>
      </c>
      <c r="O369" s="3" t="str">
        <f>IF($A369="","",IF(countif('Mens Lineup'!O$3:O1000,CONCATENATE("=",$A369))=0,"",O$2))</f>
        <v/>
      </c>
      <c r="P369" s="3" t="str">
        <f>IF($A369="","",IF(countif('Mens Lineup'!P$3:P1000,CONCATENATE("=",$A369))=0,"",P$2))</f>
        <v/>
      </c>
      <c r="Q369" s="3" t="str">
        <f>IF($A369="","",IF(countif('Mens Lineup'!Q$3:Q1000,CONCATENATE("=",$A369))=0,"",Q$2))</f>
        <v/>
      </c>
      <c r="R369" s="3" t="str">
        <f>IF($A369="","",IF(countif('Mens Lineup'!R$3:R1000,CONCATENATE("=",$A369))=0,"",R$2))</f>
        <v/>
      </c>
      <c r="S369" s="3" t="str">
        <f>IF($A369="","",IF(countif('Mens Lineup'!S$3:S1000,CONCATENATE("=",$A369))=0,"",S$2))</f>
        <v/>
      </c>
      <c r="W369" s="3" t="str">
        <f>IFERROR(__xludf.DUMMYFUNCTION("JOIN("","",FILTER(B369:S369,B369:S369&lt;&gt;""""))"),"#N/A")</f>
        <v>#N/A</v>
      </c>
    </row>
    <row r="370">
      <c r="A370" s="3"/>
      <c r="B370" s="3" t="str">
        <f>IF($A370="","",IF(countif('Mens Lineup'!B$3:B1000,CONCATENATE("=",$A370))=0,"",B$2))</f>
        <v/>
      </c>
      <c r="C370" s="3" t="str">
        <f>IF($A370="","",IF(countif('Mens Lineup'!C$3:C1000,CONCATENATE("=",$A370))=0,"",C$2))</f>
        <v/>
      </c>
      <c r="D370" s="3" t="str">
        <f>IF($A370="","",IF(countif('Mens Lineup'!D$3:D1000,CONCATENATE("=",$A370))=0,"",D$2))</f>
        <v/>
      </c>
      <c r="E370" s="3" t="str">
        <f>IF($A370="","",IF(countif('Mens Lineup'!E$3:E1000,CONCATENATE("=",$A370))=0,"",E$2))</f>
        <v/>
      </c>
      <c r="F370" s="3" t="str">
        <f>IF($A370="","",IF(countif('Mens Lineup'!F$3:F1000,CONCATENATE("=",$A370))=0,"",F$2))</f>
        <v/>
      </c>
      <c r="G370" s="3" t="str">
        <f>IF($A370="","",IF(countif('Mens Lineup'!G$3:G1000,CONCATENATE("=",$A370))=0,"",G$2))</f>
        <v/>
      </c>
      <c r="H370" s="3" t="str">
        <f>IF($A370="","",IF(countif('Mens Lineup'!H$3:H1000,CONCATENATE("=",$A370))=0,"",H$2))</f>
        <v/>
      </c>
      <c r="I370" s="3" t="str">
        <f>IF($A370="","",IF(countif('Mens Lineup'!I$3:I1000,CONCATENATE("=",$A370))=0,"",I$2))</f>
        <v/>
      </c>
      <c r="J370" s="3" t="str">
        <f>IF($A370="","",IF(countif('Mens Lineup'!J$3:J1000,CONCATENATE("=",$A370))=0,"",J$2))</f>
        <v/>
      </c>
      <c r="K370" s="3" t="str">
        <f>IF($A370="","",IF(countif('Mens Lineup'!K$3:K1000,CONCATENATE("=",$A370))=0,"",K$2))</f>
        <v/>
      </c>
      <c r="L370" s="3" t="str">
        <f>IF($A370="","",IF(countif('Mens Lineup'!L$3:L1000,CONCATENATE("=",$A370))=0,"",L$2))</f>
        <v/>
      </c>
      <c r="M370" s="3" t="str">
        <f>IF($A370="","",IF(countif('Mens Lineup'!M$3:M1000,CONCATENATE("=",$A370))=0,"",M$2))</f>
        <v/>
      </c>
      <c r="N370" s="3" t="str">
        <f>IF($A370="","",IF(countif('Mens Lineup'!N$3:N1000,CONCATENATE("=",$A370))=0,"",N$2))</f>
        <v/>
      </c>
      <c r="O370" s="3" t="str">
        <f>IF($A370="","",IF(countif('Mens Lineup'!O$3:O1000,CONCATENATE("=",$A370))=0,"",O$2))</f>
        <v/>
      </c>
      <c r="P370" s="3" t="str">
        <f>IF($A370="","",IF(countif('Mens Lineup'!P$3:P1000,CONCATENATE("=",$A370))=0,"",P$2))</f>
        <v/>
      </c>
      <c r="Q370" s="3" t="str">
        <f>IF($A370="","",IF(countif('Mens Lineup'!Q$3:Q1000,CONCATENATE("=",$A370))=0,"",Q$2))</f>
        <v/>
      </c>
      <c r="R370" s="3" t="str">
        <f>IF($A370="","",IF(countif('Mens Lineup'!R$3:R1000,CONCATENATE("=",$A370))=0,"",R$2))</f>
        <v/>
      </c>
      <c r="S370" s="3" t="str">
        <f>IF($A370="","",IF(countif('Mens Lineup'!S$3:S1000,CONCATENATE("=",$A370))=0,"",S$2))</f>
        <v/>
      </c>
      <c r="W370" s="3" t="str">
        <f>IFERROR(__xludf.DUMMYFUNCTION("JOIN("","",FILTER(B370:S370,B370:S370&lt;&gt;""""))"),"#N/A")</f>
        <v>#N/A</v>
      </c>
    </row>
    <row r="371">
      <c r="A371" s="3"/>
      <c r="B371" s="3" t="str">
        <f>IF($A371="","",IF(countif('Mens Lineup'!B$3:B1000,CONCATENATE("=",$A371))=0,"",B$2))</f>
        <v/>
      </c>
      <c r="C371" s="3" t="str">
        <f>IF($A371="","",IF(countif('Mens Lineup'!C$3:C1000,CONCATENATE("=",$A371))=0,"",C$2))</f>
        <v/>
      </c>
      <c r="D371" s="3" t="str">
        <f>IF($A371="","",IF(countif('Mens Lineup'!D$3:D1000,CONCATENATE("=",$A371))=0,"",D$2))</f>
        <v/>
      </c>
      <c r="E371" s="3" t="str">
        <f>IF($A371="","",IF(countif('Mens Lineup'!E$3:E1000,CONCATENATE("=",$A371))=0,"",E$2))</f>
        <v/>
      </c>
      <c r="F371" s="3" t="str">
        <f>IF($A371="","",IF(countif('Mens Lineup'!F$3:F1000,CONCATENATE("=",$A371))=0,"",F$2))</f>
        <v/>
      </c>
      <c r="G371" s="3" t="str">
        <f>IF($A371="","",IF(countif('Mens Lineup'!G$3:G1000,CONCATENATE("=",$A371))=0,"",G$2))</f>
        <v/>
      </c>
      <c r="H371" s="3" t="str">
        <f>IF($A371="","",IF(countif('Mens Lineup'!H$3:H1000,CONCATENATE("=",$A371))=0,"",H$2))</f>
        <v/>
      </c>
      <c r="I371" s="3" t="str">
        <f>IF($A371="","",IF(countif('Mens Lineup'!I$3:I1000,CONCATENATE("=",$A371))=0,"",I$2))</f>
        <v/>
      </c>
      <c r="J371" s="3" t="str">
        <f>IF($A371="","",IF(countif('Mens Lineup'!J$3:J1000,CONCATENATE("=",$A371))=0,"",J$2))</f>
        <v/>
      </c>
      <c r="K371" s="3" t="str">
        <f>IF($A371="","",IF(countif('Mens Lineup'!K$3:K1000,CONCATENATE("=",$A371))=0,"",K$2))</f>
        <v/>
      </c>
      <c r="L371" s="3" t="str">
        <f>IF($A371="","",IF(countif('Mens Lineup'!L$3:L1000,CONCATENATE("=",$A371))=0,"",L$2))</f>
        <v/>
      </c>
      <c r="M371" s="3" t="str">
        <f>IF($A371="","",IF(countif('Mens Lineup'!M$3:M1000,CONCATENATE("=",$A371))=0,"",M$2))</f>
        <v/>
      </c>
      <c r="N371" s="3" t="str">
        <f>IF($A371="","",IF(countif('Mens Lineup'!N$3:N1000,CONCATENATE("=",$A371))=0,"",N$2))</f>
        <v/>
      </c>
      <c r="O371" s="3" t="str">
        <f>IF($A371="","",IF(countif('Mens Lineup'!O$3:O1000,CONCATENATE("=",$A371))=0,"",O$2))</f>
        <v/>
      </c>
      <c r="P371" s="3" t="str">
        <f>IF($A371="","",IF(countif('Mens Lineup'!P$3:P1000,CONCATENATE("=",$A371))=0,"",P$2))</f>
        <v/>
      </c>
      <c r="Q371" s="3" t="str">
        <f>IF($A371="","",IF(countif('Mens Lineup'!Q$3:Q1000,CONCATENATE("=",$A371))=0,"",Q$2))</f>
        <v/>
      </c>
      <c r="R371" s="3" t="str">
        <f>IF($A371="","",IF(countif('Mens Lineup'!R$3:R1000,CONCATENATE("=",$A371))=0,"",R$2))</f>
        <v/>
      </c>
      <c r="S371" s="3" t="str">
        <f>IF($A371="","",IF(countif('Mens Lineup'!S$3:S1000,CONCATENATE("=",$A371))=0,"",S$2))</f>
        <v/>
      </c>
      <c r="W371" s="3" t="str">
        <f>IFERROR(__xludf.DUMMYFUNCTION("JOIN("","",FILTER(B371:S371,B371:S371&lt;&gt;""""))"),"#N/A")</f>
        <v>#N/A</v>
      </c>
    </row>
    <row r="372">
      <c r="A372" s="3"/>
      <c r="B372" s="3" t="str">
        <f>IF($A372="","",IF(countif('Mens Lineup'!B$3:B1000,CONCATENATE("=",$A372))=0,"",B$2))</f>
        <v/>
      </c>
      <c r="C372" s="3" t="str">
        <f>IF($A372="","",IF(countif('Mens Lineup'!C$3:C1000,CONCATENATE("=",$A372))=0,"",C$2))</f>
        <v/>
      </c>
      <c r="D372" s="3" t="str">
        <f>IF($A372="","",IF(countif('Mens Lineup'!D$3:D1000,CONCATENATE("=",$A372))=0,"",D$2))</f>
        <v/>
      </c>
      <c r="E372" s="3" t="str">
        <f>IF($A372="","",IF(countif('Mens Lineup'!E$3:E1000,CONCATENATE("=",$A372))=0,"",E$2))</f>
        <v/>
      </c>
      <c r="F372" s="3" t="str">
        <f>IF($A372="","",IF(countif('Mens Lineup'!F$3:F1000,CONCATENATE("=",$A372))=0,"",F$2))</f>
        <v/>
      </c>
      <c r="G372" s="3" t="str">
        <f>IF($A372="","",IF(countif('Mens Lineup'!G$3:G1000,CONCATENATE("=",$A372))=0,"",G$2))</f>
        <v/>
      </c>
      <c r="H372" s="3" t="str">
        <f>IF($A372="","",IF(countif('Mens Lineup'!H$3:H1000,CONCATENATE("=",$A372))=0,"",H$2))</f>
        <v/>
      </c>
      <c r="I372" s="3" t="str">
        <f>IF($A372="","",IF(countif('Mens Lineup'!I$3:I1000,CONCATENATE("=",$A372))=0,"",I$2))</f>
        <v/>
      </c>
      <c r="J372" s="3" t="str">
        <f>IF($A372="","",IF(countif('Mens Lineup'!J$3:J1000,CONCATENATE("=",$A372))=0,"",J$2))</f>
        <v/>
      </c>
      <c r="K372" s="3" t="str">
        <f>IF($A372="","",IF(countif('Mens Lineup'!K$3:K1000,CONCATENATE("=",$A372))=0,"",K$2))</f>
        <v/>
      </c>
      <c r="L372" s="3" t="str">
        <f>IF($A372="","",IF(countif('Mens Lineup'!L$3:L1000,CONCATENATE("=",$A372))=0,"",L$2))</f>
        <v/>
      </c>
      <c r="M372" s="3" t="str">
        <f>IF($A372="","",IF(countif('Mens Lineup'!M$3:M1000,CONCATENATE("=",$A372))=0,"",M$2))</f>
        <v/>
      </c>
      <c r="N372" s="3" t="str">
        <f>IF($A372="","",IF(countif('Mens Lineup'!N$3:N1000,CONCATENATE("=",$A372))=0,"",N$2))</f>
        <v/>
      </c>
      <c r="O372" s="3" t="str">
        <f>IF($A372="","",IF(countif('Mens Lineup'!O$3:O1000,CONCATENATE("=",$A372))=0,"",O$2))</f>
        <v/>
      </c>
      <c r="P372" s="3" t="str">
        <f>IF($A372="","",IF(countif('Mens Lineup'!P$3:P1000,CONCATENATE("=",$A372))=0,"",P$2))</f>
        <v/>
      </c>
      <c r="Q372" s="3" t="str">
        <f>IF($A372="","",IF(countif('Mens Lineup'!Q$3:Q1000,CONCATENATE("=",$A372))=0,"",Q$2))</f>
        <v/>
      </c>
      <c r="R372" s="3" t="str">
        <f>IF($A372="","",IF(countif('Mens Lineup'!R$3:R1000,CONCATENATE("=",$A372))=0,"",R$2))</f>
        <v/>
      </c>
      <c r="S372" s="3" t="str">
        <f>IF($A372="","",IF(countif('Mens Lineup'!S$3:S1000,CONCATENATE("=",$A372))=0,"",S$2))</f>
        <v/>
      </c>
      <c r="W372" s="3" t="str">
        <f>IFERROR(__xludf.DUMMYFUNCTION("JOIN("","",FILTER(B372:S372,B372:S372&lt;&gt;""""))"),"#N/A")</f>
        <v>#N/A</v>
      </c>
    </row>
    <row r="373">
      <c r="A373" s="3"/>
      <c r="B373" s="3" t="str">
        <f>IF($A373="","",IF(countif('Mens Lineup'!B$3:B1000,CONCATENATE("=",$A373))=0,"",B$2))</f>
        <v/>
      </c>
      <c r="C373" s="3" t="str">
        <f>IF($A373="","",IF(countif('Mens Lineup'!C$3:C1000,CONCATENATE("=",$A373))=0,"",C$2))</f>
        <v/>
      </c>
      <c r="D373" s="3" t="str">
        <f>IF($A373="","",IF(countif('Mens Lineup'!D$3:D1000,CONCATENATE("=",$A373))=0,"",D$2))</f>
        <v/>
      </c>
      <c r="E373" s="3" t="str">
        <f>IF($A373="","",IF(countif('Mens Lineup'!E$3:E1000,CONCATENATE("=",$A373))=0,"",E$2))</f>
        <v/>
      </c>
      <c r="F373" s="3" t="str">
        <f>IF($A373="","",IF(countif('Mens Lineup'!F$3:F1000,CONCATENATE("=",$A373))=0,"",F$2))</f>
        <v/>
      </c>
      <c r="G373" s="3" t="str">
        <f>IF($A373="","",IF(countif('Mens Lineup'!G$3:G1000,CONCATENATE("=",$A373))=0,"",G$2))</f>
        <v/>
      </c>
      <c r="H373" s="3" t="str">
        <f>IF($A373="","",IF(countif('Mens Lineup'!H$3:H1000,CONCATENATE("=",$A373))=0,"",H$2))</f>
        <v/>
      </c>
      <c r="I373" s="3" t="str">
        <f>IF($A373="","",IF(countif('Mens Lineup'!I$3:I1000,CONCATENATE("=",$A373))=0,"",I$2))</f>
        <v/>
      </c>
      <c r="J373" s="3" t="str">
        <f>IF($A373="","",IF(countif('Mens Lineup'!J$3:J1000,CONCATENATE("=",$A373))=0,"",J$2))</f>
        <v/>
      </c>
      <c r="K373" s="3" t="str">
        <f>IF($A373="","",IF(countif('Mens Lineup'!K$3:K1000,CONCATENATE("=",$A373))=0,"",K$2))</f>
        <v/>
      </c>
      <c r="L373" s="3" t="str">
        <f>IF($A373="","",IF(countif('Mens Lineup'!L$3:L1000,CONCATENATE("=",$A373))=0,"",L$2))</f>
        <v/>
      </c>
      <c r="M373" s="3" t="str">
        <f>IF($A373="","",IF(countif('Mens Lineup'!M$3:M1000,CONCATENATE("=",$A373))=0,"",M$2))</f>
        <v/>
      </c>
      <c r="N373" s="3" t="str">
        <f>IF($A373="","",IF(countif('Mens Lineup'!N$3:N1000,CONCATENATE("=",$A373))=0,"",N$2))</f>
        <v/>
      </c>
      <c r="O373" s="3" t="str">
        <f>IF($A373="","",IF(countif('Mens Lineup'!O$3:O1000,CONCATENATE("=",$A373))=0,"",O$2))</f>
        <v/>
      </c>
      <c r="P373" s="3" t="str">
        <f>IF($A373="","",IF(countif('Mens Lineup'!P$3:P1000,CONCATENATE("=",$A373))=0,"",P$2))</f>
        <v/>
      </c>
      <c r="Q373" s="3" t="str">
        <f>IF($A373="","",IF(countif('Mens Lineup'!Q$3:Q1000,CONCATENATE("=",$A373))=0,"",Q$2))</f>
        <v/>
      </c>
      <c r="R373" s="3" t="str">
        <f>IF($A373="","",IF(countif('Mens Lineup'!R$3:R1000,CONCATENATE("=",$A373))=0,"",R$2))</f>
        <v/>
      </c>
      <c r="S373" s="3" t="str">
        <f>IF($A373="","",IF(countif('Mens Lineup'!S$3:S1000,CONCATENATE("=",$A373))=0,"",S$2))</f>
        <v/>
      </c>
      <c r="W373" s="3" t="str">
        <f>IFERROR(__xludf.DUMMYFUNCTION("JOIN("","",FILTER(B373:S373,B373:S373&lt;&gt;""""))"),"#N/A")</f>
        <v>#N/A</v>
      </c>
    </row>
    <row r="374">
      <c r="A374" s="3"/>
      <c r="B374" s="3" t="str">
        <f>IF($A374="","",IF(countif('Mens Lineup'!B$3:B1000,CONCATENATE("=",$A374))=0,"",B$2))</f>
        <v/>
      </c>
      <c r="C374" s="3" t="str">
        <f>IF($A374="","",IF(countif('Mens Lineup'!C$3:C1000,CONCATENATE("=",$A374))=0,"",C$2))</f>
        <v/>
      </c>
      <c r="D374" s="3" t="str">
        <f>IF($A374="","",IF(countif('Mens Lineup'!D$3:D1000,CONCATENATE("=",$A374))=0,"",D$2))</f>
        <v/>
      </c>
      <c r="E374" s="3" t="str">
        <f>IF($A374="","",IF(countif('Mens Lineup'!E$3:E1000,CONCATENATE("=",$A374))=0,"",E$2))</f>
        <v/>
      </c>
      <c r="F374" s="3" t="str">
        <f>IF($A374="","",IF(countif('Mens Lineup'!F$3:F1000,CONCATENATE("=",$A374))=0,"",F$2))</f>
        <v/>
      </c>
      <c r="G374" s="3" t="str">
        <f>IF($A374="","",IF(countif('Mens Lineup'!G$3:G1000,CONCATENATE("=",$A374))=0,"",G$2))</f>
        <v/>
      </c>
      <c r="H374" s="3" t="str">
        <f>IF($A374="","",IF(countif('Mens Lineup'!H$3:H1000,CONCATENATE("=",$A374))=0,"",H$2))</f>
        <v/>
      </c>
      <c r="I374" s="3" t="str">
        <f>IF($A374="","",IF(countif('Mens Lineup'!I$3:I1000,CONCATENATE("=",$A374))=0,"",I$2))</f>
        <v/>
      </c>
      <c r="J374" s="3" t="str">
        <f>IF($A374="","",IF(countif('Mens Lineup'!J$3:J1000,CONCATENATE("=",$A374))=0,"",J$2))</f>
        <v/>
      </c>
      <c r="K374" s="3" t="str">
        <f>IF($A374="","",IF(countif('Mens Lineup'!K$3:K1000,CONCATENATE("=",$A374))=0,"",K$2))</f>
        <v/>
      </c>
      <c r="L374" s="3" t="str">
        <f>IF($A374="","",IF(countif('Mens Lineup'!L$3:L1000,CONCATENATE("=",$A374))=0,"",L$2))</f>
        <v/>
      </c>
      <c r="M374" s="3" t="str">
        <f>IF($A374="","",IF(countif('Mens Lineup'!M$3:M1000,CONCATENATE("=",$A374))=0,"",M$2))</f>
        <v/>
      </c>
      <c r="N374" s="3" t="str">
        <f>IF($A374="","",IF(countif('Mens Lineup'!N$3:N1000,CONCATENATE("=",$A374))=0,"",N$2))</f>
        <v/>
      </c>
      <c r="O374" s="3" t="str">
        <f>IF($A374="","",IF(countif('Mens Lineup'!O$3:O1000,CONCATENATE("=",$A374))=0,"",O$2))</f>
        <v/>
      </c>
      <c r="P374" s="3" t="str">
        <f>IF($A374="","",IF(countif('Mens Lineup'!P$3:P1000,CONCATENATE("=",$A374))=0,"",P$2))</f>
        <v/>
      </c>
      <c r="Q374" s="3" t="str">
        <f>IF($A374="","",IF(countif('Mens Lineup'!Q$3:Q1000,CONCATENATE("=",$A374))=0,"",Q$2))</f>
        <v/>
      </c>
      <c r="R374" s="3" t="str">
        <f>IF($A374="","",IF(countif('Mens Lineup'!R$3:R1000,CONCATENATE("=",$A374))=0,"",R$2))</f>
        <v/>
      </c>
      <c r="S374" s="3" t="str">
        <f>IF($A374="","",IF(countif('Mens Lineup'!S$3:S1000,CONCATENATE("=",$A374))=0,"",S$2))</f>
        <v/>
      </c>
      <c r="W374" s="3" t="str">
        <f>IFERROR(__xludf.DUMMYFUNCTION("JOIN("","",FILTER(B374:S374,B374:S374&lt;&gt;""""))"),"#N/A")</f>
        <v>#N/A</v>
      </c>
    </row>
    <row r="375">
      <c r="A375" s="3"/>
      <c r="B375" s="3" t="str">
        <f>IF($A375="","",IF(countif('Mens Lineup'!B$3:B1000,CONCATENATE("=",$A375))=0,"",B$2))</f>
        <v/>
      </c>
      <c r="C375" s="3" t="str">
        <f>IF($A375="","",IF(countif('Mens Lineup'!C$3:C1000,CONCATENATE("=",$A375))=0,"",C$2))</f>
        <v/>
      </c>
      <c r="D375" s="3" t="str">
        <f>IF($A375="","",IF(countif('Mens Lineup'!D$3:D1000,CONCATENATE("=",$A375))=0,"",D$2))</f>
        <v/>
      </c>
      <c r="E375" s="3" t="str">
        <f>IF($A375="","",IF(countif('Mens Lineup'!E$3:E1000,CONCATENATE("=",$A375))=0,"",E$2))</f>
        <v/>
      </c>
      <c r="F375" s="3" t="str">
        <f>IF($A375="","",IF(countif('Mens Lineup'!F$3:F1000,CONCATENATE("=",$A375))=0,"",F$2))</f>
        <v/>
      </c>
      <c r="G375" s="3" t="str">
        <f>IF($A375="","",IF(countif('Mens Lineup'!G$3:G1000,CONCATENATE("=",$A375))=0,"",G$2))</f>
        <v/>
      </c>
      <c r="H375" s="3" t="str">
        <f>IF($A375="","",IF(countif('Mens Lineup'!H$3:H1000,CONCATENATE("=",$A375))=0,"",H$2))</f>
        <v/>
      </c>
      <c r="I375" s="3" t="str">
        <f>IF($A375="","",IF(countif('Mens Lineup'!I$3:I1000,CONCATENATE("=",$A375))=0,"",I$2))</f>
        <v/>
      </c>
      <c r="J375" s="3" t="str">
        <f>IF($A375="","",IF(countif('Mens Lineup'!J$3:J1000,CONCATENATE("=",$A375))=0,"",J$2))</f>
        <v/>
      </c>
      <c r="K375" s="3" t="str">
        <f>IF($A375="","",IF(countif('Mens Lineup'!K$3:K1000,CONCATENATE("=",$A375))=0,"",K$2))</f>
        <v/>
      </c>
      <c r="L375" s="3" t="str">
        <f>IF($A375="","",IF(countif('Mens Lineup'!L$3:L1000,CONCATENATE("=",$A375))=0,"",L$2))</f>
        <v/>
      </c>
      <c r="M375" s="3" t="str">
        <f>IF($A375="","",IF(countif('Mens Lineup'!M$3:M1000,CONCATENATE("=",$A375))=0,"",M$2))</f>
        <v/>
      </c>
      <c r="N375" s="3" t="str">
        <f>IF($A375="","",IF(countif('Mens Lineup'!N$3:N1000,CONCATENATE("=",$A375))=0,"",N$2))</f>
        <v/>
      </c>
      <c r="O375" s="3" t="str">
        <f>IF($A375="","",IF(countif('Mens Lineup'!O$3:O1000,CONCATENATE("=",$A375))=0,"",O$2))</f>
        <v/>
      </c>
      <c r="P375" s="3" t="str">
        <f>IF($A375="","",IF(countif('Mens Lineup'!P$3:P1000,CONCATENATE("=",$A375))=0,"",P$2))</f>
        <v/>
      </c>
      <c r="Q375" s="3" t="str">
        <f>IF($A375="","",IF(countif('Mens Lineup'!Q$3:Q1000,CONCATENATE("=",$A375))=0,"",Q$2))</f>
        <v/>
      </c>
      <c r="R375" s="3" t="str">
        <f>IF($A375="","",IF(countif('Mens Lineup'!R$3:R1000,CONCATENATE("=",$A375))=0,"",R$2))</f>
        <v/>
      </c>
      <c r="S375" s="3" t="str">
        <f>IF($A375="","",IF(countif('Mens Lineup'!S$3:S1000,CONCATENATE("=",$A375))=0,"",S$2))</f>
        <v/>
      </c>
      <c r="W375" s="3" t="str">
        <f>IFERROR(__xludf.DUMMYFUNCTION("JOIN("","",FILTER(B375:S375,B375:S375&lt;&gt;""""))"),"#N/A")</f>
        <v>#N/A</v>
      </c>
    </row>
    <row r="376">
      <c r="A376" s="3"/>
      <c r="B376" s="3" t="str">
        <f>IF($A376="","",IF(countif('Mens Lineup'!B$3:B1000,CONCATENATE("=",$A376))=0,"",B$2))</f>
        <v/>
      </c>
      <c r="C376" s="3" t="str">
        <f>IF($A376="","",IF(countif('Mens Lineup'!C$3:C1000,CONCATENATE("=",$A376))=0,"",C$2))</f>
        <v/>
      </c>
      <c r="D376" s="3" t="str">
        <f>IF($A376="","",IF(countif('Mens Lineup'!D$3:D1000,CONCATENATE("=",$A376))=0,"",D$2))</f>
        <v/>
      </c>
      <c r="E376" s="3" t="str">
        <f>IF($A376="","",IF(countif('Mens Lineup'!E$3:E1000,CONCATENATE("=",$A376))=0,"",E$2))</f>
        <v/>
      </c>
      <c r="F376" s="3" t="str">
        <f>IF($A376="","",IF(countif('Mens Lineup'!F$3:F1000,CONCATENATE("=",$A376))=0,"",F$2))</f>
        <v/>
      </c>
      <c r="G376" s="3" t="str">
        <f>IF($A376="","",IF(countif('Mens Lineup'!G$3:G1000,CONCATENATE("=",$A376))=0,"",G$2))</f>
        <v/>
      </c>
      <c r="H376" s="3" t="str">
        <f>IF($A376="","",IF(countif('Mens Lineup'!H$3:H1000,CONCATENATE("=",$A376))=0,"",H$2))</f>
        <v/>
      </c>
      <c r="I376" s="3" t="str">
        <f>IF($A376="","",IF(countif('Mens Lineup'!I$3:I1000,CONCATENATE("=",$A376))=0,"",I$2))</f>
        <v/>
      </c>
      <c r="J376" s="3" t="str">
        <f>IF($A376="","",IF(countif('Mens Lineup'!J$3:J1000,CONCATENATE("=",$A376))=0,"",J$2))</f>
        <v/>
      </c>
      <c r="K376" s="3" t="str">
        <f>IF($A376="","",IF(countif('Mens Lineup'!K$3:K1000,CONCATENATE("=",$A376))=0,"",K$2))</f>
        <v/>
      </c>
      <c r="L376" s="3" t="str">
        <f>IF($A376="","",IF(countif('Mens Lineup'!L$3:L1000,CONCATENATE("=",$A376))=0,"",L$2))</f>
        <v/>
      </c>
      <c r="M376" s="3" t="str">
        <f>IF($A376="","",IF(countif('Mens Lineup'!M$3:M1000,CONCATENATE("=",$A376))=0,"",M$2))</f>
        <v/>
      </c>
      <c r="N376" s="3" t="str">
        <f>IF($A376="","",IF(countif('Mens Lineup'!N$3:N1000,CONCATENATE("=",$A376))=0,"",N$2))</f>
        <v/>
      </c>
      <c r="O376" s="3" t="str">
        <f>IF($A376="","",IF(countif('Mens Lineup'!O$3:O1000,CONCATENATE("=",$A376))=0,"",O$2))</f>
        <v/>
      </c>
      <c r="P376" s="3" t="str">
        <f>IF($A376="","",IF(countif('Mens Lineup'!P$3:P1000,CONCATENATE("=",$A376))=0,"",P$2))</f>
        <v/>
      </c>
      <c r="Q376" s="3" t="str">
        <f>IF($A376="","",IF(countif('Mens Lineup'!Q$3:Q1000,CONCATENATE("=",$A376))=0,"",Q$2))</f>
        <v/>
      </c>
      <c r="R376" s="3" t="str">
        <f>IF($A376="","",IF(countif('Mens Lineup'!R$3:R1000,CONCATENATE("=",$A376))=0,"",R$2))</f>
        <v/>
      </c>
      <c r="S376" s="3" t="str">
        <f>IF($A376="","",IF(countif('Mens Lineup'!S$3:S1000,CONCATENATE("=",$A376))=0,"",S$2))</f>
        <v/>
      </c>
      <c r="W376" s="3" t="str">
        <f>IFERROR(__xludf.DUMMYFUNCTION("JOIN("","",FILTER(B376:S376,B376:S376&lt;&gt;""""))"),"#N/A")</f>
        <v>#N/A</v>
      </c>
    </row>
    <row r="377">
      <c r="A377" s="3"/>
      <c r="B377" s="3" t="str">
        <f>IF($A377="","",IF(countif('Mens Lineup'!B$3:B1000,CONCATENATE("=",$A377))=0,"",B$2))</f>
        <v/>
      </c>
      <c r="C377" s="3" t="str">
        <f>IF($A377="","",IF(countif('Mens Lineup'!C$3:C1000,CONCATENATE("=",$A377))=0,"",C$2))</f>
        <v/>
      </c>
      <c r="D377" s="3" t="str">
        <f>IF($A377="","",IF(countif('Mens Lineup'!D$3:D1000,CONCATENATE("=",$A377))=0,"",D$2))</f>
        <v/>
      </c>
      <c r="E377" s="3" t="str">
        <f>IF($A377="","",IF(countif('Mens Lineup'!E$3:E1000,CONCATENATE("=",$A377))=0,"",E$2))</f>
        <v/>
      </c>
      <c r="F377" s="3" t="str">
        <f>IF($A377="","",IF(countif('Mens Lineup'!F$3:F1000,CONCATENATE("=",$A377))=0,"",F$2))</f>
        <v/>
      </c>
      <c r="G377" s="3" t="str">
        <f>IF($A377="","",IF(countif('Mens Lineup'!G$3:G1000,CONCATENATE("=",$A377))=0,"",G$2))</f>
        <v/>
      </c>
      <c r="H377" s="3" t="str">
        <f>IF($A377="","",IF(countif('Mens Lineup'!H$3:H1000,CONCATENATE("=",$A377))=0,"",H$2))</f>
        <v/>
      </c>
      <c r="I377" s="3" t="str">
        <f>IF($A377="","",IF(countif('Mens Lineup'!I$3:I1000,CONCATENATE("=",$A377))=0,"",I$2))</f>
        <v/>
      </c>
      <c r="J377" s="3" t="str">
        <f>IF($A377="","",IF(countif('Mens Lineup'!J$3:J1000,CONCATENATE("=",$A377))=0,"",J$2))</f>
        <v/>
      </c>
      <c r="K377" s="3" t="str">
        <f>IF($A377="","",IF(countif('Mens Lineup'!K$3:K1000,CONCATENATE("=",$A377))=0,"",K$2))</f>
        <v/>
      </c>
      <c r="L377" s="3" t="str">
        <f>IF($A377="","",IF(countif('Mens Lineup'!L$3:L1000,CONCATENATE("=",$A377))=0,"",L$2))</f>
        <v/>
      </c>
      <c r="M377" s="3" t="str">
        <f>IF($A377="","",IF(countif('Mens Lineup'!M$3:M1000,CONCATENATE("=",$A377))=0,"",M$2))</f>
        <v/>
      </c>
      <c r="N377" s="3" t="str">
        <f>IF($A377="","",IF(countif('Mens Lineup'!N$3:N1000,CONCATENATE("=",$A377))=0,"",N$2))</f>
        <v/>
      </c>
      <c r="O377" s="3" t="str">
        <f>IF($A377="","",IF(countif('Mens Lineup'!O$3:O1000,CONCATENATE("=",$A377))=0,"",O$2))</f>
        <v/>
      </c>
      <c r="P377" s="3" t="str">
        <f>IF($A377="","",IF(countif('Mens Lineup'!P$3:P1000,CONCATENATE("=",$A377))=0,"",P$2))</f>
        <v/>
      </c>
      <c r="Q377" s="3" t="str">
        <f>IF($A377="","",IF(countif('Mens Lineup'!Q$3:Q1000,CONCATENATE("=",$A377))=0,"",Q$2))</f>
        <v/>
      </c>
      <c r="R377" s="3" t="str">
        <f>IF($A377="","",IF(countif('Mens Lineup'!R$3:R1000,CONCATENATE("=",$A377))=0,"",R$2))</f>
        <v/>
      </c>
      <c r="S377" s="3" t="str">
        <f>IF($A377="","",IF(countif('Mens Lineup'!S$3:S1000,CONCATENATE("=",$A377))=0,"",S$2))</f>
        <v/>
      </c>
      <c r="W377" s="3" t="str">
        <f>IFERROR(__xludf.DUMMYFUNCTION("JOIN("","",FILTER(B377:S377,B377:S377&lt;&gt;""""))"),"#N/A")</f>
        <v>#N/A</v>
      </c>
    </row>
    <row r="378">
      <c r="A378" s="3"/>
      <c r="B378" s="3" t="str">
        <f>IF($A378="","",IF(countif('Mens Lineup'!B$3:B1000,CONCATENATE("=",$A378))=0,"",B$2))</f>
        <v/>
      </c>
      <c r="C378" s="3" t="str">
        <f>IF($A378="","",IF(countif('Mens Lineup'!C$3:C1000,CONCATENATE("=",$A378))=0,"",C$2))</f>
        <v/>
      </c>
      <c r="D378" s="3" t="str">
        <f>IF($A378="","",IF(countif('Mens Lineup'!D$3:D1000,CONCATENATE("=",$A378))=0,"",D$2))</f>
        <v/>
      </c>
      <c r="E378" s="3" t="str">
        <f>IF($A378="","",IF(countif('Mens Lineup'!E$3:E1000,CONCATENATE("=",$A378))=0,"",E$2))</f>
        <v/>
      </c>
      <c r="F378" s="3" t="str">
        <f>IF($A378="","",IF(countif('Mens Lineup'!F$3:F1000,CONCATENATE("=",$A378))=0,"",F$2))</f>
        <v/>
      </c>
      <c r="G378" s="3" t="str">
        <f>IF($A378="","",IF(countif('Mens Lineup'!G$3:G1000,CONCATENATE("=",$A378))=0,"",G$2))</f>
        <v/>
      </c>
      <c r="H378" s="3" t="str">
        <f>IF($A378="","",IF(countif('Mens Lineup'!H$3:H1000,CONCATENATE("=",$A378))=0,"",H$2))</f>
        <v/>
      </c>
      <c r="I378" s="3" t="str">
        <f>IF($A378="","",IF(countif('Mens Lineup'!I$3:I1000,CONCATENATE("=",$A378))=0,"",I$2))</f>
        <v/>
      </c>
      <c r="J378" s="3" t="str">
        <f>IF($A378="","",IF(countif('Mens Lineup'!J$3:J1000,CONCATENATE("=",$A378))=0,"",J$2))</f>
        <v/>
      </c>
      <c r="K378" s="3" t="str">
        <f>IF($A378="","",IF(countif('Mens Lineup'!K$3:K1000,CONCATENATE("=",$A378))=0,"",K$2))</f>
        <v/>
      </c>
      <c r="L378" s="3" t="str">
        <f>IF($A378="","",IF(countif('Mens Lineup'!L$3:L1000,CONCATENATE("=",$A378))=0,"",L$2))</f>
        <v/>
      </c>
      <c r="M378" s="3" t="str">
        <f>IF($A378="","",IF(countif('Mens Lineup'!M$3:M1000,CONCATENATE("=",$A378))=0,"",M$2))</f>
        <v/>
      </c>
      <c r="N378" s="3" t="str">
        <f>IF($A378="","",IF(countif('Mens Lineup'!N$3:N1000,CONCATENATE("=",$A378))=0,"",N$2))</f>
        <v/>
      </c>
      <c r="O378" s="3" t="str">
        <f>IF($A378="","",IF(countif('Mens Lineup'!O$3:O1000,CONCATENATE("=",$A378))=0,"",O$2))</f>
        <v/>
      </c>
      <c r="P378" s="3" t="str">
        <f>IF($A378="","",IF(countif('Mens Lineup'!P$3:P1000,CONCATENATE("=",$A378))=0,"",P$2))</f>
        <v/>
      </c>
      <c r="Q378" s="3" t="str">
        <f>IF($A378="","",IF(countif('Mens Lineup'!Q$3:Q1000,CONCATENATE("=",$A378))=0,"",Q$2))</f>
        <v/>
      </c>
      <c r="R378" s="3" t="str">
        <f>IF($A378="","",IF(countif('Mens Lineup'!R$3:R1000,CONCATENATE("=",$A378))=0,"",R$2))</f>
        <v/>
      </c>
      <c r="S378" s="3" t="str">
        <f>IF($A378="","",IF(countif('Mens Lineup'!S$3:S1000,CONCATENATE("=",$A378))=0,"",S$2))</f>
        <v/>
      </c>
      <c r="W378" s="3" t="str">
        <f>IFERROR(__xludf.DUMMYFUNCTION("JOIN("","",FILTER(B378:S378,B378:S378&lt;&gt;""""))"),"#N/A")</f>
        <v>#N/A</v>
      </c>
    </row>
    <row r="379">
      <c r="A379" s="3"/>
      <c r="B379" s="3" t="str">
        <f>IF($A379="","",IF(countif('Mens Lineup'!B$3:B1000,CONCATENATE("=",$A379))=0,"",B$2))</f>
        <v/>
      </c>
      <c r="C379" s="3" t="str">
        <f>IF($A379="","",IF(countif('Mens Lineup'!C$3:C1000,CONCATENATE("=",$A379))=0,"",C$2))</f>
        <v/>
      </c>
      <c r="D379" s="3" t="str">
        <f>IF($A379="","",IF(countif('Mens Lineup'!D$3:D1000,CONCATENATE("=",$A379))=0,"",D$2))</f>
        <v/>
      </c>
      <c r="E379" s="3" t="str">
        <f>IF($A379="","",IF(countif('Mens Lineup'!E$3:E1000,CONCATENATE("=",$A379))=0,"",E$2))</f>
        <v/>
      </c>
      <c r="F379" s="3" t="str">
        <f>IF($A379="","",IF(countif('Mens Lineup'!F$3:F1000,CONCATENATE("=",$A379))=0,"",F$2))</f>
        <v/>
      </c>
      <c r="G379" s="3" t="str">
        <f>IF($A379="","",IF(countif('Mens Lineup'!G$3:G1000,CONCATENATE("=",$A379))=0,"",G$2))</f>
        <v/>
      </c>
      <c r="H379" s="3" t="str">
        <f>IF($A379="","",IF(countif('Mens Lineup'!H$3:H1000,CONCATENATE("=",$A379))=0,"",H$2))</f>
        <v/>
      </c>
      <c r="I379" s="3" t="str">
        <f>IF($A379="","",IF(countif('Mens Lineup'!I$3:I1000,CONCATENATE("=",$A379))=0,"",I$2))</f>
        <v/>
      </c>
      <c r="J379" s="3" t="str">
        <f>IF($A379="","",IF(countif('Mens Lineup'!J$3:J1000,CONCATENATE("=",$A379))=0,"",J$2))</f>
        <v/>
      </c>
      <c r="K379" s="3" t="str">
        <f>IF($A379="","",IF(countif('Mens Lineup'!K$3:K1000,CONCATENATE("=",$A379))=0,"",K$2))</f>
        <v/>
      </c>
      <c r="L379" s="3" t="str">
        <f>IF($A379="","",IF(countif('Mens Lineup'!L$3:L1000,CONCATENATE("=",$A379))=0,"",L$2))</f>
        <v/>
      </c>
      <c r="M379" s="3" t="str">
        <f>IF($A379="","",IF(countif('Mens Lineup'!M$3:M1000,CONCATENATE("=",$A379))=0,"",M$2))</f>
        <v/>
      </c>
      <c r="N379" s="3" t="str">
        <f>IF($A379="","",IF(countif('Mens Lineup'!N$3:N1000,CONCATENATE("=",$A379))=0,"",N$2))</f>
        <v/>
      </c>
      <c r="O379" s="3" t="str">
        <f>IF($A379="","",IF(countif('Mens Lineup'!O$3:O1000,CONCATENATE("=",$A379))=0,"",O$2))</f>
        <v/>
      </c>
      <c r="P379" s="3" t="str">
        <f>IF($A379="","",IF(countif('Mens Lineup'!P$3:P1000,CONCATENATE("=",$A379))=0,"",P$2))</f>
        <v/>
      </c>
      <c r="Q379" s="3" t="str">
        <f>IF($A379="","",IF(countif('Mens Lineup'!Q$3:Q1000,CONCATENATE("=",$A379))=0,"",Q$2))</f>
        <v/>
      </c>
      <c r="R379" s="3" t="str">
        <f>IF($A379="","",IF(countif('Mens Lineup'!R$3:R1000,CONCATENATE("=",$A379))=0,"",R$2))</f>
        <v/>
      </c>
      <c r="S379" s="3" t="str">
        <f>IF($A379="","",IF(countif('Mens Lineup'!S$3:S1000,CONCATENATE("=",$A379))=0,"",S$2))</f>
        <v/>
      </c>
      <c r="W379" s="3" t="str">
        <f>IFERROR(__xludf.DUMMYFUNCTION("JOIN("","",FILTER(B379:S379,B379:S379&lt;&gt;""""))"),"#N/A")</f>
        <v>#N/A</v>
      </c>
    </row>
    <row r="380">
      <c r="A380" s="3"/>
      <c r="B380" s="3" t="str">
        <f>IF($A380="","",IF(countif('Mens Lineup'!B$3:B1000,CONCATENATE("=",$A380))=0,"",B$2))</f>
        <v/>
      </c>
      <c r="C380" s="3" t="str">
        <f>IF($A380="","",IF(countif('Mens Lineup'!C$3:C1000,CONCATENATE("=",$A380))=0,"",C$2))</f>
        <v/>
      </c>
      <c r="D380" s="3" t="str">
        <f>IF($A380="","",IF(countif('Mens Lineup'!D$3:D1000,CONCATENATE("=",$A380))=0,"",D$2))</f>
        <v/>
      </c>
      <c r="E380" s="3" t="str">
        <f>IF($A380="","",IF(countif('Mens Lineup'!E$3:E1000,CONCATENATE("=",$A380))=0,"",E$2))</f>
        <v/>
      </c>
      <c r="F380" s="3" t="str">
        <f>IF($A380="","",IF(countif('Mens Lineup'!F$3:F1000,CONCATENATE("=",$A380))=0,"",F$2))</f>
        <v/>
      </c>
      <c r="G380" s="3" t="str">
        <f>IF($A380="","",IF(countif('Mens Lineup'!G$3:G1000,CONCATENATE("=",$A380))=0,"",G$2))</f>
        <v/>
      </c>
      <c r="H380" s="3" t="str">
        <f>IF($A380="","",IF(countif('Mens Lineup'!H$3:H1000,CONCATENATE("=",$A380))=0,"",H$2))</f>
        <v/>
      </c>
      <c r="I380" s="3" t="str">
        <f>IF($A380="","",IF(countif('Mens Lineup'!I$3:I1000,CONCATENATE("=",$A380))=0,"",I$2))</f>
        <v/>
      </c>
      <c r="J380" s="3" t="str">
        <f>IF($A380="","",IF(countif('Mens Lineup'!J$3:J1000,CONCATENATE("=",$A380))=0,"",J$2))</f>
        <v/>
      </c>
      <c r="K380" s="3" t="str">
        <f>IF($A380="","",IF(countif('Mens Lineup'!K$3:K1000,CONCATENATE("=",$A380))=0,"",K$2))</f>
        <v/>
      </c>
      <c r="L380" s="3" t="str">
        <f>IF($A380="","",IF(countif('Mens Lineup'!L$3:L1000,CONCATENATE("=",$A380))=0,"",L$2))</f>
        <v/>
      </c>
      <c r="M380" s="3" t="str">
        <f>IF($A380="","",IF(countif('Mens Lineup'!M$3:M1000,CONCATENATE("=",$A380))=0,"",M$2))</f>
        <v/>
      </c>
      <c r="N380" s="3" t="str">
        <f>IF($A380="","",IF(countif('Mens Lineup'!N$3:N1000,CONCATENATE("=",$A380))=0,"",N$2))</f>
        <v/>
      </c>
      <c r="O380" s="3" t="str">
        <f>IF($A380="","",IF(countif('Mens Lineup'!O$3:O1000,CONCATENATE("=",$A380))=0,"",O$2))</f>
        <v/>
      </c>
      <c r="P380" s="3" t="str">
        <f>IF($A380="","",IF(countif('Mens Lineup'!P$3:P1000,CONCATENATE("=",$A380))=0,"",P$2))</f>
        <v/>
      </c>
      <c r="Q380" s="3" t="str">
        <f>IF($A380="","",IF(countif('Mens Lineup'!Q$3:Q1000,CONCATENATE("=",$A380))=0,"",Q$2))</f>
        <v/>
      </c>
      <c r="R380" s="3" t="str">
        <f>IF($A380="","",IF(countif('Mens Lineup'!R$3:R1000,CONCATENATE("=",$A380))=0,"",R$2))</f>
        <v/>
      </c>
      <c r="S380" s="3" t="str">
        <f>IF($A380="","",IF(countif('Mens Lineup'!S$3:S1000,CONCATENATE("=",$A380))=0,"",S$2))</f>
        <v/>
      </c>
      <c r="W380" s="3" t="str">
        <f>IFERROR(__xludf.DUMMYFUNCTION("JOIN("","",FILTER(B380:S380,B380:S380&lt;&gt;""""))"),"#N/A")</f>
        <v>#N/A</v>
      </c>
    </row>
    <row r="381">
      <c r="A381" s="3"/>
      <c r="B381" s="3" t="str">
        <f>IF($A381="","",IF(countif('Mens Lineup'!B$3:B1000,CONCATENATE("=",$A381))=0,"",B$2))</f>
        <v/>
      </c>
      <c r="C381" s="3" t="str">
        <f>IF($A381="","",IF(countif('Mens Lineup'!C$3:C1000,CONCATENATE("=",$A381))=0,"",C$2))</f>
        <v/>
      </c>
      <c r="D381" s="3" t="str">
        <f>IF($A381="","",IF(countif('Mens Lineup'!D$3:D1000,CONCATENATE("=",$A381))=0,"",D$2))</f>
        <v/>
      </c>
      <c r="E381" s="3" t="str">
        <f>IF($A381="","",IF(countif('Mens Lineup'!E$3:E1000,CONCATENATE("=",$A381))=0,"",E$2))</f>
        <v/>
      </c>
      <c r="F381" s="3" t="str">
        <f>IF($A381="","",IF(countif('Mens Lineup'!F$3:F1000,CONCATENATE("=",$A381))=0,"",F$2))</f>
        <v/>
      </c>
      <c r="G381" s="3" t="str">
        <f>IF($A381="","",IF(countif('Mens Lineup'!G$3:G1000,CONCATENATE("=",$A381))=0,"",G$2))</f>
        <v/>
      </c>
      <c r="H381" s="3" t="str">
        <f>IF($A381="","",IF(countif('Mens Lineup'!H$3:H1000,CONCATENATE("=",$A381))=0,"",H$2))</f>
        <v/>
      </c>
      <c r="I381" s="3" t="str">
        <f>IF($A381="","",IF(countif('Mens Lineup'!I$3:I1000,CONCATENATE("=",$A381))=0,"",I$2))</f>
        <v/>
      </c>
      <c r="J381" s="3" t="str">
        <f>IF($A381="","",IF(countif('Mens Lineup'!J$3:J1000,CONCATENATE("=",$A381))=0,"",J$2))</f>
        <v/>
      </c>
      <c r="K381" s="3" t="str">
        <f>IF($A381="","",IF(countif('Mens Lineup'!K$3:K1000,CONCATENATE("=",$A381))=0,"",K$2))</f>
        <v/>
      </c>
      <c r="L381" s="3" t="str">
        <f>IF($A381="","",IF(countif('Mens Lineup'!L$3:L1000,CONCATENATE("=",$A381))=0,"",L$2))</f>
        <v/>
      </c>
      <c r="M381" s="3" t="str">
        <f>IF($A381="","",IF(countif('Mens Lineup'!M$3:M1000,CONCATENATE("=",$A381))=0,"",M$2))</f>
        <v/>
      </c>
      <c r="N381" s="3" t="str">
        <f>IF($A381="","",IF(countif('Mens Lineup'!N$3:N1000,CONCATENATE("=",$A381))=0,"",N$2))</f>
        <v/>
      </c>
      <c r="O381" s="3" t="str">
        <f>IF($A381="","",IF(countif('Mens Lineup'!O$3:O1000,CONCATENATE("=",$A381))=0,"",O$2))</f>
        <v/>
      </c>
      <c r="P381" s="3" t="str">
        <f>IF($A381="","",IF(countif('Mens Lineup'!P$3:P1000,CONCATENATE("=",$A381))=0,"",P$2))</f>
        <v/>
      </c>
      <c r="Q381" s="3" t="str">
        <f>IF($A381="","",IF(countif('Mens Lineup'!Q$3:Q1000,CONCATENATE("=",$A381))=0,"",Q$2))</f>
        <v/>
      </c>
      <c r="R381" s="3" t="str">
        <f>IF($A381="","",IF(countif('Mens Lineup'!R$3:R1000,CONCATENATE("=",$A381))=0,"",R$2))</f>
        <v/>
      </c>
      <c r="S381" s="3" t="str">
        <f>IF($A381="","",IF(countif('Mens Lineup'!S$3:S1000,CONCATENATE("=",$A381))=0,"",S$2))</f>
        <v/>
      </c>
      <c r="W381" s="3" t="str">
        <f>IFERROR(__xludf.DUMMYFUNCTION("JOIN("","",FILTER(B381:S381,B381:S381&lt;&gt;""""))"),"#N/A")</f>
        <v>#N/A</v>
      </c>
    </row>
    <row r="382">
      <c r="A382" s="3"/>
      <c r="B382" s="3" t="str">
        <f>IF($A382="","",IF(countif('Mens Lineup'!B$3:B1000,CONCATENATE("=",$A382))=0,"",B$2))</f>
        <v/>
      </c>
      <c r="C382" s="3" t="str">
        <f>IF($A382="","",IF(countif('Mens Lineup'!C$3:C1000,CONCATENATE("=",$A382))=0,"",C$2))</f>
        <v/>
      </c>
      <c r="D382" s="3" t="str">
        <f>IF($A382="","",IF(countif('Mens Lineup'!D$3:D1000,CONCATENATE("=",$A382))=0,"",D$2))</f>
        <v/>
      </c>
      <c r="E382" s="3" t="str">
        <f>IF($A382="","",IF(countif('Mens Lineup'!E$3:E1000,CONCATENATE("=",$A382))=0,"",E$2))</f>
        <v/>
      </c>
      <c r="F382" s="3" t="str">
        <f>IF($A382="","",IF(countif('Mens Lineup'!F$3:F1000,CONCATENATE("=",$A382))=0,"",F$2))</f>
        <v/>
      </c>
      <c r="G382" s="3" t="str">
        <f>IF($A382="","",IF(countif('Mens Lineup'!G$3:G1000,CONCATENATE("=",$A382))=0,"",G$2))</f>
        <v/>
      </c>
      <c r="H382" s="3" t="str">
        <f>IF($A382="","",IF(countif('Mens Lineup'!H$3:H1000,CONCATENATE("=",$A382))=0,"",H$2))</f>
        <v/>
      </c>
      <c r="I382" s="3" t="str">
        <f>IF($A382="","",IF(countif('Mens Lineup'!I$3:I1000,CONCATENATE("=",$A382))=0,"",I$2))</f>
        <v/>
      </c>
      <c r="J382" s="3" t="str">
        <f>IF($A382="","",IF(countif('Mens Lineup'!J$3:J1000,CONCATENATE("=",$A382))=0,"",J$2))</f>
        <v/>
      </c>
      <c r="K382" s="3" t="str">
        <f>IF($A382="","",IF(countif('Mens Lineup'!K$3:K1000,CONCATENATE("=",$A382))=0,"",K$2))</f>
        <v/>
      </c>
      <c r="L382" s="3" t="str">
        <f>IF($A382="","",IF(countif('Mens Lineup'!L$3:L1000,CONCATENATE("=",$A382))=0,"",L$2))</f>
        <v/>
      </c>
      <c r="M382" s="3" t="str">
        <f>IF($A382="","",IF(countif('Mens Lineup'!M$3:M1000,CONCATENATE("=",$A382))=0,"",M$2))</f>
        <v/>
      </c>
      <c r="N382" s="3" t="str">
        <f>IF($A382="","",IF(countif('Mens Lineup'!N$3:N1000,CONCATENATE("=",$A382))=0,"",N$2))</f>
        <v/>
      </c>
      <c r="O382" s="3" t="str">
        <f>IF($A382="","",IF(countif('Mens Lineup'!O$3:O1000,CONCATENATE("=",$A382))=0,"",O$2))</f>
        <v/>
      </c>
      <c r="P382" s="3" t="str">
        <f>IF($A382="","",IF(countif('Mens Lineup'!P$3:P1000,CONCATENATE("=",$A382))=0,"",P$2))</f>
        <v/>
      </c>
      <c r="Q382" s="3" t="str">
        <f>IF($A382="","",IF(countif('Mens Lineup'!Q$3:Q1000,CONCATENATE("=",$A382))=0,"",Q$2))</f>
        <v/>
      </c>
      <c r="R382" s="3" t="str">
        <f>IF($A382="","",IF(countif('Mens Lineup'!R$3:R1000,CONCATENATE("=",$A382))=0,"",R$2))</f>
        <v/>
      </c>
      <c r="S382" s="3" t="str">
        <f>IF($A382="","",IF(countif('Mens Lineup'!S$3:S1000,CONCATENATE("=",$A382))=0,"",S$2))</f>
        <v/>
      </c>
      <c r="W382" s="3" t="str">
        <f>IFERROR(__xludf.DUMMYFUNCTION("JOIN("","",FILTER(B382:S382,B382:S382&lt;&gt;""""))"),"#N/A")</f>
        <v>#N/A</v>
      </c>
    </row>
    <row r="383">
      <c r="A383" s="3"/>
      <c r="B383" s="3" t="str">
        <f>IF($A383="","",IF(countif('Mens Lineup'!B$3:B1000,CONCATENATE("=",$A383))=0,"",B$2))</f>
        <v/>
      </c>
      <c r="C383" s="3" t="str">
        <f>IF($A383="","",IF(countif('Mens Lineup'!C$3:C1000,CONCATENATE("=",$A383))=0,"",C$2))</f>
        <v/>
      </c>
      <c r="D383" s="3" t="str">
        <f>IF($A383="","",IF(countif('Mens Lineup'!D$3:D1000,CONCATENATE("=",$A383))=0,"",D$2))</f>
        <v/>
      </c>
      <c r="E383" s="3" t="str">
        <f>IF($A383="","",IF(countif('Mens Lineup'!E$3:E1000,CONCATENATE("=",$A383))=0,"",E$2))</f>
        <v/>
      </c>
      <c r="F383" s="3" t="str">
        <f>IF($A383="","",IF(countif('Mens Lineup'!F$3:F1000,CONCATENATE("=",$A383))=0,"",F$2))</f>
        <v/>
      </c>
      <c r="G383" s="3" t="str">
        <f>IF($A383="","",IF(countif('Mens Lineup'!G$3:G1000,CONCATENATE("=",$A383))=0,"",G$2))</f>
        <v/>
      </c>
      <c r="H383" s="3" t="str">
        <f>IF($A383="","",IF(countif('Mens Lineup'!H$3:H1000,CONCATENATE("=",$A383))=0,"",H$2))</f>
        <v/>
      </c>
      <c r="I383" s="3" t="str">
        <f>IF($A383="","",IF(countif('Mens Lineup'!I$3:I1000,CONCATENATE("=",$A383))=0,"",I$2))</f>
        <v/>
      </c>
      <c r="J383" s="3" t="str">
        <f>IF($A383="","",IF(countif('Mens Lineup'!J$3:J1000,CONCATENATE("=",$A383))=0,"",J$2))</f>
        <v/>
      </c>
      <c r="K383" s="3" t="str">
        <f>IF($A383="","",IF(countif('Mens Lineup'!K$3:K1000,CONCATENATE("=",$A383))=0,"",K$2))</f>
        <v/>
      </c>
      <c r="L383" s="3" t="str">
        <f>IF($A383="","",IF(countif('Mens Lineup'!L$3:L1000,CONCATENATE("=",$A383))=0,"",L$2))</f>
        <v/>
      </c>
      <c r="M383" s="3" t="str">
        <f>IF($A383="","",IF(countif('Mens Lineup'!M$3:M1000,CONCATENATE("=",$A383))=0,"",M$2))</f>
        <v/>
      </c>
      <c r="N383" s="3" t="str">
        <f>IF($A383="","",IF(countif('Mens Lineup'!N$3:N1000,CONCATENATE("=",$A383))=0,"",N$2))</f>
        <v/>
      </c>
      <c r="O383" s="3" t="str">
        <f>IF($A383="","",IF(countif('Mens Lineup'!O$3:O1000,CONCATENATE("=",$A383))=0,"",O$2))</f>
        <v/>
      </c>
      <c r="P383" s="3" t="str">
        <f>IF($A383="","",IF(countif('Mens Lineup'!P$3:P1000,CONCATENATE("=",$A383))=0,"",P$2))</f>
        <v/>
      </c>
      <c r="Q383" s="3" t="str">
        <f>IF($A383="","",IF(countif('Mens Lineup'!Q$3:Q1000,CONCATENATE("=",$A383))=0,"",Q$2))</f>
        <v/>
      </c>
      <c r="R383" s="3" t="str">
        <f>IF($A383="","",IF(countif('Mens Lineup'!R$3:R1000,CONCATENATE("=",$A383))=0,"",R$2))</f>
        <v/>
      </c>
      <c r="S383" s="3" t="str">
        <f>IF($A383="","",IF(countif('Mens Lineup'!S$3:S1000,CONCATENATE("=",$A383))=0,"",S$2))</f>
        <v/>
      </c>
      <c r="W383" s="3" t="str">
        <f>IFERROR(__xludf.DUMMYFUNCTION("JOIN("","",FILTER(B383:S383,B383:S383&lt;&gt;""""))"),"#N/A")</f>
        <v>#N/A</v>
      </c>
    </row>
    <row r="384">
      <c r="A384" s="3"/>
      <c r="B384" s="3" t="str">
        <f>IF($A384="","",IF(countif('Mens Lineup'!B$3:B1000,CONCATENATE("=",$A384))=0,"",B$2))</f>
        <v/>
      </c>
      <c r="C384" s="3" t="str">
        <f>IF($A384="","",IF(countif('Mens Lineup'!C$3:C1000,CONCATENATE("=",$A384))=0,"",C$2))</f>
        <v/>
      </c>
      <c r="D384" s="3" t="str">
        <f>IF($A384="","",IF(countif('Mens Lineup'!D$3:D1000,CONCATENATE("=",$A384))=0,"",D$2))</f>
        <v/>
      </c>
      <c r="E384" s="3" t="str">
        <f>IF($A384="","",IF(countif('Mens Lineup'!E$3:E1000,CONCATENATE("=",$A384))=0,"",E$2))</f>
        <v/>
      </c>
      <c r="F384" s="3" t="str">
        <f>IF($A384="","",IF(countif('Mens Lineup'!F$3:F1000,CONCATENATE("=",$A384))=0,"",F$2))</f>
        <v/>
      </c>
      <c r="G384" s="3" t="str">
        <f>IF($A384="","",IF(countif('Mens Lineup'!G$3:G1000,CONCATENATE("=",$A384))=0,"",G$2))</f>
        <v/>
      </c>
      <c r="H384" s="3" t="str">
        <f>IF($A384="","",IF(countif('Mens Lineup'!H$3:H1000,CONCATENATE("=",$A384))=0,"",H$2))</f>
        <v/>
      </c>
      <c r="I384" s="3" t="str">
        <f>IF($A384="","",IF(countif('Mens Lineup'!I$3:I1000,CONCATENATE("=",$A384))=0,"",I$2))</f>
        <v/>
      </c>
      <c r="J384" s="3" t="str">
        <f>IF($A384="","",IF(countif('Mens Lineup'!J$3:J1000,CONCATENATE("=",$A384))=0,"",J$2))</f>
        <v/>
      </c>
      <c r="K384" s="3" t="str">
        <f>IF($A384="","",IF(countif('Mens Lineup'!K$3:K1000,CONCATENATE("=",$A384))=0,"",K$2))</f>
        <v/>
      </c>
      <c r="L384" s="3" t="str">
        <f>IF($A384="","",IF(countif('Mens Lineup'!L$3:L1000,CONCATENATE("=",$A384))=0,"",L$2))</f>
        <v/>
      </c>
      <c r="M384" s="3" t="str">
        <f>IF($A384="","",IF(countif('Mens Lineup'!M$3:M1000,CONCATENATE("=",$A384))=0,"",M$2))</f>
        <v/>
      </c>
      <c r="N384" s="3" t="str">
        <f>IF($A384="","",IF(countif('Mens Lineup'!N$3:N1000,CONCATENATE("=",$A384))=0,"",N$2))</f>
        <v/>
      </c>
      <c r="O384" s="3" t="str">
        <f>IF($A384="","",IF(countif('Mens Lineup'!O$3:O1000,CONCATENATE("=",$A384))=0,"",O$2))</f>
        <v/>
      </c>
      <c r="P384" s="3" t="str">
        <f>IF($A384="","",IF(countif('Mens Lineup'!P$3:P1000,CONCATENATE("=",$A384))=0,"",P$2))</f>
        <v/>
      </c>
      <c r="Q384" s="3" t="str">
        <f>IF($A384="","",IF(countif('Mens Lineup'!Q$3:Q1000,CONCATENATE("=",$A384))=0,"",Q$2))</f>
        <v/>
      </c>
      <c r="R384" s="3" t="str">
        <f>IF($A384="","",IF(countif('Mens Lineup'!R$3:R1000,CONCATENATE("=",$A384))=0,"",R$2))</f>
        <v/>
      </c>
      <c r="S384" s="3" t="str">
        <f>IF($A384="","",IF(countif('Mens Lineup'!S$3:S1000,CONCATENATE("=",$A384))=0,"",S$2))</f>
        <v/>
      </c>
      <c r="W384" s="3" t="str">
        <f>IFERROR(__xludf.DUMMYFUNCTION("JOIN("","",FILTER(B384:S384,B384:S384&lt;&gt;""""))"),"#N/A")</f>
        <v>#N/A</v>
      </c>
    </row>
    <row r="385">
      <c r="A385" s="3"/>
      <c r="B385" s="3" t="str">
        <f>IF($A385="","",IF(countif('Mens Lineup'!B$3:B1000,CONCATENATE("=",$A385))=0,"",B$2))</f>
        <v/>
      </c>
      <c r="C385" s="3" t="str">
        <f>IF($A385="","",IF(countif('Mens Lineup'!C$3:C1000,CONCATENATE("=",$A385))=0,"",C$2))</f>
        <v/>
      </c>
      <c r="D385" s="3" t="str">
        <f>IF($A385="","",IF(countif('Mens Lineup'!D$3:D1000,CONCATENATE("=",$A385))=0,"",D$2))</f>
        <v/>
      </c>
      <c r="E385" s="3" t="str">
        <f>IF($A385="","",IF(countif('Mens Lineup'!E$3:E1000,CONCATENATE("=",$A385))=0,"",E$2))</f>
        <v/>
      </c>
      <c r="F385" s="3" t="str">
        <f>IF($A385="","",IF(countif('Mens Lineup'!F$3:F1000,CONCATENATE("=",$A385))=0,"",F$2))</f>
        <v/>
      </c>
      <c r="G385" s="3" t="str">
        <f>IF($A385="","",IF(countif('Mens Lineup'!G$3:G1000,CONCATENATE("=",$A385))=0,"",G$2))</f>
        <v/>
      </c>
      <c r="H385" s="3" t="str">
        <f>IF($A385="","",IF(countif('Mens Lineup'!H$3:H1000,CONCATENATE("=",$A385))=0,"",H$2))</f>
        <v/>
      </c>
      <c r="I385" s="3" t="str">
        <f>IF($A385="","",IF(countif('Mens Lineup'!I$3:I1000,CONCATENATE("=",$A385))=0,"",I$2))</f>
        <v/>
      </c>
      <c r="J385" s="3" t="str">
        <f>IF($A385="","",IF(countif('Mens Lineup'!J$3:J1000,CONCATENATE("=",$A385))=0,"",J$2))</f>
        <v/>
      </c>
      <c r="K385" s="3" t="str">
        <f>IF($A385="","",IF(countif('Mens Lineup'!K$3:K1000,CONCATENATE("=",$A385))=0,"",K$2))</f>
        <v/>
      </c>
      <c r="L385" s="3" t="str">
        <f>IF($A385="","",IF(countif('Mens Lineup'!L$3:L1000,CONCATENATE("=",$A385))=0,"",L$2))</f>
        <v/>
      </c>
      <c r="M385" s="3" t="str">
        <f>IF($A385="","",IF(countif('Mens Lineup'!M$3:M1000,CONCATENATE("=",$A385))=0,"",M$2))</f>
        <v/>
      </c>
      <c r="N385" s="3" t="str">
        <f>IF($A385="","",IF(countif('Mens Lineup'!N$3:N1000,CONCATENATE("=",$A385))=0,"",N$2))</f>
        <v/>
      </c>
      <c r="O385" s="3" t="str">
        <f>IF($A385="","",IF(countif('Mens Lineup'!O$3:O1000,CONCATENATE("=",$A385))=0,"",O$2))</f>
        <v/>
      </c>
      <c r="P385" s="3" t="str">
        <f>IF($A385="","",IF(countif('Mens Lineup'!P$3:P1000,CONCATENATE("=",$A385))=0,"",P$2))</f>
        <v/>
      </c>
      <c r="Q385" s="3" t="str">
        <f>IF($A385="","",IF(countif('Mens Lineup'!Q$3:Q1000,CONCATENATE("=",$A385))=0,"",Q$2))</f>
        <v/>
      </c>
      <c r="R385" s="3" t="str">
        <f>IF($A385="","",IF(countif('Mens Lineup'!R$3:R1000,CONCATENATE("=",$A385))=0,"",R$2))</f>
        <v/>
      </c>
      <c r="S385" s="3" t="str">
        <f>IF($A385="","",IF(countif('Mens Lineup'!S$3:S1000,CONCATENATE("=",$A385))=0,"",S$2))</f>
        <v/>
      </c>
      <c r="W385" s="3" t="str">
        <f>IFERROR(__xludf.DUMMYFUNCTION("JOIN("","",FILTER(B385:S385,B385:S385&lt;&gt;""""))"),"#N/A")</f>
        <v>#N/A</v>
      </c>
    </row>
    <row r="386">
      <c r="A386" s="3"/>
      <c r="B386" s="3" t="str">
        <f>IF($A386="","",IF(countif('Mens Lineup'!B$3:B1000,CONCATENATE("=",$A386))=0,"",B$2))</f>
        <v/>
      </c>
      <c r="C386" s="3" t="str">
        <f>IF($A386="","",IF(countif('Mens Lineup'!C$3:C1000,CONCATENATE("=",$A386))=0,"",C$2))</f>
        <v/>
      </c>
      <c r="D386" s="3" t="str">
        <f>IF($A386="","",IF(countif('Mens Lineup'!D$3:D1000,CONCATENATE("=",$A386))=0,"",D$2))</f>
        <v/>
      </c>
      <c r="E386" s="3" t="str">
        <f>IF($A386="","",IF(countif('Mens Lineup'!E$3:E1000,CONCATENATE("=",$A386))=0,"",E$2))</f>
        <v/>
      </c>
      <c r="F386" s="3" t="str">
        <f>IF($A386="","",IF(countif('Mens Lineup'!F$3:F1000,CONCATENATE("=",$A386))=0,"",F$2))</f>
        <v/>
      </c>
      <c r="G386" s="3" t="str">
        <f>IF($A386="","",IF(countif('Mens Lineup'!G$3:G1000,CONCATENATE("=",$A386))=0,"",G$2))</f>
        <v/>
      </c>
      <c r="H386" s="3" t="str">
        <f>IF($A386="","",IF(countif('Mens Lineup'!H$3:H1000,CONCATENATE("=",$A386))=0,"",H$2))</f>
        <v/>
      </c>
      <c r="I386" s="3" t="str">
        <f>IF($A386="","",IF(countif('Mens Lineup'!I$3:I1000,CONCATENATE("=",$A386))=0,"",I$2))</f>
        <v/>
      </c>
      <c r="J386" s="3" t="str">
        <f>IF($A386="","",IF(countif('Mens Lineup'!J$3:J1000,CONCATENATE("=",$A386))=0,"",J$2))</f>
        <v/>
      </c>
      <c r="K386" s="3" t="str">
        <f>IF($A386="","",IF(countif('Mens Lineup'!K$3:K1000,CONCATENATE("=",$A386))=0,"",K$2))</f>
        <v/>
      </c>
      <c r="L386" s="3" t="str">
        <f>IF($A386="","",IF(countif('Mens Lineup'!L$3:L1000,CONCATENATE("=",$A386))=0,"",L$2))</f>
        <v/>
      </c>
      <c r="M386" s="3" t="str">
        <f>IF($A386="","",IF(countif('Mens Lineup'!M$3:M1000,CONCATENATE("=",$A386))=0,"",M$2))</f>
        <v/>
      </c>
      <c r="N386" s="3" t="str">
        <f>IF($A386="","",IF(countif('Mens Lineup'!N$3:N1000,CONCATENATE("=",$A386))=0,"",N$2))</f>
        <v/>
      </c>
      <c r="O386" s="3" t="str">
        <f>IF($A386="","",IF(countif('Mens Lineup'!O$3:O1000,CONCATENATE("=",$A386))=0,"",O$2))</f>
        <v/>
      </c>
      <c r="P386" s="3" t="str">
        <f>IF($A386="","",IF(countif('Mens Lineup'!P$3:P1000,CONCATENATE("=",$A386))=0,"",P$2))</f>
        <v/>
      </c>
      <c r="Q386" s="3" t="str">
        <f>IF($A386="","",IF(countif('Mens Lineup'!Q$3:Q1000,CONCATENATE("=",$A386))=0,"",Q$2))</f>
        <v/>
      </c>
      <c r="R386" s="3" t="str">
        <f>IF($A386="","",IF(countif('Mens Lineup'!R$3:R1000,CONCATENATE("=",$A386))=0,"",R$2))</f>
        <v/>
      </c>
      <c r="S386" s="3" t="str">
        <f>IF($A386="","",IF(countif('Mens Lineup'!S$3:S1000,CONCATENATE("=",$A386))=0,"",S$2))</f>
        <v/>
      </c>
      <c r="W386" s="3" t="str">
        <f>IFERROR(__xludf.DUMMYFUNCTION("JOIN("","",FILTER(B386:S386,B386:S386&lt;&gt;""""))"),"#N/A")</f>
        <v>#N/A</v>
      </c>
    </row>
    <row r="387">
      <c r="A387" s="3"/>
      <c r="B387" s="3" t="str">
        <f>IF($A387="","",IF(countif('Mens Lineup'!B$3:B1000,CONCATENATE("=",$A387))=0,"",B$2))</f>
        <v/>
      </c>
      <c r="C387" s="3" t="str">
        <f>IF($A387="","",IF(countif('Mens Lineup'!C$3:C1000,CONCATENATE("=",$A387))=0,"",C$2))</f>
        <v/>
      </c>
      <c r="D387" s="3" t="str">
        <f>IF($A387="","",IF(countif('Mens Lineup'!D$3:D1000,CONCATENATE("=",$A387))=0,"",D$2))</f>
        <v/>
      </c>
      <c r="E387" s="3" t="str">
        <f>IF($A387="","",IF(countif('Mens Lineup'!E$3:E1000,CONCATENATE("=",$A387))=0,"",E$2))</f>
        <v/>
      </c>
      <c r="F387" s="3" t="str">
        <f>IF($A387="","",IF(countif('Mens Lineup'!F$3:F1000,CONCATENATE("=",$A387))=0,"",F$2))</f>
        <v/>
      </c>
      <c r="G387" s="3" t="str">
        <f>IF($A387="","",IF(countif('Mens Lineup'!G$3:G1000,CONCATENATE("=",$A387))=0,"",G$2))</f>
        <v/>
      </c>
      <c r="H387" s="3" t="str">
        <f>IF($A387="","",IF(countif('Mens Lineup'!H$3:H1000,CONCATENATE("=",$A387))=0,"",H$2))</f>
        <v/>
      </c>
      <c r="I387" s="3" t="str">
        <f>IF($A387="","",IF(countif('Mens Lineup'!I$3:I1000,CONCATENATE("=",$A387))=0,"",I$2))</f>
        <v/>
      </c>
      <c r="J387" s="3" t="str">
        <f>IF($A387="","",IF(countif('Mens Lineup'!J$3:J1000,CONCATENATE("=",$A387))=0,"",J$2))</f>
        <v/>
      </c>
      <c r="K387" s="3" t="str">
        <f>IF($A387="","",IF(countif('Mens Lineup'!K$3:K1000,CONCATENATE("=",$A387))=0,"",K$2))</f>
        <v/>
      </c>
      <c r="L387" s="3" t="str">
        <f>IF($A387="","",IF(countif('Mens Lineup'!L$3:L1000,CONCATENATE("=",$A387))=0,"",L$2))</f>
        <v/>
      </c>
      <c r="M387" s="3" t="str">
        <f>IF($A387="","",IF(countif('Mens Lineup'!M$3:M1000,CONCATENATE("=",$A387))=0,"",M$2))</f>
        <v/>
      </c>
      <c r="N387" s="3" t="str">
        <f>IF($A387="","",IF(countif('Mens Lineup'!N$3:N1000,CONCATENATE("=",$A387))=0,"",N$2))</f>
        <v/>
      </c>
      <c r="O387" s="3" t="str">
        <f>IF($A387="","",IF(countif('Mens Lineup'!O$3:O1000,CONCATENATE("=",$A387))=0,"",O$2))</f>
        <v/>
      </c>
      <c r="P387" s="3" t="str">
        <f>IF($A387="","",IF(countif('Mens Lineup'!P$3:P1000,CONCATENATE("=",$A387))=0,"",P$2))</f>
        <v/>
      </c>
      <c r="Q387" s="3" t="str">
        <f>IF($A387="","",IF(countif('Mens Lineup'!Q$3:Q1000,CONCATENATE("=",$A387))=0,"",Q$2))</f>
        <v/>
      </c>
      <c r="R387" s="3" t="str">
        <f>IF($A387="","",IF(countif('Mens Lineup'!R$3:R1000,CONCATENATE("=",$A387))=0,"",R$2))</f>
        <v/>
      </c>
      <c r="S387" s="3" t="str">
        <f>IF($A387="","",IF(countif('Mens Lineup'!S$3:S1000,CONCATENATE("=",$A387))=0,"",S$2))</f>
        <v/>
      </c>
      <c r="W387" s="3" t="str">
        <f>IFERROR(__xludf.DUMMYFUNCTION("JOIN("","",FILTER(B387:S387,B387:S387&lt;&gt;""""))"),"#N/A")</f>
        <v>#N/A</v>
      </c>
    </row>
    <row r="388">
      <c r="A388" s="3"/>
      <c r="B388" s="3" t="str">
        <f>IF($A388="","",IF(countif('Mens Lineup'!B$3:B1000,CONCATENATE("=",$A388))=0,"",B$2))</f>
        <v/>
      </c>
      <c r="C388" s="3" t="str">
        <f>IF($A388="","",IF(countif('Mens Lineup'!C$3:C1000,CONCATENATE("=",$A388))=0,"",C$2))</f>
        <v/>
      </c>
      <c r="D388" s="3" t="str">
        <f>IF($A388="","",IF(countif('Mens Lineup'!D$3:D1000,CONCATENATE("=",$A388))=0,"",D$2))</f>
        <v/>
      </c>
      <c r="E388" s="3" t="str">
        <f>IF($A388="","",IF(countif('Mens Lineup'!E$3:E1000,CONCATENATE("=",$A388))=0,"",E$2))</f>
        <v/>
      </c>
      <c r="F388" s="3" t="str">
        <f>IF($A388="","",IF(countif('Mens Lineup'!F$3:F1000,CONCATENATE("=",$A388))=0,"",F$2))</f>
        <v/>
      </c>
      <c r="G388" s="3" t="str">
        <f>IF($A388="","",IF(countif('Mens Lineup'!G$3:G1000,CONCATENATE("=",$A388))=0,"",G$2))</f>
        <v/>
      </c>
      <c r="H388" s="3" t="str">
        <f>IF($A388="","",IF(countif('Mens Lineup'!H$3:H1000,CONCATENATE("=",$A388))=0,"",H$2))</f>
        <v/>
      </c>
      <c r="I388" s="3" t="str">
        <f>IF($A388="","",IF(countif('Mens Lineup'!I$3:I1000,CONCATENATE("=",$A388))=0,"",I$2))</f>
        <v/>
      </c>
      <c r="J388" s="3" t="str">
        <f>IF($A388="","",IF(countif('Mens Lineup'!J$3:J1000,CONCATENATE("=",$A388))=0,"",J$2))</f>
        <v/>
      </c>
      <c r="K388" s="3" t="str">
        <f>IF($A388="","",IF(countif('Mens Lineup'!K$3:K1000,CONCATENATE("=",$A388))=0,"",K$2))</f>
        <v/>
      </c>
      <c r="L388" s="3" t="str">
        <f>IF($A388="","",IF(countif('Mens Lineup'!L$3:L1000,CONCATENATE("=",$A388))=0,"",L$2))</f>
        <v/>
      </c>
      <c r="M388" s="3" t="str">
        <f>IF($A388="","",IF(countif('Mens Lineup'!M$3:M1000,CONCATENATE("=",$A388))=0,"",M$2))</f>
        <v/>
      </c>
      <c r="N388" s="3" t="str">
        <f>IF($A388="","",IF(countif('Mens Lineup'!N$3:N1000,CONCATENATE("=",$A388))=0,"",N$2))</f>
        <v/>
      </c>
      <c r="O388" s="3" t="str">
        <f>IF($A388="","",IF(countif('Mens Lineup'!O$3:O1000,CONCATENATE("=",$A388))=0,"",O$2))</f>
        <v/>
      </c>
      <c r="P388" s="3" t="str">
        <f>IF($A388="","",IF(countif('Mens Lineup'!P$3:P1000,CONCATENATE("=",$A388))=0,"",P$2))</f>
        <v/>
      </c>
      <c r="Q388" s="3" t="str">
        <f>IF($A388="","",IF(countif('Mens Lineup'!Q$3:Q1000,CONCATENATE("=",$A388))=0,"",Q$2))</f>
        <v/>
      </c>
      <c r="R388" s="3" t="str">
        <f>IF($A388="","",IF(countif('Mens Lineup'!R$3:R1000,CONCATENATE("=",$A388))=0,"",R$2))</f>
        <v/>
      </c>
      <c r="S388" s="3" t="str">
        <f>IF($A388="","",IF(countif('Mens Lineup'!S$3:S1000,CONCATENATE("=",$A388))=0,"",S$2))</f>
        <v/>
      </c>
      <c r="W388" s="3" t="str">
        <f>IFERROR(__xludf.DUMMYFUNCTION("JOIN("","",FILTER(B388:S388,B388:S388&lt;&gt;""""))"),"#N/A")</f>
        <v>#N/A</v>
      </c>
    </row>
    <row r="389">
      <c r="A389" s="3"/>
      <c r="B389" s="3" t="str">
        <f>IF($A389="","",IF(countif('Mens Lineup'!B$3:B1000,CONCATENATE("=",$A389))=0,"",B$2))</f>
        <v/>
      </c>
      <c r="C389" s="3" t="str">
        <f>IF($A389="","",IF(countif('Mens Lineup'!C$3:C1000,CONCATENATE("=",$A389))=0,"",C$2))</f>
        <v/>
      </c>
      <c r="D389" s="3" t="str">
        <f>IF($A389="","",IF(countif('Mens Lineup'!D$3:D1000,CONCATENATE("=",$A389))=0,"",D$2))</f>
        <v/>
      </c>
      <c r="E389" s="3" t="str">
        <f>IF($A389="","",IF(countif('Mens Lineup'!E$3:E1000,CONCATENATE("=",$A389))=0,"",E$2))</f>
        <v/>
      </c>
      <c r="F389" s="3" t="str">
        <f>IF($A389="","",IF(countif('Mens Lineup'!F$3:F1000,CONCATENATE("=",$A389))=0,"",F$2))</f>
        <v/>
      </c>
      <c r="G389" s="3" t="str">
        <f>IF($A389="","",IF(countif('Mens Lineup'!G$3:G1000,CONCATENATE("=",$A389))=0,"",G$2))</f>
        <v/>
      </c>
      <c r="H389" s="3" t="str">
        <f>IF($A389="","",IF(countif('Mens Lineup'!H$3:H1000,CONCATENATE("=",$A389))=0,"",H$2))</f>
        <v/>
      </c>
      <c r="I389" s="3" t="str">
        <f>IF($A389="","",IF(countif('Mens Lineup'!I$3:I1000,CONCATENATE("=",$A389))=0,"",I$2))</f>
        <v/>
      </c>
      <c r="J389" s="3" t="str">
        <f>IF($A389="","",IF(countif('Mens Lineup'!J$3:J1000,CONCATENATE("=",$A389))=0,"",J$2))</f>
        <v/>
      </c>
      <c r="K389" s="3" t="str">
        <f>IF($A389="","",IF(countif('Mens Lineup'!K$3:K1000,CONCATENATE("=",$A389))=0,"",K$2))</f>
        <v/>
      </c>
      <c r="L389" s="3" t="str">
        <f>IF($A389="","",IF(countif('Mens Lineup'!L$3:L1000,CONCATENATE("=",$A389))=0,"",L$2))</f>
        <v/>
      </c>
      <c r="M389" s="3" t="str">
        <f>IF($A389="","",IF(countif('Mens Lineup'!M$3:M1000,CONCATENATE("=",$A389))=0,"",M$2))</f>
        <v/>
      </c>
      <c r="N389" s="3" t="str">
        <f>IF($A389="","",IF(countif('Mens Lineup'!N$3:N1000,CONCATENATE("=",$A389))=0,"",N$2))</f>
        <v/>
      </c>
      <c r="O389" s="3" t="str">
        <f>IF($A389="","",IF(countif('Mens Lineup'!O$3:O1000,CONCATENATE("=",$A389))=0,"",O$2))</f>
        <v/>
      </c>
      <c r="P389" s="3" t="str">
        <f>IF($A389="","",IF(countif('Mens Lineup'!P$3:P1000,CONCATENATE("=",$A389))=0,"",P$2))</f>
        <v/>
      </c>
      <c r="Q389" s="3" t="str">
        <f>IF($A389="","",IF(countif('Mens Lineup'!Q$3:Q1000,CONCATENATE("=",$A389))=0,"",Q$2))</f>
        <v/>
      </c>
      <c r="R389" s="3" t="str">
        <f>IF($A389="","",IF(countif('Mens Lineup'!R$3:R1000,CONCATENATE("=",$A389))=0,"",R$2))</f>
        <v/>
      </c>
      <c r="S389" s="3" t="str">
        <f>IF($A389="","",IF(countif('Mens Lineup'!S$3:S1000,CONCATENATE("=",$A389))=0,"",S$2))</f>
        <v/>
      </c>
      <c r="W389" s="3" t="str">
        <f>IFERROR(__xludf.DUMMYFUNCTION("JOIN("","",FILTER(B389:S389,B389:S389&lt;&gt;""""))"),"#N/A")</f>
        <v>#N/A</v>
      </c>
    </row>
    <row r="390">
      <c r="A390" s="3"/>
      <c r="B390" s="3" t="str">
        <f>IF($A390="","",IF(countif('Mens Lineup'!B$3:B1000,CONCATENATE("=",$A390))=0,"",B$2))</f>
        <v/>
      </c>
      <c r="C390" s="3" t="str">
        <f>IF($A390="","",IF(countif('Mens Lineup'!C$3:C1000,CONCATENATE("=",$A390))=0,"",C$2))</f>
        <v/>
      </c>
      <c r="D390" s="3" t="str">
        <f>IF($A390="","",IF(countif('Mens Lineup'!D$3:D1000,CONCATENATE("=",$A390))=0,"",D$2))</f>
        <v/>
      </c>
      <c r="E390" s="3" t="str">
        <f>IF($A390="","",IF(countif('Mens Lineup'!E$3:E1000,CONCATENATE("=",$A390))=0,"",E$2))</f>
        <v/>
      </c>
      <c r="F390" s="3" t="str">
        <f>IF($A390="","",IF(countif('Mens Lineup'!F$3:F1000,CONCATENATE("=",$A390))=0,"",F$2))</f>
        <v/>
      </c>
      <c r="G390" s="3" t="str">
        <f>IF($A390="","",IF(countif('Mens Lineup'!G$3:G1000,CONCATENATE("=",$A390))=0,"",G$2))</f>
        <v/>
      </c>
      <c r="H390" s="3" t="str">
        <f>IF($A390="","",IF(countif('Mens Lineup'!H$3:H1000,CONCATENATE("=",$A390))=0,"",H$2))</f>
        <v/>
      </c>
      <c r="I390" s="3" t="str">
        <f>IF($A390="","",IF(countif('Mens Lineup'!I$3:I1000,CONCATENATE("=",$A390))=0,"",I$2))</f>
        <v/>
      </c>
      <c r="J390" s="3" t="str">
        <f>IF($A390="","",IF(countif('Mens Lineup'!J$3:J1000,CONCATENATE("=",$A390))=0,"",J$2))</f>
        <v/>
      </c>
      <c r="K390" s="3" t="str">
        <f>IF($A390="","",IF(countif('Mens Lineup'!K$3:K1000,CONCATENATE("=",$A390))=0,"",K$2))</f>
        <v/>
      </c>
      <c r="L390" s="3" t="str">
        <f>IF($A390="","",IF(countif('Mens Lineup'!L$3:L1000,CONCATENATE("=",$A390))=0,"",L$2))</f>
        <v/>
      </c>
      <c r="M390" s="3" t="str">
        <f>IF($A390="","",IF(countif('Mens Lineup'!M$3:M1000,CONCATENATE("=",$A390))=0,"",M$2))</f>
        <v/>
      </c>
      <c r="N390" s="3" t="str">
        <f>IF($A390="","",IF(countif('Mens Lineup'!N$3:N1000,CONCATENATE("=",$A390))=0,"",N$2))</f>
        <v/>
      </c>
      <c r="O390" s="3" t="str">
        <f>IF($A390="","",IF(countif('Mens Lineup'!O$3:O1000,CONCATENATE("=",$A390))=0,"",O$2))</f>
        <v/>
      </c>
      <c r="P390" s="3" t="str">
        <f>IF($A390="","",IF(countif('Mens Lineup'!P$3:P1000,CONCATENATE("=",$A390))=0,"",P$2))</f>
        <v/>
      </c>
      <c r="Q390" s="3" t="str">
        <f>IF($A390="","",IF(countif('Mens Lineup'!Q$3:Q1000,CONCATENATE("=",$A390))=0,"",Q$2))</f>
        <v/>
      </c>
      <c r="R390" s="3" t="str">
        <f>IF($A390="","",IF(countif('Mens Lineup'!R$3:R1000,CONCATENATE("=",$A390))=0,"",R$2))</f>
        <v/>
      </c>
      <c r="S390" s="3" t="str">
        <f>IF($A390="","",IF(countif('Mens Lineup'!S$3:S1000,CONCATENATE("=",$A390))=0,"",S$2))</f>
        <v/>
      </c>
      <c r="W390" s="3" t="str">
        <f>IFERROR(__xludf.DUMMYFUNCTION("JOIN("","",FILTER(B390:S390,B390:S390&lt;&gt;""""))"),"#N/A")</f>
        <v>#N/A</v>
      </c>
    </row>
    <row r="391">
      <c r="A391" s="3"/>
      <c r="B391" s="3" t="str">
        <f>IF($A391="","",IF(countif('Mens Lineup'!B$3:B1000,CONCATENATE("=",$A391))=0,"",B$2))</f>
        <v/>
      </c>
      <c r="C391" s="3" t="str">
        <f>IF($A391="","",IF(countif('Mens Lineup'!C$3:C1000,CONCATENATE("=",$A391))=0,"",C$2))</f>
        <v/>
      </c>
      <c r="D391" s="3" t="str">
        <f>IF($A391="","",IF(countif('Mens Lineup'!D$3:D1000,CONCATENATE("=",$A391))=0,"",D$2))</f>
        <v/>
      </c>
      <c r="E391" s="3" t="str">
        <f>IF($A391="","",IF(countif('Mens Lineup'!E$3:E1000,CONCATENATE("=",$A391))=0,"",E$2))</f>
        <v/>
      </c>
      <c r="F391" s="3" t="str">
        <f>IF($A391="","",IF(countif('Mens Lineup'!F$3:F1000,CONCATENATE("=",$A391))=0,"",F$2))</f>
        <v/>
      </c>
      <c r="G391" s="3" t="str">
        <f>IF($A391="","",IF(countif('Mens Lineup'!G$3:G1000,CONCATENATE("=",$A391))=0,"",G$2))</f>
        <v/>
      </c>
      <c r="H391" s="3" t="str">
        <f>IF($A391="","",IF(countif('Mens Lineup'!H$3:H1000,CONCATENATE("=",$A391))=0,"",H$2))</f>
        <v/>
      </c>
      <c r="I391" s="3" t="str">
        <f>IF($A391="","",IF(countif('Mens Lineup'!I$3:I1000,CONCATENATE("=",$A391))=0,"",I$2))</f>
        <v/>
      </c>
      <c r="J391" s="3" t="str">
        <f>IF($A391="","",IF(countif('Mens Lineup'!J$3:J1000,CONCATENATE("=",$A391))=0,"",J$2))</f>
        <v/>
      </c>
      <c r="K391" s="3" t="str">
        <f>IF($A391="","",IF(countif('Mens Lineup'!K$3:K1000,CONCATENATE("=",$A391))=0,"",K$2))</f>
        <v/>
      </c>
      <c r="L391" s="3" t="str">
        <f>IF($A391="","",IF(countif('Mens Lineup'!L$3:L1000,CONCATENATE("=",$A391))=0,"",L$2))</f>
        <v/>
      </c>
      <c r="M391" s="3" t="str">
        <f>IF($A391="","",IF(countif('Mens Lineup'!M$3:M1000,CONCATENATE("=",$A391))=0,"",M$2))</f>
        <v/>
      </c>
      <c r="N391" s="3" t="str">
        <f>IF($A391="","",IF(countif('Mens Lineup'!N$3:N1000,CONCATENATE("=",$A391))=0,"",N$2))</f>
        <v/>
      </c>
      <c r="O391" s="3" t="str">
        <f>IF($A391="","",IF(countif('Mens Lineup'!O$3:O1000,CONCATENATE("=",$A391))=0,"",O$2))</f>
        <v/>
      </c>
      <c r="P391" s="3" t="str">
        <f>IF($A391="","",IF(countif('Mens Lineup'!P$3:P1000,CONCATENATE("=",$A391))=0,"",P$2))</f>
        <v/>
      </c>
      <c r="Q391" s="3" t="str">
        <f>IF($A391="","",IF(countif('Mens Lineup'!Q$3:Q1000,CONCATENATE("=",$A391))=0,"",Q$2))</f>
        <v/>
      </c>
      <c r="R391" s="3" t="str">
        <f>IF($A391="","",IF(countif('Mens Lineup'!R$3:R1000,CONCATENATE("=",$A391))=0,"",R$2))</f>
        <v/>
      </c>
      <c r="S391" s="3" t="str">
        <f>IF($A391="","",IF(countif('Mens Lineup'!S$3:S1000,CONCATENATE("=",$A391))=0,"",S$2))</f>
        <v/>
      </c>
      <c r="W391" s="3" t="str">
        <f>IFERROR(__xludf.DUMMYFUNCTION("JOIN("","",FILTER(B391:S391,B391:S391&lt;&gt;""""))"),"#N/A")</f>
        <v>#N/A</v>
      </c>
    </row>
    <row r="392">
      <c r="A392" s="3"/>
      <c r="B392" s="3" t="str">
        <f>IF($A392="","",IF(countif('Mens Lineup'!B$3:B1000,CONCATENATE("=",$A392))=0,"",B$2))</f>
        <v/>
      </c>
      <c r="C392" s="3" t="str">
        <f>IF($A392="","",IF(countif('Mens Lineup'!C$3:C1000,CONCATENATE("=",$A392))=0,"",C$2))</f>
        <v/>
      </c>
      <c r="D392" s="3" t="str">
        <f>IF($A392="","",IF(countif('Mens Lineup'!D$3:D1000,CONCATENATE("=",$A392))=0,"",D$2))</f>
        <v/>
      </c>
      <c r="E392" s="3" t="str">
        <f>IF($A392="","",IF(countif('Mens Lineup'!E$3:E1000,CONCATENATE("=",$A392))=0,"",E$2))</f>
        <v/>
      </c>
      <c r="F392" s="3" t="str">
        <f>IF($A392="","",IF(countif('Mens Lineup'!F$3:F1000,CONCATENATE("=",$A392))=0,"",F$2))</f>
        <v/>
      </c>
      <c r="G392" s="3" t="str">
        <f>IF($A392="","",IF(countif('Mens Lineup'!G$3:G1000,CONCATENATE("=",$A392))=0,"",G$2))</f>
        <v/>
      </c>
      <c r="H392" s="3" t="str">
        <f>IF($A392="","",IF(countif('Mens Lineup'!H$3:H1000,CONCATENATE("=",$A392))=0,"",H$2))</f>
        <v/>
      </c>
      <c r="I392" s="3" t="str">
        <f>IF($A392="","",IF(countif('Mens Lineup'!I$3:I1000,CONCATENATE("=",$A392))=0,"",I$2))</f>
        <v/>
      </c>
      <c r="J392" s="3" t="str">
        <f>IF($A392="","",IF(countif('Mens Lineup'!J$3:J1000,CONCATENATE("=",$A392))=0,"",J$2))</f>
        <v/>
      </c>
      <c r="K392" s="3" t="str">
        <f>IF($A392="","",IF(countif('Mens Lineup'!K$3:K1000,CONCATENATE("=",$A392))=0,"",K$2))</f>
        <v/>
      </c>
      <c r="L392" s="3" t="str">
        <f>IF($A392="","",IF(countif('Mens Lineup'!L$3:L1000,CONCATENATE("=",$A392))=0,"",L$2))</f>
        <v/>
      </c>
      <c r="M392" s="3" t="str">
        <f>IF($A392="","",IF(countif('Mens Lineup'!M$3:M1000,CONCATENATE("=",$A392))=0,"",M$2))</f>
        <v/>
      </c>
      <c r="N392" s="3" t="str">
        <f>IF($A392="","",IF(countif('Mens Lineup'!N$3:N1000,CONCATENATE("=",$A392))=0,"",N$2))</f>
        <v/>
      </c>
      <c r="O392" s="3" t="str">
        <f>IF($A392="","",IF(countif('Mens Lineup'!O$3:O1000,CONCATENATE("=",$A392))=0,"",O$2))</f>
        <v/>
      </c>
      <c r="P392" s="3" t="str">
        <f>IF($A392="","",IF(countif('Mens Lineup'!P$3:P1000,CONCATENATE("=",$A392))=0,"",P$2))</f>
        <v/>
      </c>
      <c r="Q392" s="3" t="str">
        <f>IF($A392="","",IF(countif('Mens Lineup'!Q$3:Q1000,CONCATENATE("=",$A392))=0,"",Q$2))</f>
        <v/>
      </c>
      <c r="R392" s="3" t="str">
        <f>IF($A392="","",IF(countif('Mens Lineup'!R$3:R1000,CONCATENATE("=",$A392))=0,"",R$2))</f>
        <v/>
      </c>
      <c r="S392" s="3" t="str">
        <f>IF($A392="","",IF(countif('Mens Lineup'!S$3:S1000,CONCATENATE("=",$A392))=0,"",S$2))</f>
        <v/>
      </c>
      <c r="W392" s="3" t="str">
        <f>IFERROR(__xludf.DUMMYFUNCTION("JOIN("","",FILTER(B392:S392,B392:S392&lt;&gt;""""))"),"#N/A")</f>
        <v>#N/A</v>
      </c>
    </row>
    <row r="393">
      <c r="A393" s="3"/>
      <c r="B393" s="3" t="str">
        <f>IF($A393="","",IF(countif('Mens Lineup'!B$3:B1000,CONCATENATE("=",$A393))=0,"",B$2))</f>
        <v/>
      </c>
      <c r="C393" s="3" t="str">
        <f>IF($A393="","",IF(countif('Mens Lineup'!C$3:C1000,CONCATENATE("=",$A393))=0,"",C$2))</f>
        <v/>
      </c>
      <c r="D393" s="3" t="str">
        <f>IF($A393="","",IF(countif('Mens Lineup'!D$3:D1000,CONCATENATE("=",$A393))=0,"",D$2))</f>
        <v/>
      </c>
      <c r="E393" s="3" t="str">
        <f>IF($A393="","",IF(countif('Mens Lineup'!E$3:E1000,CONCATENATE("=",$A393))=0,"",E$2))</f>
        <v/>
      </c>
      <c r="F393" s="3" t="str">
        <f>IF($A393="","",IF(countif('Mens Lineup'!F$3:F1000,CONCATENATE("=",$A393))=0,"",F$2))</f>
        <v/>
      </c>
      <c r="G393" s="3" t="str">
        <f>IF($A393="","",IF(countif('Mens Lineup'!G$3:G1000,CONCATENATE("=",$A393))=0,"",G$2))</f>
        <v/>
      </c>
      <c r="H393" s="3" t="str">
        <f>IF($A393="","",IF(countif('Mens Lineup'!H$3:H1000,CONCATENATE("=",$A393))=0,"",H$2))</f>
        <v/>
      </c>
      <c r="I393" s="3" t="str">
        <f>IF($A393="","",IF(countif('Mens Lineup'!I$3:I1000,CONCATENATE("=",$A393))=0,"",I$2))</f>
        <v/>
      </c>
      <c r="J393" s="3" t="str">
        <f>IF($A393="","",IF(countif('Mens Lineup'!J$3:J1000,CONCATENATE("=",$A393))=0,"",J$2))</f>
        <v/>
      </c>
      <c r="K393" s="3" t="str">
        <f>IF($A393="","",IF(countif('Mens Lineup'!K$3:K1000,CONCATENATE("=",$A393))=0,"",K$2))</f>
        <v/>
      </c>
      <c r="L393" s="3" t="str">
        <f>IF($A393="","",IF(countif('Mens Lineup'!L$3:L1000,CONCATENATE("=",$A393))=0,"",L$2))</f>
        <v/>
      </c>
      <c r="M393" s="3" t="str">
        <f>IF($A393="","",IF(countif('Mens Lineup'!M$3:M1000,CONCATENATE("=",$A393))=0,"",M$2))</f>
        <v/>
      </c>
      <c r="N393" s="3" t="str">
        <f>IF($A393="","",IF(countif('Mens Lineup'!N$3:N1000,CONCATENATE("=",$A393))=0,"",N$2))</f>
        <v/>
      </c>
      <c r="O393" s="3" t="str">
        <f>IF($A393="","",IF(countif('Mens Lineup'!O$3:O1000,CONCATENATE("=",$A393))=0,"",O$2))</f>
        <v/>
      </c>
      <c r="P393" s="3" t="str">
        <f>IF($A393="","",IF(countif('Mens Lineup'!P$3:P1000,CONCATENATE("=",$A393))=0,"",P$2))</f>
        <v/>
      </c>
      <c r="Q393" s="3" t="str">
        <f>IF($A393="","",IF(countif('Mens Lineup'!Q$3:Q1000,CONCATENATE("=",$A393))=0,"",Q$2))</f>
        <v/>
      </c>
      <c r="R393" s="3" t="str">
        <f>IF($A393="","",IF(countif('Mens Lineup'!R$3:R1000,CONCATENATE("=",$A393))=0,"",R$2))</f>
        <v/>
      </c>
      <c r="S393" s="3" t="str">
        <f>IF($A393="","",IF(countif('Mens Lineup'!S$3:S1000,CONCATENATE("=",$A393))=0,"",S$2))</f>
        <v/>
      </c>
      <c r="W393" s="3" t="str">
        <f>IFERROR(__xludf.DUMMYFUNCTION("JOIN("","",FILTER(B393:S393,B393:S393&lt;&gt;""""))"),"#N/A")</f>
        <v>#N/A</v>
      </c>
    </row>
    <row r="394">
      <c r="A394" s="3"/>
      <c r="B394" s="3" t="str">
        <f>IF($A394="","",IF(countif('Mens Lineup'!B$3:B1000,CONCATENATE("=",$A394))=0,"",B$2))</f>
        <v/>
      </c>
      <c r="C394" s="3" t="str">
        <f>IF($A394="","",IF(countif('Mens Lineup'!C$3:C1000,CONCATENATE("=",$A394))=0,"",C$2))</f>
        <v/>
      </c>
      <c r="D394" s="3" t="str">
        <f>IF($A394="","",IF(countif('Mens Lineup'!D$3:D1000,CONCATENATE("=",$A394))=0,"",D$2))</f>
        <v/>
      </c>
      <c r="E394" s="3" t="str">
        <f>IF($A394="","",IF(countif('Mens Lineup'!E$3:E1000,CONCATENATE("=",$A394))=0,"",E$2))</f>
        <v/>
      </c>
      <c r="F394" s="3" t="str">
        <f>IF($A394="","",IF(countif('Mens Lineup'!F$3:F1000,CONCATENATE("=",$A394))=0,"",F$2))</f>
        <v/>
      </c>
      <c r="G394" s="3" t="str">
        <f>IF($A394="","",IF(countif('Mens Lineup'!G$3:G1000,CONCATENATE("=",$A394))=0,"",G$2))</f>
        <v/>
      </c>
      <c r="H394" s="3" t="str">
        <f>IF($A394="","",IF(countif('Mens Lineup'!H$3:H1000,CONCATENATE("=",$A394))=0,"",H$2))</f>
        <v/>
      </c>
      <c r="I394" s="3" t="str">
        <f>IF($A394="","",IF(countif('Mens Lineup'!I$3:I1000,CONCATENATE("=",$A394))=0,"",I$2))</f>
        <v/>
      </c>
      <c r="J394" s="3" t="str">
        <f>IF($A394="","",IF(countif('Mens Lineup'!J$3:J1000,CONCATENATE("=",$A394))=0,"",J$2))</f>
        <v/>
      </c>
      <c r="K394" s="3" t="str">
        <f>IF($A394="","",IF(countif('Mens Lineup'!K$3:K1000,CONCATENATE("=",$A394))=0,"",K$2))</f>
        <v/>
      </c>
      <c r="L394" s="3" t="str">
        <f>IF($A394="","",IF(countif('Mens Lineup'!L$3:L1000,CONCATENATE("=",$A394))=0,"",L$2))</f>
        <v/>
      </c>
      <c r="M394" s="3" t="str">
        <f>IF($A394="","",IF(countif('Mens Lineup'!M$3:M1000,CONCATENATE("=",$A394))=0,"",M$2))</f>
        <v/>
      </c>
      <c r="N394" s="3" t="str">
        <f>IF($A394="","",IF(countif('Mens Lineup'!N$3:N1000,CONCATENATE("=",$A394))=0,"",N$2))</f>
        <v/>
      </c>
      <c r="O394" s="3" t="str">
        <f>IF($A394="","",IF(countif('Mens Lineup'!O$3:O1000,CONCATENATE("=",$A394))=0,"",O$2))</f>
        <v/>
      </c>
      <c r="P394" s="3" t="str">
        <f>IF($A394="","",IF(countif('Mens Lineup'!P$3:P1000,CONCATENATE("=",$A394))=0,"",P$2))</f>
        <v/>
      </c>
      <c r="Q394" s="3" t="str">
        <f>IF($A394="","",IF(countif('Mens Lineup'!Q$3:Q1000,CONCATENATE("=",$A394))=0,"",Q$2))</f>
        <v/>
      </c>
      <c r="R394" s="3" t="str">
        <f>IF($A394="","",IF(countif('Mens Lineup'!R$3:R1000,CONCATENATE("=",$A394))=0,"",R$2))</f>
        <v/>
      </c>
      <c r="S394" s="3" t="str">
        <f>IF($A394="","",IF(countif('Mens Lineup'!S$3:S1000,CONCATENATE("=",$A394))=0,"",S$2))</f>
        <v/>
      </c>
      <c r="W394" s="3" t="str">
        <f>IFERROR(__xludf.DUMMYFUNCTION("JOIN("","",FILTER(B394:S394,B394:S394&lt;&gt;""""))"),"#N/A")</f>
        <v>#N/A</v>
      </c>
    </row>
    <row r="395">
      <c r="A395" s="3"/>
      <c r="B395" s="3" t="str">
        <f>IF($A395="","",IF(countif('Mens Lineup'!B$3:B1000,CONCATENATE("=",$A395))=0,"",B$2))</f>
        <v/>
      </c>
      <c r="C395" s="3" t="str">
        <f>IF($A395="","",IF(countif('Mens Lineup'!C$3:C1000,CONCATENATE("=",$A395))=0,"",C$2))</f>
        <v/>
      </c>
      <c r="D395" s="3" t="str">
        <f>IF($A395="","",IF(countif('Mens Lineup'!D$3:D1000,CONCATENATE("=",$A395))=0,"",D$2))</f>
        <v/>
      </c>
      <c r="E395" s="3" t="str">
        <f>IF($A395="","",IF(countif('Mens Lineup'!E$3:E1000,CONCATENATE("=",$A395))=0,"",E$2))</f>
        <v/>
      </c>
      <c r="F395" s="3" t="str">
        <f>IF($A395="","",IF(countif('Mens Lineup'!F$3:F1000,CONCATENATE("=",$A395))=0,"",F$2))</f>
        <v/>
      </c>
      <c r="G395" s="3" t="str">
        <f>IF($A395="","",IF(countif('Mens Lineup'!G$3:G1000,CONCATENATE("=",$A395))=0,"",G$2))</f>
        <v/>
      </c>
      <c r="H395" s="3" t="str">
        <f>IF($A395="","",IF(countif('Mens Lineup'!H$3:H1000,CONCATENATE("=",$A395))=0,"",H$2))</f>
        <v/>
      </c>
      <c r="I395" s="3" t="str">
        <f>IF($A395="","",IF(countif('Mens Lineup'!I$3:I1000,CONCATENATE("=",$A395))=0,"",I$2))</f>
        <v/>
      </c>
      <c r="J395" s="3" t="str">
        <f>IF($A395="","",IF(countif('Mens Lineup'!J$3:J1000,CONCATENATE("=",$A395))=0,"",J$2))</f>
        <v/>
      </c>
      <c r="K395" s="3" t="str">
        <f>IF($A395="","",IF(countif('Mens Lineup'!K$3:K1000,CONCATENATE("=",$A395))=0,"",K$2))</f>
        <v/>
      </c>
      <c r="L395" s="3" t="str">
        <f>IF($A395="","",IF(countif('Mens Lineup'!L$3:L1000,CONCATENATE("=",$A395))=0,"",L$2))</f>
        <v/>
      </c>
      <c r="M395" s="3" t="str">
        <f>IF($A395="","",IF(countif('Mens Lineup'!M$3:M1000,CONCATENATE("=",$A395))=0,"",M$2))</f>
        <v/>
      </c>
      <c r="N395" s="3" t="str">
        <f>IF($A395="","",IF(countif('Mens Lineup'!N$3:N1000,CONCATENATE("=",$A395))=0,"",N$2))</f>
        <v/>
      </c>
      <c r="O395" s="3" t="str">
        <f>IF($A395="","",IF(countif('Mens Lineup'!O$3:O1000,CONCATENATE("=",$A395))=0,"",O$2))</f>
        <v/>
      </c>
      <c r="P395" s="3" t="str">
        <f>IF($A395="","",IF(countif('Mens Lineup'!P$3:P1000,CONCATENATE("=",$A395))=0,"",P$2))</f>
        <v/>
      </c>
      <c r="Q395" s="3" t="str">
        <f>IF($A395="","",IF(countif('Mens Lineup'!Q$3:Q1000,CONCATENATE("=",$A395))=0,"",Q$2))</f>
        <v/>
      </c>
      <c r="R395" s="3" t="str">
        <f>IF($A395="","",IF(countif('Mens Lineup'!R$3:R1000,CONCATENATE("=",$A395))=0,"",R$2))</f>
        <v/>
      </c>
      <c r="S395" s="3" t="str">
        <f>IF($A395="","",IF(countif('Mens Lineup'!S$3:S1000,CONCATENATE("=",$A395))=0,"",S$2))</f>
        <v/>
      </c>
      <c r="W395" s="3" t="str">
        <f>IFERROR(__xludf.DUMMYFUNCTION("JOIN("","",FILTER(B395:S395,B395:S395&lt;&gt;""""))"),"#N/A")</f>
        <v>#N/A</v>
      </c>
    </row>
    <row r="396">
      <c r="A396" s="3"/>
      <c r="B396" s="3" t="str">
        <f>IF($A396="","",IF(countif('Mens Lineup'!B$3:B1000,CONCATENATE("=",$A396))=0,"",B$2))</f>
        <v/>
      </c>
      <c r="C396" s="3" t="str">
        <f>IF($A396="","",IF(countif('Mens Lineup'!C$3:C1000,CONCATENATE("=",$A396))=0,"",C$2))</f>
        <v/>
      </c>
      <c r="D396" s="3" t="str">
        <f>IF($A396="","",IF(countif('Mens Lineup'!D$3:D1000,CONCATENATE("=",$A396))=0,"",D$2))</f>
        <v/>
      </c>
      <c r="E396" s="3" t="str">
        <f>IF($A396="","",IF(countif('Mens Lineup'!E$3:E1000,CONCATENATE("=",$A396))=0,"",E$2))</f>
        <v/>
      </c>
      <c r="F396" s="3" t="str">
        <f>IF($A396="","",IF(countif('Mens Lineup'!F$3:F1000,CONCATENATE("=",$A396))=0,"",F$2))</f>
        <v/>
      </c>
      <c r="G396" s="3" t="str">
        <f>IF($A396="","",IF(countif('Mens Lineup'!G$3:G1000,CONCATENATE("=",$A396))=0,"",G$2))</f>
        <v/>
      </c>
      <c r="H396" s="3" t="str">
        <f>IF($A396="","",IF(countif('Mens Lineup'!H$3:H1000,CONCATENATE("=",$A396))=0,"",H$2))</f>
        <v/>
      </c>
      <c r="I396" s="3" t="str">
        <f>IF($A396="","",IF(countif('Mens Lineup'!I$3:I1000,CONCATENATE("=",$A396))=0,"",I$2))</f>
        <v/>
      </c>
      <c r="J396" s="3" t="str">
        <f>IF($A396="","",IF(countif('Mens Lineup'!J$3:J1000,CONCATENATE("=",$A396))=0,"",J$2))</f>
        <v/>
      </c>
      <c r="K396" s="3" t="str">
        <f>IF($A396="","",IF(countif('Mens Lineup'!K$3:K1000,CONCATENATE("=",$A396))=0,"",K$2))</f>
        <v/>
      </c>
      <c r="L396" s="3" t="str">
        <f>IF($A396="","",IF(countif('Mens Lineup'!L$3:L1000,CONCATENATE("=",$A396))=0,"",L$2))</f>
        <v/>
      </c>
      <c r="M396" s="3" t="str">
        <f>IF($A396="","",IF(countif('Mens Lineup'!M$3:M1000,CONCATENATE("=",$A396))=0,"",M$2))</f>
        <v/>
      </c>
      <c r="N396" s="3" t="str">
        <f>IF($A396="","",IF(countif('Mens Lineup'!N$3:N1000,CONCATENATE("=",$A396))=0,"",N$2))</f>
        <v/>
      </c>
      <c r="O396" s="3" t="str">
        <f>IF($A396="","",IF(countif('Mens Lineup'!O$3:O1000,CONCATENATE("=",$A396))=0,"",O$2))</f>
        <v/>
      </c>
      <c r="P396" s="3" t="str">
        <f>IF($A396="","",IF(countif('Mens Lineup'!P$3:P1000,CONCATENATE("=",$A396))=0,"",P$2))</f>
        <v/>
      </c>
      <c r="Q396" s="3" t="str">
        <f>IF($A396="","",IF(countif('Mens Lineup'!Q$3:Q1000,CONCATENATE("=",$A396))=0,"",Q$2))</f>
        <v/>
      </c>
      <c r="R396" s="3" t="str">
        <f>IF($A396="","",IF(countif('Mens Lineup'!R$3:R1000,CONCATENATE("=",$A396))=0,"",R$2))</f>
        <v/>
      </c>
      <c r="S396" s="3" t="str">
        <f>IF($A396="","",IF(countif('Mens Lineup'!S$3:S1000,CONCATENATE("=",$A396))=0,"",S$2))</f>
        <v/>
      </c>
      <c r="W396" s="3" t="str">
        <f>IFERROR(__xludf.DUMMYFUNCTION("JOIN("","",FILTER(B396:S396,B396:S396&lt;&gt;""""))"),"#N/A")</f>
        <v>#N/A</v>
      </c>
    </row>
    <row r="397">
      <c r="A397" s="3"/>
      <c r="B397" s="3" t="str">
        <f>IF($A397="","",IF(countif('Mens Lineup'!B$3:B1000,CONCATENATE("=",$A397))=0,"",B$2))</f>
        <v/>
      </c>
      <c r="C397" s="3" t="str">
        <f>IF($A397="","",IF(countif('Mens Lineup'!C$3:C1000,CONCATENATE("=",$A397))=0,"",C$2))</f>
        <v/>
      </c>
      <c r="D397" s="3" t="str">
        <f>IF($A397="","",IF(countif('Mens Lineup'!D$3:D1000,CONCATENATE("=",$A397))=0,"",D$2))</f>
        <v/>
      </c>
      <c r="E397" s="3" t="str">
        <f>IF($A397="","",IF(countif('Mens Lineup'!E$3:E1000,CONCATENATE("=",$A397))=0,"",E$2))</f>
        <v/>
      </c>
      <c r="F397" s="3" t="str">
        <f>IF($A397="","",IF(countif('Mens Lineup'!F$3:F1000,CONCATENATE("=",$A397))=0,"",F$2))</f>
        <v/>
      </c>
      <c r="G397" s="3" t="str">
        <f>IF($A397="","",IF(countif('Mens Lineup'!G$3:G1000,CONCATENATE("=",$A397))=0,"",G$2))</f>
        <v/>
      </c>
      <c r="H397" s="3" t="str">
        <f>IF($A397="","",IF(countif('Mens Lineup'!H$3:H1000,CONCATENATE("=",$A397))=0,"",H$2))</f>
        <v/>
      </c>
      <c r="I397" s="3" t="str">
        <f>IF($A397="","",IF(countif('Mens Lineup'!I$3:I1000,CONCATENATE("=",$A397))=0,"",I$2))</f>
        <v/>
      </c>
      <c r="J397" s="3" t="str">
        <f>IF($A397="","",IF(countif('Mens Lineup'!J$3:J1000,CONCATENATE("=",$A397))=0,"",J$2))</f>
        <v/>
      </c>
      <c r="K397" s="3" t="str">
        <f>IF($A397="","",IF(countif('Mens Lineup'!K$3:K1000,CONCATENATE("=",$A397))=0,"",K$2))</f>
        <v/>
      </c>
      <c r="L397" s="3" t="str">
        <f>IF($A397="","",IF(countif('Mens Lineup'!L$3:L1000,CONCATENATE("=",$A397))=0,"",L$2))</f>
        <v/>
      </c>
      <c r="M397" s="3" t="str">
        <f>IF($A397="","",IF(countif('Mens Lineup'!M$3:M1000,CONCATENATE("=",$A397))=0,"",M$2))</f>
        <v/>
      </c>
      <c r="N397" s="3" t="str">
        <f>IF($A397="","",IF(countif('Mens Lineup'!N$3:N1000,CONCATENATE("=",$A397))=0,"",N$2))</f>
        <v/>
      </c>
      <c r="O397" s="3" t="str">
        <f>IF($A397="","",IF(countif('Mens Lineup'!O$3:O1000,CONCATENATE("=",$A397))=0,"",O$2))</f>
        <v/>
      </c>
      <c r="P397" s="3" t="str">
        <f>IF($A397="","",IF(countif('Mens Lineup'!P$3:P1000,CONCATENATE("=",$A397))=0,"",P$2))</f>
        <v/>
      </c>
      <c r="Q397" s="3" t="str">
        <f>IF($A397="","",IF(countif('Mens Lineup'!Q$3:Q1000,CONCATENATE("=",$A397))=0,"",Q$2))</f>
        <v/>
      </c>
      <c r="R397" s="3" t="str">
        <f>IF($A397="","",IF(countif('Mens Lineup'!R$3:R1000,CONCATENATE("=",$A397))=0,"",R$2))</f>
        <v/>
      </c>
      <c r="S397" s="3" t="str">
        <f>IF($A397="","",IF(countif('Mens Lineup'!S$3:S1000,CONCATENATE("=",$A397))=0,"",S$2))</f>
        <v/>
      </c>
      <c r="W397" s="3" t="str">
        <f>IFERROR(__xludf.DUMMYFUNCTION("JOIN("","",FILTER(B397:S397,B397:S397&lt;&gt;""""))"),"#N/A")</f>
        <v>#N/A</v>
      </c>
    </row>
    <row r="398">
      <c r="A398" s="3"/>
      <c r="B398" s="3" t="str">
        <f>IF($A398="","",IF(countif('Mens Lineup'!B$3:B1000,CONCATENATE("=",$A398))=0,"",B$2))</f>
        <v/>
      </c>
      <c r="C398" s="3" t="str">
        <f>IF($A398="","",IF(countif('Mens Lineup'!C$3:C1000,CONCATENATE("=",$A398))=0,"",C$2))</f>
        <v/>
      </c>
      <c r="D398" s="3" t="str">
        <f>IF($A398="","",IF(countif('Mens Lineup'!D$3:D1000,CONCATENATE("=",$A398))=0,"",D$2))</f>
        <v/>
      </c>
      <c r="E398" s="3" t="str">
        <f>IF($A398="","",IF(countif('Mens Lineup'!E$3:E1000,CONCATENATE("=",$A398))=0,"",E$2))</f>
        <v/>
      </c>
      <c r="F398" s="3" t="str">
        <f>IF($A398="","",IF(countif('Mens Lineup'!F$3:F1000,CONCATENATE("=",$A398))=0,"",F$2))</f>
        <v/>
      </c>
      <c r="G398" s="3" t="str">
        <f>IF($A398="","",IF(countif('Mens Lineup'!G$3:G1000,CONCATENATE("=",$A398))=0,"",G$2))</f>
        <v/>
      </c>
      <c r="H398" s="3" t="str">
        <f>IF($A398="","",IF(countif('Mens Lineup'!H$3:H1000,CONCATENATE("=",$A398))=0,"",H$2))</f>
        <v/>
      </c>
      <c r="I398" s="3" t="str">
        <f>IF($A398="","",IF(countif('Mens Lineup'!I$3:I1000,CONCATENATE("=",$A398))=0,"",I$2))</f>
        <v/>
      </c>
      <c r="J398" s="3" t="str">
        <f>IF($A398="","",IF(countif('Mens Lineup'!J$3:J1000,CONCATENATE("=",$A398))=0,"",J$2))</f>
        <v/>
      </c>
      <c r="K398" s="3" t="str">
        <f>IF($A398="","",IF(countif('Mens Lineup'!K$3:K1000,CONCATENATE("=",$A398))=0,"",K$2))</f>
        <v/>
      </c>
      <c r="L398" s="3" t="str">
        <f>IF($A398="","",IF(countif('Mens Lineup'!L$3:L1000,CONCATENATE("=",$A398))=0,"",L$2))</f>
        <v/>
      </c>
      <c r="M398" s="3" t="str">
        <f>IF($A398="","",IF(countif('Mens Lineup'!M$3:M1000,CONCATENATE("=",$A398))=0,"",M$2))</f>
        <v/>
      </c>
      <c r="N398" s="3" t="str">
        <f>IF($A398="","",IF(countif('Mens Lineup'!N$3:N1000,CONCATENATE("=",$A398))=0,"",N$2))</f>
        <v/>
      </c>
      <c r="O398" s="3" t="str">
        <f>IF($A398="","",IF(countif('Mens Lineup'!O$3:O1000,CONCATENATE("=",$A398))=0,"",O$2))</f>
        <v/>
      </c>
      <c r="P398" s="3" t="str">
        <f>IF($A398="","",IF(countif('Mens Lineup'!P$3:P1000,CONCATENATE("=",$A398))=0,"",P$2))</f>
        <v/>
      </c>
      <c r="Q398" s="3" t="str">
        <f>IF($A398="","",IF(countif('Mens Lineup'!Q$3:Q1000,CONCATENATE("=",$A398))=0,"",Q$2))</f>
        <v/>
      </c>
      <c r="R398" s="3" t="str">
        <f>IF($A398="","",IF(countif('Mens Lineup'!R$3:R1000,CONCATENATE("=",$A398))=0,"",R$2))</f>
        <v/>
      </c>
      <c r="S398" s="3" t="str">
        <f>IF($A398="","",IF(countif('Mens Lineup'!S$3:S1000,CONCATENATE("=",$A398))=0,"",S$2))</f>
        <v/>
      </c>
      <c r="W398" s="3" t="str">
        <f>IFERROR(__xludf.DUMMYFUNCTION("JOIN("","",FILTER(B398:S398,B398:S398&lt;&gt;""""))"),"#N/A")</f>
        <v>#N/A</v>
      </c>
    </row>
    <row r="399">
      <c r="A399" s="3"/>
      <c r="B399" s="3" t="str">
        <f>IF($A399="","",IF(countif('Mens Lineup'!B$3:B1000,CONCATENATE("=",$A399))=0,"",B$2))</f>
        <v/>
      </c>
      <c r="C399" s="3" t="str">
        <f>IF($A399="","",IF(countif('Mens Lineup'!C$3:C1000,CONCATENATE("=",$A399))=0,"",C$2))</f>
        <v/>
      </c>
      <c r="D399" s="3" t="str">
        <f>IF($A399="","",IF(countif('Mens Lineup'!D$3:D1000,CONCATENATE("=",$A399))=0,"",D$2))</f>
        <v/>
      </c>
      <c r="E399" s="3" t="str">
        <f>IF($A399="","",IF(countif('Mens Lineup'!E$3:E1000,CONCATENATE("=",$A399))=0,"",E$2))</f>
        <v/>
      </c>
      <c r="F399" s="3" t="str">
        <f>IF($A399="","",IF(countif('Mens Lineup'!F$3:F1000,CONCATENATE("=",$A399))=0,"",F$2))</f>
        <v/>
      </c>
      <c r="G399" s="3" t="str">
        <f>IF($A399="","",IF(countif('Mens Lineup'!G$3:G1000,CONCATENATE("=",$A399))=0,"",G$2))</f>
        <v/>
      </c>
      <c r="H399" s="3" t="str">
        <f>IF($A399="","",IF(countif('Mens Lineup'!H$3:H1000,CONCATENATE("=",$A399))=0,"",H$2))</f>
        <v/>
      </c>
      <c r="I399" s="3" t="str">
        <f>IF($A399="","",IF(countif('Mens Lineup'!I$3:I1000,CONCATENATE("=",$A399))=0,"",I$2))</f>
        <v/>
      </c>
      <c r="J399" s="3" t="str">
        <f>IF($A399="","",IF(countif('Mens Lineup'!J$3:J1000,CONCATENATE("=",$A399))=0,"",J$2))</f>
        <v/>
      </c>
      <c r="K399" s="3" t="str">
        <f>IF($A399="","",IF(countif('Mens Lineup'!K$3:K1000,CONCATENATE("=",$A399))=0,"",K$2))</f>
        <v/>
      </c>
      <c r="L399" s="3" t="str">
        <f>IF($A399="","",IF(countif('Mens Lineup'!L$3:L1000,CONCATENATE("=",$A399))=0,"",L$2))</f>
        <v/>
      </c>
      <c r="M399" s="3" t="str">
        <f>IF($A399="","",IF(countif('Mens Lineup'!M$3:M1000,CONCATENATE("=",$A399))=0,"",M$2))</f>
        <v/>
      </c>
      <c r="N399" s="3" t="str">
        <f>IF($A399="","",IF(countif('Mens Lineup'!N$3:N1000,CONCATENATE("=",$A399))=0,"",N$2))</f>
        <v/>
      </c>
      <c r="O399" s="3" t="str">
        <f>IF($A399="","",IF(countif('Mens Lineup'!O$3:O1000,CONCATENATE("=",$A399))=0,"",O$2))</f>
        <v/>
      </c>
      <c r="P399" s="3" t="str">
        <f>IF($A399="","",IF(countif('Mens Lineup'!P$3:P1000,CONCATENATE("=",$A399))=0,"",P$2))</f>
        <v/>
      </c>
      <c r="Q399" s="3" t="str">
        <f>IF($A399="","",IF(countif('Mens Lineup'!Q$3:Q1000,CONCATENATE("=",$A399))=0,"",Q$2))</f>
        <v/>
      </c>
      <c r="R399" s="3" t="str">
        <f>IF($A399="","",IF(countif('Mens Lineup'!R$3:R1000,CONCATENATE("=",$A399))=0,"",R$2))</f>
        <v/>
      </c>
      <c r="S399" s="3" t="str">
        <f>IF($A399="","",IF(countif('Mens Lineup'!S$3:S1000,CONCATENATE("=",$A399))=0,"",S$2))</f>
        <v/>
      </c>
      <c r="W399" s="3" t="str">
        <f>IFERROR(__xludf.DUMMYFUNCTION("JOIN("","",FILTER(B399:S399,B399:S399&lt;&gt;""""))"),"#N/A")</f>
        <v>#N/A</v>
      </c>
    </row>
    <row r="400">
      <c r="A400" s="3"/>
      <c r="B400" s="3" t="str">
        <f>IF($A400="","",IF(countif('Mens Lineup'!B$3:B1000,CONCATENATE("=",$A400))=0,"",B$2))</f>
        <v/>
      </c>
      <c r="C400" s="3" t="str">
        <f>IF($A400="","",IF(countif('Mens Lineup'!C$3:C1000,CONCATENATE("=",$A400))=0,"",C$2))</f>
        <v/>
      </c>
      <c r="D400" s="3" t="str">
        <f>IF($A400="","",IF(countif('Mens Lineup'!D$3:D1000,CONCATENATE("=",$A400))=0,"",D$2))</f>
        <v/>
      </c>
      <c r="E400" s="3" t="str">
        <f>IF($A400="","",IF(countif('Mens Lineup'!E$3:E1000,CONCATENATE("=",$A400))=0,"",E$2))</f>
        <v/>
      </c>
      <c r="F400" s="3" t="str">
        <f>IF($A400="","",IF(countif('Mens Lineup'!F$3:F1000,CONCATENATE("=",$A400))=0,"",F$2))</f>
        <v/>
      </c>
      <c r="G400" s="3" t="str">
        <f>IF($A400="","",IF(countif('Mens Lineup'!G$3:G1000,CONCATENATE("=",$A400))=0,"",G$2))</f>
        <v/>
      </c>
      <c r="H400" s="3" t="str">
        <f>IF($A400="","",IF(countif('Mens Lineup'!H$3:H1000,CONCATENATE("=",$A400))=0,"",H$2))</f>
        <v/>
      </c>
      <c r="I400" s="3" t="str">
        <f>IF($A400="","",IF(countif('Mens Lineup'!I$3:I1000,CONCATENATE("=",$A400))=0,"",I$2))</f>
        <v/>
      </c>
      <c r="J400" s="3" t="str">
        <f>IF($A400="","",IF(countif('Mens Lineup'!J$3:J1000,CONCATENATE("=",$A400))=0,"",J$2))</f>
        <v/>
      </c>
      <c r="K400" s="3" t="str">
        <f>IF($A400="","",IF(countif('Mens Lineup'!K$3:K1000,CONCATENATE("=",$A400))=0,"",K$2))</f>
        <v/>
      </c>
      <c r="L400" s="3" t="str">
        <f>IF($A400="","",IF(countif('Mens Lineup'!L$3:L1000,CONCATENATE("=",$A400))=0,"",L$2))</f>
        <v/>
      </c>
      <c r="M400" s="3" t="str">
        <f>IF($A400="","",IF(countif('Mens Lineup'!M$3:M1000,CONCATENATE("=",$A400))=0,"",M$2))</f>
        <v/>
      </c>
      <c r="N400" s="3" t="str">
        <f>IF($A400="","",IF(countif('Mens Lineup'!N$3:N1000,CONCATENATE("=",$A400))=0,"",N$2))</f>
        <v/>
      </c>
      <c r="O400" s="3" t="str">
        <f>IF($A400="","",IF(countif('Mens Lineup'!O$3:O1000,CONCATENATE("=",$A400))=0,"",O$2))</f>
        <v/>
      </c>
      <c r="P400" s="3" t="str">
        <f>IF($A400="","",IF(countif('Mens Lineup'!P$3:P1000,CONCATENATE("=",$A400))=0,"",P$2))</f>
        <v/>
      </c>
      <c r="Q400" s="3" t="str">
        <f>IF($A400="","",IF(countif('Mens Lineup'!Q$3:Q1000,CONCATENATE("=",$A400))=0,"",Q$2))</f>
        <v/>
      </c>
      <c r="R400" s="3" t="str">
        <f>IF($A400="","",IF(countif('Mens Lineup'!R$3:R1000,CONCATENATE("=",$A400))=0,"",R$2))</f>
        <v/>
      </c>
      <c r="S400" s="3" t="str">
        <f>IF($A400="","",IF(countif('Mens Lineup'!S$3:S1000,CONCATENATE("=",$A400))=0,"",S$2))</f>
        <v/>
      </c>
      <c r="W400" s="3" t="str">
        <f>IFERROR(__xludf.DUMMYFUNCTION("JOIN("","",FILTER(B400:S400,B400:S400&lt;&gt;""""))"),"#N/A")</f>
        <v>#N/A</v>
      </c>
    </row>
    <row r="401">
      <c r="A401" s="3"/>
      <c r="B401" s="3" t="str">
        <f>IF($A401="","",IF(countif('Mens Lineup'!B$3:B1000,CONCATENATE("=",$A401))=0,"",B$2))</f>
        <v/>
      </c>
      <c r="C401" s="3" t="str">
        <f>IF($A401="","",IF(countif('Mens Lineup'!C$3:C1000,CONCATENATE("=",$A401))=0,"",C$2))</f>
        <v/>
      </c>
      <c r="D401" s="3" t="str">
        <f>IF($A401="","",IF(countif('Mens Lineup'!D$3:D1000,CONCATENATE("=",$A401))=0,"",D$2))</f>
        <v/>
      </c>
      <c r="E401" s="3" t="str">
        <f>IF($A401="","",IF(countif('Mens Lineup'!E$3:E1000,CONCATENATE("=",$A401))=0,"",E$2))</f>
        <v/>
      </c>
      <c r="F401" s="3" t="str">
        <f>IF($A401="","",IF(countif('Mens Lineup'!F$3:F1000,CONCATENATE("=",$A401))=0,"",F$2))</f>
        <v/>
      </c>
      <c r="G401" s="3" t="str">
        <f>IF($A401="","",IF(countif('Mens Lineup'!G$3:G1000,CONCATENATE("=",$A401))=0,"",G$2))</f>
        <v/>
      </c>
      <c r="H401" s="3" t="str">
        <f>IF($A401="","",IF(countif('Mens Lineup'!H$3:H1000,CONCATENATE("=",$A401))=0,"",H$2))</f>
        <v/>
      </c>
      <c r="I401" s="3" t="str">
        <f>IF($A401="","",IF(countif('Mens Lineup'!I$3:I1000,CONCATENATE("=",$A401))=0,"",I$2))</f>
        <v/>
      </c>
      <c r="J401" s="3" t="str">
        <f>IF($A401="","",IF(countif('Mens Lineup'!J$3:J1000,CONCATENATE("=",$A401))=0,"",J$2))</f>
        <v/>
      </c>
      <c r="K401" s="3" t="str">
        <f>IF($A401="","",IF(countif('Mens Lineup'!K$3:K1000,CONCATENATE("=",$A401))=0,"",K$2))</f>
        <v/>
      </c>
      <c r="L401" s="3" t="str">
        <f>IF($A401="","",IF(countif('Mens Lineup'!L$3:L1000,CONCATENATE("=",$A401))=0,"",L$2))</f>
        <v/>
      </c>
      <c r="M401" s="3" t="str">
        <f>IF($A401="","",IF(countif('Mens Lineup'!M$3:M1000,CONCATENATE("=",$A401))=0,"",M$2))</f>
        <v/>
      </c>
      <c r="N401" s="3" t="str">
        <f>IF($A401="","",IF(countif('Mens Lineup'!N$3:N1000,CONCATENATE("=",$A401))=0,"",N$2))</f>
        <v/>
      </c>
      <c r="O401" s="3" t="str">
        <f>IF($A401="","",IF(countif('Mens Lineup'!O$3:O1000,CONCATENATE("=",$A401))=0,"",O$2))</f>
        <v/>
      </c>
      <c r="P401" s="3" t="str">
        <f>IF($A401="","",IF(countif('Mens Lineup'!P$3:P1000,CONCATENATE("=",$A401))=0,"",P$2))</f>
        <v/>
      </c>
      <c r="Q401" s="3" t="str">
        <f>IF($A401="","",IF(countif('Mens Lineup'!Q$3:Q1000,CONCATENATE("=",$A401))=0,"",Q$2))</f>
        <v/>
      </c>
      <c r="R401" s="3" t="str">
        <f>IF($A401="","",IF(countif('Mens Lineup'!R$3:R1000,CONCATENATE("=",$A401))=0,"",R$2))</f>
        <v/>
      </c>
      <c r="S401" s="3" t="str">
        <f>IF($A401="","",IF(countif('Mens Lineup'!S$3:S1000,CONCATENATE("=",$A401))=0,"",S$2))</f>
        <v/>
      </c>
      <c r="W401" s="3" t="str">
        <f>IFERROR(__xludf.DUMMYFUNCTION("JOIN("","",FILTER(B401:S401,B401:S401&lt;&gt;""""))"),"#N/A")</f>
        <v>#N/A</v>
      </c>
    </row>
    <row r="402">
      <c r="A402" s="3"/>
      <c r="B402" s="3" t="str">
        <f>IF($A402="","",IF(countif('Mens Lineup'!B$3:B1000,CONCATENATE("=",$A402))=0,"",B$2))</f>
        <v/>
      </c>
      <c r="C402" s="3" t="str">
        <f>IF($A402="","",IF(countif('Mens Lineup'!C$3:C1000,CONCATENATE("=",$A402))=0,"",C$2))</f>
        <v/>
      </c>
      <c r="D402" s="3" t="str">
        <f>IF($A402="","",IF(countif('Mens Lineup'!D$3:D1000,CONCATENATE("=",$A402))=0,"",D$2))</f>
        <v/>
      </c>
      <c r="E402" s="3" t="str">
        <f>IF($A402="","",IF(countif('Mens Lineup'!E$3:E1000,CONCATENATE("=",$A402))=0,"",E$2))</f>
        <v/>
      </c>
      <c r="F402" s="3" t="str">
        <f>IF($A402="","",IF(countif('Mens Lineup'!F$3:F1000,CONCATENATE("=",$A402))=0,"",F$2))</f>
        <v/>
      </c>
      <c r="G402" s="3" t="str">
        <f>IF($A402="","",IF(countif('Mens Lineup'!G$3:G1000,CONCATENATE("=",$A402))=0,"",G$2))</f>
        <v/>
      </c>
      <c r="H402" s="3" t="str">
        <f>IF($A402="","",IF(countif('Mens Lineup'!H$3:H1000,CONCATENATE("=",$A402))=0,"",H$2))</f>
        <v/>
      </c>
      <c r="I402" s="3" t="str">
        <f>IF($A402="","",IF(countif('Mens Lineup'!I$3:I1000,CONCATENATE("=",$A402))=0,"",I$2))</f>
        <v/>
      </c>
      <c r="J402" s="3" t="str">
        <f>IF($A402="","",IF(countif('Mens Lineup'!J$3:J1000,CONCATENATE("=",$A402))=0,"",J$2))</f>
        <v/>
      </c>
      <c r="K402" s="3" t="str">
        <f>IF($A402="","",IF(countif('Mens Lineup'!K$3:K1000,CONCATENATE("=",$A402))=0,"",K$2))</f>
        <v/>
      </c>
      <c r="L402" s="3" t="str">
        <f>IF($A402="","",IF(countif('Mens Lineup'!L$3:L1000,CONCATENATE("=",$A402))=0,"",L$2))</f>
        <v/>
      </c>
      <c r="M402" s="3" t="str">
        <f>IF($A402="","",IF(countif('Mens Lineup'!M$3:M1000,CONCATENATE("=",$A402))=0,"",M$2))</f>
        <v/>
      </c>
      <c r="N402" s="3" t="str">
        <f>IF($A402="","",IF(countif('Mens Lineup'!N$3:N1000,CONCATENATE("=",$A402))=0,"",N$2))</f>
        <v/>
      </c>
      <c r="O402" s="3" t="str">
        <f>IF($A402="","",IF(countif('Mens Lineup'!O$3:O1000,CONCATENATE("=",$A402))=0,"",O$2))</f>
        <v/>
      </c>
      <c r="P402" s="3" t="str">
        <f>IF($A402="","",IF(countif('Mens Lineup'!P$3:P1000,CONCATENATE("=",$A402))=0,"",P$2))</f>
        <v/>
      </c>
      <c r="Q402" s="3" t="str">
        <f>IF($A402="","",IF(countif('Mens Lineup'!Q$3:Q1000,CONCATENATE("=",$A402))=0,"",Q$2))</f>
        <v/>
      </c>
      <c r="R402" s="3" t="str">
        <f>IF($A402="","",IF(countif('Mens Lineup'!R$3:R1000,CONCATENATE("=",$A402))=0,"",R$2))</f>
        <v/>
      </c>
      <c r="S402" s="3" t="str">
        <f>IF($A402="","",IF(countif('Mens Lineup'!S$3:S1000,CONCATENATE("=",$A402))=0,"",S$2))</f>
        <v/>
      </c>
      <c r="W402" s="3" t="str">
        <f>IFERROR(__xludf.DUMMYFUNCTION("JOIN("","",FILTER(B402:S402,B402:S402&lt;&gt;""""))"),"#N/A")</f>
        <v>#N/A</v>
      </c>
    </row>
    <row r="403">
      <c r="A403" s="3"/>
      <c r="B403" s="3" t="str">
        <f>IF($A403="","",IF(countif('Mens Lineup'!B$3:B1000,CONCATENATE("=",$A403))=0,"",B$2))</f>
        <v/>
      </c>
      <c r="C403" s="3" t="str">
        <f>IF($A403="","",IF(countif('Mens Lineup'!C$3:C1000,CONCATENATE("=",$A403))=0,"",C$2))</f>
        <v/>
      </c>
      <c r="D403" s="3" t="str">
        <f>IF($A403="","",IF(countif('Mens Lineup'!D$3:D1000,CONCATENATE("=",$A403))=0,"",D$2))</f>
        <v/>
      </c>
      <c r="E403" s="3" t="str">
        <f>IF($A403="","",IF(countif('Mens Lineup'!E$3:E1000,CONCATENATE("=",$A403))=0,"",E$2))</f>
        <v/>
      </c>
      <c r="F403" s="3" t="str">
        <f>IF($A403="","",IF(countif('Mens Lineup'!F$3:F1000,CONCATENATE("=",$A403))=0,"",F$2))</f>
        <v/>
      </c>
      <c r="G403" s="3" t="str">
        <f>IF($A403="","",IF(countif('Mens Lineup'!G$3:G1000,CONCATENATE("=",$A403))=0,"",G$2))</f>
        <v/>
      </c>
      <c r="H403" s="3" t="str">
        <f>IF($A403="","",IF(countif('Mens Lineup'!H$3:H1000,CONCATENATE("=",$A403))=0,"",H$2))</f>
        <v/>
      </c>
      <c r="I403" s="3" t="str">
        <f>IF($A403="","",IF(countif('Mens Lineup'!I$3:I1000,CONCATENATE("=",$A403))=0,"",I$2))</f>
        <v/>
      </c>
      <c r="J403" s="3" t="str">
        <f>IF($A403="","",IF(countif('Mens Lineup'!J$3:J1000,CONCATENATE("=",$A403))=0,"",J$2))</f>
        <v/>
      </c>
      <c r="K403" s="3" t="str">
        <f>IF($A403="","",IF(countif('Mens Lineup'!K$3:K1000,CONCATENATE("=",$A403))=0,"",K$2))</f>
        <v/>
      </c>
      <c r="L403" s="3" t="str">
        <f>IF($A403="","",IF(countif('Mens Lineup'!L$3:L1000,CONCATENATE("=",$A403))=0,"",L$2))</f>
        <v/>
      </c>
      <c r="M403" s="3" t="str">
        <f>IF($A403="","",IF(countif('Mens Lineup'!M$3:M1000,CONCATENATE("=",$A403))=0,"",M$2))</f>
        <v/>
      </c>
      <c r="N403" s="3" t="str">
        <f>IF($A403="","",IF(countif('Mens Lineup'!N$3:N1000,CONCATENATE("=",$A403))=0,"",N$2))</f>
        <v/>
      </c>
      <c r="O403" s="3" t="str">
        <f>IF($A403="","",IF(countif('Mens Lineup'!O$3:O1000,CONCATENATE("=",$A403))=0,"",O$2))</f>
        <v/>
      </c>
      <c r="P403" s="3" t="str">
        <f>IF($A403="","",IF(countif('Mens Lineup'!P$3:P1000,CONCATENATE("=",$A403))=0,"",P$2))</f>
        <v/>
      </c>
      <c r="Q403" s="3" t="str">
        <f>IF($A403="","",IF(countif('Mens Lineup'!Q$3:Q1000,CONCATENATE("=",$A403))=0,"",Q$2))</f>
        <v/>
      </c>
      <c r="R403" s="3" t="str">
        <f>IF($A403="","",IF(countif('Mens Lineup'!R$3:R1000,CONCATENATE("=",$A403))=0,"",R$2))</f>
        <v/>
      </c>
      <c r="S403" s="3" t="str">
        <f>IF($A403="","",IF(countif('Mens Lineup'!S$3:S1000,CONCATENATE("=",$A403))=0,"",S$2))</f>
        <v/>
      </c>
      <c r="W403" s="3" t="str">
        <f>IFERROR(__xludf.DUMMYFUNCTION("JOIN("","",FILTER(B403:S403,B403:S403&lt;&gt;""""))"),"#N/A")</f>
        <v>#N/A</v>
      </c>
    </row>
    <row r="404">
      <c r="A404" s="3"/>
      <c r="B404" s="3" t="str">
        <f>IF($A404="","",IF(countif('Mens Lineup'!B$3:B1000,CONCATENATE("=",$A404))=0,"",B$2))</f>
        <v/>
      </c>
      <c r="C404" s="3" t="str">
        <f>IF($A404="","",IF(countif('Mens Lineup'!C$3:C1000,CONCATENATE("=",$A404))=0,"",C$2))</f>
        <v/>
      </c>
      <c r="D404" s="3" t="str">
        <f>IF($A404="","",IF(countif('Mens Lineup'!D$3:D1000,CONCATENATE("=",$A404))=0,"",D$2))</f>
        <v/>
      </c>
      <c r="E404" s="3" t="str">
        <f>IF($A404="","",IF(countif('Mens Lineup'!E$3:E1000,CONCATENATE("=",$A404))=0,"",E$2))</f>
        <v/>
      </c>
      <c r="F404" s="3" t="str">
        <f>IF($A404="","",IF(countif('Mens Lineup'!F$3:F1000,CONCATENATE("=",$A404))=0,"",F$2))</f>
        <v/>
      </c>
      <c r="G404" s="3" t="str">
        <f>IF($A404="","",IF(countif('Mens Lineup'!G$3:G1000,CONCATENATE("=",$A404))=0,"",G$2))</f>
        <v/>
      </c>
      <c r="H404" s="3" t="str">
        <f>IF($A404="","",IF(countif('Mens Lineup'!H$3:H1000,CONCATENATE("=",$A404))=0,"",H$2))</f>
        <v/>
      </c>
      <c r="I404" s="3" t="str">
        <f>IF($A404="","",IF(countif('Mens Lineup'!I$3:I1000,CONCATENATE("=",$A404))=0,"",I$2))</f>
        <v/>
      </c>
      <c r="J404" s="3" t="str">
        <f>IF($A404="","",IF(countif('Mens Lineup'!J$3:J1000,CONCATENATE("=",$A404))=0,"",J$2))</f>
        <v/>
      </c>
      <c r="K404" s="3" t="str">
        <f>IF($A404="","",IF(countif('Mens Lineup'!K$3:K1000,CONCATENATE("=",$A404))=0,"",K$2))</f>
        <v/>
      </c>
      <c r="L404" s="3" t="str">
        <f>IF($A404="","",IF(countif('Mens Lineup'!L$3:L1000,CONCATENATE("=",$A404))=0,"",L$2))</f>
        <v/>
      </c>
      <c r="M404" s="3" t="str">
        <f>IF($A404="","",IF(countif('Mens Lineup'!M$3:M1000,CONCATENATE("=",$A404))=0,"",M$2))</f>
        <v/>
      </c>
      <c r="N404" s="3" t="str">
        <f>IF($A404="","",IF(countif('Mens Lineup'!N$3:N1000,CONCATENATE("=",$A404))=0,"",N$2))</f>
        <v/>
      </c>
      <c r="O404" s="3" t="str">
        <f>IF($A404="","",IF(countif('Mens Lineup'!O$3:O1000,CONCATENATE("=",$A404))=0,"",O$2))</f>
        <v/>
      </c>
      <c r="P404" s="3" t="str">
        <f>IF($A404="","",IF(countif('Mens Lineup'!P$3:P1000,CONCATENATE("=",$A404))=0,"",P$2))</f>
        <v/>
      </c>
      <c r="Q404" s="3" t="str">
        <f>IF($A404="","",IF(countif('Mens Lineup'!Q$3:Q1000,CONCATENATE("=",$A404))=0,"",Q$2))</f>
        <v/>
      </c>
      <c r="R404" s="3" t="str">
        <f>IF($A404="","",IF(countif('Mens Lineup'!R$3:R1000,CONCATENATE("=",$A404))=0,"",R$2))</f>
        <v/>
      </c>
      <c r="S404" s="3" t="str">
        <f>IF($A404="","",IF(countif('Mens Lineup'!S$3:S1000,CONCATENATE("=",$A404))=0,"",S$2))</f>
        <v/>
      </c>
      <c r="W404" s="3" t="str">
        <f>IFERROR(__xludf.DUMMYFUNCTION("JOIN("","",FILTER(B404:S404,B404:S404&lt;&gt;""""))"),"#N/A")</f>
        <v>#N/A</v>
      </c>
    </row>
    <row r="405">
      <c r="A405" s="3"/>
      <c r="B405" s="3" t="str">
        <f>IF($A405="","",IF(countif('Mens Lineup'!B$3:B1000,CONCATENATE("=",$A405))=0,"",B$2))</f>
        <v/>
      </c>
      <c r="C405" s="3" t="str">
        <f>IF($A405="","",IF(countif('Mens Lineup'!C$3:C1000,CONCATENATE("=",$A405))=0,"",C$2))</f>
        <v/>
      </c>
      <c r="D405" s="3" t="str">
        <f>IF($A405="","",IF(countif('Mens Lineup'!D$3:D1000,CONCATENATE("=",$A405))=0,"",D$2))</f>
        <v/>
      </c>
      <c r="E405" s="3" t="str">
        <f>IF($A405="","",IF(countif('Mens Lineup'!E$3:E1000,CONCATENATE("=",$A405))=0,"",E$2))</f>
        <v/>
      </c>
      <c r="F405" s="3" t="str">
        <f>IF($A405="","",IF(countif('Mens Lineup'!F$3:F1000,CONCATENATE("=",$A405))=0,"",F$2))</f>
        <v/>
      </c>
      <c r="G405" s="3" t="str">
        <f>IF($A405="","",IF(countif('Mens Lineup'!G$3:G1000,CONCATENATE("=",$A405))=0,"",G$2))</f>
        <v/>
      </c>
      <c r="H405" s="3" t="str">
        <f>IF($A405="","",IF(countif('Mens Lineup'!H$3:H1000,CONCATENATE("=",$A405))=0,"",H$2))</f>
        <v/>
      </c>
      <c r="I405" s="3" t="str">
        <f>IF($A405="","",IF(countif('Mens Lineup'!I$3:I1000,CONCATENATE("=",$A405))=0,"",I$2))</f>
        <v/>
      </c>
      <c r="J405" s="3" t="str">
        <f>IF($A405="","",IF(countif('Mens Lineup'!J$3:J1000,CONCATENATE("=",$A405))=0,"",J$2))</f>
        <v/>
      </c>
      <c r="K405" s="3" t="str">
        <f>IF($A405="","",IF(countif('Mens Lineup'!K$3:K1000,CONCATENATE("=",$A405))=0,"",K$2))</f>
        <v/>
      </c>
      <c r="L405" s="3" t="str">
        <f>IF($A405="","",IF(countif('Mens Lineup'!L$3:L1000,CONCATENATE("=",$A405))=0,"",L$2))</f>
        <v/>
      </c>
      <c r="M405" s="3" t="str">
        <f>IF($A405="","",IF(countif('Mens Lineup'!M$3:M1000,CONCATENATE("=",$A405))=0,"",M$2))</f>
        <v/>
      </c>
      <c r="N405" s="3" t="str">
        <f>IF($A405="","",IF(countif('Mens Lineup'!N$3:N1000,CONCATENATE("=",$A405))=0,"",N$2))</f>
        <v/>
      </c>
      <c r="O405" s="3" t="str">
        <f>IF($A405="","",IF(countif('Mens Lineup'!O$3:O1000,CONCATENATE("=",$A405))=0,"",O$2))</f>
        <v/>
      </c>
      <c r="P405" s="3" t="str">
        <f>IF($A405="","",IF(countif('Mens Lineup'!P$3:P1000,CONCATENATE("=",$A405))=0,"",P$2))</f>
        <v/>
      </c>
      <c r="Q405" s="3" t="str">
        <f>IF($A405="","",IF(countif('Mens Lineup'!Q$3:Q1000,CONCATENATE("=",$A405))=0,"",Q$2))</f>
        <v/>
      </c>
      <c r="R405" s="3" t="str">
        <f>IF($A405="","",IF(countif('Mens Lineup'!R$3:R1000,CONCATENATE("=",$A405))=0,"",R$2))</f>
        <v/>
      </c>
      <c r="S405" s="3" t="str">
        <f>IF($A405="","",IF(countif('Mens Lineup'!S$3:S1000,CONCATENATE("=",$A405))=0,"",S$2))</f>
        <v/>
      </c>
      <c r="W405" s="3" t="str">
        <f>IFERROR(__xludf.DUMMYFUNCTION("JOIN("","",FILTER(B405:S405,B405:S405&lt;&gt;""""))"),"#N/A")</f>
        <v>#N/A</v>
      </c>
    </row>
    <row r="406">
      <c r="A406" s="3"/>
      <c r="B406" s="3" t="str">
        <f>IF($A406="","",IF(countif('Mens Lineup'!B$3:B1000,CONCATENATE("=",$A406))=0,"",B$2))</f>
        <v/>
      </c>
      <c r="C406" s="3" t="str">
        <f>IF($A406="","",IF(countif('Mens Lineup'!C$3:C1000,CONCATENATE("=",$A406))=0,"",C$2))</f>
        <v/>
      </c>
      <c r="D406" s="3" t="str">
        <f>IF($A406="","",IF(countif('Mens Lineup'!D$3:D1000,CONCATENATE("=",$A406))=0,"",D$2))</f>
        <v/>
      </c>
      <c r="E406" s="3" t="str">
        <f>IF($A406="","",IF(countif('Mens Lineup'!E$3:E1000,CONCATENATE("=",$A406))=0,"",E$2))</f>
        <v/>
      </c>
      <c r="F406" s="3" t="str">
        <f>IF($A406="","",IF(countif('Mens Lineup'!F$3:F1000,CONCATENATE("=",$A406))=0,"",F$2))</f>
        <v/>
      </c>
      <c r="G406" s="3" t="str">
        <f>IF($A406="","",IF(countif('Mens Lineup'!G$3:G1000,CONCATENATE("=",$A406))=0,"",G$2))</f>
        <v/>
      </c>
      <c r="H406" s="3" t="str">
        <f>IF($A406="","",IF(countif('Mens Lineup'!H$3:H1000,CONCATENATE("=",$A406))=0,"",H$2))</f>
        <v/>
      </c>
      <c r="I406" s="3" t="str">
        <f>IF($A406="","",IF(countif('Mens Lineup'!I$3:I1000,CONCATENATE("=",$A406))=0,"",I$2))</f>
        <v/>
      </c>
      <c r="J406" s="3" t="str">
        <f>IF($A406="","",IF(countif('Mens Lineup'!J$3:J1000,CONCATENATE("=",$A406))=0,"",J$2))</f>
        <v/>
      </c>
      <c r="K406" s="3" t="str">
        <f>IF($A406="","",IF(countif('Mens Lineup'!K$3:K1000,CONCATENATE("=",$A406))=0,"",K$2))</f>
        <v/>
      </c>
      <c r="L406" s="3" t="str">
        <f>IF($A406="","",IF(countif('Mens Lineup'!L$3:L1000,CONCATENATE("=",$A406))=0,"",L$2))</f>
        <v/>
      </c>
      <c r="M406" s="3" t="str">
        <f>IF($A406="","",IF(countif('Mens Lineup'!M$3:M1000,CONCATENATE("=",$A406))=0,"",M$2))</f>
        <v/>
      </c>
      <c r="N406" s="3" t="str">
        <f>IF($A406="","",IF(countif('Mens Lineup'!N$3:N1000,CONCATENATE("=",$A406))=0,"",N$2))</f>
        <v/>
      </c>
      <c r="O406" s="3" t="str">
        <f>IF($A406="","",IF(countif('Mens Lineup'!O$3:O1000,CONCATENATE("=",$A406))=0,"",O$2))</f>
        <v/>
      </c>
      <c r="P406" s="3" t="str">
        <f>IF($A406="","",IF(countif('Mens Lineup'!P$3:P1000,CONCATENATE("=",$A406))=0,"",P$2))</f>
        <v/>
      </c>
      <c r="Q406" s="3" t="str">
        <f>IF($A406="","",IF(countif('Mens Lineup'!Q$3:Q1000,CONCATENATE("=",$A406))=0,"",Q$2))</f>
        <v/>
      </c>
      <c r="R406" s="3" t="str">
        <f>IF($A406="","",IF(countif('Mens Lineup'!R$3:R1000,CONCATENATE("=",$A406))=0,"",R$2))</f>
        <v/>
      </c>
      <c r="S406" s="3" t="str">
        <f>IF($A406="","",IF(countif('Mens Lineup'!S$3:S1000,CONCATENATE("=",$A406))=0,"",S$2))</f>
        <v/>
      </c>
      <c r="W406" s="3" t="str">
        <f>IFERROR(__xludf.DUMMYFUNCTION("JOIN("","",FILTER(B406:S406,B406:S406&lt;&gt;""""))"),"#N/A")</f>
        <v>#N/A</v>
      </c>
    </row>
    <row r="407">
      <c r="A407" s="3"/>
      <c r="B407" s="3" t="str">
        <f>IF($A407="","",IF(countif('Mens Lineup'!B$3:B1000,CONCATENATE("=",$A407))=0,"",B$2))</f>
        <v/>
      </c>
      <c r="C407" s="3" t="str">
        <f>IF($A407="","",IF(countif('Mens Lineup'!C$3:C1000,CONCATENATE("=",$A407))=0,"",C$2))</f>
        <v/>
      </c>
      <c r="D407" s="3" t="str">
        <f>IF($A407="","",IF(countif('Mens Lineup'!D$3:D1000,CONCATENATE("=",$A407))=0,"",D$2))</f>
        <v/>
      </c>
      <c r="E407" s="3" t="str">
        <f>IF($A407="","",IF(countif('Mens Lineup'!E$3:E1000,CONCATENATE("=",$A407))=0,"",E$2))</f>
        <v/>
      </c>
      <c r="F407" s="3" t="str">
        <f>IF($A407="","",IF(countif('Mens Lineup'!F$3:F1000,CONCATENATE("=",$A407))=0,"",F$2))</f>
        <v/>
      </c>
      <c r="G407" s="3" t="str">
        <f>IF($A407="","",IF(countif('Mens Lineup'!G$3:G1000,CONCATENATE("=",$A407))=0,"",G$2))</f>
        <v/>
      </c>
      <c r="H407" s="3" t="str">
        <f>IF($A407="","",IF(countif('Mens Lineup'!H$3:H1000,CONCATENATE("=",$A407))=0,"",H$2))</f>
        <v/>
      </c>
      <c r="I407" s="3" t="str">
        <f>IF($A407="","",IF(countif('Mens Lineup'!I$3:I1000,CONCATENATE("=",$A407))=0,"",I$2))</f>
        <v/>
      </c>
      <c r="J407" s="3" t="str">
        <f>IF($A407="","",IF(countif('Mens Lineup'!J$3:J1000,CONCATENATE("=",$A407))=0,"",J$2))</f>
        <v/>
      </c>
      <c r="K407" s="3" t="str">
        <f>IF($A407="","",IF(countif('Mens Lineup'!K$3:K1000,CONCATENATE("=",$A407))=0,"",K$2))</f>
        <v/>
      </c>
      <c r="L407" s="3" t="str">
        <f>IF($A407="","",IF(countif('Mens Lineup'!L$3:L1000,CONCATENATE("=",$A407))=0,"",L$2))</f>
        <v/>
      </c>
      <c r="M407" s="3" t="str">
        <f>IF($A407="","",IF(countif('Mens Lineup'!M$3:M1000,CONCATENATE("=",$A407))=0,"",M$2))</f>
        <v/>
      </c>
      <c r="N407" s="3" t="str">
        <f>IF($A407="","",IF(countif('Mens Lineup'!N$3:N1000,CONCATENATE("=",$A407))=0,"",N$2))</f>
        <v/>
      </c>
      <c r="O407" s="3" t="str">
        <f>IF($A407="","",IF(countif('Mens Lineup'!O$3:O1000,CONCATENATE("=",$A407))=0,"",O$2))</f>
        <v/>
      </c>
      <c r="P407" s="3" t="str">
        <f>IF($A407="","",IF(countif('Mens Lineup'!P$3:P1000,CONCATENATE("=",$A407))=0,"",P$2))</f>
        <v/>
      </c>
      <c r="Q407" s="3" t="str">
        <f>IF($A407="","",IF(countif('Mens Lineup'!Q$3:Q1000,CONCATENATE("=",$A407))=0,"",Q$2))</f>
        <v/>
      </c>
      <c r="R407" s="3" t="str">
        <f>IF($A407="","",IF(countif('Mens Lineup'!R$3:R1000,CONCATENATE("=",$A407))=0,"",R$2))</f>
        <v/>
      </c>
      <c r="S407" s="3" t="str">
        <f>IF($A407="","",IF(countif('Mens Lineup'!S$3:S1000,CONCATENATE("=",$A407))=0,"",S$2))</f>
        <v/>
      </c>
      <c r="W407" s="3" t="str">
        <f>IFERROR(__xludf.DUMMYFUNCTION("JOIN("","",FILTER(B407:S407,B407:S407&lt;&gt;""""))"),"#N/A")</f>
        <v>#N/A</v>
      </c>
    </row>
    <row r="408">
      <c r="A408" s="3"/>
      <c r="B408" s="3" t="str">
        <f>IF($A408="","",IF(countif('Mens Lineup'!B$3:B1000,CONCATENATE("=",$A408))=0,"",B$2))</f>
        <v/>
      </c>
      <c r="C408" s="3" t="str">
        <f>IF($A408="","",IF(countif('Mens Lineup'!C$3:C1000,CONCATENATE("=",$A408))=0,"",C$2))</f>
        <v/>
      </c>
      <c r="D408" s="3" t="str">
        <f>IF($A408="","",IF(countif('Mens Lineup'!D$3:D1000,CONCATENATE("=",$A408))=0,"",D$2))</f>
        <v/>
      </c>
      <c r="E408" s="3" t="str">
        <f>IF($A408="","",IF(countif('Mens Lineup'!E$3:E1000,CONCATENATE("=",$A408))=0,"",E$2))</f>
        <v/>
      </c>
      <c r="F408" s="3" t="str">
        <f>IF($A408="","",IF(countif('Mens Lineup'!F$3:F1000,CONCATENATE("=",$A408))=0,"",F$2))</f>
        <v/>
      </c>
      <c r="G408" s="3" t="str">
        <f>IF($A408="","",IF(countif('Mens Lineup'!G$3:G1000,CONCATENATE("=",$A408))=0,"",G$2))</f>
        <v/>
      </c>
      <c r="H408" s="3" t="str">
        <f>IF($A408="","",IF(countif('Mens Lineup'!H$3:H1000,CONCATENATE("=",$A408))=0,"",H$2))</f>
        <v/>
      </c>
      <c r="I408" s="3" t="str">
        <f>IF($A408="","",IF(countif('Mens Lineup'!I$3:I1000,CONCATENATE("=",$A408))=0,"",I$2))</f>
        <v/>
      </c>
      <c r="J408" s="3" t="str">
        <f>IF($A408="","",IF(countif('Mens Lineup'!J$3:J1000,CONCATENATE("=",$A408))=0,"",J$2))</f>
        <v/>
      </c>
      <c r="K408" s="3" t="str">
        <f>IF($A408="","",IF(countif('Mens Lineup'!K$3:K1000,CONCATENATE("=",$A408))=0,"",K$2))</f>
        <v/>
      </c>
      <c r="L408" s="3" t="str">
        <f>IF($A408="","",IF(countif('Mens Lineup'!L$3:L1000,CONCATENATE("=",$A408))=0,"",L$2))</f>
        <v/>
      </c>
      <c r="M408" s="3" t="str">
        <f>IF($A408="","",IF(countif('Mens Lineup'!M$3:M1000,CONCATENATE("=",$A408))=0,"",M$2))</f>
        <v/>
      </c>
      <c r="N408" s="3" t="str">
        <f>IF($A408="","",IF(countif('Mens Lineup'!N$3:N1000,CONCATENATE("=",$A408))=0,"",N$2))</f>
        <v/>
      </c>
      <c r="O408" s="3" t="str">
        <f>IF($A408="","",IF(countif('Mens Lineup'!O$3:O1000,CONCATENATE("=",$A408))=0,"",O$2))</f>
        <v/>
      </c>
      <c r="P408" s="3" t="str">
        <f>IF($A408="","",IF(countif('Mens Lineup'!P$3:P1000,CONCATENATE("=",$A408))=0,"",P$2))</f>
        <v/>
      </c>
      <c r="Q408" s="3" t="str">
        <f>IF($A408="","",IF(countif('Mens Lineup'!Q$3:Q1000,CONCATENATE("=",$A408))=0,"",Q$2))</f>
        <v/>
      </c>
      <c r="R408" s="3" t="str">
        <f>IF($A408="","",IF(countif('Mens Lineup'!R$3:R1000,CONCATENATE("=",$A408))=0,"",R$2))</f>
        <v/>
      </c>
      <c r="S408" s="3" t="str">
        <f>IF($A408="","",IF(countif('Mens Lineup'!S$3:S1000,CONCATENATE("=",$A408))=0,"",S$2))</f>
        <v/>
      </c>
      <c r="W408" s="3" t="str">
        <f>IFERROR(__xludf.DUMMYFUNCTION("JOIN("","",FILTER(B408:S408,B408:S408&lt;&gt;""""))"),"#N/A")</f>
        <v>#N/A</v>
      </c>
    </row>
    <row r="409">
      <c r="A409" s="3"/>
      <c r="B409" s="3" t="str">
        <f>IF($A409="","",IF(countif('Mens Lineup'!B$3:B1000,CONCATENATE("=",$A409))=0,"",B$2))</f>
        <v/>
      </c>
      <c r="C409" s="3" t="str">
        <f>IF($A409="","",IF(countif('Mens Lineup'!C$3:C1000,CONCATENATE("=",$A409))=0,"",C$2))</f>
        <v/>
      </c>
      <c r="D409" s="3" t="str">
        <f>IF($A409="","",IF(countif('Mens Lineup'!D$3:D1000,CONCATENATE("=",$A409))=0,"",D$2))</f>
        <v/>
      </c>
      <c r="E409" s="3" t="str">
        <f>IF($A409="","",IF(countif('Mens Lineup'!E$3:E1000,CONCATENATE("=",$A409))=0,"",E$2))</f>
        <v/>
      </c>
      <c r="F409" s="3" t="str">
        <f>IF($A409="","",IF(countif('Mens Lineup'!F$3:F1000,CONCATENATE("=",$A409))=0,"",F$2))</f>
        <v/>
      </c>
      <c r="G409" s="3" t="str">
        <f>IF($A409="","",IF(countif('Mens Lineup'!G$3:G1000,CONCATENATE("=",$A409))=0,"",G$2))</f>
        <v/>
      </c>
      <c r="H409" s="3" t="str">
        <f>IF($A409="","",IF(countif('Mens Lineup'!H$3:H1000,CONCATENATE("=",$A409))=0,"",H$2))</f>
        <v/>
      </c>
      <c r="I409" s="3" t="str">
        <f>IF($A409="","",IF(countif('Mens Lineup'!I$3:I1000,CONCATENATE("=",$A409))=0,"",I$2))</f>
        <v/>
      </c>
      <c r="J409" s="3" t="str">
        <f>IF($A409="","",IF(countif('Mens Lineup'!J$3:J1000,CONCATENATE("=",$A409))=0,"",J$2))</f>
        <v/>
      </c>
      <c r="K409" s="3" t="str">
        <f>IF($A409="","",IF(countif('Mens Lineup'!K$3:K1000,CONCATENATE("=",$A409))=0,"",K$2))</f>
        <v/>
      </c>
      <c r="L409" s="3" t="str">
        <f>IF($A409="","",IF(countif('Mens Lineup'!L$3:L1000,CONCATENATE("=",$A409))=0,"",L$2))</f>
        <v/>
      </c>
      <c r="M409" s="3" t="str">
        <f>IF($A409="","",IF(countif('Mens Lineup'!M$3:M1000,CONCATENATE("=",$A409))=0,"",M$2))</f>
        <v/>
      </c>
      <c r="N409" s="3" t="str">
        <f>IF($A409="","",IF(countif('Mens Lineup'!N$3:N1000,CONCATENATE("=",$A409))=0,"",N$2))</f>
        <v/>
      </c>
      <c r="O409" s="3" t="str">
        <f>IF($A409="","",IF(countif('Mens Lineup'!O$3:O1000,CONCATENATE("=",$A409))=0,"",O$2))</f>
        <v/>
      </c>
      <c r="P409" s="3" t="str">
        <f>IF($A409="","",IF(countif('Mens Lineup'!P$3:P1000,CONCATENATE("=",$A409))=0,"",P$2))</f>
        <v/>
      </c>
      <c r="Q409" s="3" t="str">
        <f>IF($A409="","",IF(countif('Mens Lineup'!Q$3:Q1000,CONCATENATE("=",$A409))=0,"",Q$2))</f>
        <v/>
      </c>
      <c r="R409" s="3" t="str">
        <f>IF($A409="","",IF(countif('Mens Lineup'!R$3:R1000,CONCATENATE("=",$A409))=0,"",R$2))</f>
        <v/>
      </c>
      <c r="S409" s="3" t="str">
        <f>IF($A409="","",IF(countif('Mens Lineup'!S$3:S1000,CONCATENATE("=",$A409))=0,"",S$2))</f>
        <v/>
      </c>
      <c r="W409" s="3" t="str">
        <f>IFERROR(__xludf.DUMMYFUNCTION("JOIN("","",FILTER(B409:S409,B409:S409&lt;&gt;""""))"),"#N/A")</f>
        <v>#N/A</v>
      </c>
    </row>
    <row r="410">
      <c r="A410" s="3"/>
      <c r="B410" s="3" t="str">
        <f>IF($A410="","",IF(countif('Mens Lineup'!B$3:B1000,CONCATENATE("=",$A410))=0,"",B$2))</f>
        <v/>
      </c>
      <c r="C410" s="3" t="str">
        <f>IF($A410="","",IF(countif('Mens Lineup'!C$3:C1000,CONCATENATE("=",$A410))=0,"",C$2))</f>
        <v/>
      </c>
      <c r="D410" s="3" t="str">
        <f>IF($A410="","",IF(countif('Mens Lineup'!D$3:D1000,CONCATENATE("=",$A410))=0,"",D$2))</f>
        <v/>
      </c>
      <c r="E410" s="3" t="str">
        <f>IF($A410="","",IF(countif('Mens Lineup'!E$3:E1000,CONCATENATE("=",$A410))=0,"",E$2))</f>
        <v/>
      </c>
      <c r="F410" s="3" t="str">
        <f>IF($A410="","",IF(countif('Mens Lineup'!F$3:F1000,CONCATENATE("=",$A410))=0,"",F$2))</f>
        <v/>
      </c>
      <c r="G410" s="3" t="str">
        <f>IF($A410="","",IF(countif('Mens Lineup'!G$3:G1000,CONCATENATE("=",$A410))=0,"",G$2))</f>
        <v/>
      </c>
      <c r="H410" s="3" t="str">
        <f>IF($A410="","",IF(countif('Mens Lineup'!H$3:H1000,CONCATENATE("=",$A410))=0,"",H$2))</f>
        <v/>
      </c>
      <c r="I410" s="3" t="str">
        <f>IF($A410="","",IF(countif('Mens Lineup'!I$3:I1000,CONCATENATE("=",$A410))=0,"",I$2))</f>
        <v/>
      </c>
      <c r="J410" s="3" t="str">
        <f>IF($A410="","",IF(countif('Mens Lineup'!J$3:J1000,CONCATENATE("=",$A410))=0,"",J$2))</f>
        <v/>
      </c>
      <c r="K410" s="3" t="str">
        <f>IF($A410="","",IF(countif('Mens Lineup'!K$3:K1000,CONCATENATE("=",$A410))=0,"",K$2))</f>
        <v/>
      </c>
      <c r="L410" s="3" t="str">
        <f>IF($A410="","",IF(countif('Mens Lineup'!L$3:L1000,CONCATENATE("=",$A410))=0,"",L$2))</f>
        <v/>
      </c>
      <c r="M410" s="3" t="str">
        <f>IF($A410="","",IF(countif('Mens Lineup'!M$3:M1000,CONCATENATE("=",$A410))=0,"",M$2))</f>
        <v/>
      </c>
      <c r="N410" s="3" t="str">
        <f>IF($A410="","",IF(countif('Mens Lineup'!N$3:N1000,CONCATENATE("=",$A410))=0,"",N$2))</f>
        <v/>
      </c>
      <c r="O410" s="3" t="str">
        <f>IF($A410="","",IF(countif('Mens Lineup'!O$3:O1000,CONCATENATE("=",$A410))=0,"",O$2))</f>
        <v/>
      </c>
      <c r="P410" s="3" t="str">
        <f>IF($A410="","",IF(countif('Mens Lineup'!P$3:P1000,CONCATENATE("=",$A410))=0,"",P$2))</f>
        <v/>
      </c>
      <c r="Q410" s="3" t="str">
        <f>IF($A410="","",IF(countif('Mens Lineup'!Q$3:Q1000,CONCATENATE("=",$A410))=0,"",Q$2))</f>
        <v/>
      </c>
      <c r="R410" s="3" t="str">
        <f>IF($A410="","",IF(countif('Mens Lineup'!R$3:R1000,CONCATENATE("=",$A410))=0,"",R$2))</f>
        <v/>
      </c>
      <c r="S410" s="3" t="str">
        <f>IF($A410="","",IF(countif('Mens Lineup'!S$3:S1000,CONCATENATE("=",$A410))=0,"",S$2))</f>
        <v/>
      </c>
      <c r="W410" s="3" t="str">
        <f>IFERROR(__xludf.DUMMYFUNCTION("JOIN("","",FILTER(B410:S410,B410:S410&lt;&gt;""""))"),"#N/A")</f>
        <v>#N/A</v>
      </c>
    </row>
    <row r="411">
      <c r="A411" s="3"/>
      <c r="B411" s="3" t="str">
        <f>IF($A411="","",IF(countif('Mens Lineup'!B$3:B1000,CONCATENATE("=",$A411))=0,"",B$2))</f>
        <v/>
      </c>
      <c r="C411" s="3" t="str">
        <f>IF($A411="","",IF(countif('Mens Lineup'!C$3:C1000,CONCATENATE("=",$A411))=0,"",C$2))</f>
        <v/>
      </c>
      <c r="D411" s="3" t="str">
        <f>IF($A411="","",IF(countif('Mens Lineup'!D$3:D1000,CONCATENATE("=",$A411))=0,"",D$2))</f>
        <v/>
      </c>
      <c r="E411" s="3" t="str">
        <f>IF($A411="","",IF(countif('Mens Lineup'!E$3:E1000,CONCATENATE("=",$A411))=0,"",E$2))</f>
        <v/>
      </c>
      <c r="F411" s="3" t="str">
        <f>IF($A411="","",IF(countif('Mens Lineup'!F$3:F1000,CONCATENATE("=",$A411))=0,"",F$2))</f>
        <v/>
      </c>
      <c r="G411" s="3" t="str">
        <f>IF($A411="","",IF(countif('Mens Lineup'!G$3:G1000,CONCATENATE("=",$A411))=0,"",G$2))</f>
        <v/>
      </c>
      <c r="H411" s="3" t="str">
        <f>IF($A411="","",IF(countif('Mens Lineup'!H$3:H1000,CONCATENATE("=",$A411))=0,"",H$2))</f>
        <v/>
      </c>
      <c r="I411" s="3" t="str">
        <f>IF($A411="","",IF(countif('Mens Lineup'!I$3:I1000,CONCATENATE("=",$A411))=0,"",I$2))</f>
        <v/>
      </c>
      <c r="J411" s="3" t="str">
        <f>IF($A411="","",IF(countif('Mens Lineup'!J$3:J1000,CONCATENATE("=",$A411))=0,"",J$2))</f>
        <v/>
      </c>
      <c r="K411" s="3" t="str">
        <f>IF($A411="","",IF(countif('Mens Lineup'!K$3:K1000,CONCATENATE("=",$A411))=0,"",K$2))</f>
        <v/>
      </c>
      <c r="L411" s="3" t="str">
        <f>IF($A411="","",IF(countif('Mens Lineup'!L$3:L1000,CONCATENATE("=",$A411))=0,"",L$2))</f>
        <v/>
      </c>
      <c r="M411" s="3" t="str">
        <f>IF($A411="","",IF(countif('Mens Lineup'!M$3:M1000,CONCATENATE("=",$A411))=0,"",M$2))</f>
        <v/>
      </c>
      <c r="N411" s="3" t="str">
        <f>IF($A411="","",IF(countif('Mens Lineup'!N$3:N1000,CONCATENATE("=",$A411))=0,"",N$2))</f>
        <v/>
      </c>
      <c r="O411" s="3" t="str">
        <f>IF($A411="","",IF(countif('Mens Lineup'!O$3:O1000,CONCATENATE("=",$A411))=0,"",O$2))</f>
        <v/>
      </c>
      <c r="P411" s="3" t="str">
        <f>IF($A411="","",IF(countif('Mens Lineup'!P$3:P1000,CONCATENATE("=",$A411))=0,"",P$2))</f>
        <v/>
      </c>
      <c r="Q411" s="3" t="str">
        <f>IF($A411="","",IF(countif('Mens Lineup'!Q$3:Q1000,CONCATENATE("=",$A411))=0,"",Q$2))</f>
        <v/>
      </c>
      <c r="R411" s="3" t="str">
        <f>IF($A411="","",IF(countif('Mens Lineup'!R$3:R1000,CONCATENATE("=",$A411))=0,"",R$2))</f>
        <v/>
      </c>
      <c r="S411" s="3" t="str">
        <f>IF($A411="","",IF(countif('Mens Lineup'!S$3:S1000,CONCATENATE("=",$A411))=0,"",S$2))</f>
        <v/>
      </c>
      <c r="W411" s="3" t="str">
        <f>IFERROR(__xludf.DUMMYFUNCTION("JOIN("","",FILTER(B411:S411,B411:S411&lt;&gt;""""))"),"#N/A")</f>
        <v>#N/A</v>
      </c>
    </row>
    <row r="412">
      <c r="A412" s="3"/>
      <c r="B412" s="3" t="str">
        <f>IF($A412="","",IF(countif('Mens Lineup'!B$3:B1000,CONCATENATE("=",$A412))=0,"",B$2))</f>
        <v/>
      </c>
      <c r="C412" s="3" t="str">
        <f>IF($A412="","",IF(countif('Mens Lineup'!C$3:C1000,CONCATENATE("=",$A412))=0,"",C$2))</f>
        <v/>
      </c>
      <c r="D412" s="3" t="str">
        <f>IF($A412="","",IF(countif('Mens Lineup'!D$3:D1000,CONCATENATE("=",$A412))=0,"",D$2))</f>
        <v/>
      </c>
      <c r="E412" s="3" t="str">
        <f>IF($A412="","",IF(countif('Mens Lineup'!E$3:E1000,CONCATENATE("=",$A412))=0,"",E$2))</f>
        <v/>
      </c>
      <c r="F412" s="3" t="str">
        <f>IF($A412="","",IF(countif('Mens Lineup'!F$3:F1000,CONCATENATE("=",$A412))=0,"",F$2))</f>
        <v/>
      </c>
      <c r="G412" s="3" t="str">
        <f>IF($A412="","",IF(countif('Mens Lineup'!G$3:G1000,CONCATENATE("=",$A412))=0,"",G$2))</f>
        <v/>
      </c>
      <c r="H412" s="3" t="str">
        <f>IF($A412="","",IF(countif('Mens Lineup'!H$3:H1000,CONCATENATE("=",$A412))=0,"",H$2))</f>
        <v/>
      </c>
      <c r="I412" s="3" t="str">
        <f>IF($A412="","",IF(countif('Mens Lineup'!I$3:I1000,CONCATENATE("=",$A412))=0,"",I$2))</f>
        <v/>
      </c>
      <c r="J412" s="3" t="str">
        <f>IF($A412="","",IF(countif('Mens Lineup'!J$3:J1000,CONCATENATE("=",$A412))=0,"",J$2))</f>
        <v/>
      </c>
      <c r="K412" s="3" t="str">
        <f>IF($A412="","",IF(countif('Mens Lineup'!K$3:K1000,CONCATENATE("=",$A412))=0,"",K$2))</f>
        <v/>
      </c>
      <c r="L412" s="3" t="str">
        <f>IF($A412="","",IF(countif('Mens Lineup'!L$3:L1000,CONCATENATE("=",$A412))=0,"",L$2))</f>
        <v/>
      </c>
      <c r="M412" s="3" t="str">
        <f>IF($A412="","",IF(countif('Mens Lineup'!M$3:M1000,CONCATENATE("=",$A412))=0,"",M$2))</f>
        <v/>
      </c>
      <c r="N412" s="3" t="str">
        <f>IF($A412="","",IF(countif('Mens Lineup'!N$3:N1000,CONCATENATE("=",$A412))=0,"",N$2))</f>
        <v/>
      </c>
      <c r="O412" s="3" t="str">
        <f>IF($A412="","",IF(countif('Mens Lineup'!O$3:O1000,CONCATENATE("=",$A412))=0,"",O$2))</f>
        <v/>
      </c>
      <c r="P412" s="3" t="str">
        <f>IF($A412="","",IF(countif('Mens Lineup'!P$3:P1000,CONCATENATE("=",$A412))=0,"",P$2))</f>
        <v/>
      </c>
      <c r="Q412" s="3" t="str">
        <f>IF($A412="","",IF(countif('Mens Lineup'!Q$3:Q1000,CONCATENATE("=",$A412))=0,"",Q$2))</f>
        <v/>
      </c>
      <c r="R412" s="3" t="str">
        <f>IF($A412="","",IF(countif('Mens Lineup'!R$3:R1000,CONCATENATE("=",$A412))=0,"",R$2))</f>
        <v/>
      </c>
      <c r="S412" s="3" t="str">
        <f>IF($A412="","",IF(countif('Mens Lineup'!S$3:S1000,CONCATENATE("=",$A412))=0,"",S$2))</f>
        <v/>
      </c>
      <c r="W412" s="3" t="str">
        <f>IFERROR(__xludf.DUMMYFUNCTION("JOIN("","",FILTER(B412:S412,B412:S412&lt;&gt;""""))"),"#N/A")</f>
        <v>#N/A</v>
      </c>
    </row>
    <row r="413">
      <c r="A413" s="3"/>
      <c r="B413" s="3" t="str">
        <f>IF($A413="","",IF(countif('Mens Lineup'!B$3:B1000,CONCATENATE("=",$A413))=0,"",B$2))</f>
        <v/>
      </c>
      <c r="C413" s="3" t="str">
        <f>IF($A413="","",IF(countif('Mens Lineup'!C$3:C1000,CONCATENATE("=",$A413))=0,"",C$2))</f>
        <v/>
      </c>
      <c r="D413" s="3" t="str">
        <f>IF($A413="","",IF(countif('Mens Lineup'!D$3:D1000,CONCATENATE("=",$A413))=0,"",D$2))</f>
        <v/>
      </c>
      <c r="E413" s="3" t="str">
        <f>IF($A413="","",IF(countif('Mens Lineup'!E$3:E1000,CONCATENATE("=",$A413))=0,"",E$2))</f>
        <v/>
      </c>
      <c r="F413" s="3" t="str">
        <f>IF($A413="","",IF(countif('Mens Lineup'!F$3:F1000,CONCATENATE("=",$A413))=0,"",F$2))</f>
        <v/>
      </c>
      <c r="G413" s="3" t="str">
        <f>IF($A413="","",IF(countif('Mens Lineup'!G$3:G1000,CONCATENATE("=",$A413))=0,"",G$2))</f>
        <v/>
      </c>
      <c r="H413" s="3" t="str">
        <f>IF($A413="","",IF(countif('Mens Lineup'!H$3:H1000,CONCATENATE("=",$A413))=0,"",H$2))</f>
        <v/>
      </c>
      <c r="I413" s="3" t="str">
        <f>IF($A413="","",IF(countif('Mens Lineup'!I$3:I1000,CONCATENATE("=",$A413))=0,"",I$2))</f>
        <v/>
      </c>
      <c r="J413" s="3" t="str">
        <f>IF($A413="","",IF(countif('Mens Lineup'!J$3:J1000,CONCATENATE("=",$A413))=0,"",J$2))</f>
        <v/>
      </c>
      <c r="K413" s="3" t="str">
        <f>IF($A413="","",IF(countif('Mens Lineup'!K$3:K1000,CONCATENATE("=",$A413))=0,"",K$2))</f>
        <v/>
      </c>
      <c r="L413" s="3" t="str">
        <f>IF($A413="","",IF(countif('Mens Lineup'!L$3:L1000,CONCATENATE("=",$A413))=0,"",L$2))</f>
        <v/>
      </c>
      <c r="M413" s="3" t="str">
        <f>IF($A413="","",IF(countif('Mens Lineup'!M$3:M1000,CONCATENATE("=",$A413))=0,"",M$2))</f>
        <v/>
      </c>
      <c r="N413" s="3" t="str">
        <f>IF($A413="","",IF(countif('Mens Lineup'!N$3:N1000,CONCATENATE("=",$A413))=0,"",N$2))</f>
        <v/>
      </c>
      <c r="O413" s="3" t="str">
        <f>IF($A413="","",IF(countif('Mens Lineup'!O$3:O1000,CONCATENATE("=",$A413))=0,"",O$2))</f>
        <v/>
      </c>
      <c r="P413" s="3" t="str">
        <f>IF($A413="","",IF(countif('Mens Lineup'!P$3:P1000,CONCATENATE("=",$A413))=0,"",P$2))</f>
        <v/>
      </c>
      <c r="Q413" s="3" t="str">
        <f>IF($A413="","",IF(countif('Mens Lineup'!Q$3:Q1000,CONCATENATE("=",$A413))=0,"",Q$2))</f>
        <v/>
      </c>
      <c r="R413" s="3" t="str">
        <f>IF($A413="","",IF(countif('Mens Lineup'!R$3:R1000,CONCATENATE("=",$A413))=0,"",R$2))</f>
        <v/>
      </c>
      <c r="S413" s="3" t="str">
        <f>IF($A413="","",IF(countif('Mens Lineup'!S$3:S1000,CONCATENATE("=",$A413))=0,"",S$2))</f>
        <v/>
      </c>
      <c r="W413" s="3" t="str">
        <f>IFERROR(__xludf.DUMMYFUNCTION("JOIN("","",FILTER(B413:S413,B413:S413&lt;&gt;""""))"),"#N/A")</f>
        <v>#N/A</v>
      </c>
    </row>
    <row r="414">
      <c r="A414" s="3"/>
      <c r="B414" s="3" t="str">
        <f>IF($A414="","",IF(countif('Mens Lineup'!B$3:B1000,CONCATENATE("=",$A414))=0,"",B$2))</f>
        <v/>
      </c>
      <c r="C414" s="3" t="str">
        <f>IF($A414="","",IF(countif('Mens Lineup'!C$3:C1000,CONCATENATE("=",$A414))=0,"",C$2))</f>
        <v/>
      </c>
      <c r="D414" s="3" t="str">
        <f>IF($A414="","",IF(countif('Mens Lineup'!D$3:D1000,CONCATENATE("=",$A414))=0,"",D$2))</f>
        <v/>
      </c>
      <c r="E414" s="3" t="str">
        <f>IF($A414="","",IF(countif('Mens Lineup'!E$3:E1000,CONCATENATE("=",$A414))=0,"",E$2))</f>
        <v/>
      </c>
      <c r="F414" s="3" t="str">
        <f>IF($A414="","",IF(countif('Mens Lineup'!F$3:F1000,CONCATENATE("=",$A414))=0,"",F$2))</f>
        <v/>
      </c>
      <c r="G414" s="3" t="str">
        <f>IF($A414="","",IF(countif('Mens Lineup'!G$3:G1000,CONCATENATE("=",$A414))=0,"",G$2))</f>
        <v/>
      </c>
      <c r="H414" s="3" t="str">
        <f>IF($A414="","",IF(countif('Mens Lineup'!H$3:H1000,CONCATENATE("=",$A414))=0,"",H$2))</f>
        <v/>
      </c>
      <c r="I414" s="3" t="str">
        <f>IF($A414="","",IF(countif('Mens Lineup'!I$3:I1000,CONCATENATE("=",$A414))=0,"",I$2))</f>
        <v/>
      </c>
      <c r="J414" s="3" t="str">
        <f>IF($A414="","",IF(countif('Mens Lineup'!J$3:J1000,CONCATENATE("=",$A414))=0,"",J$2))</f>
        <v/>
      </c>
      <c r="K414" s="3" t="str">
        <f>IF($A414="","",IF(countif('Mens Lineup'!K$3:K1000,CONCATENATE("=",$A414))=0,"",K$2))</f>
        <v/>
      </c>
      <c r="L414" s="3" t="str">
        <f>IF($A414="","",IF(countif('Mens Lineup'!L$3:L1000,CONCATENATE("=",$A414))=0,"",L$2))</f>
        <v/>
      </c>
      <c r="M414" s="3" t="str">
        <f>IF($A414="","",IF(countif('Mens Lineup'!M$3:M1000,CONCATENATE("=",$A414))=0,"",M$2))</f>
        <v/>
      </c>
      <c r="N414" s="3" t="str">
        <f>IF($A414="","",IF(countif('Mens Lineup'!N$3:N1000,CONCATENATE("=",$A414))=0,"",N$2))</f>
        <v/>
      </c>
      <c r="O414" s="3" t="str">
        <f>IF($A414="","",IF(countif('Mens Lineup'!O$3:O1000,CONCATENATE("=",$A414))=0,"",O$2))</f>
        <v/>
      </c>
      <c r="P414" s="3" t="str">
        <f>IF($A414="","",IF(countif('Mens Lineup'!P$3:P1000,CONCATENATE("=",$A414))=0,"",P$2))</f>
        <v/>
      </c>
      <c r="Q414" s="3" t="str">
        <f>IF($A414="","",IF(countif('Mens Lineup'!Q$3:Q1000,CONCATENATE("=",$A414))=0,"",Q$2))</f>
        <v/>
      </c>
      <c r="R414" s="3" t="str">
        <f>IF($A414="","",IF(countif('Mens Lineup'!R$3:R1000,CONCATENATE("=",$A414))=0,"",R$2))</f>
        <v/>
      </c>
      <c r="S414" s="3" t="str">
        <f>IF($A414="","",IF(countif('Mens Lineup'!S$3:S1000,CONCATENATE("=",$A414))=0,"",S$2))</f>
        <v/>
      </c>
      <c r="W414" s="3" t="str">
        <f>IFERROR(__xludf.DUMMYFUNCTION("JOIN("","",FILTER(B414:S414,B414:S414&lt;&gt;""""))"),"#N/A")</f>
        <v>#N/A</v>
      </c>
    </row>
    <row r="415">
      <c r="A415" s="3"/>
      <c r="B415" s="3" t="str">
        <f>IF($A415="","",IF(countif('Mens Lineup'!B$3:B1000,CONCATENATE("=",$A415))=0,"",B$2))</f>
        <v/>
      </c>
      <c r="C415" s="3" t="str">
        <f>IF($A415="","",IF(countif('Mens Lineup'!C$3:C1000,CONCATENATE("=",$A415))=0,"",C$2))</f>
        <v/>
      </c>
      <c r="D415" s="3" t="str">
        <f>IF($A415="","",IF(countif('Mens Lineup'!D$3:D1000,CONCATENATE("=",$A415))=0,"",D$2))</f>
        <v/>
      </c>
      <c r="E415" s="3" t="str">
        <f>IF($A415="","",IF(countif('Mens Lineup'!E$3:E1000,CONCATENATE("=",$A415))=0,"",E$2))</f>
        <v/>
      </c>
      <c r="F415" s="3" t="str">
        <f>IF($A415="","",IF(countif('Mens Lineup'!F$3:F1000,CONCATENATE("=",$A415))=0,"",F$2))</f>
        <v/>
      </c>
      <c r="G415" s="3" t="str">
        <f>IF($A415="","",IF(countif('Mens Lineup'!G$3:G1000,CONCATENATE("=",$A415))=0,"",G$2))</f>
        <v/>
      </c>
      <c r="H415" s="3" t="str">
        <f>IF($A415="","",IF(countif('Mens Lineup'!H$3:H1000,CONCATENATE("=",$A415))=0,"",H$2))</f>
        <v/>
      </c>
      <c r="I415" s="3" t="str">
        <f>IF($A415="","",IF(countif('Mens Lineup'!I$3:I1000,CONCATENATE("=",$A415))=0,"",I$2))</f>
        <v/>
      </c>
      <c r="J415" s="3" t="str">
        <f>IF($A415="","",IF(countif('Mens Lineup'!J$3:J1000,CONCATENATE("=",$A415))=0,"",J$2))</f>
        <v/>
      </c>
      <c r="K415" s="3" t="str">
        <f>IF($A415="","",IF(countif('Mens Lineup'!K$3:K1000,CONCATENATE("=",$A415))=0,"",K$2))</f>
        <v/>
      </c>
      <c r="L415" s="3" t="str">
        <f>IF($A415="","",IF(countif('Mens Lineup'!L$3:L1000,CONCATENATE("=",$A415))=0,"",L$2))</f>
        <v/>
      </c>
      <c r="M415" s="3" t="str">
        <f>IF($A415="","",IF(countif('Mens Lineup'!M$3:M1000,CONCATENATE("=",$A415))=0,"",M$2))</f>
        <v/>
      </c>
      <c r="N415" s="3" t="str">
        <f>IF($A415="","",IF(countif('Mens Lineup'!N$3:N1000,CONCATENATE("=",$A415))=0,"",N$2))</f>
        <v/>
      </c>
      <c r="O415" s="3" t="str">
        <f>IF($A415="","",IF(countif('Mens Lineup'!O$3:O1000,CONCATENATE("=",$A415))=0,"",O$2))</f>
        <v/>
      </c>
      <c r="P415" s="3" t="str">
        <f>IF($A415="","",IF(countif('Mens Lineup'!P$3:P1000,CONCATENATE("=",$A415))=0,"",P$2))</f>
        <v/>
      </c>
      <c r="Q415" s="3" t="str">
        <f>IF($A415="","",IF(countif('Mens Lineup'!Q$3:Q1000,CONCATENATE("=",$A415))=0,"",Q$2))</f>
        <v/>
      </c>
      <c r="R415" s="3" t="str">
        <f>IF($A415="","",IF(countif('Mens Lineup'!R$3:R1000,CONCATENATE("=",$A415))=0,"",R$2))</f>
        <v/>
      </c>
      <c r="S415" s="3" t="str">
        <f>IF($A415="","",IF(countif('Mens Lineup'!S$3:S1000,CONCATENATE("=",$A415))=0,"",S$2))</f>
        <v/>
      </c>
      <c r="W415" s="3" t="str">
        <f>IFERROR(__xludf.DUMMYFUNCTION("JOIN("","",FILTER(B415:S415,B415:S415&lt;&gt;""""))"),"#N/A")</f>
        <v>#N/A</v>
      </c>
    </row>
    <row r="416">
      <c r="A416" s="3"/>
      <c r="B416" s="3" t="str">
        <f>IF($A416="","",IF(countif('Mens Lineup'!B$3:B1000,CONCATENATE("=",$A416))=0,"",B$2))</f>
        <v/>
      </c>
      <c r="C416" s="3" t="str">
        <f>IF($A416="","",IF(countif('Mens Lineup'!C$3:C1000,CONCATENATE("=",$A416))=0,"",C$2))</f>
        <v/>
      </c>
      <c r="D416" s="3" t="str">
        <f>IF($A416="","",IF(countif('Mens Lineup'!D$3:D1000,CONCATENATE("=",$A416))=0,"",D$2))</f>
        <v/>
      </c>
      <c r="E416" s="3" t="str">
        <f>IF($A416="","",IF(countif('Mens Lineup'!E$3:E1000,CONCATENATE("=",$A416))=0,"",E$2))</f>
        <v/>
      </c>
      <c r="F416" s="3" t="str">
        <f>IF($A416="","",IF(countif('Mens Lineup'!F$3:F1000,CONCATENATE("=",$A416))=0,"",F$2))</f>
        <v/>
      </c>
      <c r="G416" s="3" t="str">
        <f>IF($A416="","",IF(countif('Mens Lineup'!G$3:G1000,CONCATENATE("=",$A416))=0,"",G$2))</f>
        <v/>
      </c>
      <c r="H416" s="3" t="str">
        <f>IF($A416="","",IF(countif('Mens Lineup'!H$3:H1000,CONCATENATE("=",$A416))=0,"",H$2))</f>
        <v/>
      </c>
      <c r="I416" s="3" t="str">
        <f>IF($A416="","",IF(countif('Mens Lineup'!I$3:I1000,CONCATENATE("=",$A416))=0,"",I$2))</f>
        <v/>
      </c>
      <c r="J416" s="3" t="str">
        <f>IF($A416="","",IF(countif('Mens Lineup'!J$3:J1000,CONCATENATE("=",$A416))=0,"",J$2))</f>
        <v/>
      </c>
      <c r="K416" s="3" t="str">
        <f>IF($A416="","",IF(countif('Mens Lineup'!K$3:K1000,CONCATENATE("=",$A416))=0,"",K$2))</f>
        <v/>
      </c>
      <c r="L416" s="3" t="str">
        <f>IF($A416="","",IF(countif('Mens Lineup'!L$3:L1000,CONCATENATE("=",$A416))=0,"",L$2))</f>
        <v/>
      </c>
      <c r="M416" s="3" t="str">
        <f>IF($A416="","",IF(countif('Mens Lineup'!M$3:M1000,CONCATENATE("=",$A416))=0,"",M$2))</f>
        <v/>
      </c>
      <c r="N416" s="3" t="str">
        <f>IF($A416="","",IF(countif('Mens Lineup'!N$3:N1000,CONCATENATE("=",$A416))=0,"",N$2))</f>
        <v/>
      </c>
      <c r="O416" s="3" t="str">
        <f>IF($A416="","",IF(countif('Mens Lineup'!O$3:O1000,CONCATENATE("=",$A416))=0,"",O$2))</f>
        <v/>
      </c>
      <c r="P416" s="3" t="str">
        <f>IF($A416="","",IF(countif('Mens Lineup'!P$3:P1000,CONCATENATE("=",$A416))=0,"",P$2))</f>
        <v/>
      </c>
      <c r="Q416" s="3" t="str">
        <f>IF($A416="","",IF(countif('Mens Lineup'!Q$3:Q1000,CONCATENATE("=",$A416))=0,"",Q$2))</f>
        <v/>
      </c>
      <c r="R416" s="3" t="str">
        <f>IF($A416="","",IF(countif('Mens Lineup'!R$3:R1000,CONCATENATE("=",$A416))=0,"",R$2))</f>
        <v/>
      </c>
      <c r="S416" s="3" t="str">
        <f>IF($A416="","",IF(countif('Mens Lineup'!S$3:S1000,CONCATENATE("=",$A416))=0,"",S$2))</f>
        <v/>
      </c>
      <c r="W416" s="3" t="str">
        <f>IFERROR(__xludf.DUMMYFUNCTION("JOIN("","",FILTER(B416:S416,B416:S416&lt;&gt;""""))"),"#N/A")</f>
        <v>#N/A</v>
      </c>
    </row>
    <row r="417">
      <c r="A417" s="3"/>
      <c r="B417" s="3" t="str">
        <f>IF($A417="","",IF(countif('Mens Lineup'!B$3:B1000,CONCATENATE("=",$A417))=0,"",B$2))</f>
        <v/>
      </c>
      <c r="C417" s="3" t="str">
        <f>IF($A417="","",IF(countif('Mens Lineup'!C$3:C1000,CONCATENATE("=",$A417))=0,"",C$2))</f>
        <v/>
      </c>
      <c r="D417" s="3" t="str">
        <f>IF($A417="","",IF(countif('Mens Lineup'!D$3:D1000,CONCATENATE("=",$A417))=0,"",D$2))</f>
        <v/>
      </c>
      <c r="E417" s="3" t="str">
        <f>IF($A417="","",IF(countif('Mens Lineup'!E$3:E1000,CONCATENATE("=",$A417))=0,"",E$2))</f>
        <v/>
      </c>
      <c r="F417" s="3" t="str">
        <f>IF($A417="","",IF(countif('Mens Lineup'!F$3:F1000,CONCATENATE("=",$A417))=0,"",F$2))</f>
        <v/>
      </c>
      <c r="G417" s="3" t="str">
        <f>IF($A417="","",IF(countif('Mens Lineup'!G$3:G1000,CONCATENATE("=",$A417))=0,"",G$2))</f>
        <v/>
      </c>
      <c r="H417" s="3" t="str">
        <f>IF($A417="","",IF(countif('Mens Lineup'!H$3:H1000,CONCATENATE("=",$A417))=0,"",H$2))</f>
        <v/>
      </c>
      <c r="I417" s="3" t="str">
        <f>IF($A417="","",IF(countif('Mens Lineup'!I$3:I1000,CONCATENATE("=",$A417))=0,"",I$2))</f>
        <v/>
      </c>
      <c r="J417" s="3" t="str">
        <f>IF($A417="","",IF(countif('Mens Lineup'!J$3:J1000,CONCATENATE("=",$A417))=0,"",J$2))</f>
        <v/>
      </c>
      <c r="K417" s="3" t="str">
        <f>IF($A417="","",IF(countif('Mens Lineup'!K$3:K1000,CONCATENATE("=",$A417))=0,"",K$2))</f>
        <v/>
      </c>
      <c r="L417" s="3" t="str">
        <f>IF($A417="","",IF(countif('Mens Lineup'!L$3:L1000,CONCATENATE("=",$A417))=0,"",L$2))</f>
        <v/>
      </c>
      <c r="M417" s="3" t="str">
        <f>IF($A417="","",IF(countif('Mens Lineup'!M$3:M1000,CONCATENATE("=",$A417))=0,"",M$2))</f>
        <v/>
      </c>
      <c r="N417" s="3" t="str">
        <f>IF($A417="","",IF(countif('Mens Lineup'!N$3:N1000,CONCATENATE("=",$A417))=0,"",N$2))</f>
        <v/>
      </c>
      <c r="O417" s="3" t="str">
        <f>IF($A417="","",IF(countif('Mens Lineup'!O$3:O1000,CONCATENATE("=",$A417))=0,"",O$2))</f>
        <v/>
      </c>
      <c r="P417" s="3" t="str">
        <f>IF($A417="","",IF(countif('Mens Lineup'!P$3:P1000,CONCATENATE("=",$A417))=0,"",P$2))</f>
        <v/>
      </c>
      <c r="Q417" s="3" t="str">
        <f>IF($A417="","",IF(countif('Mens Lineup'!Q$3:Q1000,CONCATENATE("=",$A417))=0,"",Q$2))</f>
        <v/>
      </c>
      <c r="R417" s="3" t="str">
        <f>IF($A417="","",IF(countif('Mens Lineup'!R$3:R1000,CONCATENATE("=",$A417))=0,"",R$2))</f>
        <v/>
      </c>
      <c r="S417" s="3" t="str">
        <f>IF($A417="","",IF(countif('Mens Lineup'!S$3:S1000,CONCATENATE("=",$A417))=0,"",S$2))</f>
        <v/>
      </c>
      <c r="W417" s="3" t="str">
        <f>IFERROR(__xludf.DUMMYFUNCTION("JOIN("","",FILTER(B417:S417,B417:S417&lt;&gt;""""))"),"#N/A")</f>
        <v>#N/A</v>
      </c>
    </row>
    <row r="418">
      <c r="A418" s="3"/>
      <c r="B418" s="3" t="str">
        <f>IF($A418="","",IF(countif('Mens Lineup'!B$3:B1000,CONCATENATE("=",$A418))=0,"",B$2))</f>
        <v/>
      </c>
      <c r="C418" s="3" t="str">
        <f>IF($A418="","",IF(countif('Mens Lineup'!C$3:C1000,CONCATENATE("=",$A418))=0,"",C$2))</f>
        <v/>
      </c>
      <c r="D418" s="3" t="str">
        <f>IF($A418="","",IF(countif('Mens Lineup'!D$3:D1000,CONCATENATE("=",$A418))=0,"",D$2))</f>
        <v/>
      </c>
      <c r="E418" s="3" t="str">
        <f>IF($A418="","",IF(countif('Mens Lineup'!E$3:E1000,CONCATENATE("=",$A418))=0,"",E$2))</f>
        <v/>
      </c>
      <c r="F418" s="3" t="str">
        <f>IF($A418="","",IF(countif('Mens Lineup'!F$3:F1000,CONCATENATE("=",$A418))=0,"",F$2))</f>
        <v/>
      </c>
      <c r="G418" s="3" t="str">
        <f>IF($A418="","",IF(countif('Mens Lineup'!G$3:G1000,CONCATENATE("=",$A418))=0,"",G$2))</f>
        <v/>
      </c>
      <c r="H418" s="3" t="str">
        <f>IF($A418="","",IF(countif('Mens Lineup'!H$3:H1000,CONCATENATE("=",$A418))=0,"",H$2))</f>
        <v/>
      </c>
      <c r="I418" s="3" t="str">
        <f>IF($A418="","",IF(countif('Mens Lineup'!I$3:I1000,CONCATENATE("=",$A418))=0,"",I$2))</f>
        <v/>
      </c>
      <c r="J418" s="3" t="str">
        <f>IF($A418="","",IF(countif('Mens Lineup'!J$3:J1000,CONCATENATE("=",$A418))=0,"",J$2))</f>
        <v/>
      </c>
      <c r="K418" s="3" t="str">
        <f>IF($A418="","",IF(countif('Mens Lineup'!K$3:K1000,CONCATENATE("=",$A418))=0,"",K$2))</f>
        <v/>
      </c>
      <c r="L418" s="3" t="str">
        <f>IF($A418="","",IF(countif('Mens Lineup'!L$3:L1000,CONCATENATE("=",$A418))=0,"",L$2))</f>
        <v/>
      </c>
      <c r="M418" s="3" t="str">
        <f>IF($A418="","",IF(countif('Mens Lineup'!M$3:M1000,CONCATENATE("=",$A418))=0,"",M$2))</f>
        <v/>
      </c>
      <c r="N418" s="3" t="str">
        <f>IF($A418="","",IF(countif('Mens Lineup'!N$3:N1000,CONCATENATE("=",$A418))=0,"",N$2))</f>
        <v/>
      </c>
      <c r="O418" s="3" t="str">
        <f>IF($A418="","",IF(countif('Mens Lineup'!O$3:O1000,CONCATENATE("=",$A418))=0,"",O$2))</f>
        <v/>
      </c>
      <c r="P418" s="3" t="str">
        <f>IF($A418="","",IF(countif('Mens Lineup'!P$3:P1000,CONCATENATE("=",$A418))=0,"",P$2))</f>
        <v/>
      </c>
      <c r="Q418" s="3" t="str">
        <f>IF($A418="","",IF(countif('Mens Lineup'!Q$3:Q1000,CONCATENATE("=",$A418))=0,"",Q$2))</f>
        <v/>
      </c>
      <c r="R418" s="3" t="str">
        <f>IF($A418="","",IF(countif('Mens Lineup'!R$3:R1000,CONCATENATE("=",$A418))=0,"",R$2))</f>
        <v/>
      </c>
      <c r="S418" s="3" t="str">
        <f>IF($A418="","",IF(countif('Mens Lineup'!S$3:S1000,CONCATENATE("=",$A418))=0,"",S$2))</f>
        <v/>
      </c>
      <c r="W418" s="3" t="str">
        <f>IFERROR(__xludf.DUMMYFUNCTION("JOIN("","",FILTER(B418:S418,B418:S418&lt;&gt;""""))"),"#N/A")</f>
        <v>#N/A</v>
      </c>
    </row>
    <row r="419">
      <c r="A419" s="3"/>
      <c r="B419" s="3" t="str">
        <f>IF($A419="","",IF(countif('Mens Lineup'!B$3:B1000,CONCATENATE("=",$A419))=0,"",B$2))</f>
        <v/>
      </c>
      <c r="C419" s="3" t="str">
        <f>IF($A419="","",IF(countif('Mens Lineup'!C$3:C1000,CONCATENATE("=",$A419))=0,"",C$2))</f>
        <v/>
      </c>
      <c r="D419" s="3" t="str">
        <f>IF($A419="","",IF(countif('Mens Lineup'!D$3:D1000,CONCATENATE("=",$A419))=0,"",D$2))</f>
        <v/>
      </c>
      <c r="E419" s="3" t="str">
        <f>IF($A419="","",IF(countif('Mens Lineup'!E$3:E1000,CONCATENATE("=",$A419))=0,"",E$2))</f>
        <v/>
      </c>
      <c r="F419" s="3" t="str">
        <f>IF($A419="","",IF(countif('Mens Lineup'!F$3:F1000,CONCATENATE("=",$A419))=0,"",F$2))</f>
        <v/>
      </c>
      <c r="G419" s="3" t="str">
        <f>IF($A419="","",IF(countif('Mens Lineup'!G$3:G1000,CONCATENATE("=",$A419))=0,"",G$2))</f>
        <v/>
      </c>
      <c r="H419" s="3" t="str">
        <f>IF($A419="","",IF(countif('Mens Lineup'!H$3:H1000,CONCATENATE("=",$A419))=0,"",H$2))</f>
        <v/>
      </c>
      <c r="I419" s="3" t="str">
        <f>IF($A419="","",IF(countif('Mens Lineup'!I$3:I1000,CONCATENATE("=",$A419))=0,"",I$2))</f>
        <v/>
      </c>
      <c r="J419" s="3" t="str">
        <f>IF($A419="","",IF(countif('Mens Lineup'!J$3:J1000,CONCATENATE("=",$A419))=0,"",J$2))</f>
        <v/>
      </c>
      <c r="K419" s="3" t="str">
        <f>IF($A419="","",IF(countif('Mens Lineup'!K$3:K1000,CONCATENATE("=",$A419))=0,"",K$2))</f>
        <v/>
      </c>
      <c r="L419" s="3" t="str">
        <f>IF($A419="","",IF(countif('Mens Lineup'!L$3:L1000,CONCATENATE("=",$A419))=0,"",L$2))</f>
        <v/>
      </c>
      <c r="M419" s="3" t="str">
        <f>IF($A419="","",IF(countif('Mens Lineup'!M$3:M1000,CONCATENATE("=",$A419))=0,"",M$2))</f>
        <v/>
      </c>
      <c r="N419" s="3" t="str">
        <f>IF($A419="","",IF(countif('Mens Lineup'!N$3:N1000,CONCATENATE("=",$A419))=0,"",N$2))</f>
        <v/>
      </c>
      <c r="O419" s="3" t="str">
        <f>IF($A419="","",IF(countif('Mens Lineup'!O$3:O1000,CONCATENATE("=",$A419))=0,"",O$2))</f>
        <v/>
      </c>
      <c r="P419" s="3" t="str">
        <f>IF($A419="","",IF(countif('Mens Lineup'!P$3:P1000,CONCATENATE("=",$A419))=0,"",P$2))</f>
        <v/>
      </c>
      <c r="Q419" s="3" t="str">
        <f>IF($A419="","",IF(countif('Mens Lineup'!Q$3:Q1000,CONCATENATE("=",$A419))=0,"",Q$2))</f>
        <v/>
      </c>
      <c r="R419" s="3" t="str">
        <f>IF($A419="","",IF(countif('Mens Lineup'!R$3:R1000,CONCATENATE("=",$A419))=0,"",R$2))</f>
        <v/>
      </c>
      <c r="S419" s="3" t="str">
        <f>IF($A419="","",IF(countif('Mens Lineup'!S$3:S1000,CONCATENATE("=",$A419))=0,"",S$2))</f>
        <v/>
      </c>
      <c r="W419" s="3" t="str">
        <f>IFERROR(__xludf.DUMMYFUNCTION("JOIN("","",FILTER(B419:S419,B419:S419&lt;&gt;""""))"),"#N/A")</f>
        <v>#N/A</v>
      </c>
    </row>
    <row r="420">
      <c r="A420" s="3"/>
      <c r="B420" s="3" t="str">
        <f>IF($A420="","",IF(countif('Mens Lineup'!B$3:B1000,CONCATENATE("=",$A420))=0,"",B$2))</f>
        <v/>
      </c>
      <c r="C420" s="3" t="str">
        <f>IF($A420="","",IF(countif('Mens Lineup'!C$3:C1000,CONCATENATE("=",$A420))=0,"",C$2))</f>
        <v/>
      </c>
      <c r="D420" s="3" t="str">
        <f>IF($A420="","",IF(countif('Mens Lineup'!D$3:D1000,CONCATENATE("=",$A420))=0,"",D$2))</f>
        <v/>
      </c>
      <c r="E420" s="3" t="str">
        <f>IF($A420="","",IF(countif('Mens Lineup'!E$3:E1000,CONCATENATE("=",$A420))=0,"",E$2))</f>
        <v/>
      </c>
      <c r="F420" s="3" t="str">
        <f>IF($A420="","",IF(countif('Mens Lineup'!F$3:F1000,CONCATENATE("=",$A420))=0,"",F$2))</f>
        <v/>
      </c>
      <c r="G420" s="3" t="str">
        <f>IF($A420="","",IF(countif('Mens Lineup'!G$3:G1000,CONCATENATE("=",$A420))=0,"",G$2))</f>
        <v/>
      </c>
      <c r="H420" s="3" t="str">
        <f>IF($A420="","",IF(countif('Mens Lineup'!H$3:H1000,CONCATENATE("=",$A420))=0,"",H$2))</f>
        <v/>
      </c>
      <c r="I420" s="3" t="str">
        <f>IF($A420="","",IF(countif('Mens Lineup'!I$3:I1000,CONCATENATE("=",$A420))=0,"",I$2))</f>
        <v/>
      </c>
      <c r="J420" s="3" t="str">
        <f>IF($A420="","",IF(countif('Mens Lineup'!J$3:J1000,CONCATENATE("=",$A420))=0,"",J$2))</f>
        <v/>
      </c>
      <c r="K420" s="3" t="str">
        <f>IF($A420="","",IF(countif('Mens Lineup'!K$3:K1000,CONCATENATE("=",$A420))=0,"",K$2))</f>
        <v/>
      </c>
      <c r="L420" s="3" t="str">
        <f>IF($A420="","",IF(countif('Mens Lineup'!L$3:L1000,CONCATENATE("=",$A420))=0,"",L$2))</f>
        <v/>
      </c>
      <c r="M420" s="3" t="str">
        <f>IF($A420="","",IF(countif('Mens Lineup'!M$3:M1000,CONCATENATE("=",$A420))=0,"",M$2))</f>
        <v/>
      </c>
      <c r="N420" s="3" t="str">
        <f>IF($A420="","",IF(countif('Mens Lineup'!N$3:N1000,CONCATENATE("=",$A420))=0,"",N$2))</f>
        <v/>
      </c>
      <c r="O420" s="3" t="str">
        <f>IF($A420="","",IF(countif('Mens Lineup'!O$3:O1000,CONCATENATE("=",$A420))=0,"",O$2))</f>
        <v/>
      </c>
      <c r="P420" s="3" t="str">
        <f>IF($A420="","",IF(countif('Mens Lineup'!P$3:P1000,CONCATENATE("=",$A420))=0,"",P$2))</f>
        <v/>
      </c>
      <c r="Q420" s="3" t="str">
        <f>IF($A420="","",IF(countif('Mens Lineup'!Q$3:Q1000,CONCATENATE("=",$A420))=0,"",Q$2))</f>
        <v/>
      </c>
      <c r="R420" s="3" t="str">
        <f>IF($A420="","",IF(countif('Mens Lineup'!R$3:R1000,CONCATENATE("=",$A420))=0,"",R$2))</f>
        <v/>
      </c>
      <c r="S420" s="3" t="str">
        <f>IF($A420="","",IF(countif('Mens Lineup'!S$3:S1000,CONCATENATE("=",$A420))=0,"",S$2))</f>
        <v/>
      </c>
      <c r="W420" s="3" t="str">
        <f>IFERROR(__xludf.DUMMYFUNCTION("JOIN("","",FILTER(B420:S420,B420:S420&lt;&gt;""""))"),"#N/A")</f>
        <v>#N/A</v>
      </c>
    </row>
    <row r="421">
      <c r="A421" s="3"/>
      <c r="B421" s="3" t="str">
        <f>IF($A421="","",IF(countif('Mens Lineup'!B$3:B1000,CONCATENATE("=",$A421))=0,"",B$2))</f>
        <v/>
      </c>
      <c r="C421" s="3" t="str">
        <f>IF($A421="","",IF(countif('Mens Lineup'!C$3:C1000,CONCATENATE("=",$A421))=0,"",C$2))</f>
        <v/>
      </c>
      <c r="D421" s="3" t="str">
        <f>IF($A421="","",IF(countif('Mens Lineup'!D$3:D1000,CONCATENATE("=",$A421))=0,"",D$2))</f>
        <v/>
      </c>
      <c r="E421" s="3" t="str">
        <f>IF($A421="","",IF(countif('Mens Lineup'!E$3:E1000,CONCATENATE("=",$A421))=0,"",E$2))</f>
        <v/>
      </c>
      <c r="F421" s="3" t="str">
        <f>IF($A421="","",IF(countif('Mens Lineup'!F$3:F1000,CONCATENATE("=",$A421))=0,"",F$2))</f>
        <v/>
      </c>
      <c r="G421" s="3" t="str">
        <f>IF($A421="","",IF(countif('Mens Lineup'!G$3:G1000,CONCATENATE("=",$A421))=0,"",G$2))</f>
        <v/>
      </c>
      <c r="H421" s="3" t="str">
        <f>IF($A421="","",IF(countif('Mens Lineup'!H$3:H1000,CONCATENATE("=",$A421))=0,"",H$2))</f>
        <v/>
      </c>
      <c r="I421" s="3" t="str">
        <f>IF($A421="","",IF(countif('Mens Lineup'!I$3:I1000,CONCATENATE("=",$A421))=0,"",I$2))</f>
        <v/>
      </c>
      <c r="J421" s="3" t="str">
        <f>IF($A421="","",IF(countif('Mens Lineup'!J$3:J1000,CONCATENATE("=",$A421))=0,"",J$2))</f>
        <v/>
      </c>
      <c r="K421" s="3" t="str">
        <f>IF($A421="","",IF(countif('Mens Lineup'!K$3:K1000,CONCATENATE("=",$A421))=0,"",K$2))</f>
        <v/>
      </c>
      <c r="L421" s="3" t="str">
        <f>IF($A421="","",IF(countif('Mens Lineup'!L$3:L1000,CONCATENATE("=",$A421))=0,"",L$2))</f>
        <v/>
      </c>
      <c r="M421" s="3" t="str">
        <f>IF($A421="","",IF(countif('Mens Lineup'!M$3:M1000,CONCATENATE("=",$A421))=0,"",M$2))</f>
        <v/>
      </c>
      <c r="N421" s="3" t="str">
        <f>IF($A421="","",IF(countif('Mens Lineup'!N$3:N1000,CONCATENATE("=",$A421))=0,"",N$2))</f>
        <v/>
      </c>
      <c r="O421" s="3" t="str">
        <f>IF($A421="","",IF(countif('Mens Lineup'!O$3:O1000,CONCATENATE("=",$A421))=0,"",O$2))</f>
        <v/>
      </c>
      <c r="P421" s="3" t="str">
        <f>IF($A421="","",IF(countif('Mens Lineup'!P$3:P1000,CONCATENATE("=",$A421))=0,"",P$2))</f>
        <v/>
      </c>
      <c r="Q421" s="3" t="str">
        <f>IF($A421="","",IF(countif('Mens Lineup'!Q$3:Q1000,CONCATENATE("=",$A421))=0,"",Q$2))</f>
        <v/>
      </c>
      <c r="R421" s="3" t="str">
        <f>IF($A421="","",IF(countif('Mens Lineup'!R$3:R1000,CONCATENATE("=",$A421))=0,"",R$2))</f>
        <v/>
      </c>
      <c r="S421" s="3" t="str">
        <f>IF($A421="","",IF(countif('Mens Lineup'!S$3:S1000,CONCATENATE("=",$A421))=0,"",S$2))</f>
        <v/>
      </c>
      <c r="W421" s="3" t="str">
        <f>IFERROR(__xludf.DUMMYFUNCTION("JOIN("","",FILTER(B421:S421,B421:S421&lt;&gt;""""))"),"#N/A")</f>
        <v>#N/A</v>
      </c>
    </row>
    <row r="422">
      <c r="A422" s="3"/>
      <c r="B422" s="3" t="str">
        <f>IF($A422="","",IF(countif('Mens Lineup'!B$3:B1000,CONCATENATE("=",$A422))=0,"",B$2))</f>
        <v/>
      </c>
      <c r="C422" s="3" t="str">
        <f>IF($A422="","",IF(countif('Mens Lineup'!C$3:C1000,CONCATENATE("=",$A422))=0,"",C$2))</f>
        <v/>
      </c>
      <c r="D422" s="3" t="str">
        <f>IF($A422="","",IF(countif('Mens Lineup'!D$3:D1000,CONCATENATE("=",$A422))=0,"",D$2))</f>
        <v/>
      </c>
      <c r="E422" s="3" t="str">
        <f>IF($A422="","",IF(countif('Mens Lineup'!E$3:E1000,CONCATENATE("=",$A422))=0,"",E$2))</f>
        <v/>
      </c>
      <c r="F422" s="3" t="str">
        <f>IF($A422="","",IF(countif('Mens Lineup'!F$3:F1000,CONCATENATE("=",$A422))=0,"",F$2))</f>
        <v/>
      </c>
      <c r="G422" s="3" t="str">
        <f>IF($A422="","",IF(countif('Mens Lineup'!G$3:G1000,CONCATENATE("=",$A422))=0,"",G$2))</f>
        <v/>
      </c>
      <c r="H422" s="3" t="str">
        <f>IF($A422="","",IF(countif('Mens Lineup'!H$3:H1000,CONCATENATE("=",$A422))=0,"",H$2))</f>
        <v/>
      </c>
      <c r="I422" s="3" t="str">
        <f>IF($A422="","",IF(countif('Mens Lineup'!I$3:I1000,CONCATENATE("=",$A422))=0,"",I$2))</f>
        <v/>
      </c>
      <c r="J422" s="3" t="str">
        <f>IF($A422="","",IF(countif('Mens Lineup'!J$3:J1000,CONCATENATE("=",$A422))=0,"",J$2))</f>
        <v/>
      </c>
      <c r="K422" s="3" t="str">
        <f>IF($A422="","",IF(countif('Mens Lineup'!K$3:K1000,CONCATENATE("=",$A422))=0,"",K$2))</f>
        <v/>
      </c>
      <c r="L422" s="3" t="str">
        <f>IF($A422="","",IF(countif('Mens Lineup'!L$3:L1000,CONCATENATE("=",$A422))=0,"",L$2))</f>
        <v/>
      </c>
      <c r="M422" s="3" t="str">
        <f>IF($A422="","",IF(countif('Mens Lineup'!M$3:M1000,CONCATENATE("=",$A422))=0,"",M$2))</f>
        <v/>
      </c>
      <c r="N422" s="3" t="str">
        <f>IF($A422="","",IF(countif('Mens Lineup'!N$3:N1000,CONCATENATE("=",$A422))=0,"",N$2))</f>
        <v/>
      </c>
      <c r="O422" s="3" t="str">
        <f>IF($A422="","",IF(countif('Mens Lineup'!O$3:O1000,CONCATENATE("=",$A422))=0,"",O$2))</f>
        <v/>
      </c>
      <c r="P422" s="3" t="str">
        <f>IF($A422="","",IF(countif('Mens Lineup'!P$3:P1000,CONCATENATE("=",$A422))=0,"",P$2))</f>
        <v/>
      </c>
      <c r="Q422" s="3" t="str">
        <f>IF($A422="","",IF(countif('Mens Lineup'!Q$3:Q1000,CONCATENATE("=",$A422))=0,"",Q$2))</f>
        <v/>
      </c>
      <c r="R422" s="3" t="str">
        <f>IF($A422="","",IF(countif('Mens Lineup'!R$3:R1000,CONCATENATE("=",$A422))=0,"",R$2))</f>
        <v/>
      </c>
      <c r="S422" s="3" t="str">
        <f>IF($A422="","",IF(countif('Mens Lineup'!S$3:S1000,CONCATENATE("=",$A422))=0,"",S$2))</f>
        <v/>
      </c>
      <c r="W422" s="3" t="str">
        <f>IFERROR(__xludf.DUMMYFUNCTION("JOIN("","",FILTER(B422:S422,B422:S422&lt;&gt;""""))"),"#N/A")</f>
        <v>#N/A</v>
      </c>
    </row>
    <row r="423">
      <c r="A423" s="3"/>
      <c r="B423" s="3" t="str">
        <f>IF($A423="","",IF(countif('Mens Lineup'!B$3:B1000,CONCATENATE("=",$A423))=0,"",B$2))</f>
        <v/>
      </c>
      <c r="C423" s="3" t="str">
        <f>IF($A423="","",IF(countif('Mens Lineup'!C$3:C1000,CONCATENATE("=",$A423))=0,"",C$2))</f>
        <v/>
      </c>
      <c r="D423" s="3" t="str">
        <f>IF($A423="","",IF(countif('Mens Lineup'!D$3:D1000,CONCATENATE("=",$A423))=0,"",D$2))</f>
        <v/>
      </c>
      <c r="E423" s="3" t="str">
        <f>IF($A423="","",IF(countif('Mens Lineup'!E$3:E1000,CONCATENATE("=",$A423))=0,"",E$2))</f>
        <v/>
      </c>
      <c r="F423" s="3" t="str">
        <f>IF($A423="","",IF(countif('Mens Lineup'!F$3:F1000,CONCATENATE("=",$A423))=0,"",F$2))</f>
        <v/>
      </c>
      <c r="G423" s="3" t="str">
        <f>IF($A423="","",IF(countif('Mens Lineup'!G$3:G1000,CONCATENATE("=",$A423))=0,"",G$2))</f>
        <v/>
      </c>
      <c r="H423" s="3" t="str">
        <f>IF($A423="","",IF(countif('Mens Lineup'!H$3:H1000,CONCATENATE("=",$A423))=0,"",H$2))</f>
        <v/>
      </c>
      <c r="I423" s="3" t="str">
        <f>IF($A423="","",IF(countif('Mens Lineup'!I$3:I1000,CONCATENATE("=",$A423))=0,"",I$2))</f>
        <v/>
      </c>
      <c r="J423" s="3" t="str">
        <f>IF($A423="","",IF(countif('Mens Lineup'!J$3:J1000,CONCATENATE("=",$A423))=0,"",J$2))</f>
        <v/>
      </c>
      <c r="K423" s="3" t="str">
        <f>IF($A423="","",IF(countif('Mens Lineup'!K$3:K1000,CONCATENATE("=",$A423))=0,"",K$2))</f>
        <v/>
      </c>
      <c r="L423" s="3" t="str">
        <f>IF($A423="","",IF(countif('Mens Lineup'!L$3:L1000,CONCATENATE("=",$A423))=0,"",L$2))</f>
        <v/>
      </c>
      <c r="M423" s="3" t="str">
        <f>IF($A423="","",IF(countif('Mens Lineup'!M$3:M1000,CONCATENATE("=",$A423))=0,"",M$2))</f>
        <v/>
      </c>
      <c r="N423" s="3" t="str">
        <f>IF($A423="","",IF(countif('Mens Lineup'!N$3:N1000,CONCATENATE("=",$A423))=0,"",N$2))</f>
        <v/>
      </c>
      <c r="O423" s="3" t="str">
        <f>IF($A423="","",IF(countif('Mens Lineup'!O$3:O1000,CONCATENATE("=",$A423))=0,"",O$2))</f>
        <v/>
      </c>
      <c r="P423" s="3" t="str">
        <f>IF($A423="","",IF(countif('Mens Lineup'!P$3:P1000,CONCATENATE("=",$A423))=0,"",P$2))</f>
        <v/>
      </c>
      <c r="Q423" s="3" t="str">
        <f>IF($A423="","",IF(countif('Mens Lineup'!Q$3:Q1000,CONCATENATE("=",$A423))=0,"",Q$2))</f>
        <v/>
      </c>
      <c r="R423" s="3" t="str">
        <f>IF($A423="","",IF(countif('Mens Lineup'!R$3:R1000,CONCATENATE("=",$A423))=0,"",R$2))</f>
        <v/>
      </c>
      <c r="S423" s="3" t="str">
        <f>IF($A423="","",IF(countif('Mens Lineup'!S$3:S1000,CONCATENATE("=",$A423))=0,"",S$2))</f>
        <v/>
      </c>
      <c r="W423" s="3" t="str">
        <f>IFERROR(__xludf.DUMMYFUNCTION("JOIN("","",FILTER(B423:S423,B423:S423&lt;&gt;""""))"),"#N/A")</f>
        <v>#N/A</v>
      </c>
    </row>
    <row r="424">
      <c r="A424" s="3"/>
      <c r="B424" s="3" t="str">
        <f>IF($A424="","",IF(countif('Mens Lineup'!B$3:B1000,CONCATENATE("=",$A424))=0,"",B$2))</f>
        <v/>
      </c>
      <c r="C424" s="3" t="str">
        <f>IF($A424="","",IF(countif('Mens Lineup'!C$3:C1000,CONCATENATE("=",$A424))=0,"",C$2))</f>
        <v/>
      </c>
      <c r="D424" s="3" t="str">
        <f>IF($A424="","",IF(countif('Mens Lineup'!D$3:D1000,CONCATENATE("=",$A424))=0,"",D$2))</f>
        <v/>
      </c>
      <c r="E424" s="3" t="str">
        <f>IF($A424="","",IF(countif('Mens Lineup'!E$3:E1000,CONCATENATE("=",$A424))=0,"",E$2))</f>
        <v/>
      </c>
      <c r="F424" s="3" t="str">
        <f>IF($A424="","",IF(countif('Mens Lineup'!F$3:F1000,CONCATENATE("=",$A424))=0,"",F$2))</f>
        <v/>
      </c>
      <c r="G424" s="3" t="str">
        <f>IF($A424="","",IF(countif('Mens Lineup'!G$3:G1000,CONCATENATE("=",$A424))=0,"",G$2))</f>
        <v/>
      </c>
      <c r="H424" s="3" t="str">
        <f>IF($A424="","",IF(countif('Mens Lineup'!H$3:H1000,CONCATENATE("=",$A424))=0,"",H$2))</f>
        <v/>
      </c>
      <c r="I424" s="3" t="str">
        <f>IF($A424="","",IF(countif('Mens Lineup'!I$3:I1000,CONCATENATE("=",$A424))=0,"",I$2))</f>
        <v/>
      </c>
      <c r="J424" s="3" t="str">
        <f>IF($A424="","",IF(countif('Mens Lineup'!J$3:J1000,CONCATENATE("=",$A424))=0,"",J$2))</f>
        <v/>
      </c>
      <c r="K424" s="3" t="str">
        <f>IF($A424="","",IF(countif('Mens Lineup'!K$3:K1000,CONCATENATE("=",$A424))=0,"",K$2))</f>
        <v/>
      </c>
      <c r="L424" s="3" t="str">
        <f>IF($A424="","",IF(countif('Mens Lineup'!L$3:L1000,CONCATENATE("=",$A424))=0,"",L$2))</f>
        <v/>
      </c>
      <c r="M424" s="3" t="str">
        <f>IF($A424="","",IF(countif('Mens Lineup'!M$3:M1000,CONCATENATE("=",$A424))=0,"",M$2))</f>
        <v/>
      </c>
      <c r="N424" s="3" t="str">
        <f>IF($A424="","",IF(countif('Mens Lineup'!N$3:N1000,CONCATENATE("=",$A424))=0,"",N$2))</f>
        <v/>
      </c>
      <c r="O424" s="3" t="str">
        <f>IF($A424="","",IF(countif('Mens Lineup'!O$3:O1000,CONCATENATE("=",$A424))=0,"",O$2))</f>
        <v/>
      </c>
      <c r="P424" s="3" t="str">
        <f>IF($A424="","",IF(countif('Mens Lineup'!P$3:P1000,CONCATENATE("=",$A424))=0,"",P$2))</f>
        <v/>
      </c>
      <c r="Q424" s="3" t="str">
        <f>IF($A424="","",IF(countif('Mens Lineup'!Q$3:Q1000,CONCATENATE("=",$A424))=0,"",Q$2))</f>
        <v/>
      </c>
      <c r="R424" s="3" t="str">
        <f>IF($A424="","",IF(countif('Mens Lineup'!R$3:R1000,CONCATENATE("=",$A424))=0,"",R$2))</f>
        <v/>
      </c>
      <c r="S424" s="3" t="str">
        <f>IF($A424="","",IF(countif('Mens Lineup'!S$3:S1000,CONCATENATE("=",$A424))=0,"",S$2))</f>
        <v/>
      </c>
      <c r="W424" s="3" t="str">
        <f>IFERROR(__xludf.DUMMYFUNCTION("JOIN("","",FILTER(B424:S424,B424:S424&lt;&gt;""""))"),"#N/A")</f>
        <v>#N/A</v>
      </c>
    </row>
    <row r="425">
      <c r="A425" s="3"/>
      <c r="B425" s="3" t="str">
        <f>IF($A425="","",IF(countif('Mens Lineup'!B$3:B1000,CONCATENATE("=",$A425))=0,"",B$2))</f>
        <v/>
      </c>
      <c r="C425" s="3" t="str">
        <f>IF($A425="","",IF(countif('Mens Lineup'!C$3:C1000,CONCATENATE("=",$A425))=0,"",C$2))</f>
        <v/>
      </c>
      <c r="D425" s="3" t="str">
        <f>IF($A425="","",IF(countif('Mens Lineup'!D$3:D1000,CONCATENATE("=",$A425))=0,"",D$2))</f>
        <v/>
      </c>
      <c r="E425" s="3" t="str">
        <f>IF($A425="","",IF(countif('Mens Lineup'!E$3:E1000,CONCATENATE("=",$A425))=0,"",E$2))</f>
        <v/>
      </c>
      <c r="F425" s="3" t="str">
        <f>IF($A425="","",IF(countif('Mens Lineup'!F$3:F1000,CONCATENATE("=",$A425))=0,"",F$2))</f>
        <v/>
      </c>
      <c r="G425" s="3" t="str">
        <f>IF($A425="","",IF(countif('Mens Lineup'!G$3:G1000,CONCATENATE("=",$A425))=0,"",G$2))</f>
        <v/>
      </c>
      <c r="H425" s="3" t="str">
        <f>IF($A425="","",IF(countif('Mens Lineup'!H$3:H1000,CONCATENATE("=",$A425))=0,"",H$2))</f>
        <v/>
      </c>
      <c r="I425" s="3" t="str">
        <f>IF($A425="","",IF(countif('Mens Lineup'!I$3:I1000,CONCATENATE("=",$A425))=0,"",I$2))</f>
        <v/>
      </c>
      <c r="J425" s="3" t="str">
        <f>IF($A425="","",IF(countif('Mens Lineup'!J$3:J1000,CONCATENATE("=",$A425))=0,"",J$2))</f>
        <v/>
      </c>
      <c r="K425" s="3" t="str">
        <f>IF($A425="","",IF(countif('Mens Lineup'!K$3:K1000,CONCATENATE("=",$A425))=0,"",K$2))</f>
        <v/>
      </c>
      <c r="L425" s="3" t="str">
        <f>IF($A425="","",IF(countif('Mens Lineup'!L$3:L1000,CONCATENATE("=",$A425))=0,"",L$2))</f>
        <v/>
      </c>
      <c r="M425" s="3" t="str">
        <f>IF($A425="","",IF(countif('Mens Lineup'!M$3:M1000,CONCATENATE("=",$A425))=0,"",M$2))</f>
        <v/>
      </c>
      <c r="N425" s="3" t="str">
        <f>IF($A425="","",IF(countif('Mens Lineup'!N$3:N1000,CONCATENATE("=",$A425))=0,"",N$2))</f>
        <v/>
      </c>
      <c r="O425" s="3" t="str">
        <f>IF($A425="","",IF(countif('Mens Lineup'!O$3:O1000,CONCATENATE("=",$A425))=0,"",O$2))</f>
        <v/>
      </c>
      <c r="P425" s="3" t="str">
        <f>IF($A425="","",IF(countif('Mens Lineup'!P$3:P1000,CONCATENATE("=",$A425))=0,"",P$2))</f>
        <v/>
      </c>
      <c r="Q425" s="3" t="str">
        <f>IF($A425="","",IF(countif('Mens Lineup'!Q$3:Q1000,CONCATENATE("=",$A425))=0,"",Q$2))</f>
        <v/>
      </c>
      <c r="R425" s="3" t="str">
        <f>IF($A425="","",IF(countif('Mens Lineup'!R$3:R1000,CONCATENATE("=",$A425))=0,"",R$2))</f>
        <v/>
      </c>
      <c r="S425" s="3" t="str">
        <f>IF($A425="","",IF(countif('Mens Lineup'!S$3:S1000,CONCATENATE("=",$A425))=0,"",S$2))</f>
        <v/>
      </c>
      <c r="W425" s="3" t="str">
        <f>IFERROR(__xludf.DUMMYFUNCTION("JOIN("","",FILTER(B425:S425,B425:S425&lt;&gt;""""))"),"#N/A")</f>
        <v>#N/A</v>
      </c>
    </row>
    <row r="426">
      <c r="A426" s="3"/>
      <c r="B426" s="3" t="str">
        <f>IF($A426="","",IF(countif('Mens Lineup'!B$3:B1000,CONCATENATE("=",$A426))=0,"",B$2))</f>
        <v/>
      </c>
      <c r="C426" s="3" t="str">
        <f>IF($A426="","",IF(countif('Mens Lineup'!C$3:C1000,CONCATENATE("=",$A426))=0,"",C$2))</f>
        <v/>
      </c>
      <c r="D426" s="3" t="str">
        <f>IF($A426="","",IF(countif('Mens Lineup'!D$3:D1000,CONCATENATE("=",$A426))=0,"",D$2))</f>
        <v/>
      </c>
      <c r="E426" s="3" t="str">
        <f>IF($A426="","",IF(countif('Mens Lineup'!E$3:E1000,CONCATENATE("=",$A426))=0,"",E$2))</f>
        <v/>
      </c>
      <c r="F426" s="3" t="str">
        <f>IF($A426="","",IF(countif('Mens Lineup'!F$3:F1000,CONCATENATE("=",$A426))=0,"",F$2))</f>
        <v/>
      </c>
      <c r="G426" s="3" t="str">
        <f>IF($A426="","",IF(countif('Mens Lineup'!G$3:G1000,CONCATENATE("=",$A426))=0,"",G$2))</f>
        <v/>
      </c>
      <c r="H426" s="3" t="str">
        <f>IF($A426="","",IF(countif('Mens Lineup'!H$3:H1000,CONCATENATE("=",$A426))=0,"",H$2))</f>
        <v/>
      </c>
      <c r="I426" s="3" t="str">
        <f>IF($A426="","",IF(countif('Mens Lineup'!I$3:I1000,CONCATENATE("=",$A426))=0,"",I$2))</f>
        <v/>
      </c>
      <c r="J426" s="3" t="str">
        <f>IF($A426="","",IF(countif('Mens Lineup'!J$3:J1000,CONCATENATE("=",$A426))=0,"",J$2))</f>
        <v/>
      </c>
      <c r="K426" s="3" t="str">
        <f>IF($A426="","",IF(countif('Mens Lineup'!K$3:K1000,CONCATENATE("=",$A426))=0,"",K$2))</f>
        <v/>
      </c>
      <c r="L426" s="3" t="str">
        <f>IF($A426="","",IF(countif('Mens Lineup'!L$3:L1000,CONCATENATE("=",$A426))=0,"",L$2))</f>
        <v/>
      </c>
      <c r="M426" s="3" t="str">
        <f>IF($A426="","",IF(countif('Mens Lineup'!M$3:M1000,CONCATENATE("=",$A426))=0,"",M$2))</f>
        <v/>
      </c>
      <c r="N426" s="3" t="str">
        <f>IF($A426="","",IF(countif('Mens Lineup'!N$3:N1000,CONCATENATE("=",$A426))=0,"",N$2))</f>
        <v/>
      </c>
      <c r="O426" s="3" t="str">
        <f>IF($A426="","",IF(countif('Mens Lineup'!O$3:O1000,CONCATENATE("=",$A426))=0,"",O$2))</f>
        <v/>
      </c>
      <c r="P426" s="3" t="str">
        <f>IF($A426="","",IF(countif('Mens Lineup'!P$3:P1000,CONCATENATE("=",$A426))=0,"",P$2))</f>
        <v/>
      </c>
      <c r="Q426" s="3" t="str">
        <f>IF($A426="","",IF(countif('Mens Lineup'!Q$3:Q1000,CONCATENATE("=",$A426))=0,"",Q$2))</f>
        <v/>
      </c>
      <c r="R426" s="3" t="str">
        <f>IF($A426="","",IF(countif('Mens Lineup'!R$3:R1000,CONCATENATE("=",$A426))=0,"",R$2))</f>
        <v/>
      </c>
      <c r="S426" s="3" t="str">
        <f>IF($A426="","",IF(countif('Mens Lineup'!S$3:S1000,CONCATENATE("=",$A426))=0,"",S$2))</f>
        <v/>
      </c>
      <c r="W426" s="3" t="str">
        <f>IFERROR(__xludf.DUMMYFUNCTION("JOIN("","",FILTER(B426:S426,B426:S426&lt;&gt;""""))"),"#N/A")</f>
        <v>#N/A</v>
      </c>
    </row>
    <row r="427">
      <c r="A427" s="3"/>
      <c r="B427" s="3" t="str">
        <f>IF($A427="","",IF(countif('Mens Lineup'!B$3:B1000,CONCATENATE("=",$A427))=0,"",B$2))</f>
        <v/>
      </c>
      <c r="C427" s="3" t="str">
        <f>IF($A427="","",IF(countif('Mens Lineup'!C$3:C1000,CONCATENATE("=",$A427))=0,"",C$2))</f>
        <v/>
      </c>
      <c r="D427" s="3" t="str">
        <f>IF($A427="","",IF(countif('Mens Lineup'!D$3:D1000,CONCATENATE("=",$A427))=0,"",D$2))</f>
        <v/>
      </c>
      <c r="E427" s="3" t="str">
        <f>IF($A427="","",IF(countif('Mens Lineup'!E$3:E1000,CONCATENATE("=",$A427))=0,"",E$2))</f>
        <v/>
      </c>
      <c r="F427" s="3" t="str">
        <f>IF($A427="","",IF(countif('Mens Lineup'!F$3:F1000,CONCATENATE("=",$A427))=0,"",F$2))</f>
        <v/>
      </c>
      <c r="G427" s="3" t="str">
        <f>IF($A427="","",IF(countif('Mens Lineup'!G$3:G1000,CONCATENATE("=",$A427))=0,"",G$2))</f>
        <v/>
      </c>
      <c r="H427" s="3" t="str">
        <f>IF($A427="","",IF(countif('Mens Lineup'!H$3:H1000,CONCATENATE("=",$A427))=0,"",H$2))</f>
        <v/>
      </c>
      <c r="I427" s="3" t="str">
        <f>IF($A427="","",IF(countif('Mens Lineup'!I$3:I1000,CONCATENATE("=",$A427))=0,"",I$2))</f>
        <v/>
      </c>
      <c r="J427" s="3" t="str">
        <f>IF($A427="","",IF(countif('Mens Lineup'!J$3:J1000,CONCATENATE("=",$A427))=0,"",J$2))</f>
        <v/>
      </c>
      <c r="K427" s="3" t="str">
        <f>IF($A427="","",IF(countif('Mens Lineup'!K$3:K1000,CONCATENATE("=",$A427))=0,"",K$2))</f>
        <v/>
      </c>
      <c r="L427" s="3" t="str">
        <f>IF($A427="","",IF(countif('Mens Lineup'!L$3:L1000,CONCATENATE("=",$A427))=0,"",L$2))</f>
        <v/>
      </c>
      <c r="M427" s="3" t="str">
        <f>IF($A427="","",IF(countif('Mens Lineup'!M$3:M1000,CONCATENATE("=",$A427))=0,"",M$2))</f>
        <v/>
      </c>
      <c r="N427" s="3" t="str">
        <f>IF($A427="","",IF(countif('Mens Lineup'!N$3:N1000,CONCATENATE("=",$A427))=0,"",N$2))</f>
        <v/>
      </c>
      <c r="O427" s="3" t="str">
        <f>IF($A427="","",IF(countif('Mens Lineup'!O$3:O1000,CONCATENATE("=",$A427))=0,"",O$2))</f>
        <v/>
      </c>
      <c r="P427" s="3" t="str">
        <f>IF($A427="","",IF(countif('Mens Lineup'!P$3:P1000,CONCATENATE("=",$A427))=0,"",P$2))</f>
        <v/>
      </c>
      <c r="Q427" s="3" t="str">
        <f>IF($A427="","",IF(countif('Mens Lineup'!Q$3:Q1000,CONCATENATE("=",$A427))=0,"",Q$2))</f>
        <v/>
      </c>
      <c r="R427" s="3" t="str">
        <f>IF($A427="","",IF(countif('Mens Lineup'!R$3:R1000,CONCATENATE("=",$A427))=0,"",R$2))</f>
        <v/>
      </c>
      <c r="S427" s="3" t="str">
        <f>IF($A427="","",IF(countif('Mens Lineup'!S$3:S1000,CONCATENATE("=",$A427))=0,"",S$2))</f>
        <v/>
      </c>
      <c r="W427" s="3" t="str">
        <f>IFERROR(__xludf.DUMMYFUNCTION("JOIN("","",FILTER(B427:S427,B427:S427&lt;&gt;""""))"),"#N/A")</f>
        <v>#N/A</v>
      </c>
    </row>
    <row r="428">
      <c r="A428" s="3"/>
      <c r="B428" s="3" t="str">
        <f>IF($A428="","",IF(countif('Mens Lineup'!B$3:B1000,CONCATENATE("=",$A428))=0,"",B$2))</f>
        <v/>
      </c>
      <c r="C428" s="3" t="str">
        <f>IF($A428="","",IF(countif('Mens Lineup'!C$3:C1000,CONCATENATE("=",$A428))=0,"",C$2))</f>
        <v/>
      </c>
      <c r="D428" s="3" t="str">
        <f>IF($A428="","",IF(countif('Mens Lineup'!D$3:D1000,CONCATENATE("=",$A428))=0,"",D$2))</f>
        <v/>
      </c>
      <c r="E428" s="3" t="str">
        <f>IF($A428="","",IF(countif('Mens Lineup'!E$3:E1000,CONCATENATE("=",$A428))=0,"",E$2))</f>
        <v/>
      </c>
      <c r="F428" s="3" t="str">
        <f>IF($A428="","",IF(countif('Mens Lineup'!F$3:F1000,CONCATENATE("=",$A428))=0,"",F$2))</f>
        <v/>
      </c>
      <c r="G428" s="3" t="str">
        <f>IF($A428="","",IF(countif('Mens Lineup'!G$3:G1000,CONCATENATE("=",$A428))=0,"",G$2))</f>
        <v/>
      </c>
      <c r="H428" s="3" t="str">
        <f>IF($A428="","",IF(countif('Mens Lineup'!H$3:H1000,CONCATENATE("=",$A428))=0,"",H$2))</f>
        <v/>
      </c>
      <c r="I428" s="3" t="str">
        <f>IF($A428="","",IF(countif('Mens Lineup'!I$3:I1000,CONCATENATE("=",$A428))=0,"",I$2))</f>
        <v/>
      </c>
      <c r="J428" s="3" t="str">
        <f>IF($A428="","",IF(countif('Mens Lineup'!J$3:J1000,CONCATENATE("=",$A428))=0,"",J$2))</f>
        <v/>
      </c>
      <c r="K428" s="3" t="str">
        <f>IF($A428="","",IF(countif('Mens Lineup'!K$3:K1000,CONCATENATE("=",$A428))=0,"",K$2))</f>
        <v/>
      </c>
      <c r="L428" s="3" t="str">
        <f>IF($A428="","",IF(countif('Mens Lineup'!L$3:L1000,CONCATENATE("=",$A428))=0,"",L$2))</f>
        <v/>
      </c>
      <c r="M428" s="3" t="str">
        <f>IF($A428="","",IF(countif('Mens Lineup'!M$3:M1000,CONCATENATE("=",$A428))=0,"",M$2))</f>
        <v/>
      </c>
      <c r="N428" s="3" t="str">
        <f>IF($A428="","",IF(countif('Mens Lineup'!N$3:N1000,CONCATENATE("=",$A428))=0,"",N$2))</f>
        <v/>
      </c>
      <c r="O428" s="3" t="str">
        <f>IF($A428="","",IF(countif('Mens Lineup'!O$3:O1000,CONCATENATE("=",$A428))=0,"",O$2))</f>
        <v/>
      </c>
      <c r="P428" s="3" t="str">
        <f>IF($A428="","",IF(countif('Mens Lineup'!P$3:P1000,CONCATENATE("=",$A428))=0,"",P$2))</f>
        <v/>
      </c>
      <c r="Q428" s="3" t="str">
        <f>IF($A428="","",IF(countif('Mens Lineup'!Q$3:Q1000,CONCATENATE("=",$A428))=0,"",Q$2))</f>
        <v/>
      </c>
      <c r="R428" s="3" t="str">
        <f>IF($A428="","",IF(countif('Mens Lineup'!R$3:R1000,CONCATENATE("=",$A428))=0,"",R$2))</f>
        <v/>
      </c>
      <c r="S428" s="3" t="str">
        <f>IF($A428="","",IF(countif('Mens Lineup'!S$3:S1000,CONCATENATE("=",$A428))=0,"",S$2))</f>
        <v/>
      </c>
      <c r="W428" s="3" t="str">
        <f>IFERROR(__xludf.DUMMYFUNCTION("JOIN("","",FILTER(B428:S428,B428:S428&lt;&gt;""""))"),"#N/A")</f>
        <v>#N/A</v>
      </c>
    </row>
    <row r="429">
      <c r="A429" s="3"/>
      <c r="B429" s="3" t="str">
        <f>IF($A429="","",IF(countif('Mens Lineup'!B$3:B1000,CONCATENATE("=",$A429))=0,"",B$2))</f>
        <v/>
      </c>
      <c r="C429" s="3" t="str">
        <f>IF($A429="","",IF(countif('Mens Lineup'!C$3:C1000,CONCATENATE("=",$A429))=0,"",C$2))</f>
        <v/>
      </c>
      <c r="D429" s="3" t="str">
        <f>IF($A429="","",IF(countif('Mens Lineup'!D$3:D1000,CONCATENATE("=",$A429))=0,"",D$2))</f>
        <v/>
      </c>
      <c r="E429" s="3" t="str">
        <f>IF($A429="","",IF(countif('Mens Lineup'!E$3:E1000,CONCATENATE("=",$A429))=0,"",E$2))</f>
        <v/>
      </c>
      <c r="F429" s="3" t="str">
        <f>IF($A429="","",IF(countif('Mens Lineup'!F$3:F1000,CONCATENATE("=",$A429))=0,"",F$2))</f>
        <v/>
      </c>
      <c r="G429" s="3" t="str">
        <f>IF($A429="","",IF(countif('Mens Lineup'!G$3:G1000,CONCATENATE("=",$A429))=0,"",G$2))</f>
        <v/>
      </c>
      <c r="H429" s="3" t="str">
        <f>IF($A429="","",IF(countif('Mens Lineup'!H$3:H1000,CONCATENATE("=",$A429))=0,"",H$2))</f>
        <v/>
      </c>
      <c r="I429" s="3" t="str">
        <f>IF($A429="","",IF(countif('Mens Lineup'!I$3:I1000,CONCATENATE("=",$A429))=0,"",I$2))</f>
        <v/>
      </c>
      <c r="J429" s="3" t="str">
        <f>IF($A429="","",IF(countif('Mens Lineup'!J$3:J1000,CONCATENATE("=",$A429))=0,"",J$2))</f>
        <v/>
      </c>
      <c r="K429" s="3" t="str">
        <f>IF($A429="","",IF(countif('Mens Lineup'!K$3:K1000,CONCATENATE("=",$A429))=0,"",K$2))</f>
        <v/>
      </c>
      <c r="L429" s="3" t="str">
        <f>IF($A429="","",IF(countif('Mens Lineup'!L$3:L1000,CONCATENATE("=",$A429))=0,"",L$2))</f>
        <v/>
      </c>
      <c r="M429" s="3" t="str">
        <f>IF($A429="","",IF(countif('Mens Lineup'!M$3:M1000,CONCATENATE("=",$A429))=0,"",M$2))</f>
        <v/>
      </c>
      <c r="N429" s="3" t="str">
        <f>IF($A429="","",IF(countif('Mens Lineup'!N$3:N1000,CONCATENATE("=",$A429))=0,"",N$2))</f>
        <v/>
      </c>
      <c r="O429" s="3" t="str">
        <f>IF($A429="","",IF(countif('Mens Lineup'!O$3:O1000,CONCATENATE("=",$A429))=0,"",O$2))</f>
        <v/>
      </c>
      <c r="P429" s="3" t="str">
        <f>IF($A429="","",IF(countif('Mens Lineup'!P$3:P1000,CONCATENATE("=",$A429))=0,"",P$2))</f>
        <v/>
      </c>
      <c r="Q429" s="3" t="str">
        <f>IF($A429="","",IF(countif('Mens Lineup'!Q$3:Q1000,CONCATENATE("=",$A429))=0,"",Q$2))</f>
        <v/>
      </c>
      <c r="R429" s="3" t="str">
        <f>IF($A429="","",IF(countif('Mens Lineup'!R$3:R1000,CONCATENATE("=",$A429))=0,"",R$2))</f>
        <v/>
      </c>
      <c r="S429" s="3" t="str">
        <f>IF($A429="","",IF(countif('Mens Lineup'!S$3:S1000,CONCATENATE("=",$A429))=0,"",S$2))</f>
        <v/>
      </c>
      <c r="W429" s="3" t="str">
        <f>IFERROR(__xludf.DUMMYFUNCTION("JOIN("","",FILTER(B429:S429,B429:S429&lt;&gt;""""))"),"#N/A")</f>
        <v>#N/A</v>
      </c>
    </row>
    <row r="430">
      <c r="A430" s="3"/>
      <c r="B430" s="3" t="str">
        <f>IF($A430="","",IF(countif('Mens Lineup'!B$3:B1000,CONCATENATE("=",$A430))=0,"",B$2))</f>
        <v/>
      </c>
      <c r="C430" s="3" t="str">
        <f>IF($A430="","",IF(countif('Mens Lineup'!C$3:C1000,CONCATENATE("=",$A430))=0,"",C$2))</f>
        <v/>
      </c>
      <c r="D430" s="3" t="str">
        <f>IF($A430="","",IF(countif('Mens Lineup'!D$3:D1000,CONCATENATE("=",$A430))=0,"",D$2))</f>
        <v/>
      </c>
      <c r="E430" s="3" t="str">
        <f>IF($A430="","",IF(countif('Mens Lineup'!E$3:E1000,CONCATENATE("=",$A430))=0,"",E$2))</f>
        <v/>
      </c>
      <c r="F430" s="3" t="str">
        <f>IF($A430="","",IF(countif('Mens Lineup'!F$3:F1000,CONCATENATE("=",$A430))=0,"",F$2))</f>
        <v/>
      </c>
      <c r="G430" s="3" t="str">
        <f>IF($A430="","",IF(countif('Mens Lineup'!G$3:G1000,CONCATENATE("=",$A430))=0,"",G$2))</f>
        <v/>
      </c>
      <c r="H430" s="3" t="str">
        <f>IF($A430="","",IF(countif('Mens Lineup'!H$3:H1000,CONCATENATE("=",$A430))=0,"",H$2))</f>
        <v/>
      </c>
      <c r="I430" s="3" t="str">
        <f>IF($A430="","",IF(countif('Mens Lineup'!I$3:I1000,CONCATENATE("=",$A430))=0,"",I$2))</f>
        <v/>
      </c>
      <c r="J430" s="3" t="str">
        <f>IF($A430="","",IF(countif('Mens Lineup'!J$3:J1000,CONCATENATE("=",$A430))=0,"",J$2))</f>
        <v/>
      </c>
      <c r="K430" s="3" t="str">
        <f>IF($A430="","",IF(countif('Mens Lineup'!K$3:K1000,CONCATENATE("=",$A430))=0,"",K$2))</f>
        <v/>
      </c>
      <c r="L430" s="3" t="str">
        <f>IF($A430="","",IF(countif('Mens Lineup'!L$3:L1000,CONCATENATE("=",$A430))=0,"",L$2))</f>
        <v/>
      </c>
      <c r="M430" s="3" t="str">
        <f>IF($A430="","",IF(countif('Mens Lineup'!M$3:M1000,CONCATENATE("=",$A430))=0,"",M$2))</f>
        <v/>
      </c>
      <c r="N430" s="3" t="str">
        <f>IF($A430="","",IF(countif('Mens Lineup'!N$3:N1000,CONCATENATE("=",$A430))=0,"",N$2))</f>
        <v/>
      </c>
      <c r="O430" s="3" t="str">
        <f>IF($A430="","",IF(countif('Mens Lineup'!O$3:O1000,CONCATENATE("=",$A430))=0,"",O$2))</f>
        <v/>
      </c>
      <c r="P430" s="3" t="str">
        <f>IF($A430="","",IF(countif('Mens Lineup'!P$3:P1000,CONCATENATE("=",$A430))=0,"",P$2))</f>
        <v/>
      </c>
      <c r="Q430" s="3" t="str">
        <f>IF($A430="","",IF(countif('Mens Lineup'!Q$3:Q1000,CONCATENATE("=",$A430))=0,"",Q$2))</f>
        <v/>
      </c>
      <c r="R430" s="3" t="str">
        <f>IF($A430="","",IF(countif('Mens Lineup'!R$3:R1000,CONCATENATE("=",$A430))=0,"",R$2))</f>
        <v/>
      </c>
      <c r="S430" s="3" t="str">
        <f>IF($A430="","",IF(countif('Mens Lineup'!S$3:S1000,CONCATENATE("=",$A430))=0,"",S$2))</f>
        <v/>
      </c>
      <c r="W430" s="3" t="str">
        <f>IFERROR(__xludf.DUMMYFUNCTION("JOIN("","",FILTER(B430:S430,B430:S430&lt;&gt;""""))"),"#N/A")</f>
        <v>#N/A</v>
      </c>
    </row>
    <row r="431">
      <c r="A431" s="3"/>
      <c r="B431" s="3" t="str">
        <f>IF($A431="","",IF(countif('Mens Lineup'!B$3:B1000,CONCATENATE("=",$A431))=0,"",B$2))</f>
        <v/>
      </c>
      <c r="C431" s="3" t="str">
        <f>IF($A431="","",IF(countif('Mens Lineup'!C$3:C1000,CONCATENATE("=",$A431))=0,"",C$2))</f>
        <v/>
      </c>
      <c r="D431" s="3" t="str">
        <f>IF($A431="","",IF(countif('Mens Lineup'!D$3:D1000,CONCATENATE("=",$A431))=0,"",D$2))</f>
        <v/>
      </c>
      <c r="E431" s="3" t="str">
        <f>IF($A431="","",IF(countif('Mens Lineup'!E$3:E1000,CONCATENATE("=",$A431))=0,"",E$2))</f>
        <v/>
      </c>
      <c r="F431" s="3" t="str">
        <f>IF($A431="","",IF(countif('Mens Lineup'!F$3:F1000,CONCATENATE("=",$A431))=0,"",F$2))</f>
        <v/>
      </c>
      <c r="G431" s="3" t="str">
        <f>IF($A431="","",IF(countif('Mens Lineup'!G$3:G1000,CONCATENATE("=",$A431))=0,"",G$2))</f>
        <v/>
      </c>
      <c r="H431" s="3" t="str">
        <f>IF($A431="","",IF(countif('Mens Lineup'!H$3:H1000,CONCATENATE("=",$A431))=0,"",H$2))</f>
        <v/>
      </c>
      <c r="I431" s="3" t="str">
        <f>IF($A431="","",IF(countif('Mens Lineup'!I$3:I1000,CONCATENATE("=",$A431))=0,"",I$2))</f>
        <v/>
      </c>
      <c r="J431" s="3" t="str">
        <f>IF($A431="","",IF(countif('Mens Lineup'!J$3:J1000,CONCATENATE("=",$A431))=0,"",J$2))</f>
        <v/>
      </c>
      <c r="K431" s="3" t="str">
        <f>IF($A431="","",IF(countif('Mens Lineup'!K$3:K1000,CONCATENATE("=",$A431))=0,"",K$2))</f>
        <v/>
      </c>
      <c r="L431" s="3" t="str">
        <f>IF($A431="","",IF(countif('Mens Lineup'!L$3:L1000,CONCATENATE("=",$A431))=0,"",L$2))</f>
        <v/>
      </c>
      <c r="M431" s="3" t="str">
        <f>IF($A431="","",IF(countif('Mens Lineup'!M$3:M1000,CONCATENATE("=",$A431))=0,"",M$2))</f>
        <v/>
      </c>
      <c r="N431" s="3" t="str">
        <f>IF($A431="","",IF(countif('Mens Lineup'!N$3:N1000,CONCATENATE("=",$A431))=0,"",N$2))</f>
        <v/>
      </c>
      <c r="O431" s="3" t="str">
        <f>IF($A431="","",IF(countif('Mens Lineup'!O$3:O1000,CONCATENATE("=",$A431))=0,"",O$2))</f>
        <v/>
      </c>
      <c r="P431" s="3" t="str">
        <f>IF($A431="","",IF(countif('Mens Lineup'!P$3:P1000,CONCATENATE("=",$A431))=0,"",P$2))</f>
        <v/>
      </c>
      <c r="Q431" s="3" t="str">
        <f>IF($A431="","",IF(countif('Mens Lineup'!Q$3:Q1000,CONCATENATE("=",$A431))=0,"",Q$2))</f>
        <v/>
      </c>
      <c r="R431" s="3" t="str">
        <f>IF($A431="","",IF(countif('Mens Lineup'!R$3:R1000,CONCATENATE("=",$A431))=0,"",R$2))</f>
        <v/>
      </c>
      <c r="S431" s="3" t="str">
        <f>IF($A431="","",IF(countif('Mens Lineup'!S$3:S1000,CONCATENATE("=",$A431))=0,"",S$2))</f>
        <v/>
      </c>
      <c r="W431" s="3" t="str">
        <f>IFERROR(__xludf.DUMMYFUNCTION("JOIN("","",FILTER(B431:S431,B431:S431&lt;&gt;""""))"),"#N/A")</f>
        <v>#N/A</v>
      </c>
    </row>
    <row r="432">
      <c r="A432" s="3"/>
      <c r="B432" s="3" t="str">
        <f>IF($A432="","",IF(countif('Mens Lineup'!B$3:B1000,CONCATENATE("=",$A432))=0,"",B$2))</f>
        <v/>
      </c>
      <c r="C432" s="3" t="str">
        <f>IF($A432="","",IF(countif('Mens Lineup'!C$3:C1000,CONCATENATE("=",$A432))=0,"",C$2))</f>
        <v/>
      </c>
      <c r="D432" s="3" t="str">
        <f>IF($A432="","",IF(countif('Mens Lineup'!D$3:D1000,CONCATENATE("=",$A432))=0,"",D$2))</f>
        <v/>
      </c>
      <c r="E432" s="3" t="str">
        <f>IF($A432="","",IF(countif('Mens Lineup'!E$3:E1000,CONCATENATE("=",$A432))=0,"",E$2))</f>
        <v/>
      </c>
      <c r="F432" s="3" t="str">
        <f>IF($A432="","",IF(countif('Mens Lineup'!F$3:F1000,CONCATENATE("=",$A432))=0,"",F$2))</f>
        <v/>
      </c>
      <c r="G432" s="3" t="str">
        <f>IF($A432="","",IF(countif('Mens Lineup'!G$3:G1000,CONCATENATE("=",$A432))=0,"",G$2))</f>
        <v/>
      </c>
      <c r="H432" s="3" t="str">
        <f>IF($A432="","",IF(countif('Mens Lineup'!H$3:H1000,CONCATENATE("=",$A432))=0,"",H$2))</f>
        <v/>
      </c>
      <c r="I432" s="3" t="str">
        <f>IF($A432="","",IF(countif('Mens Lineup'!I$3:I1000,CONCATENATE("=",$A432))=0,"",I$2))</f>
        <v/>
      </c>
      <c r="J432" s="3" t="str">
        <f>IF($A432="","",IF(countif('Mens Lineup'!J$3:J1000,CONCATENATE("=",$A432))=0,"",J$2))</f>
        <v/>
      </c>
      <c r="K432" s="3" t="str">
        <f>IF($A432="","",IF(countif('Mens Lineup'!K$3:K1000,CONCATENATE("=",$A432))=0,"",K$2))</f>
        <v/>
      </c>
      <c r="L432" s="3" t="str">
        <f>IF($A432="","",IF(countif('Mens Lineup'!L$3:L1000,CONCATENATE("=",$A432))=0,"",L$2))</f>
        <v/>
      </c>
      <c r="M432" s="3" t="str">
        <f>IF($A432="","",IF(countif('Mens Lineup'!M$3:M1000,CONCATENATE("=",$A432))=0,"",M$2))</f>
        <v/>
      </c>
      <c r="N432" s="3" t="str">
        <f>IF($A432="","",IF(countif('Mens Lineup'!N$3:N1000,CONCATENATE("=",$A432))=0,"",N$2))</f>
        <v/>
      </c>
      <c r="O432" s="3" t="str">
        <f>IF($A432="","",IF(countif('Mens Lineup'!O$3:O1000,CONCATENATE("=",$A432))=0,"",O$2))</f>
        <v/>
      </c>
      <c r="P432" s="3" t="str">
        <f>IF($A432="","",IF(countif('Mens Lineup'!P$3:P1000,CONCATENATE("=",$A432))=0,"",P$2))</f>
        <v/>
      </c>
      <c r="Q432" s="3" t="str">
        <f>IF($A432="","",IF(countif('Mens Lineup'!Q$3:Q1000,CONCATENATE("=",$A432))=0,"",Q$2))</f>
        <v/>
      </c>
      <c r="R432" s="3" t="str">
        <f>IF($A432="","",IF(countif('Mens Lineup'!R$3:R1000,CONCATENATE("=",$A432))=0,"",R$2))</f>
        <v/>
      </c>
      <c r="S432" s="3" t="str">
        <f>IF($A432="","",IF(countif('Mens Lineup'!S$3:S1000,CONCATENATE("=",$A432))=0,"",S$2))</f>
        <v/>
      </c>
      <c r="W432" s="3" t="str">
        <f>IFERROR(__xludf.DUMMYFUNCTION("JOIN("","",FILTER(B432:S432,B432:S432&lt;&gt;""""))"),"#N/A")</f>
        <v>#N/A</v>
      </c>
    </row>
    <row r="433">
      <c r="A433" s="3"/>
      <c r="B433" s="3" t="str">
        <f>IF($A433="","",IF(countif('Mens Lineup'!B$3:B1000,CONCATENATE("=",$A433))=0,"",B$2))</f>
        <v/>
      </c>
      <c r="C433" s="3" t="str">
        <f>IF($A433="","",IF(countif('Mens Lineup'!C$3:C1000,CONCATENATE("=",$A433))=0,"",C$2))</f>
        <v/>
      </c>
      <c r="D433" s="3" t="str">
        <f>IF($A433="","",IF(countif('Mens Lineup'!D$3:D1000,CONCATENATE("=",$A433))=0,"",D$2))</f>
        <v/>
      </c>
      <c r="E433" s="3" t="str">
        <f>IF($A433="","",IF(countif('Mens Lineup'!E$3:E1000,CONCATENATE("=",$A433))=0,"",E$2))</f>
        <v/>
      </c>
      <c r="F433" s="3" t="str">
        <f>IF($A433="","",IF(countif('Mens Lineup'!F$3:F1000,CONCATENATE("=",$A433))=0,"",F$2))</f>
        <v/>
      </c>
      <c r="G433" s="3" t="str">
        <f>IF($A433="","",IF(countif('Mens Lineup'!G$3:G1000,CONCATENATE("=",$A433))=0,"",G$2))</f>
        <v/>
      </c>
      <c r="H433" s="3" t="str">
        <f>IF($A433="","",IF(countif('Mens Lineup'!H$3:H1000,CONCATENATE("=",$A433))=0,"",H$2))</f>
        <v/>
      </c>
      <c r="I433" s="3" t="str">
        <f>IF($A433="","",IF(countif('Mens Lineup'!I$3:I1000,CONCATENATE("=",$A433))=0,"",I$2))</f>
        <v/>
      </c>
      <c r="J433" s="3" t="str">
        <f>IF($A433="","",IF(countif('Mens Lineup'!J$3:J1000,CONCATENATE("=",$A433))=0,"",J$2))</f>
        <v/>
      </c>
      <c r="K433" s="3" t="str">
        <f>IF($A433="","",IF(countif('Mens Lineup'!K$3:K1000,CONCATENATE("=",$A433))=0,"",K$2))</f>
        <v/>
      </c>
      <c r="L433" s="3" t="str">
        <f>IF($A433="","",IF(countif('Mens Lineup'!L$3:L1000,CONCATENATE("=",$A433))=0,"",L$2))</f>
        <v/>
      </c>
      <c r="M433" s="3" t="str">
        <f>IF($A433="","",IF(countif('Mens Lineup'!M$3:M1000,CONCATENATE("=",$A433))=0,"",M$2))</f>
        <v/>
      </c>
      <c r="N433" s="3" t="str">
        <f>IF($A433="","",IF(countif('Mens Lineup'!N$3:N1000,CONCATENATE("=",$A433))=0,"",N$2))</f>
        <v/>
      </c>
      <c r="O433" s="3" t="str">
        <f>IF($A433="","",IF(countif('Mens Lineup'!O$3:O1000,CONCATENATE("=",$A433))=0,"",O$2))</f>
        <v/>
      </c>
      <c r="P433" s="3" t="str">
        <f>IF($A433="","",IF(countif('Mens Lineup'!P$3:P1000,CONCATENATE("=",$A433))=0,"",P$2))</f>
        <v/>
      </c>
      <c r="Q433" s="3" t="str">
        <f>IF($A433="","",IF(countif('Mens Lineup'!Q$3:Q1000,CONCATENATE("=",$A433))=0,"",Q$2))</f>
        <v/>
      </c>
      <c r="R433" s="3" t="str">
        <f>IF($A433="","",IF(countif('Mens Lineup'!R$3:R1000,CONCATENATE("=",$A433))=0,"",R$2))</f>
        <v/>
      </c>
      <c r="S433" s="3" t="str">
        <f>IF($A433="","",IF(countif('Mens Lineup'!S$3:S1000,CONCATENATE("=",$A433))=0,"",S$2))</f>
        <v/>
      </c>
      <c r="W433" s="3" t="str">
        <f>IFERROR(__xludf.DUMMYFUNCTION("JOIN("","",FILTER(B433:S433,B433:S433&lt;&gt;""""))"),"#N/A")</f>
        <v>#N/A</v>
      </c>
    </row>
    <row r="434">
      <c r="A434" s="3"/>
      <c r="B434" s="3" t="str">
        <f>IF($A434="","",IF(countif('Mens Lineup'!B$3:B1000,CONCATENATE("=",$A434))=0,"",B$2))</f>
        <v/>
      </c>
      <c r="C434" s="3" t="str">
        <f>IF($A434="","",IF(countif('Mens Lineup'!C$3:C1000,CONCATENATE("=",$A434))=0,"",C$2))</f>
        <v/>
      </c>
      <c r="D434" s="3" t="str">
        <f>IF($A434="","",IF(countif('Mens Lineup'!D$3:D1000,CONCATENATE("=",$A434))=0,"",D$2))</f>
        <v/>
      </c>
      <c r="E434" s="3" t="str">
        <f>IF($A434="","",IF(countif('Mens Lineup'!E$3:E1000,CONCATENATE("=",$A434))=0,"",E$2))</f>
        <v/>
      </c>
      <c r="F434" s="3" t="str">
        <f>IF($A434="","",IF(countif('Mens Lineup'!F$3:F1000,CONCATENATE("=",$A434))=0,"",F$2))</f>
        <v/>
      </c>
      <c r="G434" s="3" t="str">
        <f>IF($A434="","",IF(countif('Mens Lineup'!G$3:G1000,CONCATENATE("=",$A434))=0,"",G$2))</f>
        <v/>
      </c>
      <c r="H434" s="3" t="str">
        <f>IF($A434="","",IF(countif('Mens Lineup'!H$3:H1000,CONCATENATE("=",$A434))=0,"",H$2))</f>
        <v/>
      </c>
      <c r="I434" s="3" t="str">
        <f>IF($A434="","",IF(countif('Mens Lineup'!I$3:I1000,CONCATENATE("=",$A434))=0,"",I$2))</f>
        <v/>
      </c>
      <c r="J434" s="3" t="str">
        <f>IF($A434="","",IF(countif('Mens Lineup'!J$3:J1000,CONCATENATE("=",$A434))=0,"",J$2))</f>
        <v/>
      </c>
      <c r="K434" s="3" t="str">
        <f>IF($A434="","",IF(countif('Mens Lineup'!K$3:K1000,CONCATENATE("=",$A434))=0,"",K$2))</f>
        <v/>
      </c>
      <c r="L434" s="3" t="str">
        <f>IF($A434="","",IF(countif('Mens Lineup'!L$3:L1000,CONCATENATE("=",$A434))=0,"",L$2))</f>
        <v/>
      </c>
      <c r="M434" s="3" t="str">
        <f>IF($A434="","",IF(countif('Mens Lineup'!M$3:M1000,CONCATENATE("=",$A434))=0,"",M$2))</f>
        <v/>
      </c>
      <c r="N434" s="3" t="str">
        <f>IF($A434="","",IF(countif('Mens Lineup'!N$3:N1000,CONCATENATE("=",$A434))=0,"",N$2))</f>
        <v/>
      </c>
      <c r="O434" s="3" t="str">
        <f>IF($A434="","",IF(countif('Mens Lineup'!O$3:O1000,CONCATENATE("=",$A434))=0,"",O$2))</f>
        <v/>
      </c>
      <c r="P434" s="3" t="str">
        <f>IF($A434="","",IF(countif('Mens Lineup'!P$3:P1000,CONCATENATE("=",$A434))=0,"",P$2))</f>
        <v/>
      </c>
      <c r="Q434" s="3" t="str">
        <f>IF($A434="","",IF(countif('Mens Lineup'!Q$3:Q1000,CONCATENATE("=",$A434))=0,"",Q$2))</f>
        <v/>
      </c>
      <c r="R434" s="3" t="str">
        <f>IF($A434="","",IF(countif('Mens Lineup'!R$3:R1000,CONCATENATE("=",$A434))=0,"",R$2))</f>
        <v/>
      </c>
      <c r="S434" s="3" t="str">
        <f>IF($A434="","",IF(countif('Mens Lineup'!S$3:S1000,CONCATENATE("=",$A434))=0,"",S$2))</f>
        <v/>
      </c>
      <c r="W434" s="3" t="str">
        <f>IFERROR(__xludf.DUMMYFUNCTION("JOIN("","",FILTER(B434:S434,B434:S434&lt;&gt;""""))"),"#N/A")</f>
        <v>#N/A</v>
      </c>
    </row>
    <row r="435">
      <c r="A435" s="3"/>
      <c r="B435" s="3" t="str">
        <f>IF($A435="","",IF(countif('Mens Lineup'!B$3:B1000,CONCATENATE("=",$A435))=0,"",B$2))</f>
        <v/>
      </c>
      <c r="C435" s="3" t="str">
        <f>IF($A435="","",IF(countif('Mens Lineup'!C$3:C1000,CONCATENATE("=",$A435))=0,"",C$2))</f>
        <v/>
      </c>
      <c r="D435" s="3" t="str">
        <f>IF($A435="","",IF(countif('Mens Lineup'!D$3:D1000,CONCATENATE("=",$A435))=0,"",D$2))</f>
        <v/>
      </c>
      <c r="E435" s="3" t="str">
        <f>IF($A435="","",IF(countif('Mens Lineup'!E$3:E1000,CONCATENATE("=",$A435))=0,"",E$2))</f>
        <v/>
      </c>
      <c r="F435" s="3" t="str">
        <f>IF($A435="","",IF(countif('Mens Lineup'!F$3:F1000,CONCATENATE("=",$A435))=0,"",F$2))</f>
        <v/>
      </c>
      <c r="G435" s="3" t="str">
        <f>IF($A435="","",IF(countif('Mens Lineup'!G$3:G1000,CONCATENATE("=",$A435))=0,"",G$2))</f>
        <v/>
      </c>
      <c r="H435" s="3" t="str">
        <f>IF($A435="","",IF(countif('Mens Lineup'!H$3:H1000,CONCATENATE("=",$A435))=0,"",H$2))</f>
        <v/>
      </c>
      <c r="I435" s="3" t="str">
        <f>IF($A435="","",IF(countif('Mens Lineup'!I$3:I1000,CONCATENATE("=",$A435))=0,"",I$2))</f>
        <v/>
      </c>
      <c r="J435" s="3" t="str">
        <f>IF($A435="","",IF(countif('Mens Lineup'!J$3:J1000,CONCATENATE("=",$A435))=0,"",J$2))</f>
        <v/>
      </c>
      <c r="K435" s="3" t="str">
        <f>IF($A435="","",IF(countif('Mens Lineup'!K$3:K1000,CONCATENATE("=",$A435))=0,"",K$2))</f>
        <v/>
      </c>
      <c r="L435" s="3" t="str">
        <f>IF($A435="","",IF(countif('Mens Lineup'!L$3:L1000,CONCATENATE("=",$A435))=0,"",L$2))</f>
        <v/>
      </c>
      <c r="M435" s="3" t="str">
        <f>IF($A435="","",IF(countif('Mens Lineup'!M$3:M1000,CONCATENATE("=",$A435))=0,"",M$2))</f>
        <v/>
      </c>
      <c r="N435" s="3" t="str">
        <f>IF($A435="","",IF(countif('Mens Lineup'!N$3:N1000,CONCATENATE("=",$A435))=0,"",N$2))</f>
        <v/>
      </c>
      <c r="O435" s="3" t="str">
        <f>IF($A435="","",IF(countif('Mens Lineup'!O$3:O1000,CONCATENATE("=",$A435))=0,"",O$2))</f>
        <v/>
      </c>
      <c r="P435" s="3" t="str">
        <f>IF($A435="","",IF(countif('Mens Lineup'!P$3:P1000,CONCATENATE("=",$A435))=0,"",P$2))</f>
        <v/>
      </c>
      <c r="Q435" s="3" t="str">
        <f>IF($A435="","",IF(countif('Mens Lineup'!Q$3:Q1000,CONCATENATE("=",$A435))=0,"",Q$2))</f>
        <v/>
      </c>
      <c r="R435" s="3" t="str">
        <f>IF($A435="","",IF(countif('Mens Lineup'!R$3:R1000,CONCATENATE("=",$A435))=0,"",R$2))</f>
        <v/>
      </c>
      <c r="S435" s="3" t="str">
        <f>IF($A435="","",IF(countif('Mens Lineup'!S$3:S1000,CONCATENATE("=",$A435))=0,"",S$2))</f>
        <v/>
      </c>
      <c r="W435" s="3" t="str">
        <f>IFERROR(__xludf.DUMMYFUNCTION("JOIN("","",FILTER(B435:S435,B435:S435&lt;&gt;""""))"),"#N/A")</f>
        <v>#N/A</v>
      </c>
    </row>
    <row r="436">
      <c r="A436" s="3"/>
      <c r="B436" s="3" t="str">
        <f>IF($A436="","",IF(countif('Mens Lineup'!B$3:B1000,CONCATENATE("=",$A436))=0,"",B$2))</f>
        <v/>
      </c>
      <c r="C436" s="3" t="str">
        <f>IF($A436="","",IF(countif('Mens Lineup'!C$3:C1000,CONCATENATE("=",$A436))=0,"",C$2))</f>
        <v/>
      </c>
      <c r="D436" s="3" t="str">
        <f>IF($A436="","",IF(countif('Mens Lineup'!D$3:D1000,CONCATENATE("=",$A436))=0,"",D$2))</f>
        <v/>
      </c>
      <c r="E436" s="3" t="str">
        <f>IF($A436="","",IF(countif('Mens Lineup'!E$3:E1000,CONCATENATE("=",$A436))=0,"",E$2))</f>
        <v/>
      </c>
      <c r="F436" s="3" t="str">
        <f>IF($A436="","",IF(countif('Mens Lineup'!F$3:F1000,CONCATENATE("=",$A436))=0,"",F$2))</f>
        <v/>
      </c>
      <c r="G436" s="3" t="str">
        <f>IF($A436="","",IF(countif('Mens Lineup'!G$3:G1000,CONCATENATE("=",$A436))=0,"",G$2))</f>
        <v/>
      </c>
      <c r="H436" s="3" t="str">
        <f>IF($A436="","",IF(countif('Mens Lineup'!H$3:H1000,CONCATENATE("=",$A436))=0,"",H$2))</f>
        <v/>
      </c>
      <c r="I436" s="3" t="str">
        <f>IF($A436="","",IF(countif('Mens Lineup'!I$3:I1000,CONCATENATE("=",$A436))=0,"",I$2))</f>
        <v/>
      </c>
      <c r="J436" s="3" t="str">
        <f>IF($A436="","",IF(countif('Mens Lineup'!J$3:J1000,CONCATENATE("=",$A436))=0,"",J$2))</f>
        <v/>
      </c>
      <c r="K436" s="3" t="str">
        <f>IF($A436="","",IF(countif('Mens Lineup'!K$3:K1000,CONCATENATE("=",$A436))=0,"",K$2))</f>
        <v/>
      </c>
      <c r="L436" s="3" t="str">
        <f>IF($A436="","",IF(countif('Mens Lineup'!L$3:L1000,CONCATENATE("=",$A436))=0,"",L$2))</f>
        <v/>
      </c>
      <c r="M436" s="3" t="str">
        <f>IF($A436="","",IF(countif('Mens Lineup'!M$3:M1000,CONCATENATE("=",$A436))=0,"",M$2))</f>
        <v/>
      </c>
      <c r="N436" s="3" t="str">
        <f>IF($A436="","",IF(countif('Mens Lineup'!N$3:N1000,CONCATENATE("=",$A436))=0,"",N$2))</f>
        <v/>
      </c>
      <c r="O436" s="3" t="str">
        <f>IF($A436="","",IF(countif('Mens Lineup'!O$3:O1000,CONCATENATE("=",$A436))=0,"",O$2))</f>
        <v/>
      </c>
      <c r="P436" s="3" t="str">
        <f>IF($A436="","",IF(countif('Mens Lineup'!P$3:P1000,CONCATENATE("=",$A436))=0,"",P$2))</f>
        <v/>
      </c>
      <c r="Q436" s="3" t="str">
        <f>IF($A436="","",IF(countif('Mens Lineup'!Q$3:Q1000,CONCATENATE("=",$A436))=0,"",Q$2))</f>
        <v/>
      </c>
      <c r="R436" s="3" t="str">
        <f>IF($A436="","",IF(countif('Mens Lineup'!R$3:R1000,CONCATENATE("=",$A436))=0,"",R$2))</f>
        <v/>
      </c>
      <c r="S436" s="3" t="str">
        <f>IF($A436="","",IF(countif('Mens Lineup'!S$3:S1000,CONCATENATE("=",$A436))=0,"",S$2))</f>
        <v/>
      </c>
      <c r="W436" s="3" t="str">
        <f>IFERROR(__xludf.DUMMYFUNCTION("JOIN("","",FILTER(B436:S436,B436:S436&lt;&gt;""""))"),"#N/A")</f>
        <v>#N/A</v>
      </c>
    </row>
    <row r="437">
      <c r="A437" s="3"/>
      <c r="B437" s="3" t="str">
        <f>IF($A437="","",IF(countif('Mens Lineup'!B$3:B1000,CONCATENATE("=",$A437))=0,"",B$2))</f>
        <v/>
      </c>
      <c r="C437" s="3" t="str">
        <f>IF($A437="","",IF(countif('Mens Lineup'!C$3:C1000,CONCATENATE("=",$A437))=0,"",C$2))</f>
        <v/>
      </c>
      <c r="D437" s="3" t="str">
        <f>IF($A437="","",IF(countif('Mens Lineup'!D$3:D1000,CONCATENATE("=",$A437))=0,"",D$2))</f>
        <v/>
      </c>
      <c r="E437" s="3" t="str">
        <f>IF($A437="","",IF(countif('Mens Lineup'!E$3:E1000,CONCATENATE("=",$A437))=0,"",E$2))</f>
        <v/>
      </c>
      <c r="F437" s="3" t="str">
        <f>IF($A437="","",IF(countif('Mens Lineup'!F$3:F1000,CONCATENATE("=",$A437))=0,"",F$2))</f>
        <v/>
      </c>
      <c r="G437" s="3" t="str">
        <f>IF($A437="","",IF(countif('Mens Lineup'!G$3:G1000,CONCATENATE("=",$A437))=0,"",G$2))</f>
        <v/>
      </c>
      <c r="H437" s="3" t="str">
        <f>IF($A437="","",IF(countif('Mens Lineup'!H$3:H1000,CONCATENATE("=",$A437))=0,"",H$2))</f>
        <v/>
      </c>
      <c r="I437" s="3" t="str">
        <f>IF($A437="","",IF(countif('Mens Lineup'!I$3:I1000,CONCATENATE("=",$A437))=0,"",I$2))</f>
        <v/>
      </c>
      <c r="J437" s="3" t="str">
        <f>IF($A437="","",IF(countif('Mens Lineup'!J$3:J1000,CONCATENATE("=",$A437))=0,"",J$2))</f>
        <v/>
      </c>
      <c r="K437" s="3" t="str">
        <f>IF($A437="","",IF(countif('Mens Lineup'!K$3:K1000,CONCATENATE("=",$A437))=0,"",K$2))</f>
        <v/>
      </c>
      <c r="L437" s="3" t="str">
        <f>IF($A437="","",IF(countif('Mens Lineup'!L$3:L1000,CONCATENATE("=",$A437))=0,"",L$2))</f>
        <v/>
      </c>
      <c r="M437" s="3" t="str">
        <f>IF($A437="","",IF(countif('Mens Lineup'!M$3:M1000,CONCATENATE("=",$A437))=0,"",M$2))</f>
        <v/>
      </c>
      <c r="N437" s="3" t="str">
        <f>IF($A437="","",IF(countif('Mens Lineup'!N$3:N1000,CONCATENATE("=",$A437))=0,"",N$2))</f>
        <v/>
      </c>
      <c r="O437" s="3" t="str">
        <f>IF($A437="","",IF(countif('Mens Lineup'!O$3:O1000,CONCATENATE("=",$A437))=0,"",O$2))</f>
        <v/>
      </c>
      <c r="P437" s="3" t="str">
        <f>IF($A437="","",IF(countif('Mens Lineup'!P$3:P1000,CONCATENATE("=",$A437))=0,"",P$2))</f>
        <v/>
      </c>
      <c r="Q437" s="3" t="str">
        <f>IF($A437="","",IF(countif('Mens Lineup'!Q$3:Q1000,CONCATENATE("=",$A437))=0,"",Q$2))</f>
        <v/>
      </c>
      <c r="R437" s="3" t="str">
        <f>IF($A437="","",IF(countif('Mens Lineup'!R$3:R1000,CONCATENATE("=",$A437))=0,"",R$2))</f>
        <v/>
      </c>
      <c r="S437" s="3" t="str">
        <f>IF($A437="","",IF(countif('Mens Lineup'!S$3:S1000,CONCATENATE("=",$A437))=0,"",S$2))</f>
        <v/>
      </c>
      <c r="W437" s="3" t="str">
        <f>IFERROR(__xludf.DUMMYFUNCTION("JOIN("","",FILTER(B437:S437,B437:S437&lt;&gt;""""))"),"#N/A")</f>
        <v>#N/A</v>
      </c>
    </row>
    <row r="438">
      <c r="A438" s="3"/>
      <c r="B438" s="3" t="str">
        <f>IF($A438="","",IF(countif('Mens Lineup'!B$3:B1000,CONCATENATE("=",$A438))=0,"",B$2))</f>
        <v/>
      </c>
      <c r="C438" s="3" t="str">
        <f>IF($A438="","",IF(countif('Mens Lineup'!C$3:C1000,CONCATENATE("=",$A438))=0,"",C$2))</f>
        <v/>
      </c>
      <c r="D438" s="3" t="str">
        <f>IF($A438="","",IF(countif('Mens Lineup'!D$3:D1000,CONCATENATE("=",$A438))=0,"",D$2))</f>
        <v/>
      </c>
      <c r="E438" s="3" t="str">
        <f>IF($A438="","",IF(countif('Mens Lineup'!E$3:E1000,CONCATENATE("=",$A438))=0,"",E$2))</f>
        <v/>
      </c>
      <c r="F438" s="3" t="str">
        <f>IF($A438="","",IF(countif('Mens Lineup'!F$3:F1000,CONCATENATE("=",$A438))=0,"",F$2))</f>
        <v/>
      </c>
      <c r="G438" s="3" t="str">
        <f>IF($A438="","",IF(countif('Mens Lineup'!G$3:G1000,CONCATENATE("=",$A438))=0,"",G$2))</f>
        <v/>
      </c>
      <c r="H438" s="3" t="str">
        <f>IF($A438="","",IF(countif('Mens Lineup'!H$3:H1000,CONCATENATE("=",$A438))=0,"",H$2))</f>
        <v/>
      </c>
      <c r="I438" s="3" t="str">
        <f>IF($A438="","",IF(countif('Mens Lineup'!I$3:I1000,CONCATENATE("=",$A438))=0,"",I$2))</f>
        <v/>
      </c>
      <c r="J438" s="3" t="str">
        <f>IF($A438="","",IF(countif('Mens Lineup'!J$3:J1000,CONCATENATE("=",$A438))=0,"",J$2))</f>
        <v/>
      </c>
      <c r="K438" s="3" t="str">
        <f>IF($A438="","",IF(countif('Mens Lineup'!K$3:K1000,CONCATENATE("=",$A438))=0,"",K$2))</f>
        <v/>
      </c>
      <c r="L438" s="3" t="str">
        <f>IF($A438="","",IF(countif('Mens Lineup'!L$3:L1000,CONCATENATE("=",$A438))=0,"",L$2))</f>
        <v/>
      </c>
      <c r="M438" s="3" t="str">
        <f>IF($A438="","",IF(countif('Mens Lineup'!M$3:M1000,CONCATENATE("=",$A438))=0,"",M$2))</f>
        <v/>
      </c>
      <c r="N438" s="3" t="str">
        <f>IF($A438="","",IF(countif('Mens Lineup'!N$3:N1000,CONCATENATE("=",$A438))=0,"",N$2))</f>
        <v/>
      </c>
      <c r="O438" s="3" t="str">
        <f>IF($A438="","",IF(countif('Mens Lineup'!O$3:O1000,CONCATENATE("=",$A438))=0,"",O$2))</f>
        <v/>
      </c>
      <c r="P438" s="3" t="str">
        <f>IF($A438="","",IF(countif('Mens Lineup'!P$3:P1000,CONCATENATE("=",$A438))=0,"",P$2))</f>
        <v/>
      </c>
      <c r="Q438" s="3" t="str">
        <f>IF($A438="","",IF(countif('Mens Lineup'!Q$3:Q1000,CONCATENATE("=",$A438))=0,"",Q$2))</f>
        <v/>
      </c>
      <c r="R438" s="3" t="str">
        <f>IF($A438="","",IF(countif('Mens Lineup'!R$3:R1000,CONCATENATE("=",$A438))=0,"",R$2))</f>
        <v/>
      </c>
      <c r="S438" s="3" t="str">
        <f>IF($A438="","",IF(countif('Mens Lineup'!S$3:S1000,CONCATENATE("=",$A438))=0,"",S$2))</f>
        <v/>
      </c>
      <c r="W438" s="3" t="str">
        <f>IFERROR(__xludf.DUMMYFUNCTION("JOIN("","",FILTER(B438:S438,B438:S438&lt;&gt;""""))"),"#N/A")</f>
        <v>#N/A</v>
      </c>
    </row>
    <row r="439">
      <c r="A439" s="3"/>
      <c r="B439" s="3" t="str">
        <f>IF($A439="","",IF(countif('Mens Lineup'!B$3:B1000,CONCATENATE("=",$A439))=0,"",B$2))</f>
        <v/>
      </c>
      <c r="C439" s="3" t="str">
        <f>IF($A439="","",IF(countif('Mens Lineup'!C$3:C1000,CONCATENATE("=",$A439))=0,"",C$2))</f>
        <v/>
      </c>
      <c r="D439" s="3" t="str">
        <f>IF($A439="","",IF(countif('Mens Lineup'!D$3:D1000,CONCATENATE("=",$A439))=0,"",D$2))</f>
        <v/>
      </c>
      <c r="E439" s="3" t="str">
        <f>IF($A439="","",IF(countif('Mens Lineup'!E$3:E1000,CONCATENATE("=",$A439))=0,"",E$2))</f>
        <v/>
      </c>
      <c r="F439" s="3" t="str">
        <f>IF($A439="","",IF(countif('Mens Lineup'!F$3:F1000,CONCATENATE("=",$A439))=0,"",F$2))</f>
        <v/>
      </c>
      <c r="G439" s="3" t="str">
        <f>IF($A439="","",IF(countif('Mens Lineup'!G$3:G1000,CONCATENATE("=",$A439))=0,"",G$2))</f>
        <v/>
      </c>
      <c r="H439" s="3" t="str">
        <f>IF($A439="","",IF(countif('Mens Lineup'!H$3:H1000,CONCATENATE("=",$A439))=0,"",H$2))</f>
        <v/>
      </c>
      <c r="I439" s="3" t="str">
        <f>IF($A439="","",IF(countif('Mens Lineup'!I$3:I1000,CONCATENATE("=",$A439))=0,"",I$2))</f>
        <v/>
      </c>
      <c r="J439" s="3" t="str">
        <f>IF($A439="","",IF(countif('Mens Lineup'!J$3:J1000,CONCATENATE("=",$A439))=0,"",J$2))</f>
        <v/>
      </c>
      <c r="K439" s="3" t="str">
        <f>IF($A439="","",IF(countif('Mens Lineup'!K$3:K1000,CONCATENATE("=",$A439))=0,"",K$2))</f>
        <v/>
      </c>
      <c r="L439" s="3" t="str">
        <f>IF($A439="","",IF(countif('Mens Lineup'!L$3:L1000,CONCATENATE("=",$A439))=0,"",L$2))</f>
        <v/>
      </c>
      <c r="M439" s="3" t="str">
        <f>IF($A439="","",IF(countif('Mens Lineup'!M$3:M1000,CONCATENATE("=",$A439))=0,"",M$2))</f>
        <v/>
      </c>
      <c r="N439" s="3" t="str">
        <f>IF($A439="","",IF(countif('Mens Lineup'!N$3:N1000,CONCATENATE("=",$A439))=0,"",N$2))</f>
        <v/>
      </c>
      <c r="O439" s="3" t="str">
        <f>IF($A439="","",IF(countif('Mens Lineup'!O$3:O1000,CONCATENATE("=",$A439))=0,"",O$2))</f>
        <v/>
      </c>
      <c r="P439" s="3" t="str">
        <f>IF($A439="","",IF(countif('Mens Lineup'!P$3:P1000,CONCATENATE("=",$A439))=0,"",P$2))</f>
        <v/>
      </c>
      <c r="Q439" s="3" t="str">
        <f>IF($A439="","",IF(countif('Mens Lineup'!Q$3:Q1000,CONCATENATE("=",$A439))=0,"",Q$2))</f>
        <v/>
      </c>
      <c r="R439" s="3" t="str">
        <f>IF($A439="","",IF(countif('Mens Lineup'!R$3:R1000,CONCATENATE("=",$A439))=0,"",R$2))</f>
        <v/>
      </c>
      <c r="S439" s="3" t="str">
        <f>IF($A439="","",IF(countif('Mens Lineup'!S$3:S1000,CONCATENATE("=",$A439))=0,"",S$2))</f>
        <v/>
      </c>
      <c r="W439" s="3" t="str">
        <f>IFERROR(__xludf.DUMMYFUNCTION("JOIN("","",FILTER(B439:S439,B439:S439&lt;&gt;""""))"),"#N/A")</f>
        <v>#N/A</v>
      </c>
    </row>
    <row r="440">
      <c r="A440" s="3"/>
      <c r="B440" s="3" t="str">
        <f>IF($A440="","",IF(countif('Mens Lineup'!B$3:B1000,CONCATENATE("=",$A440))=0,"",B$2))</f>
        <v/>
      </c>
      <c r="C440" s="3" t="str">
        <f>IF($A440="","",IF(countif('Mens Lineup'!C$3:C1000,CONCATENATE("=",$A440))=0,"",C$2))</f>
        <v/>
      </c>
      <c r="D440" s="3" t="str">
        <f>IF($A440="","",IF(countif('Mens Lineup'!D$3:D1000,CONCATENATE("=",$A440))=0,"",D$2))</f>
        <v/>
      </c>
      <c r="E440" s="3" t="str">
        <f>IF($A440="","",IF(countif('Mens Lineup'!E$3:E1000,CONCATENATE("=",$A440))=0,"",E$2))</f>
        <v/>
      </c>
      <c r="F440" s="3" t="str">
        <f>IF($A440="","",IF(countif('Mens Lineup'!F$3:F1000,CONCATENATE("=",$A440))=0,"",F$2))</f>
        <v/>
      </c>
      <c r="G440" s="3" t="str">
        <f>IF($A440="","",IF(countif('Mens Lineup'!G$3:G1000,CONCATENATE("=",$A440))=0,"",G$2))</f>
        <v/>
      </c>
      <c r="H440" s="3" t="str">
        <f>IF($A440="","",IF(countif('Mens Lineup'!H$3:H1000,CONCATENATE("=",$A440))=0,"",H$2))</f>
        <v/>
      </c>
      <c r="I440" s="3" t="str">
        <f>IF($A440="","",IF(countif('Mens Lineup'!I$3:I1000,CONCATENATE("=",$A440))=0,"",I$2))</f>
        <v/>
      </c>
      <c r="J440" s="3" t="str">
        <f>IF($A440="","",IF(countif('Mens Lineup'!J$3:J1000,CONCATENATE("=",$A440))=0,"",J$2))</f>
        <v/>
      </c>
      <c r="K440" s="3" t="str">
        <f>IF($A440="","",IF(countif('Mens Lineup'!K$3:K1000,CONCATENATE("=",$A440))=0,"",K$2))</f>
        <v/>
      </c>
      <c r="L440" s="3" t="str">
        <f>IF($A440="","",IF(countif('Mens Lineup'!L$3:L1000,CONCATENATE("=",$A440))=0,"",L$2))</f>
        <v/>
      </c>
      <c r="M440" s="3" t="str">
        <f>IF($A440="","",IF(countif('Mens Lineup'!M$3:M1000,CONCATENATE("=",$A440))=0,"",M$2))</f>
        <v/>
      </c>
      <c r="N440" s="3" t="str">
        <f>IF($A440="","",IF(countif('Mens Lineup'!N$3:N1000,CONCATENATE("=",$A440))=0,"",N$2))</f>
        <v/>
      </c>
      <c r="O440" s="3" t="str">
        <f>IF($A440="","",IF(countif('Mens Lineup'!O$3:O1000,CONCATENATE("=",$A440))=0,"",O$2))</f>
        <v/>
      </c>
      <c r="P440" s="3" t="str">
        <f>IF($A440="","",IF(countif('Mens Lineup'!P$3:P1000,CONCATENATE("=",$A440))=0,"",P$2))</f>
        <v/>
      </c>
      <c r="Q440" s="3" t="str">
        <f>IF($A440="","",IF(countif('Mens Lineup'!Q$3:Q1000,CONCATENATE("=",$A440))=0,"",Q$2))</f>
        <v/>
      </c>
      <c r="R440" s="3" t="str">
        <f>IF($A440="","",IF(countif('Mens Lineup'!R$3:R1000,CONCATENATE("=",$A440))=0,"",R$2))</f>
        <v/>
      </c>
      <c r="S440" s="3" t="str">
        <f>IF($A440="","",IF(countif('Mens Lineup'!S$3:S1000,CONCATENATE("=",$A440))=0,"",S$2))</f>
        <v/>
      </c>
      <c r="W440" s="3" t="str">
        <f>IFERROR(__xludf.DUMMYFUNCTION("JOIN("","",FILTER(B440:S440,B440:S440&lt;&gt;""""))"),"#N/A")</f>
        <v>#N/A</v>
      </c>
    </row>
    <row r="441">
      <c r="A441" s="3"/>
      <c r="B441" s="3" t="str">
        <f>IF($A441="","",IF(countif('Mens Lineup'!B$3:B1000,CONCATENATE("=",$A441))=0,"",B$2))</f>
        <v/>
      </c>
      <c r="C441" s="3" t="str">
        <f>IF($A441="","",IF(countif('Mens Lineup'!C$3:C1000,CONCATENATE("=",$A441))=0,"",C$2))</f>
        <v/>
      </c>
      <c r="D441" s="3" t="str">
        <f>IF($A441="","",IF(countif('Mens Lineup'!D$3:D1000,CONCATENATE("=",$A441))=0,"",D$2))</f>
        <v/>
      </c>
      <c r="E441" s="3" t="str">
        <f>IF($A441="","",IF(countif('Mens Lineup'!E$3:E1000,CONCATENATE("=",$A441))=0,"",E$2))</f>
        <v/>
      </c>
      <c r="F441" s="3" t="str">
        <f>IF($A441="","",IF(countif('Mens Lineup'!F$3:F1000,CONCATENATE("=",$A441))=0,"",F$2))</f>
        <v/>
      </c>
      <c r="G441" s="3" t="str">
        <f>IF($A441="","",IF(countif('Mens Lineup'!G$3:G1000,CONCATENATE("=",$A441))=0,"",G$2))</f>
        <v/>
      </c>
      <c r="H441" s="3" t="str">
        <f>IF($A441="","",IF(countif('Mens Lineup'!H$3:H1000,CONCATENATE("=",$A441))=0,"",H$2))</f>
        <v/>
      </c>
      <c r="I441" s="3" t="str">
        <f>IF($A441="","",IF(countif('Mens Lineup'!I$3:I1000,CONCATENATE("=",$A441))=0,"",I$2))</f>
        <v/>
      </c>
      <c r="J441" s="3" t="str">
        <f>IF($A441="","",IF(countif('Mens Lineup'!J$3:J1000,CONCATENATE("=",$A441))=0,"",J$2))</f>
        <v/>
      </c>
      <c r="K441" s="3" t="str">
        <f>IF($A441="","",IF(countif('Mens Lineup'!K$3:K1000,CONCATENATE("=",$A441))=0,"",K$2))</f>
        <v/>
      </c>
      <c r="L441" s="3" t="str">
        <f>IF($A441="","",IF(countif('Mens Lineup'!L$3:L1000,CONCATENATE("=",$A441))=0,"",L$2))</f>
        <v/>
      </c>
      <c r="M441" s="3" t="str">
        <f>IF($A441="","",IF(countif('Mens Lineup'!M$3:M1000,CONCATENATE("=",$A441))=0,"",M$2))</f>
        <v/>
      </c>
      <c r="N441" s="3" t="str">
        <f>IF($A441="","",IF(countif('Mens Lineup'!N$3:N1000,CONCATENATE("=",$A441))=0,"",N$2))</f>
        <v/>
      </c>
      <c r="O441" s="3" t="str">
        <f>IF($A441="","",IF(countif('Mens Lineup'!O$3:O1000,CONCATENATE("=",$A441))=0,"",O$2))</f>
        <v/>
      </c>
      <c r="P441" s="3" t="str">
        <f>IF($A441="","",IF(countif('Mens Lineup'!P$3:P1000,CONCATENATE("=",$A441))=0,"",P$2))</f>
        <v/>
      </c>
      <c r="Q441" s="3" t="str">
        <f>IF($A441="","",IF(countif('Mens Lineup'!Q$3:Q1000,CONCATENATE("=",$A441))=0,"",Q$2))</f>
        <v/>
      </c>
      <c r="R441" s="3" t="str">
        <f>IF($A441="","",IF(countif('Mens Lineup'!R$3:R1000,CONCATENATE("=",$A441))=0,"",R$2))</f>
        <v/>
      </c>
      <c r="S441" s="3" t="str">
        <f>IF($A441="","",IF(countif('Mens Lineup'!S$3:S1000,CONCATENATE("=",$A441))=0,"",S$2))</f>
        <v/>
      </c>
      <c r="W441" s="3" t="str">
        <f>IFERROR(__xludf.DUMMYFUNCTION("JOIN("","",FILTER(B441:S441,B441:S441&lt;&gt;""""))"),"#N/A")</f>
        <v>#N/A</v>
      </c>
    </row>
    <row r="442">
      <c r="A442" s="3"/>
      <c r="B442" s="3" t="str">
        <f>IF($A442="","",IF(countif('Mens Lineup'!B$3:B1000,CONCATENATE("=",$A442))=0,"",B$2))</f>
        <v/>
      </c>
      <c r="C442" s="3" t="str">
        <f>IF($A442="","",IF(countif('Mens Lineup'!C$3:C1000,CONCATENATE("=",$A442))=0,"",C$2))</f>
        <v/>
      </c>
      <c r="D442" s="3" t="str">
        <f>IF($A442="","",IF(countif('Mens Lineup'!D$3:D1000,CONCATENATE("=",$A442))=0,"",D$2))</f>
        <v/>
      </c>
      <c r="E442" s="3" t="str">
        <f>IF($A442="","",IF(countif('Mens Lineup'!E$3:E1000,CONCATENATE("=",$A442))=0,"",E$2))</f>
        <v/>
      </c>
      <c r="F442" s="3" t="str">
        <f>IF($A442="","",IF(countif('Mens Lineup'!F$3:F1000,CONCATENATE("=",$A442))=0,"",F$2))</f>
        <v/>
      </c>
      <c r="G442" s="3" t="str">
        <f>IF($A442="","",IF(countif('Mens Lineup'!G$3:G1000,CONCATENATE("=",$A442))=0,"",G$2))</f>
        <v/>
      </c>
      <c r="H442" s="3" t="str">
        <f>IF($A442="","",IF(countif('Mens Lineup'!H$3:H1000,CONCATENATE("=",$A442))=0,"",H$2))</f>
        <v/>
      </c>
      <c r="I442" s="3" t="str">
        <f>IF($A442="","",IF(countif('Mens Lineup'!I$3:I1000,CONCATENATE("=",$A442))=0,"",I$2))</f>
        <v/>
      </c>
      <c r="J442" s="3" t="str">
        <f>IF($A442="","",IF(countif('Mens Lineup'!J$3:J1000,CONCATENATE("=",$A442))=0,"",J$2))</f>
        <v/>
      </c>
      <c r="K442" s="3" t="str">
        <f>IF($A442="","",IF(countif('Mens Lineup'!K$3:K1000,CONCATENATE("=",$A442))=0,"",K$2))</f>
        <v/>
      </c>
      <c r="L442" s="3" t="str">
        <f>IF($A442="","",IF(countif('Mens Lineup'!L$3:L1000,CONCATENATE("=",$A442))=0,"",L$2))</f>
        <v/>
      </c>
      <c r="M442" s="3" t="str">
        <f>IF($A442="","",IF(countif('Mens Lineup'!M$3:M1000,CONCATENATE("=",$A442))=0,"",M$2))</f>
        <v/>
      </c>
      <c r="N442" s="3" t="str">
        <f>IF($A442="","",IF(countif('Mens Lineup'!N$3:N1000,CONCATENATE("=",$A442))=0,"",N$2))</f>
        <v/>
      </c>
      <c r="O442" s="3" t="str">
        <f>IF($A442="","",IF(countif('Mens Lineup'!O$3:O1000,CONCATENATE("=",$A442))=0,"",O$2))</f>
        <v/>
      </c>
      <c r="P442" s="3" t="str">
        <f>IF($A442="","",IF(countif('Mens Lineup'!P$3:P1000,CONCATENATE("=",$A442))=0,"",P$2))</f>
        <v/>
      </c>
      <c r="Q442" s="3" t="str">
        <f>IF($A442="","",IF(countif('Mens Lineup'!Q$3:Q1000,CONCATENATE("=",$A442))=0,"",Q$2))</f>
        <v/>
      </c>
      <c r="R442" s="3" t="str">
        <f>IF($A442="","",IF(countif('Mens Lineup'!R$3:R1000,CONCATENATE("=",$A442))=0,"",R$2))</f>
        <v/>
      </c>
      <c r="S442" s="3" t="str">
        <f>IF($A442="","",IF(countif('Mens Lineup'!S$3:S1000,CONCATENATE("=",$A442))=0,"",S$2))</f>
        <v/>
      </c>
      <c r="W442" s="3" t="str">
        <f>IFERROR(__xludf.DUMMYFUNCTION("JOIN("","",FILTER(B442:S442,B442:S442&lt;&gt;""""))"),"#N/A")</f>
        <v>#N/A</v>
      </c>
    </row>
    <row r="443">
      <c r="A443" s="3"/>
      <c r="B443" s="3" t="str">
        <f>IF($A443="","",IF(countif('Mens Lineup'!B$3:B1000,CONCATENATE("=",$A443))=0,"",B$2))</f>
        <v/>
      </c>
      <c r="C443" s="3" t="str">
        <f>IF($A443="","",IF(countif('Mens Lineup'!C$3:C1000,CONCATENATE("=",$A443))=0,"",C$2))</f>
        <v/>
      </c>
      <c r="D443" s="3" t="str">
        <f>IF($A443="","",IF(countif('Mens Lineup'!D$3:D1000,CONCATENATE("=",$A443))=0,"",D$2))</f>
        <v/>
      </c>
      <c r="E443" s="3" t="str">
        <f>IF($A443="","",IF(countif('Mens Lineup'!E$3:E1000,CONCATENATE("=",$A443))=0,"",E$2))</f>
        <v/>
      </c>
      <c r="F443" s="3" t="str">
        <f>IF($A443="","",IF(countif('Mens Lineup'!F$3:F1000,CONCATENATE("=",$A443))=0,"",F$2))</f>
        <v/>
      </c>
      <c r="G443" s="3" t="str">
        <f>IF($A443="","",IF(countif('Mens Lineup'!G$3:G1000,CONCATENATE("=",$A443))=0,"",G$2))</f>
        <v/>
      </c>
      <c r="H443" s="3" t="str">
        <f>IF($A443="","",IF(countif('Mens Lineup'!H$3:H1000,CONCATENATE("=",$A443))=0,"",H$2))</f>
        <v/>
      </c>
      <c r="I443" s="3" t="str">
        <f>IF($A443="","",IF(countif('Mens Lineup'!I$3:I1000,CONCATENATE("=",$A443))=0,"",I$2))</f>
        <v/>
      </c>
      <c r="J443" s="3" t="str">
        <f>IF($A443="","",IF(countif('Mens Lineup'!J$3:J1000,CONCATENATE("=",$A443))=0,"",J$2))</f>
        <v/>
      </c>
      <c r="K443" s="3" t="str">
        <f>IF($A443="","",IF(countif('Mens Lineup'!K$3:K1000,CONCATENATE("=",$A443))=0,"",K$2))</f>
        <v/>
      </c>
      <c r="L443" s="3" t="str">
        <f>IF($A443="","",IF(countif('Mens Lineup'!L$3:L1000,CONCATENATE("=",$A443))=0,"",L$2))</f>
        <v/>
      </c>
      <c r="M443" s="3" t="str">
        <f>IF($A443="","",IF(countif('Mens Lineup'!M$3:M1000,CONCATENATE("=",$A443))=0,"",M$2))</f>
        <v/>
      </c>
      <c r="N443" s="3" t="str">
        <f>IF($A443="","",IF(countif('Mens Lineup'!N$3:N1000,CONCATENATE("=",$A443))=0,"",N$2))</f>
        <v/>
      </c>
      <c r="O443" s="3" t="str">
        <f>IF($A443="","",IF(countif('Mens Lineup'!O$3:O1000,CONCATENATE("=",$A443))=0,"",O$2))</f>
        <v/>
      </c>
      <c r="P443" s="3" t="str">
        <f>IF($A443="","",IF(countif('Mens Lineup'!P$3:P1000,CONCATENATE("=",$A443))=0,"",P$2))</f>
        <v/>
      </c>
      <c r="Q443" s="3" t="str">
        <f>IF($A443="","",IF(countif('Mens Lineup'!Q$3:Q1000,CONCATENATE("=",$A443))=0,"",Q$2))</f>
        <v/>
      </c>
      <c r="R443" s="3" t="str">
        <f>IF($A443="","",IF(countif('Mens Lineup'!R$3:R1000,CONCATENATE("=",$A443))=0,"",R$2))</f>
        <v/>
      </c>
      <c r="S443" s="3" t="str">
        <f>IF($A443="","",IF(countif('Mens Lineup'!S$3:S1000,CONCATENATE("=",$A443))=0,"",S$2))</f>
        <v/>
      </c>
      <c r="W443" s="3" t="str">
        <f>IFERROR(__xludf.DUMMYFUNCTION("JOIN("","",FILTER(B443:S443,B443:S443&lt;&gt;""""))"),"#N/A")</f>
        <v>#N/A</v>
      </c>
    </row>
    <row r="444">
      <c r="A444" s="3"/>
      <c r="B444" s="3" t="str">
        <f>IF($A444="","",IF(countif('Mens Lineup'!B$3:B1000,CONCATENATE("=",$A444))=0,"",B$2))</f>
        <v/>
      </c>
      <c r="C444" s="3" t="str">
        <f>IF($A444="","",IF(countif('Mens Lineup'!C$3:C1000,CONCATENATE("=",$A444))=0,"",C$2))</f>
        <v/>
      </c>
      <c r="D444" s="3" t="str">
        <f>IF($A444="","",IF(countif('Mens Lineup'!D$3:D1000,CONCATENATE("=",$A444))=0,"",D$2))</f>
        <v/>
      </c>
      <c r="E444" s="3" t="str">
        <f>IF($A444="","",IF(countif('Mens Lineup'!E$3:E1000,CONCATENATE("=",$A444))=0,"",E$2))</f>
        <v/>
      </c>
      <c r="F444" s="3" t="str">
        <f>IF($A444="","",IF(countif('Mens Lineup'!F$3:F1000,CONCATENATE("=",$A444))=0,"",F$2))</f>
        <v/>
      </c>
      <c r="G444" s="3" t="str">
        <f>IF($A444="","",IF(countif('Mens Lineup'!G$3:G1000,CONCATENATE("=",$A444))=0,"",G$2))</f>
        <v/>
      </c>
      <c r="H444" s="3" t="str">
        <f>IF($A444="","",IF(countif('Mens Lineup'!H$3:H1000,CONCATENATE("=",$A444))=0,"",H$2))</f>
        <v/>
      </c>
      <c r="I444" s="3" t="str">
        <f>IF($A444="","",IF(countif('Mens Lineup'!I$3:I1000,CONCATENATE("=",$A444))=0,"",I$2))</f>
        <v/>
      </c>
      <c r="J444" s="3" t="str">
        <f>IF($A444="","",IF(countif('Mens Lineup'!J$3:J1000,CONCATENATE("=",$A444))=0,"",J$2))</f>
        <v/>
      </c>
      <c r="K444" s="3" t="str">
        <f>IF($A444="","",IF(countif('Mens Lineup'!K$3:K1000,CONCATENATE("=",$A444))=0,"",K$2))</f>
        <v/>
      </c>
      <c r="L444" s="3" t="str">
        <f>IF($A444="","",IF(countif('Mens Lineup'!L$3:L1000,CONCATENATE("=",$A444))=0,"",L$2))</f>
        <v/>
      </c>
      <c r="M444" s="3" t="str">
        <f>IF($A444="","",IF(countif('Mens Lineup'!M$3:M1000,CONCATENATE("=",$A444))=0,"",M$2))</f>
        <v/>
      </c>
      <c r="N444" s="3" t="str">
        <f>IF($A444="","",IF(countif('Mens Lineup'!N$3:N1000,CONCATENATE("=",$A444))=0,"",N$2))</f>
        <v/>
      </c>
      <c r="O444" s="3" t="str">
        <f>IF($A444="","",IF(countif('Mens Lineup'!O$3:O1000,CONCATENATE("=",$A444))=0,"",O$2))</f>
        <v/>
      </c>
      <c r="P444" s="3" t="str">
        <f>IF($A444="","",IF(countif('Mens Lineup'!P$3:P1000,CONCATENATE("=",$A444))=0,"",P$2))</f>
        <v/>
      </c>
      <c r="Q444" s="3" t="str">
        <f>IF($A444="","",IF(countif('Mens Lineup'!Q$3:Q1000,CONCATENATE("=",$A444))=0,"",Q$2))</f>
        <v/>
      </c>
      <c r="R444" s="3" t="str">
        <f>IF($A444="","",IF(countif('Mens Lineup'!R$3:R1000,CONCATENATE("=",$A444))=0,"",R$2))</f>
        <v/>
      </c>
      <c r="S444" s="3" t="str">
        <f>IF($A444="","",IF(countif('Mens Lineup'!S$3:S1000,CONCATENATE("=",$A444))=0,"",S$2))</f>
        <v/>
      </c>
      <c r="W444" s="3" t="str">
        <f>IFERROR(__xludf.DUMMYFUNCTION("JOIN("","",FILTER(B444:S444,B444:S444&lt;&gt;""""))"),"#N/A")</f>
        <v>#N/A</v>
      </c>
    </row>
    <row r="445">
      <c r="A445" s="3"/>
      <c r="B445" s="3" t="str">
        <f>IF($A445="","",IF(countif('Mens Lineup'!B$3:B1000,CONCATENATE("=",$A445))=0,"",B$2))</f>
        <v/>
      </c>
      <c r="C445" s="3" t="str">
        <f>IF($A445="","",IF(countif('Mens Lineup'!C$3:C1000,CONCATENATE("=",$A445))=0,"",C$2))</f>
        <v/>
      </c>
      <c r="D445" s="3" t="str">
        <f>IF($A445="","",IF(countif('Mens Lineup'!D$3:D1000,CONCATENATE("=",$A445))=0,"",D$2))</f>
        <v/>
      </c>
      <c r="E445" s="3" t="str">
        <f>IF($A445="","",IF(countif('Mens Lineup'!E$3:E1000,CONCATENATE("=",$A445))=0,"",E$2))</f>
        <v/>
      </c>
      <c r="F445" s="3" t="str">
        <f>IF($A445="","",IF(countif('Mens Lineup'!F$3:F1000,CONCATENATE("=",$A445))=0,"",F$2))</f>
        <v/>
      </c>
      <c r="G445" s="3" t="str">
        <f>IF($A445="","",IF(countif('Mens Lineup'!G$3:G1000,CONCATENATE("=",$A445))=0,"",G$2))</f>
        <v/>
      </c>
      <c r="H445" s="3" t="str">
        <f>IF($A445="","",IF(countif('Mens Lineup'!H$3:H1000,CONCATENATE("=",$A445))=0,"",H$2))</f>
        <v/>
      </c>
      <c r="I445" s="3" t="str">
        <f>IF($A445="","",IF(countif('Mens Lineup'!I$3:I1000,CONCATENATE("=",$A445))=0,"",I$2))</f>
        <v/>
      </c>
      <c r="J445" s="3" t="str">
        <f>IF($A445="","",IF(countif('Mens Lineup'!J$3:J1000,CONCATENATE("=",$A445))=0,"",J$2))</f>
        <v/>
      </c>
      <c r="K445" s="3" t="str">
        <f>IF($A445="","",IF(countif('Mens Lineup'!K$3:K1000,CONCATENATE("=",$A445))=0,"",K$2))</f>
        <v/>
      </c>
      <c r="L445" s="3" t="str">
        <f>IF($A445="","",IF(countif('Mens Lineup'!L$3:L1000,CONCATENATE("=",$A445))=0,"",L$2))</f>
        <v/>
      </c>
      <c r="M445" s="3" t="str">
        <f>IF($A445="","",IF(countif('Mens Lineup'!M$3:M1000,CONCATENATE("=",$A445))=0,"",M$2))</f>
        <v/>
      </c>
      <c r="N445" s="3" t="str">
        <f>IF($A445="","",IF(countif('Mens Lineup'!N$3:N1000,CONCATENATE("=",$A445))=0,"",N$2))</f>
        <v/>
      </c>
      <c r="O445" s="3" t="str">
        <f>IF($A445="","",IF(countif('Mens Lineup'!O$3:O1000,CONCATENATE("=",$A445))=0,"",O$2))</f>
        <v/>
      </c>
      <c r="P445" s="3" t="str">
        <f>IF($A445="","",IF(countif('Mens Lineup'!P$3:P1000,CONCATENATE("=",$A445))=0,"",P$2))</f>
        <v/>
      </c>
      <c r="Q445" s="3" t="str">
        <f>IF($A445="","",IF(countif('Mens Lineup'!Q$3:Q1000,CONCATENATE("=",$A445))=0,"",Q$2))</f>
        <v/>
      </c>
      <c r="R445" s="3" t="str">
        <f>IF($A445="","",IF(countif('Mens Lineup'!R$3:R1000,CONCATENATE("=",$A445))=0,"",R$2))</f>
        <v/>
      </c>
      <c r="S445" s="3" t="str">
        <f>IF($A445="","",IF(countif('Mens Lineup'!S$3:S1000,CONCATENATE("=",$A445))=0,"",S$2))</f>
        <v/>
      </c>
      <c r="W445" s="3" t="str">
        <f>IFERROR(__xludf.DUMMYFUNCTION("JOIN("","",FILTER(B445:S445,B445:S445&lt;&gt;""""))"),"#N/A")</f>
        <v>#N/A</v>
      </c>
    </row>
    <row r="446">
      <c r="A446" s="3"/>
      <c r="B446" s="3" t="str">
        <f>IF($A446="","",IF(countif('Mens Lineup'!B$3:B1000,CONCATENATE("=",$A446))=0,"",B$2))</f>
        <v/>
      </c>
      <c r="C446" s="3" t="str">
        <f>IF($A446="","",IF(countif('Mens Lineup'!C$3:C1000,CONCATENATE("=",$A446))=0,"",C$2))</f>
        <v/>
      </c>
      <c r="D446" s="3" t="str">
        <f>IF($A446="","",IF(countif('Mens Lineup'!D$3:D1000,CONCATENATE("=",$A446))=0,"",D$2))</f>
        <v/>
      </c>
      <c r="E446" s="3" t="str">
        <f>IF($A446="","",IF(countif('Mens Lineup'!E$3:E1000,CONCATENATE("=",$A446))=0,"",E$2))</f>
        <v/>
      </c>
      <c r="F446" s="3" t="str">
        <f>IF($A446="","",IF(countif('Mens Lineup'!F$3:F1000,CONCATENATE("=",$A446))=0,"",F$2))</f>
        <v/>
      </c>
      <c r="G446" s="3" t="str">
        <f>IF($A446="","",IF(countif('Mens Lineup'!G$3:G1000,CONCATENATE("=",$A446))=0,"",G$2))</f>
        <v/>
      </c>
      <c r="H446" s="3" t="str">
        <f>IF($A446="","",IF(countif('Mens Lineup'!H$3:H1000,CONCATENATE("=",$A446))=0,"",H$2))</f>
        <v/>
      </c>
      <c r="I446" s="3" t="str">
        <f>IF($A446="","",IF(countif('Mens Lineup'!I$3:I1000,CONCATENATE("=",$A446))=0,"",I$2))</f>
        <v/>
      </c>
      <c r="J446" s="3" t="str">
        <f>IF($A446="","",IF(countif('Mens Lineup'!J$3:J1000,CONCATENATE("=",$A446))=0,"",J$2))</f>
        <v/>
      </c>
      <c r="K446" s="3" t="str">
        <f>IF($A446="","",IF(countif('Mens Lineup'!K$3:K1000,CONCATENATE("=",$A446))=0,"",K$2))</f>
        <v/>
      </c>
      <c r="L446" s="3" t="str">
        <f>IF($A446="","",IF(countif('Mens Lineup'!L$3:L1000,CONCATENATE("=",$A446))=0,"",L$2))</f>
        <v/>
      </c>
      <c r="M446" s="3" t="str">
        <f>IF($A446="","",IF(countif('Mens Lineup'!M$3:M1000,CONCATENATE("=",$A446))=0,"",M$2))</f>
        <v/>
      </c>
      <c r="N446" s="3" t="str">
        <f>IF($A446="","",IF(countif('Mens Lineup'!N$3:N1000,CONCATENATE("=",$A446))=0,"",N$2))</f>
        <v/>
      </c>
      <c r="O446" s="3" t="str">
        <f>IF($A446="","",IF(countif('Mens Lineup'!O$3:O1000,CONCATENATE("=",$A446))=0,"",O$2))</f>
        <v/>
      </c>
      <c r="P446" s="3" t="str">
        <f>IF($A446="","",IF(countif('Mens Lineup'!P$3:P1000,CONCATENATE("=",$A446))=0,"",P$2))</f>
        <v/>
      </c>
      <c r="Q446" s="3" t="str">
        <f>IF($A446="","",IF(countif('Mens Lineup'!Q$3:Q1000,CONCATENATE("=",$A446))=0,"",Q$2))</f>
        <v/>
      </c>
      <c r="R446" s="3" t="str">
        <f>IF($A446="","",IF(countif('Mens Lineup'!R$3:R1000,CONCATENATE("=",$A446))=0,"",R$2))</f>
        <v/>
      </c>
      <c r="S446" s="3" t="str">
        <f>IF($A446="","",IF(countif('Mens Lineup'!S$3:S1000,CONCATENATE("=",$A446))=0,"",S$2))</f>
        <v/>
      </c>
      <c r="W446" s="3" t="str">
        <f>IFERROR(__xludf.DUMMYFUNCTION("JOIN("","",FILTER(B446:S446,B446:S446&lt;&gt;""""))"),"#N/A")</f>
        <v>#N/A</v>
      </c>
    </row>
    <row r="447">
      <c r="A447" s="3"/>
      <c r="B447" s="3" t="str">
        <f>IF($A447="","",IF(countif('Mens Lineup'!B$3:B1000,CONCATENATE("=",$A447))=0,"",B$2))</f>
        <v/>
      </c>
      <c r="C447" s="3" t="str">
        <f>IF($A447="","",IF(countif('Mens Lineup'!C$3:C1000,CONCATENATE("=",$A447))=0,"",C$2))</f>
        <v/>
      </c>
      <c r="D447" s="3" t="str">
        <f>IF($A447="","",IF(countif('Mens Lineup'!D$3:D1000,CONCATENATE("=",$A447))=0,"",D$2))</f>
        <v/>
      </c>
      <c r="E447" s="3" t="str">
        <f>IF($A447="","",IF(countif('Mens Lineup'!E$3:E1000,CONCATENATE("=",$A447))=0,"",E$2))</f>
        <v/>
      </c>
      <c r="F447" s="3" t="str">
        <f>IF($A447="","",IF(countif('Mens Lineup'!F$3:F1000,CONCATENATE("=",$A447))=0,"",F$2))</f>
        <v/>
      </c>
      <c r="G447" s="3" t="str">
        <f>IF($A447="","",IF(countif('Mens Lineup'!G$3:G1000,CONCATENATE("=",$A447))=0,"",G$2))</f>
        <v/>
      </c>
      <c r="H447" s="3" t="str">
        <f>IF($A447="","",IF(countif('Mens Lineup'!H$3:H1000,CONCATENATE("=",$A447))=0,"",H$2))</f>
        <v/>
      </c>
      <c r="I447" s="3" t="str">
        <f>IF($A447="","",IF(countif('Mens Lineup'!I$3:I1000,CONCATENATE("=",$A447))=0,"",I$2))</f>
        <v/>
      </c>
      <c r="J447" s="3" t="str">
        <f>IF($A447="","",IF(countif('Mens Lineup'!J$3:J1000,CONCATENATE("=",$A447))=0,"",J$2))</f>
        <v/>
      </c>
      <c r="K447" s="3" t="str">
        <f>IF($A447="","",IF(countif('Mens Lineup'!K$3:K1000,CONCATENATE("=",$A447))=0,"",K$2))</f>
        <v/>
      </c>
      <c r="L447" s="3" t="str">
        <f>IF($A447="","",IF(countif('Mens Lineup'!L$3:L1000,CONCATENATE("=",$A447))=0,"",L$2))</f>
        <v/>
      </c>
      <c r="M447" s="3" t="str">
        <f>IF($A447="","",IF(countif('Mens Lineup'!M$3:M1000,CONCATENATE("=",$A447))=0,"",M$2))</f>
        <v/>
      </c>
      <c r="N447" s="3" t="str">
        <f>IF($A447="","",IF(countif('Mens Lineup'!N$3:N1000,CONCATENATE("=",$A447))=0,"",N$2))</f>
        <v/>
      </c>
      <c r="O447" s="3" t="str">
        <f>IF($A447="","",IF(countif('Mens Lineup'!O$3:O1000,CONCATENATE("=",$A447))=0,"",O$2))</f>
        <v/>
      </c>
      <c r="P447" s="3" t="str">
        <f>IF($A447="","",IF(countif('Mens Lineup'!P$3:P1000,CONCATENATE("=",$A447))=0,"",P$2))</f>
        <v/>
      </c>
      <c r="Q447" s="3" t="str">
        <f>IF($A447="","",IF(countif('Mens Lineup'!Q$3:Q1000,CONCATENATE("=",$A447))=0,"",Q$2))</f>
        <v/>
      </c>
      <c r="R447" s="3" t="str">
        <f>IF($A447="","",IF(countif('Mens Lineup'!R$3:R1000,CONCATENATE("=",$A447))=0,"",R$2))</f>
        <v/>
      </c>
      <c r="S447" s="3" t="str">
        <f>IF($A447="","",IF(countif('Mens Lineup'!S$3:S1000,CONCATENATE("=",$A447))=0,"",S$2))</f>
        <v/>
      </c>
      <c r="W447" s="3" t="str">
        <f>IFERROR(__xludf.DUMMYFUNCTION("JOIN("","",FILTER(B447:S447,B447:S447&lt;&gt;""""))"),"#N/A")</f>
        <v>#N/A</v>
      </c>
    </row>
    <row r="448">
      <c r="A448" s="3"/>
      <c r="B448" s="3" t="str">
        <f>IF($A448="","",IF(countif('Mens Lineup'!B$3:B1000,CONCATENATE("=",$A448))=0,"",B$2))</f>
        <v/>
      </c>
      <c r="C448" s="3" t="str">
        <f>IF($A448="","",IF(countif('Mens Lineup'!C$3:C1000,CONCATENATE("=",$A448))=0,"",C$2))</f>
        <v/>
      </c>
      <c r="D448" s="3" t="str">
        <f>IF($A448="","",IF(countif('Mens Lineup'!D$3:D1000,CONCATENATE("=",$A448))=0,"",D$2))</f>
        <v/>
      </c>
      <c r="E448" s="3" t="str">
        <f>IF($A448="","",IF(countif('Mens Lineup'!E$3:E1000,CONCATENATE("=",$A448))=0,"",E$2))</f>
        <v/>
      </c>
      <c r="F448" s="3" t="str">
        <f>IF($A448="","",IF(countif('Mens Lineup'!F$3:F1000,CONCATENATE("=",$A448))=0,"",F$2))</f>
        <v/>
      </c>
      <c r="G448" s="3" t="str">
        <f>IF($A448="","",IF(countif('Mens Lineup'!G$3:G1000,CONCATENATE("=",$A448))=0,"",G$2))</f>
        <v/>
      </c>
      <c r="H448" s="3" t="str">
        <f>IF($A448="","",IF(countif('Mens Lineup'!H$3:H1000,CONCATENATE("=",$A448))=0,"",H$2))</f>
        <v/>
      </c>
      <c r="I448" s="3" t="str">
        <f>IF($A448="","",IF(countif('Mens Lineup'!I$3:I1000,CONCATENATE("=",$A448))=0,"",I$2))</f>
        <v/>
      </c>
      <c r="J448" s="3" t="str">
        <f>IF($A448="","",IF(countif('Mens Lineup'!J$3:J1000,CONCATENATE("=",$A448))=0,"",J$2))</f>
        <v/>
      </c>
      <c r="K448" s="3" t="str">
        <f>IF($A448="","",IF(countif('Mens Lineup'!K$3:K1000,CONCATENATE("=",$A448))=0,"",K$2))</f>
        <v/>
      </c>
      <c r="L448" s="3" t="str">
        <f>IF($A448="","",IF(countif('Mens Lineup'!L$3:L1000,CONCATENATE("=",$A448))=0,"",L$2))</f>
        <v/>
      </c>
      <c r="M448" s="3" t="str">
        <f>IF($A448="","",IF(countif('Mens Lineup'!M$3:M1000,CONCATENATE("=",$A448))=0,"",M$2))</f>
        <v/>
      </c>
      <c r="N448" s="3" t="str">
        <f>IF($A448="","",IF(countif('Mens Lineup'!N$3:N1000,CONCATENATE("=",$A448))=0,"",N$2))</f>
        <v/>
      </c>
      <c r="O448" s="3" t="str">
        <f>IF($A448="","",IF(countif('Mens Lineup'!O$3:O1000,CONCATENATE("=",$A448))=0,"",O$2))</f>
        <v/>
      </c>
      <c r="P448" s="3" t="str">
        <f>IF($A448="","",IF(countif('Mens Lineup'!P$3:P1000,CONCATENATE("=",$A448))=0,"",P$2))</f>
        <v/>
      </c>
      <c r="Q448" s="3" t="str">
        <f>IF($A448="","",IF(countif('Mens Lineup'!Q$3:Q1000,CONCATENATE("=",$A448))=0,"",Q$2))</f>
        <v/>
      </c>
      <c r="R448" s="3" t="str">
        <f>IF($A448="","",IF(countif('Mens Lineup'!R$3:R1000,CONCATENATE("=",$A448))=0,"",R$2))</f>
        <v/>
      </c>
      <c r="S448" s="3" t="str">
        <f>IF($A448="","",IF(countif('Mens Lineup'!S$3:S1000,CONCATENATE("=",$A448))=0,"",S$2))</f>
        <v/>
      </c>
      <c r="W448" s="3" t="str">
        <f>IFERROR(__xludf.DUMMYFUNCTION("JOIN("","",FILTER(B448:S448,B448:S448&lt;&gt;""""))"),"#N/A")</f>
        <v>#N/A</v>
      </c>
    </row>
    <row r="449">
      <c r="A449" s="3"/>
      <c r="B449" s="3" t="str">
        <f>IF($A449="","",IF(countif('Mens Lineup'!B$3:B1000,CONCATENATE("=",$A449))=0,"",B$2))</f>
        <v/>
      </c>
      <c r="C449" s="3" t="str">
        <f>IF($A449="","",IF(countif('Mens Lineup'!C$3:C1000,CONCATENATE("=",$A449))=0,"",C$2))</f>
        <v/>
      </c>
      <c r="D449" s="3" t="str">
        <f>IF($A449="","",IF(countif('Mens Lineup'!D$3:D1000,CONCATENATE("=",$A449))=0,"",D$2))</f>
        <v/>
      </c>
      <c r="E449" s="3" t="str">
        <f>IF($A449="","",IF(countif('Mens Lineup'!E$3:E1000,CONCATENATE("=",$A449))=0,"",E$2))</f>
        <v/>
      </c>
      <c r="F449" s="3" t="str">
        <f>IF($A449="","",IF(countif('Mens Lineup'!F$3:F1000,CONCATENATE("=",$A449))=0,"",F$2))</f>
        <v/>
      </c>
      <c r="G449" s="3" t="str">
        <f>IF($A449="","",IF(countif('Mens Lineup'!G$3:G1000,CONCATENATE("=",$A449))=0,"",G$2))</f>
        <v/>
      </c>
      <c r="H449" s="3" t="str">
        <f>IF($A449="","",IF(countif('Mens Lineup'!H$3:H1000,CONCATENATE("=",$A449))=0,"",H$2))</f>
        <v/>
      </c>
      <c r="I449" s="3" t="str">
        <f>IF($A449="","",IF(countif('Mens Lineup'!I$3:I1000,CONCATENATE("=",$A449))=0,"",I$2))</f>
        <v/>
      </c>
      <c r="J449" s="3" t="str">
        <f>IF($A449="","",IF(countif('Mens Lineup'!J$3:J1000,CONCATENATE("=",$A449))=0,"",J$2))</f>
        <v/>
      </c>
      <c r="K449" s="3" t="str">
        <f>IF($A449="","",IF(countif('Mens Lineup'!K$3:K1000,CONCATENATE("=",$A449))=0,"",K$2))</f>
        <v/>
      </c>
      <c r="L449" s="3" t="str">
        <f>IF($A449="","",IF(countif('Mens Lineup'!L$3:L1000,CONCATENATE("=",$A449))=0,"",L$2))</f>
        <v/>
      </c>
      <c r="M449" s="3" t="str">
        <f>IF($A449="","",IF(countif('Mens Lineup'!M$3:M1000,CONCATENATE("=",$A449))=0,"",M$2))</f>
        <v/>
      </c>
      <c r="N449" s="3" t="str">
        <f>IF($A449="","",IF(countif('Mens Lineup'!N$3:N1000,CONCATENATE("=",$A449))=0,"",N$2))</f>
        <v/>
      </c>
      <c r="O449" s="3" t="str">
        <f>IF($A449="","",IF(countif('Mens Lineup'!O$3:O1000,CONCATENATE("=",$A449))=0,"",O$2))</f>
        <v/>
      </c>
      <c r="P449" s="3" t="str">
        <f>IF($A449="","",IF(countif('Mens Lineup'!P$3:P1000,CONCATENATE("=",$A449))=0,"",P$2))</f>
        <v/>
      </c>
      <c r="Q449" s="3" t="str">
        <f>IF($A449="","",IF(countif('Mens Lineup'!Q$3:Q1000,CONCATENATE("=",$A449))=0,"",Q$2))</f>
        <v/>
      </c>
      <c r="R449" s="3" t="str">
        <f>IF($A449="","",IF(countif('Mens Lineup'!R$3:R1000,CONCATENATE("=",$A449))=0,"",R$2))</f>
        <v/>
      </c>
      <c r="S449" s="3" t="str">
        <f>IF($A449="","",IF(countif('Mens Lineup'!S$3:S1000,CONCATENATE("=",$A449))=0,"",S$2))</f>
        <v/>
      </c>
      <c r="W449" s="3" t="str">
        <f>IFERROR(__xludf.DUMMYFUNCTION("JOIN("","",FILTER(B449:S449,B449:S449&lt;&gt;""""))"),"#N/A")</f>
        <v>#N/A</v>
      </c>
    </row>
    <row r="450">
      <c r="A450" s="3"/>
      <c r="B450" s="3" t="str">
        <f>IF($A450="","",IF(countif('Mens Lineup'!B$3:B1000,CONCATENATE("=",$A450))=0,"",B$2))</f>
        <v/>
      </c>
      <c r="C450" s="3" t="str">
        <f>IF($A450="","",IF(countif('Mens Lineup'!C$3:C1000,CONCATENATE("=",$A450))=0,"",C$2))</f>
        <v/>
      </c>
      <c r="D450" s="3" t="str">
        <f>IF($A450="","",IF(countif('Mens Lineup'!D$3:D1000,CONCATENATE("=",$A450))=0,"",D$2))</f>
        <v/>
      </c>
      <c r="E450" s="3" t="str">
        <f>IF($A450="","",IF(countif('Mens Lineup'!E$3:E1000,CONCATENATE("=",$A450))=0,"",E$2))</f>
        <v/>
      </c>
      <c r="F450" s="3" t="str">
        <f>IF($A450="","",IF(countif('Mens Lineup'!F$3:F1000,CONCATENATE("=",$A450))=0,"",F$2))</f>
        <v/>
      </c>
      <c r="G450" s="3" t="str">
        <f>IF($A450="","",IF(countif('Mens Lineup'!G$3:G1000,CONCATENATE("=",$A450))=0,"",G$2))</f>
        <v/>
      </c>
      <c r="H450" s="3" t="str">
        <f>IF($A450="","",IF(countif('Mens Lineup'!H$3:H1000,CONCATENATE("=",$A450))=0,"",H$2))</f>
        <v/>
      </c>
      <c r="I450" s="3" t="str">
        <f>IF($A450="","",IF(countif('Mens Lineup'!I$3:I1000,CONCATENATE("=",$A450))=0,"",I$2))</f>
        <v/>
      </c>
      <c r="J450" s="3" t="str">
        <f>IF($A450="","",IF(countif('Mens Lineup'!J$3:J1000,CONCATENATE("=",$A450))=0,"",J$2))</f>
        <v/>
      </c>
      <c r="K450" s="3" t="str">
        <f>IF($A450="","",IF(countif('Mens Lineup'!K$3:K1000,CONCATENATE("=",$A450))=0,"",K$2))</f>
        <v/>
      </c>
      <c r="L450" s="3" t="str">
        <f>IF($A450="","",IF(countif('Mens Lineup'!L$3:L1000,CONCATENATE("=",$A450))=0,"",L$2))</f>
        <v/>
      </c>
      <c r="M450" s="3" t="str">
        <f>IF($A450="","",IF(countif('Mens Lineup'!M$3:M1000,CONCATENATE("=",$A450))=0,"",M$2))</f>
        <v/>
      </c>
      <c r="N450" s="3" t="str">
        <f>IF($A450="","",IF(countif('Mens Lineup'!N$3:N1000,CONCATENATE("=",$A450))=0,"",N$2))</f>
        <v/>
      </c>
      <c r="O450" s="3" t="str">
        <f>IF($A450="","",IF(countif('Mens Lineup'!O$3:O1000,CONCATENATE("=",$A450))=0,"",O$2))</f>
        <v/>
      </c>
      <c r="P450" s="3" t="str">
        <f>IF($A450="","",IF(countif('Mens Lineup'!P$3:P1000,CONCATENATE("=",$A450))=0,"",P$2))</f>
        <v/>
      </c>
      <c r="Q450" s="3" t="str">
        <f>IF($A450="","",IF(countif('Mens Lineup'!Q$3:Q1000,CONCATENATE("=",$A450))=0,"",Q$2))</f>
        <v/>
      </c>
      <c r="R450" s="3" t="str">
        <f>IF($A450="","",IF(countif('Mens Lineup'!R$3:R1000,CONCATENATE("=",$A450))=0,"",R$2))</f>
        <v/>
      </c>
      <c r="S450" s="3" t="str">
        <f>IF($A450="","",IF(countif('Mens Lineup'!S$3:S1000,CONCATENATE("=",$A450))=0,"",S$2))</f>
        <v/>
      </c>
      <c r="W450" s="3" t="str">
        <f>IFERROR(__xludf.DUMMYFUNCTION("JOIN("","",FILTER(B450:S450,B450:S450&lt;&gt;""""))"),"#N/A")</f>
        <v>#N/A</v>
      </c>
    </row>
    <row r="451">
      <c r="A451" s="3"/>
      <c r="B451" s="3" t="str">
        <f>IF($A451="","",IF(countif('Mens Lineup'!B$3:B1000,CONCATENATE("=",$A451))=0,"",B$2))</f>
        <v/>
      </c>
      <c r="C451" s="3" t="str">
        <f>IF($A451="","",IF(countif('Mens Lineup'!C$3:C1000,CONCATENATE("=",$A451))=0,"",C$2))</f>
        <v/>
      </c>
      <c r="D451" s="3" t="str">
        <f>IF($A451="","",IF(countif('Mens Lineup'!D$3:D1000,CONCATENATE("=",$A451))=0,"",D$2))</f>
        <v/>
      </c>
      <c r="E451" s="3" t="str">
        <f>IF($A451="","",IF(countif('Mens Lineup'!E$3:E1000,CONCATENATE("=",$A451))=0,"",E$2))</f>
        <v/>
      </c>
      <c r="F451" s="3" t="str">
        <f>IF($A451="","",IF(countif('Mens Lineup'!F$3:F1000,CONCATENATE("=",$A451))=0,"",F$2))</f>
        <v/>
      </c>
      <c r="G451" s="3" t="str">
        <f>IF($A451="","",IF(countif('Mens Lineup'!G$3:G1000,CONCATENATE("=",$A451))=0,"",G$2))</f>
        <v/>
      </c>
      <c r="H451" s="3" t="str">
        <f>IF($A451="","",IF(countif('Mens Lineup'!H$3:H1000,CONCATENATE("=",$A451))=0,"",H$2))</f>
        <v/>
      </c>
      <c r="I451" s="3" t="str">
        <f>IF($A451="","",IF(countif('Mens Lineup'!I$3:I1000,CONCATENATE("=",$A451))=0,"",I$2))</f>
        <v/>
      </c>
      <c r="J451" s="3" t="str">
        <f>IF($A451="","",IF(countif('Mens Lineup'!J$3:J1000,CONCATENATE("=",$A451))=0,"",J$2))</f>
        <v/>
      </c>
      <c r="K451" s="3" t="str">
        <f>IF($A451="","",IF(countif('Mens Lineup'!K$3:K1000,CONCATENATE("=",$A451))=0,"",K$2))</f>
        <v/>
      </c>
      <c r="L451" s="3" t="str">
        <f>IF($A451="","",IF(countif('Mens Lineup'!L$3:L1000,CONCATENATE("=",$A451))=0,"",L$2))</f>
        <v/>
      </c>
      <c r="M451" s="3" t="str">
        <f>IF($A451="","",IF(countif('Mens Lineup'!M$3:M1000,CONCATENATE("=",$A451))=0,"",M$2))</f>
        <v/>
      </c>
      <c r="N451" s="3" t="str">
        <f>IF($A451="","",IF(countif('Mens Lineup'!N$3:N1000,CONCATENATE("=",$A451))=0,"",N$2))</f>
        <v/>
      </c>
      <c r="O451" s="3" t="str">
        <f>IF($A451="","",IF(countif('Mens Lineup'!O$3:O1000,CONCATENATE("=",$A451))=0,"",O$2))</f>
        <v/>
      </c>
      <c r="P451" s="3" t="str">
        <f>IF($A451="","",IF(countif('Mens Lineup'!P$3:P1000,CONCATENATE("=",$A451))=0,"",P$2))</f>
        <v/>
      </c>
      <c r="Q451" s="3" t="str">
        <f>IF($A451="","",IF(countif('Mens Lineup'!Q$3:Q1000,CONCATENATE("=",$A451))=0,"",Q$2))</f>
        <v/>
      </c>
      <c r="R451" s="3" t="str">
        <f>IF($A451="","",IF(countif('Mens Lineup'!R$3:R1000,CONCATENATE("=",$A451))=0,"",R$2))</f>
        <v/>
      </c>
      <c r="S451" s="3" t="str">
        <f>IF($A451="","",IF(countif('Mens Lineup'!S$3:S1000,CONCATENATE("=",$A451))=0,"",S$2))</f>
        <v/>
      </c>
      <c r="W451" s="3" t="str">
        <f>IFERROR(__xludf.DUMMYFUNCTION("JOIN("","",FILTER(B451:S451,B451:S451&lt;&gt;""""))"),"#N/A")</f>
        <v>#N/A</v>
      </c>
    </row>
    <row r="452">
      <c r="A452" s="3"/>
      <c r="B452" s="3" t="str">
        <f>IF($A452="","",IF(countif('Mens Lineup'!B$3:B1000,CONCATENATE("=",$A452))=0,"",B$2))</f>
        <v/>
      </c>
      <c r="C452" s="3" t="str">
        <f>IF($A452="","",IF(countif('Mens Lineup'!C$3:C1000,CONCATENATE("=",$A452))=0,"",C$2))</f>
        <v/>
      </c>
      <c r="D452" s="3" t="str">
        <f>IF($A452="","",IF(countif('Mens Lineup'!D$3:D1000,CONCATENATE("=",$A452))=0,"",D$2))</f>
        <v/>
      </c>
      <c r="E452" s="3" t="str">
        <f>IF($A452="","",IF(countif('Mens Lineup'!E$3:E1000,CONCATENATE("=",$A452))=0,"",E$2))</f>
        <v/>
      </c>
      <c r="F452" s="3" t="str">
        <f>IF($A452="","",IF(countif('Mens Lineup'!F$3:F1000,CONCATENATE("=",$A452))=0,"",F$2))</f>
        <v/>
      </c>
      <c r="G452" s="3" t="str">
        <f>IF($A452="","",IF(countif('Mens Lineup'!G$3:G1000,CONCATENATE("=",$A452))=0,"",G$2))</f>
        <v/>
      </c>
      <c r="H452" s="3" t="str">
        <f>IF($A452="","",IF(countif('Mens Lineup'!H$3:H1000,CONCATENATE("=",$A452))=0,"",H$2))</f>
        <v/>
      </c>
      <c r="I452" s="3" t="str">
        <f>IF($A452="","",IF(countif('Mens Lineup'!I$3:I1000,CONCATENATE("=",$A452))=0,"",I$2))</f>
        <v/>
      </c>
      <c r="J452" s="3" t="str">
        <f>IF($A452="","",IF(countif('Mens Lineup'!J$3:J1000,CONCATENATE("=",$A452))=0,"",J$2))</f>
        <v/>
      </c>
      <c r="K452" s="3" t="str">
        <f>IF($A452="","",IF(countif('Mens Lineup'!K$3:K1000,CONCATENATE("=",$A452))=0,"",K$2))</f>
        <v/>
      </c>
      <c r="L452" s="3" t="str">
        <f>IF($A452="","",IF(countif('Mens Lineup'!L$3:L1000,CONCATENATE("=",$A452))=0,"",L$2))</f>
        <v/>
      </c>
      <c r="M452" s="3" t="str">
        <f>IF($A452="","",IF(countif('Mens Lineup'!M$3:M1000,CONCATENATE("=",$A452))=0,"",M$2))</f>
        <v/>
      </c>
      <c r="N452" s="3" t="str">
        <f>IF($A452="","",IF(countif('Mens Lineup'!N$3:N1000,CONCATENATE("=",$A452))=0,"",N$2))</f>
        <v/>
      </c>
      <c r="O452" s="3" t="str">
        <f>IF($A452="","",IF(countif('Mens Lineup'!O$3:O1000,CONCATENATE("=",$A452))=0,"",O$2))</f>
        <v/>
      </c>
      <c r="P452" s="3" t="str">
        <f>IF($A452="","",IF(countif('Mens Lineup'!P$3:P1000,CONCATENATE("=",$A452))=0,"",P$2))</f>
        <v/>
      </c>
      <c r="Q452" s="3" t="str">
        <f>IF($A452="","",IF(countif('Mens Lineup'!Q$3:Q1000,CONCATENATE("=",$A452))=0,"",Q$2))</f>
        <v/>
      </c>
      <c r="R452" s="3" t="str">
        <f>IF($A452="","",IF(countif('Mens Lineup'!R$3:R1000,CONCATENATE("=",$A452))=0,"",R$2))</f>
        <v/>
      </c>
      <c r="S452" s="3" t="str">
        <f>IF($A452="","",IF(countif('Mens Lineup'!S$3:S1000,CONCATENATE("=",$A452))=0,"",S$2))</f>
        <v/>
      </c>
      <c r="W452" s="3" t="str">
        <f>IFERROR(__xludf.DUMMYFUNCTION("JOIN("","",FILTER(B452:S452,B452:S452&lt;&gt;""""))"),"#N/A")</f>
        <v>#N/A</v>
      </c>
    </row>
    <row r="453">
      <c r="A453" s="3"/>
      <c r="B453" s="3" t="str">
        <f>IF($A453="","",IF(countif('Mens Lineup'!B$3:B1000,CONCATENATE("=",$A453))=0,"",B$2))</f>
        <v/>
      </c>
      <c r="C453" s="3" t="str">
        <f>IF($A453="","",IF(countif('Mens Lineup'!C$3:C1000,CONCATENATE("=",$A453))=0,"",C$2))</f>
        <v/>
      </c>
      <c r="D453" s="3" t="str">
        <f>IF($A453="","",IF(countif('Mens Lineup'!D$3:D1000,CONCATENATE("=",$A453))=0,"",D$2))</f>
        <v/>
      </c>
      <c r="E453" s="3" t="str">
        <f>IF($A453="","",IF(countif('Mens Lineup'!E$3:E1000,CONCATENATE("=",$A453))=0,"",E$2))</f>
        <v/>
      </c>
      <c r="F453" s="3" t="str">
        <f>IF($A453="","",IF(countif('Mens Lineup'!F$3:F1000,CONCATENATE("=",$A453))=0,"",F$2))</f>
        <v/>
      </c>
      <c r="G453" s="3" t="str">
        <f>IF($A453="","",IF(countif('Mens Lineup'!G$3:G1000,CONCATENATE("=",$A453))=0,"",G$2))</f>
        <v/>
      </c>
      <c r="H453" s="3" t="str">
        <f>IF($A453="","",IF(countif('Mens Lineup'!H$3:H1000,CONCATENATE("=",$A453))=0,"",H$2))</f>
        <v/>
      </c>
      <c r="I453" s="3" t="str">
        <f>IF($A453="","",IF(countif('Mens Lineup'!I$3:I1000,CONCATENATE("=",$A453))=0,"",I$2))</f>
        <v/>
      </c>
      <c r="J453" s="3" t="str">
        <f>IF($A453="","",IF(countif('Mens Lineup'!J$3:J1000,CONCATENATE("=",$A453))=0,"",J$2))</f>
        <v/>
      </c>
      <c r="K453" s="3" t="str">
        <f>IF($A453="","",IF(countif('Mens Lineup'!K$3:K1000,CONCATENATE("=",$A453))=0,"",K$2))</f>
        <v/>
      </c>
      <c r="L453" s="3" t="str">
        <f>IF($A453="","",IF(countif('Mens Lineup'!L$3:L1000,CONCATENATE("=",$A453))=0,"",L$2))</f>
        <v/>
      </c>
      <c r="M453" s="3" t="str">
        <f>IF($A453="","",IF(countif('Mens Lineup'!M$3:M1000,CONCATENATE("=",$A453))=0,"",M$2))</f>
        <v/>
      </c>
      <c r="N453" s="3" t="str">
        <f>IF($A453="","",IF(countif('Mens Lineup'!N$3:N1000,CONCATENATE("=",$A453))=0,"",N$2))</f>
        <v/>
      </c>
      <c r="O453" s="3" t="str">
        <f>IF($A453="","",IF(countif('Mens Lineup'!O$3:O1000,CONCATENATE("=",$A453))=0,"",O$2))</f>
        <v/>
      </c>
      <c r="P453" s="3" t="str">
        <f>IF($A453="","",IF(countif('Mens Lineup'!P$3:P1000,CONCATENATE("=",$A453))=0,"",P$2))</f>
        <v/>
      </c>
      <c r="Q453" s="3" t="str">
        <f>IF($A453="","",IF(countif('Mens Lineup'!Q$3:Q1000,CONCATENATE("=",$A453))=0,"",Q$2))</f>
        <v/>
      </c>
      <c r="R453" s="3" t="str">
        <f>IF($A453="","",IF(countif('Mens Lineup'!R$3:R1000,CONCATENATE("=",$A453))=0,"",R$2))</f>
        <v/>
      </c>
      <c r="S453" s="3" t="str">
        <f>IF($A453="","",IF(countif('Mens Lineup'!S$3:S1000,CONCATENATE("=",$A453))=0,"",S$2))</f>
        <v/>
      </c>
      <c r="W453" s="3" t="str">
        <f>IFERROR(__xludf.DUMMYFUNCTION("JOIN("","",FILTER(B453:S453,B453:S453&lt;&gt;""""))"),"#N/A")</f>
        <v>#N/A</v>
      </c>
    </row>
    <row r="454">
      <c r="A454" s="3"/>
      <c r="B454" s="3" t="str">
        <f>IF($A454="","",IF(countif('Mens Lineup'!B$3:B1000,CONCATENATE("=",$A454))=0,"",B$2))</f>
        <v/>
      </c>
      <c r="C454" s="3" t="str">
        <f>IF($A454="","",IF(countif('Mens Lineup'!C$3:C1000,CONCATENATE("=",$A454))=0,"",C$2))</f>
        <v/>
      </c>
      <c r="D454" s="3" t="str">
        <f>IF($A454="","",IF(countif('Mens Lineup'!D$3:D1000,CONCATENATE("=",$A454))=0,"",D$2))</f>
        <v/>
      </c>
      <c r="E454" s="3" t="str">
        <f>IF($A454="","",IF(countif('Mens Lineup'!E$3:E1000,CONCATENATE("=",$A454))=0,"",E$2))</f>
        <v/>
      </c>
      <c r="F454" s="3" t="str">
        <f>IF($A454="","",IF(countif('Mens Lineup'!F$3:F1000,CONCATENATE("=",$A454))=0,"",F$2))</f>
        <v/>
      </c>
      <c r="G454" s="3" t="str">
        <f>IF($A454="","",IF(countif('Mens Lineup'!G$3:G1000,CONCATENATE("=",$A454))=0,"",G$2))</f>
        <v/>
      </c>
      <c r="H454" s="3" t="str">
        <f>IF($A454="","",IF(countif('Mens Lineup'!H$3:H1000,CONCATENATE("=",$A454))=0,"",H$2))</f>
        <v/>
      </c>
      <c r="I454" s="3" t="str">
        <f>IF($A454="","",IF(countif('Mens Lineup'!I$3:I1000,CONCATENATE("=",$A454))=0,"",I$2))</f>
        <v/>
      </c>
      <c r="J454" s="3" t="str">
        <f>IF($A454="","",IF(countif('Mens Lineup'!J$3:J1000,CONCATENATE("=",$A454))=0,"",J$2))</f>
        <v/>
      </c>
      <c r="K454" s="3" t="str">
        <f>IF($A454="","",IF(countif('Mens Lineup'!K$3:K1000,CONCATENATE("=",$A454))=0,"",K$2))</f>
        <v/>
      </c>
      <c r="L454" s="3" t="str">
        <f>IF($A454="","",IF(countif('Mens Lineup'!L$3:L1000,CONCATENATE("=",$A454))=0,"",L$2))</f>
        <v/>
      </c>
      <c r="M454" s="3" t="str">
        <f>IF($A454="","",IF(countif('Mens Lineup'!M$3:M1000,CONCATENATE("=",$A454))=0,"",M$2))</f>
        <v/>
      </c>
      <c r="N454" s="3" t="str">
        <f>IF($A454="","",IF(countif('Mens Lineup'!N$3:N1000,CONCATENATE("=",$A454))=0,"",N$2))</f>
        <v/>
      </c>
      <c r="O454" s="3" t="str">
        <f>IF($A454="","",IF(countif('Mens Lineup'!O$3:O1000,CONCATENATE("=",$A454))=0,"",O$2))</f>
        <v/>
      </c>
      <c r="P454" s="3" t="str">
        <f>IF($A454="","",IF(countif('Mens Lineup'!P$3:P1000,CONCATENATE("=",$A454))=0,"",P$2))</f>
        <v/>
      </c>
      <c r="Q454" s="3" t="str">
        <f>IF($A454="","",IF(countif('Mens Lineup'!Q$3:Q1000,CONCATENATE("=",$A454))=0,"",Q$2))</f>
        <v/>
      </c>
      <c r="R454" s="3" t="str">
        <f>IF($A454="","",IF(countif('Mens Lineup'!R$3:R1000,CONCATENATE("=",$A454))=0,"",R$2))</f>
        <v/>
      </c>
      <c r="S454" s="3" t="str">
        <f>IF($A454="","",IF(countif('Mens Lineup'!S$3:S1000,CONCATENATE("=",$A454))=0,"",S$2))</f>
        <v/>
      </c>
      <c r="W454" s="3" t="str">
        <f>IFERROR(__xludf.DUMMYFUNCTION("JOIN("","",FILTER(B454:S454,B454:S454&lt;&gt;""""))"),"#N/A")</f>
        <v>#N/A</v>
      </c>
    </row>
    <row r="455">
      <c r="A455" s="3"/>
      <c r="B455" s="3" t="str">
        <f>IF($A455="","",IF(countif('Mens Lineup'!B$3:B1000,CONCATENATE("=",$A455))=0,"",B$2))</f>
        <v/>
      </c>
      <c r="C455" s="3" t="str">
        <f>IF($A455="","",IF(countif('Mens Lineup'!C$3:C1000,CONCATENATE("=",$A455))=0,"",C$2))</f>
        <v/>
      </c>
      <c r="D455" s="3" t="str">
        <f>IF($A455="","",IF(countif('Mens Lineup'!D$3:D1000,CONCATENATE("=",$A455))=0,"",D$2))</f>
        <v/>
      </c>
      <c r="E455" s="3" t="str">
        <f>IF($A455="","",IF(countif('Mens Lineup'!E$3:E1000,CONCATENATE("=",$A455))=0,"",E$2))</f>
        <v/>
      </c>
      <c r="F455" s="3" t="str">
        <f>IF($A455="","",IF(countif('Mens Lineup'!F$3:F1000,CONCATENATE("=",$A455))=0,"",F$2))</f>
        <v/>
      </c>
      <c r="G455" s="3" t="str">
        <f>IF($A455="","",IF(countif('Mens Lineup'!G$3:G1000,CONCATENATE("=",$A455))=0,"",G$2))</f>
        <v/>
      </c>
      <c r="H455" s="3" t="str">
        <f>IF($A455="","",IF(countif('Mens Lineup'!H$3:H1000,CONCATENATE("=",$A455))=0,"",H$2))</f>
        <v/>
      </c>
      <c r="I455" s="3" t="str">
        <f>IF($A455="","",IF(countif('Mens Lineup'!I$3:I1000,CONCATENATE("=",$A455))=0,"",I$2))</f>
        <v/>
      </c>
      <c r="J455" s="3" t="str">
        <f>IF($A455="","",IF(countif('Mens Lineup'!J$3:J1000,CONCATENATE("=",$A455))=0,"",J$2))</f>
        <v/>
      </c>
      <c r="K455" s="3" t="str">
        <f>IF($A455="","",IF(countif('Mens Lineup'!K$3:K1000,CONCATENATE("=",$A455))=0,"",K$2))</f>
        <v/>
      </c>
      <c r="L455" s="3" t="str">
        <f>IF($A455="","",IF(countif('Mens Lineup'!L$3:L1000,CONCATENATE("=",$A455))=0,"",L$2))</f>
        <v/>
      </c>
      <c r="M455" s="3" t="str">
        <f>IF($A455="","",IF(countif('Mens Lineup'!M$3:M1000,CONCATENATE("=",$A455))=0,"",M$2))</f>
        <v/>
      </c>
      <c r="N455" s="3" t="str">
        <f>IF($A455="","",IF(countif('Mens Lineup'!N$3:N1000,CONCATENATE("=",$A455))=0,"",N$2))</f>
        <v/>
      </c>
      <c r="O455" s="3" t="str">
        <f>IF($A455="","",IF(countif('Mens Lineup'!O$3:O1000,CONCATENATE("=",$A455))=0,"",O$2))</f>
        <v/>
      </c>
      <c r="P455" s="3" t="str">
        <f>IF($A455="","",IF(countif('Mens Lineup'!P$3:P1000,CONCATENATE("=",$A455))=0,"",P$2))</f>
        <v/>
      </c>
      <c r="Q455" s="3" t="str">
        <f>IF($A455="","",IF(countif('Mens Lineup'!Q$3:Q1000,CONCATENATE("=",$A455))=0,"",Q$2))</f>
        <v/>
      </c>
      <c r="R455" s="3" t="str">
        <f>IF($A455="","",IF(countif('Mens Lineup'!R$3:R1000,CONCATENATE("=",$A455))=0,"",R$2))</f>
        <v/>
      </c>
      <c r="S455" s="3" t="str">
        <f>IF($A455="","",IF(countif('Mens Lineup'!S$3:S1000,CONCATENATE("=",$A455))=0,"",S$2))</f>
        <v/>
      </c>
      <c r="W455" s="3" t="str">
        <f>IFERROR(__xludf.DUMMYFUNCTION("JOIN("","",FILTER(B455:S455,B455:S455&lt;&gt;""""))"),"#N/A")</f>
        <v>#N/A</v>
      </c>
    </row>
    <row r="456">
      <c r="A456" s="3"/>
      <c r="B456" s="3" t="str">
        <f>IF($A456="","",IF(countif('Mens Lineup'!B$3:B1000,CONCATENATE("=",$A456))=0,"",B$2))</f>
        <v/>
      </c>
      <c r="C456" s="3" t="str">
        <f>IF($A456="","",IF(countif('Mens Lineup'!C$3:C1000,CONCATENATE("=",$A456))=0,"",C$2))</f>
        <v/>
      </c>
      <c r="D456" s="3" t="str">
        <f>IF($A456="","",IF(countif('Mens Lineup'!D$3:D1000,CONCATENATE("=",$A456))=0,"",D$2))</f>
        <v/>
      </c>
      <c r="E456" s="3" t="str">
        <f>IF($A456="","",IF(countif('Mens Lineup'!E$3:E1000,CONCATENATE("=",$A456))=0,"",E$2))</f>
        <v/>
      </c>
      <c r="F456" s="3" t="str">
        <f>IF($A456="","",IF(countif('Mens Lineup'!F$3:F1000,CONCATENATE("=",$A456))=0,"",F$2))</f>
        <v/>
      </c>
      <c r="G456" s="3" t="str">
        <f>IF($A456="","",IF(countif('Mens Lineup'!G$3:G1000,CONCATENATE("=",$A456))=0,"",G$2))</f>
        <v/>
      </c>
      <c r="H456" s="3" t="str">
        <f>IF($A456="","",IF(countif('Mens Lineup'!H$3:H1000,CONCATENATE("=",$A456))=0,"",H$2))</f>
        <v/>
      </c>
      <c r="I456" s="3" t="str">
        <f>IF($A456="","",IF(countif('Mens Lineup'!I$3:I1000,CONCATENATE("=",$A456))=0,"",I$2))</f>
        <v/>
      </c>
      <c r="J456" s="3" t="str">
        <f>IF($A456="","",IF(countif('Mens Lineup'!J$3:J1000,CONCATENATE("=",$A456))=0,"",J$2))</f>
        <v/>
      </c>
      <c r="K456" s="3" t="str">
        <f>IF($A456="","",IF(countif('Mens Lineup'!K$3:K1000,CONCATENATE("=",$A456))=0,"",K$2))</f>
        <v/>
      </c>
      <c r="L456" s="3" t="str">
        <f>IF($A456="","",IF(countif('Mens Lineup'!L$3:L1000,CONCATENATE("=",$A456))=0,"",L$2))</f>
        <v/>
      </c>
      <c r="M456" s="3" t="str">
        <f>IF($A456="","",IF(countif('Mens Lineup'!M$3:M1000,CONCATENATE("=",$A456))=0,"",M$2))</f>
        <v/>
      </c>
      <c r="N456" s="3" t="str">
        <f>IF($A456="","",IF(countif('Mens Lineup'!N$3:N1000,CONCATENATE("=",$A456))=0,"",N$2))</f>
        <v/>
      </c>
      <c r="O456" s="3" t="str">
        <f>IF($A456="","",IF(countif('Mens Lineup'!O$3:O1000,CONCATENATE("=",$A456))=0,"",O$2))</f>
        <v/>
      </c>
      <c r="P456" s="3" t="str">
        <f>IF($A456="","",IF(countif('Mens Lineup'!P$3:P1000,CONCATENATE("=",$A456))=0,"",P$2))</f>
        <v/>
      </c>
      <c r="Q456" s="3" t="str">
        <f>IF($A456="","",IF(countif('Mens Lineup'!Q$3:Q1000,CONCATENATE("=",$A456))=0,"",Q$2))</f>
        <v/>
      </c>
      <c r="R456" s="3" t="str">
        <f>IF($A456="","",IF(countif('Mens Lineup'!R$3:R1000,CONCATENATE("=",$A456))=0,"",R$2))</f>
        <v/>
      </c>
      <c r="S456" s="3" t="str">
        <f>IF($A456="","",IF(countif('Mens Lineup'!S$3:S1000,CONCATENATE("=",$A456))=0,"",S$2))</f>
        <v/>
      </c>
      <c r="W456" s="3" t="str">
        <f>IFERROR(__xludf.DUMMYFUNCTION("JOIN("","",FILTER(B456:S456,B456:S456&lt;&gt;""""))"),"#N/A")</f>
        <v>#N/A</v>
      </c>
    </row>
    <row r="457">
      <c r="A457" s="3"/>
      <c r="B457" s="3" t="str">
        <f>IF($A457="","",IF(countif('Mens Lineup'!B$3:B1000,CONCATENATE("=",$A457))=0,"",B$2))</f>
        <v/>
      </c>
      <c r="C457" s="3" t="str">
        <f>IF($A457="","",IF(countif('Mens Lineup'!C$3:C1000,CONCATENATE("=",$A457))=0,"",C$2))</f>
        <v/>
      </c>
      <c r="D457" s="3" t="str">
        <f>IF($A457="","",IF(countif('Mens Lineup'!D$3:D1000,CONCATENATE("=",$A457))=0,"",D$2))</f>
        <v/>
      </c>
      <c r="E457" s="3" t="str">
        <f>IF($A457="","",IF(countif('Mens Lineup'!E$3:E1000,CONCATENATE("=",$A457))=0,"",E$2))</f>
        <v/>
      </c>
      <c r="F457" s="3" t="str">
        <f>IF($A457="","",IF(countif('Mens Lineup'!F$3:F1000,CONCATENATE("=",$A457))=0,"",F$2))</f>
        <v/>
      </c>
      <c r="G457" s="3" t="str">
        <f>IF($A457="","",IF(countif('Mens Lineup'!G$3:G1000,CONCATENATE("=",$A457))=0,"",G$2))</f>
        <v/>
      </c>
      <c r="H457" s="3" t="str">
        <f>IF($A457="","",IF(countif('Mens Lineup'!H$3:H1000,CONCATENATE("=",$A457))=0,"",H$2))</f>
        <v/>
      </c>
      <c r="I457" s="3" t="str">
        <f>IF($A457="","",IF(countif('Mens Lineup'!I$3:I1000,CONCATENATE("=",$A457))=0,"",I$2))</f>
        <v/>
      </c>
      <c r="J457" s="3" t="str">
        <f>IF($A457="","",IF(countif('Mens Lineup'!J$3:J1000,CONCATENATE("=",$A457))=0,"",J$2))</f>
        <v/>
      </c>
      <c r="K457" s="3" t="str">
        <f>IF($A457="","",IF(countif('Mens Lineup'!K$3:K1000,CONCATENATE("=",$A457))=0,"",K$2))</f>
        <v/>
      </c>
      <c r="L457" s="3" t="str">
        <f>IF($A457="","",IF(countif('Mens Lineup'!L$3:L1000,CONCATENATE("=",$A457))=0,"",L$2))</f>
        <v/>
      </c>
      <c r="M457" s="3" t="str">
        <f>IF($A457="","",IF(countif('Mens Lineup'!M$3:M1000,CONCATENATE("=",$A457))=0,"",M$2))</f>
        <v/>
      </c>
      <c r="N457" s="3" t="str">
        <f>IF($A457="","",IF(countif('Mens Lineup'!N$3:N1000,CONCATENATE("=",$A457))=0,"",N$2))</f>
        <v/>
      </c>
      <c r="O457" s="3" t="str">
        <f>IF($A457="","",IF(countif('Mens Lineup'!O$3:O1000,CONCATENATE("=",$A457))=0,"",O$2))</f>
        <v/>
      </c>
      <c r="P457" s="3" t="str">
        <f>IF($A457="","",IF(countif('Mens Lineup'!P$3:P1000,CONCATENATE("=",$A457))=0,"",P$2))</f>
        <v/>
      </c>
      <c r="Q457" s="3" t="str">
        <f>IF($A457="","",IF(countif('Mens Lineup'!Q$3:Q1000,CONCATENATE("=",$A457))=0,"",Q$2))</f>
        <v/>
      </c>
      <c r="R457" s="3" t="str">
        <f>IF($A457="","",IF(countif('Mens Lineup'!R$3:R1000,CONCATENATE("=",$A457))=0,"",R$2))</f>
        <v/>
      </c>
      <c r="S457" s="3" t="str">
        <f>IF($A457="","",IF(countif('Mens Lineup'!S$3:S1000,CONCATENATE("=",$A457))=0,"",S$2))</f>
        <v/>
      </c>
      <c r="W457" s="3" t="str">
        <f>IFERROR(__xludf.DUMMYFUNCTION("JOIN("","",FILTER(B457:S457,B457:S457&lt;&gt;""""))"),"#N/A")</f>
        <v>#N/A</v>
      </c>
    </row>
    <row r="458">
      <c r="A458" s="3"/>
      <c r="B458" s="3" t="str">
        <f>IF($A458="","",IF(countif('Mens Lineup'!B$3:B1000,CONCATENATE("=",$A458))=0,"",B$2))</f>
        <v/>
      </c>
      <c r="C458" s="3" t="str">
        <f>IF($A458="","",IF(countif('Mens Lineup'!C$3:C1000,CONCATENATE("=",$A458))=0,"",C$2))</f>
        <v/>
      </c>
      <c r="D458" s="3" t="str">
        <f>IF($A458="","",IF(countif('Mens Lineup'!D$3:D1000,CONCATENATE("=",$A458))=0,"",D$2))</f>
        <v/>
      </c>
      <c r="E458" s="3" t="str">
        <f>IF($A458="","",IF(countif('Mens Lineup'!E$3:E1000,CONCATENATE("=",$A458))=0,"",E$2))</f>
        <v/>
      </c>
      <c r="F458" s="3" t="str">
        <f>IF($A458="","",IF(countif('Mens Lineup'!F$3:F1000,CONCATENATE("=",$A458))=0,"",F$2))</f>
        <v/>
      </c>
      <c r="G458" s="3" t="str">
        <f>IF($A458="","",IF(countif('Mens Lineup'!G$3:G1000,CONCATENATE("=",$A458))=0,"",G$2))</f>
        <v/>
      </c>
      <c r="H458" s="3" t="str">
        <f>IF($A458="","",IF(countif('Mens Lineup'!H$3:H1000,CONCATENATE("=",$A458))=0,"",H$2))</f>
        <v/>
      </c>
      <c r="I458" s="3" t="str">
        <f>IF($A458="","",IF(countif('Mens Lineup'!I$3:I1000,CONCATENATE("=",$A458))=0,"",I$2))</f>
        <v/>
      </c>
      <c r="J458" s="3" t="str">
        <f>IF($A458="","",IF(countif('Mens Lineup'!J$3:J1000,CONCATENATE("=",$A458))=0,"",J$2))</f>
        <v/>
      </c>
      <c r="K458" s="3" t="str">
        <f>IF($A458="","",IF(countif('Mens Lineup'!K$3:K1000,CONCATENATE("=",$A458))=0,"",K$2))</f>
        <v/>
      </c>
      <c r="L458" s="3" t="str">
        <f>IF($A458="","",IF(countif('Mens Lineup'!L$3:L1000,CONCATENATE("=",$A458))=0,"",L$2))</f>
        <v/>
      </c>
      <c r="M458" s="3" t="str">
        <f>IF($A458="","",IF(countif('Mens Lineup'!M$3:M1000,CONCATENATE("=",$A458))=0,"",M$2))</f>
        <v/>
      </c>
      <c r="N458" s="3" t="str">
        <f>IF($A458="","",IF(countif('Mens Lineup'!N$3:N1000,CONCATENATE("=",$A458))=0,"",N$2))</f>
        <v/>
      </c>
      <c r="O458" s="3" t="str">
        <f>IF($A458="","",IF(countif('Mens Lineup'!O$3:O1000,CONCATENATE("=",$A458))=0,"",O$2))</f>
        <v/>
      </c>
      <c r="P458" s="3" t="str">
        <f>IF($A458="","",IF(countif('Mens Lineup'!P$3:P1000,CONCATENATE("=",$A458))=0,"",P$2))</f>
        <v/>
      </c>
      <c r="Q458" s="3" t="str">
        <f>IF($A458="","",IF(countif('Mens Lineup'!Q$3:Q1000,CONCATENATE("=",$A458))=0,"",Q$2))</f>
        <v/>
      </c>
      <c r="R458" s="3" t="str">
        <f>IF($A458="","",IF(countif('Mens Lineup'!R$3:R1000,CONCATENATE("=",$A458))=0,"",R$2))</f>
        <v/>
      </c>
      <c r="S458" s="3" t="str">
        <f>IF($A458="","",IF(countif('Mens Lineup'!S$3:S1000,CONCATENATE("=",$A458))=0,"",S$2))</f>
        <v/>
      </c>
      <c r="W458" s="3" t="str">
        <f>IFERROR(__xludf.DUMMYFUNCTION("JOIN("","",FILTER(B458:S458,B458:S458&lt;&gt;""""))"),"#N/A")</f>
        <v>#N/A</v>
      </c>
    </row>
    <row r="459">
      <c r="A459" s="3"/>
      <c r="B459" s="3" t="str">
        <f>IF($A459="","",IF(countif('Mens Lineup'!B$3:B1000,CONCATENATE("=",$A459))=0,"",B$2))</f>
        <v/>
      </c>
      <c r="C459" s="3" t="str">
        <f>IF($A459="","",IF(countif('Mens Lineup'!C$3:C1000,CONCATENATE("=",$A459))=0,"",C$2))</f>
        <v/>
      </c>
      <c r="D459" s="3" t="str">
        <f>IF($A459="","",IF(countif('Mens Lineup'!D$3:D1000,CONCATENATE("=",$A459))=0,"",D$2))</f>
        <v/>
      </c>
      <c r="E459" s="3" t="str">
        <f>IF($A459="","",IF(countif('Mens Lineup'!E$3:E1000,CONCATENATE("=",$A459))=0,"",E$2))</f>
        <v/>
      </c>
      <c r="F459" s="3" t="str">
        <f>IF($A459="","",IF(countif('Mens Lineup'!F$3:F1000,CONCATENATE("=",$A459))=0,"",F$2))</f>
        <v/>
      </c>
      <c r="G459" s="3" t="str">
        <f>IF($A459="","",IF(countif('Mens Lineup'!G$3:G1000,CONCATENATE("=",$A459))=0,"",G$2))</f>
        <v/>
      </c>
      <c r="H459" s="3" t="str">
        <f>IF($A459="","",IF(countif('Mens Lineup'!H$3:H1000,CONCATENATE("=",$A459))=0,"",H$2))</f>
        <v/>
      </c>
      <c r="I459" s="3" t="str">
        <f>IF($A459="","",IF(countif('Mens Lineup'!I$3:I1000,CONCATENATE("=",$A459))=0,"",I$2))</f>
        <v/>
      </c>
      <c r="J459" s="3" t="str">
        <f>IF($A459="","",IF(countif('Mens Lineup'!J$3:J1000,CONCATENATE("=",$A459))=0,"",J$2))</f>
        <v/>
      </c>
      <c r="K459" s="3" t="str">
        <f>IF($A459="","",IF(countif('Mens Lineup'!K$3:K1000,CONCATENATE("=",$A459))=0,"",K$2))</f>
        <v/>
      </c>
      <c r="L459" s="3" t="str">
        <f>IF($A459="","",IF(countif('Mens Lineup'!L$3:L1000,CONCATENATE("=",$A459))=0,"",L$2))</f>
        <v/>
      </c>
      <c r="M459" s="3" t="str">
        <f>IF($A459="","",IF(countif('Mens Lineup'!M$3:M1000,CONCATENATE("=",$A459))=0,"",M$2))</f>
        <v/>
      </c>
      <c r="N459" s="3" t="str">
        <f>IF($A459="","",IF(countif('Mens Lineup'!N$3:N1000,CONCATENATE("=",$A459))=0,"",N$2))</f>
        <v/>
      </c>
      <c r="O459" s="3" t="str">
        <f>IF($A459="","",IF(countif('Mens Lineup'!O$3:O1000,CONCATENATE("=",$A459))=0,"",O$2))</f>
        <v/>
      </c>
      <c r="P459" s="3" t="str">
        <f>IF($A459="","",IF(countif('Mens Lineup'!P$3:P1000,CONCATENATE("=",$A459))=0,"",P$2))</f>
        <v/>
      </c>
      <c r="Q459" s="3" t="str">
        <f>IF($A459="","",IF(countif('Mens Lineup'!Q$3:Q1000,CONCATENATE("=",$A459))=0,"",Q$2))</f>
        <v/>
      </c>
      <c r="R459" s="3" t="str">
        <f>IF($A459="","",IF(countif('Mens Lineup'!R$3:R1000,CONCATENATE("=",$A459))=0,"",R$2))</f>
        <v/>
      </c>
      <c r="S459" s="3" t="str">
        <f>IF($A459="","",IF(countif('Mens Lineup'!S$3:S1000,CONCATENATE("=",$A459))=0,"",S$2))</f>
        <v/>
      </c>
      <c r="W459" s="3" t="str">
        <f>IFERROR(__xludf.DUMMYFUNCTION("JOIN("","",FILTER(B459:S459,B459:S459&lt;&gt;""""))"),"#N/A")</f>
        <v>#N/A</v>
      </c>
    </row>
    <row r="460">
      <c r="A460" s="3"/>
      <c r="B460" s="3" t="str">
        <f>IF($A460="","",IF(countif('Mens Lineup'!B$3:B1000,CONCATENATE("=",$A460))=0,"",B$2))</f>
        <v/>
      </c>
      <c r="C460" s="3" t="str">
        <f>IF($A460="","",IF(countif('Mens Lineup'!C$3:C1000,CONCATENATE("=",$A460))=0,"",C$2))</f>
        <v/>
      </c>
      <c r="D460" s="3" t="str">
        <f>IF($A460="","",IF(countif('Mens Lineup'!D$3:D1000,CONCATENATE("=",$A460))=0,"",D$2))</f>
        <v/>
      </c>
      <c r="E460" s="3" t="str">
        <f>IF($A460="","",IF(countif('Mens Lineup'!E$3:E1000,CONCATENATE("=",$A460))=0,"",E$2))</f>
        <v/>
      </c>
      <c r="F460" s="3" t="str">
        <f>IF($A460="","",IF(countif('Mens Lineup'!F$3:F1000,CONCATENATE("=",$A460))=0,"",F$2))</f>
        <v/>
      </c>
      <c r="G460" s="3" t="str">
        <f>IF($A460="","",IF(countif('Mens Lineup'!G$3:G1000,CONCATENATE("=",$A460))=0,"",G$2))</f>
        <v/>
      </c>
      <c r="H460" s="3" t="str">
        <f>IF($A460="","",IF(countif('Mens Lineup'!H$3:H1000,CONCATENATE("=",$A460))=0,"",H$2))</f>
        <v/>
      </c>
      <c r="I460" s="3" t="str">
        <f>IF($A460="","",IF(countif('Mens Lineup'!I$3:I1000,CONCATENATE("=",$A460))=0,"",I$2))</f>
        <v/>
      </c>
      <c r="J460" s="3" t="str">
        <f>IF($A460="","",IF(countif('Mens Lineup'!J$3:J1000,CONCATENATE("=",$A460))=0,"",J$2))</f>
        <v/>
      </c>
      <c r="K460" s="3" t="str">
        <f>IF($A460="","",IF(countif('Mens Lineup'!K$3:K1000,CONCATENATE("=",$A460))=0,"",K$2))</f>
        <v/>
      </c>
      <c r="L460" s="3" t="str">
        <f>IF($A460="","",IF(countif('Mens Lineup'!L$3:L1000,CONCATENATE("=",$A460))=0,"",L$2))</f>
        <v/>
      </c>
      <c r="M460" s="3" t="str">
        <f>IF($A460="","",IF(countif('Mens Lineup'!M$3:M1000,CONCATENATE("=",$A460))=0,"",M$2))</f>
        <v/>
      </c>
      <c r="N460" s="3" t="str">
        <f>IF($A460="","",IF(countif('Mens Lineup'!N$3:N1000,CONCATENATE("=",$A460))=0,"",N$2))</f>
        <v/>
      </c>
      <c r="O460" s="3" t="str">
        <f>IF($A460="","",IF(countif('Mens Lineup'!O$3:O1000,CONCATENATE("=",$A460))=0,"",O$2))</f>
        <v/>
      </c>
      <c r="P460" s="3" t="str">
        <f>IF($A460="","",IF(countif('Mens Lineup'!P$3:P1000,CONCATENATE("=",$A460))=0,"",P$2))</f>
        <v/>
      </c>
      <c r="Q460" s="3" t="str">
        <f>IF($A460="","",IF(countif('Mens Lineup'!Q$3:Q1000,CONCATENATE("=",$A460))=0,"",Q$2))</f>
        <v/>
      </c>
      <c r="R460" s="3" t="str">
        <f>IF($A460="","",IF(countif('Mens Lineup'!R$3:R1000,CONCATENATE("=",$A460))=0,"",R$2))</f>
        <v/>
      </c>
      <c r="S460" s="3" t="str">
        <f>IF($A460="","",IF(countif('Mens Lineup'!S$3:S1000,CONCATENATE("=",$A460))=0,"",S$2))</f>
        <v/>
      </c>
      <c r="W460" s="3" t="str">
        <f>IFERROR(__xludf.DUMMYFUNCTION("JOIN("","",FILTER(B460:S460,B460:S460&lt;&gt;""""))"),"#N/A")</f>
        <v>#N/A</v>
      </c>
    </row>
    <row r="461">
      <c r="A461" s="3"/>
      <c r="B461" s="3" t="str">
        <f>IF($A461="","",IF(countif('Mens Lineup'!B$3:B1000,CONCATENATE("=",$A461))=0,"",B$2))</f>
        <v/>
      </c>
      <c r="C461" s="3" t="str">
        <f>IF($A461="","",IF(countif('Mens Lineup'!C$3:C1000,CONCATENATE("=",$A461))=0,"",C$2))</f>
        <v/>
      </c>
      <c r="D461" s="3" t="str">
        <f>IF($A461="","",IF(countif('Mens Lineup'!D$3:D1000,CONCATENATE("=",$A461))=0,"",D$2))</f>
        <v/>
      </c>
      <c r="E461" s="3" t="str">
        <f>IF($A461="","",IF(countif('Mens Lineup'!E$3:E1000,CONCATENATE("=",$A461))=0,"",E$2))</f>
        <v/>
      </c>
      <c r="F461" s="3" t="str">
        <f>IF($A461="","",IF(countif('Mens Lineup'!F$3:F1000,CONCATENATE("=",$A461))=0,"",F$2))</f>
        <v/>
      </c>
      <c r="G461" s="3" t="str">
        <f>IF($A461="","",IF(countif('Mens Lineup'!G$3:G1000,CONCATENATE("=",$A461))=0,"",G$2))</f>
        <v/>
      </c>
      <c r="H461" s="3" t="str">
        <f>IF($A461="","",IF(countif('Mens Lineup'!H$3:H1000,CONCATENATE("=",$A461))=0,"",H$2))</f>
        <v/>
      </c>
      <c r="I461" s="3" t="str">
        <f>IF($A461="","",IF(countif('Mens Lineup'!I$3:I1000,CONCATENATE("=",$A461))=0,"",I$2))</f>
        <v/>
      </c>
      <c r="J461" s="3" t="str">
        <f>IF($A461="","",IF(countif('Mens Lineup'!J$3:J1000,CONCATENATE("=",$A461))=0,"",J$2))</f>
        <v/>
      </c>
      <c r="K461" s="3" t="str">
        <f>IF($A461="","",IF(countif('Mens Lineup'!K$3:K1000,CONCATENATE("=",$A461))=0,"",K$2))</f>
        <v/>
      </c>
      <c r="L461" s="3" t="str">
        <f>IF($A461="","",IF(countif('Mens Lineup'!L$3:L1000,CONCATENATE("=",$A461))=0,"",L$2))</f>
        <v/>
      </c>
      <c r="M461" s="3" t="str">
        <f>IF($A461="","",IF(countif('Mens Lineup'!M$3:M1000,CONCATENATE("=",$A461))=0,"",M$2))</f>
        <v/>
      </c>
      <c r="N461" s="3" t="str">
        <f>IF($A461="","",IF(countif('Mens Lineup'!N$3:N1000,CONCATENATE("=",$A461))=0,"",N$2))</f>
        <v/>
      </c>
      <c r="O461" s="3" t="str">
        <f>IF($A461="","",IF(countif('Mens Lineup'!O$3:O1000,CONCATENATE("=",$A461))=0,"",O$2))</f>
        <v/>
      </c>
      <c r="P461" s="3" t="str">
        <f>IF($A461="","",IF(countif('Mens Lineup'!P$3:P1000,CONCATENATE("=",$A461))=0,"",P$2))</f>
        <v/>
      </c>
      <c r="Q461" s="3" t="str">
        <f>IF($A461="","",IF(countif('Mens Lineup'!Q$3:Q1000,CONCATENATE("=",$A461))=0,"",Q$2))</f>
        <v/>
      </c>
      <c r="R461" s="3" t="str">
        <f>IF($A461="","",IF(countif('Mens Lineup'!R$3:R1000,CONCATENATE("=",$A461))=0,"",R$2))</f>
        <v/>
      </c>
      <c r="S461" s="3" t="str">
        <f>IF($A461="","",IF(countif('Mens Lineup'!S$3:S1000,CONCATENATE("=",$A461))=0,"",S$2))</f>
        <v/>
      </c>
      <c r="W461" s="3" t="str">
        <f>IFERROR(__xludf.DUMMYFUNCTION("JOIN("","",FILTER(B461:S461,B461:S461&lt;&gt;""""))"),"#N/A")</f>
        <v>#N/A</v>
      </c>
    </row>
    <row r="462">
      <c r="A462" s="3"/>
      <c r="B462" s="3" t="str">
        <f>IF($A462="","",IF(countif('Mens Lineup'!B$3:B1000,CONCATENATE("=",$A462))=0,"",B$2))</f>
        <v/>
      </c>
      <c r="C462" s="3" t="str">
        <f>IF($A462="","",IF(countif('Mens Lineup'!C$3:C1000,CONCATENATE("=",$A462))=0,"",C$2))</f>
        <v/>
      </c>
      <c r="D462" s="3" t="str">
        <f>IF($A462="","",IF(countif('Mens Lineup'!D$3:D1000,CONCATENATE("=",$A462))=0,"",D$2))</f>
        <v/>
      </c>
      <c r="E462" s="3" t="str">
        <f>IF($A462="","",IF(countif('Mens Lineup'!E$3:E1000,CONCATENATE("=",$A462))=0,"",E$2))</f>
        <v/>
      </c>
      <c r="F462" s="3" t="str">
        <f>IF($A462="","",IF(countif('Mens Lineup'!F$3:F1000,CONCATENATE("=",$A462))=0,"",F$2))</f>
        <v/>
      </c>
      <c r="G462" s="3" t="str">
        <f>IF($A462="","",IF(countif('Mens Lineup'!G$3:G1000,CONCATENATE("=",$A462))=0,"",G$2))</f>
        <v/>
      </c>
      <c r="H462" s="3" t="str">
        <f>IF($A462="","",IF(countif('Mens Lineup'!H$3:H1000,CONCATENATE("=",$A462))=0,"",H$2))</f>
        <v/>
      </c>
      <c r="I462" s="3" t="str">
        <f>IF($A462="","",IF(countif('Mens Lineup'!I$3:I1000,CONCATENATE("=",$A462))=0,"",I$2))</f>
        <v/>
      </c>
      <c r="J462" s="3" t="str">
        <f>IF($A462="","",IF(countif('Mens Lineup'!J$3:J1000,CONCATENATE("=",$A462))=0,"",J$2))</f>
        <v/>
      </c>
      <c r="K462" s="3" t="str">
        <f>IF($A462="","",IF(countif('Mens Lineup'!K$3:K1000,CONCATENATE("=",$A462))=0,"",K$2))</f>
        <v/>
      </c>
      <c r="L462" s="3" t="str">
        <f>IF($A462="","",IF(countif('Mens Lineup'!L$3:L1000,CONCATENATE("=",$A462))=0,"",L$2))</f>
        <v/>
      </c>
      <c r="M462" s="3" t="str">
        <f>IF($A462="","",IF(countif('Mens Lineup'!M$3:M1000,CONCATENATE("=",$A462))=0,"",M$2))</f>
        <v/>
      </c>
      <c r="N462" s="3" t="str">
        <f>IF($A462="","",IF(countif('Mens Lineup'!N$3:N1000,CONCATENATE("=",$A462))=0,"",N$2))</f>
        <v/>
      </c>
      <c r="O462" s="3" t="str">
        <f>IF($A462="","",IF(countif('Mens Lineup'!O$3:O1000,CONCATENATE("=",$A462))=0,"",O$2))</f>
        <v/>
      </c>
      <c r="P462" s="3" t="str">
        <f>IF($A462="","",IF(countif('Mens Lineup'!P$3:P1000,CONCATENATE("=",$A462))=0,"",P$2))</f>
        <v/>
      </c>
      <c r="Q462" s="3" t="str">
        <f>IF($A462="","",IF(countif('Mens Lineup'!Q$3:Q1000,CONCATENATE("=",$A462))=0,"",Q$2))</f>
        <v/>
      </c>
      <c r="R462" s="3" t="str">
        <f>IF($A462="","",IF(countif('Mens Lineup'!R$3:R1000,CONCATENATE("=",$A462))=0,"",R$2))</f>
        <v/>
      </c>
      <c r="S462" s="3" t="str">
        <f>IF($A462="","",IF(countif('Mens Lineup'!S$3:S1000,CONCATENATE("=",$A462))=0,"",S$2))</f>
        <v/>
      </c>
      <c r="W462" s="3" t="str">
        <f>IFERROR(__xludf.DUMMYFUNCTION("JOIN("","",FILTER(B462:S462,B462:S462&lt;&gt;""""))"),"#N/A")</f>
        <v>#N/A</v>
      </c>
    </row>
    <row r="463">
      <c r="A463" s="3"/>
      <c r="B463" s="3" t="str">
        <f>IF($A463="","",IF(countif('Mens Lineup'!B$3:B1000,CONCATENATE("=",$A463))=0,"",B$2))</f>
        <v/>
      </c>
      <c r="C463" s="3" t="str">
        <f>IF($A463="","",IF(countif('Mens Lineup'!C$3:C1000,CONCATENATE("=",$A463))=0,"",C$2))</f>
        <v/>
      </c>
      <c r="D463" s="3" t="str">
        <f>IF($A463="","",IF(countif('Mens Lineup'!D$3:D1000,CONCATENATE("=",$A463))=0,"",D$2))</f>
        <v/>
      </c>
      <c r="E463" s="3" t="str">
        <f>IF($A463="","",IF(countif('Mens Lineup'!E$3:E1000,CONCATENATE("=",$A463))=0,"",E$2))</f>
        <v/>
      </c>
      <c r="F463" s="3" t="str">
        <f>IF($A463="","",IF(countif('Mens Lineup'!F$3:F1000,CONCATENATE("=",$A463))=0,"",F$2))</f>
        <v/>
      </c>
      <c r="G463" s="3" t="str">
        <f>IF($A463="","",IF(countif('Mens Lineup'!G$3:G1000,CONCATENATE("=",$A463))=0,"",G$2))</f>
        <v/>
      </c>
      <c r="H463" s="3" t="str">
        <f>IF($A463="","",IF(countif('Mens Lineup'!H$3:H1000,CONCATENATE("=",$A463))=0,"",H$2))</f>
        <v/>
      </c>
      <c r="I463" s="3" t="str">
        <f>IF($A463="","",IF(countif('Mens Lineup'!I$3:I1000,CONCATENATE("=",$A463))=0,"",I$2))</f>
        <v/>
      </c>
      <c r="J463" s="3" t="str">
        <f>IF($A463="","",IF(countif('Mens Lineup'!J$3:J1000,CONCATENATE("=",$A463))=0,"",J$2))</f>
        <v/>
      </c>
      <c r="K463" s="3" t="str">
        <f>IF($A463="","",IF(countif('Mens Lineup'!K$3:K1000,CONCATENATE("=",$A463))=0,"",K$2))</f>
        <v/>
      </c>
      <c r="L463" s="3" t="str">
        <f>IF($A463="","",IF(countif('Mens Lineup'!L$3:L1000,CONCATENATE("=",$A463))=0,"",L$2))</f>
        <v/>
      </c>
      <c r="M463" s="3" t="str">
        <f>IF($A463="","",IF(countif('Mens Lineup'!M$3:M1000,CONCATENATE("=",$A463))=0,"",M$2))</f>
        <v/>
      </c>
      <c r="N463" s="3" t="str">
        <f>IF($A463="","",IF(countif('Mens Lineup'!N$3:N1000,CONCATENATE("=",$A463))=0,"",N$2))</f>
        <v/>
      </c>
      <c r="O463" s="3" t="str">
        <f>IF($A463="","",IF(countif('Mens Lineup'!O$3:O1000,CONCATENATE("=",$A463))=0,"",O$2))</f>
        <v/>
      </c>
      <c r="P463" s="3" t="str">
        <f>IF($A463="","",IF(countif('Mens Lineup'!P$3:P1000,CONCATENATE("=",$A463))=0,"",P$2))</f>
        <v/>
      </c>
      <c r="Q463" s="3" t="str">
        <f>IF($A463="","",IF(countif('Mens Lineup'!Q$3:Q1000,CONCATENATE("=",$A463))=0,"",Q$2))</f>
        <v/>
      </c>
      <c r="R463" s="3" t="str">
        <f>IF($A463="","",IF(countif('Mens Lineup'!R$3:R1000,CONCATENATE("=",$A463))=0,"",R$2))</f>
        <v/>
      </c>
      <c r="S463" s="3" t="str">
        <f>IF($A463="","",IF(countif('Mens Lineup'!S$3:S1000,CONCATENATE("=",$A463))=0,"",S$2))</f>
        <v/>
      </c>
      <c r="W463" s="3" t="str">
        <f>IFERROR(__xludf.DUMMYFUNCTION("JOIN("","",FILTER(B463:S463,B463:S463&lt;&gt;""""))"),"#N/A")</f>
        <v>#N/A</v>
      </c>
    </row>
    <row r="464">
      <c r="A464" s="3"/>
      <c r="B464" s="3" t="str">
        <f>IF($A464="","",IF(countif('Mens Lineup'!B$3:B1000,CONCATENATE("=",$A464))=0,"",B$2))</f>
        <v/>
      </c>
      <c r="C464" s="3" t="str">
        <f>IF($A464="","",IF(countif('Mens Lineup'!C$3:C1000,CONCATENATE("=",$A464))=0,"",C$2))</f>
        <v/>
      </c>
      <c r="D464" s="3" t="str">
        <f>IF($A464="","",IF(countif('Mens Lineup'!D$3:D1000,CONCATENATE("=",$A464))=0,"",D$2))</f>
        <v/>
      </c>
      <c r="E464" s="3" t="str">
        <f>IF($A464="","",IF(countif('Mens Lineup'!E$3:E1000,CONCATENATE("=",$A464))=0,"",E$2))</f>
        <v/>
      </c>
      <c r="F464" s="3" t="str">
        <f>IF($A464="","",IF(countif('Mens Lineup'!F$3:F1000,CONCATENATE("=",$A464))=0,"",F$2))</f>
        <v/>
      </c>
      <c r="G464" s="3" t="str">
        <f>IF($A464="","",IF(countif('Mens Lineup'!G$3:G1000,CONCATENATE("=",$A464))=0,"",G$2))</f>
        <v/>
      </c>
      <c r="H464" s="3" t="str">
        <f>IF($A464="","",IF(countif('Mens Lineup'!H$3:H1000,CONCATENATE("=",$A464))=0,"",H$2))</f>
        <v/>
      </c>
      <c r="I464" s="3" t="str">
        <f>IF($A464="","",IF(countif('Mens Lineup'!I$3:I1000,CONCATENATE("=",$A464))=0,"",I$2))</f>
        <v/>
      </c>
      <c r="J464" s="3" t="str">
        <f>IF($A464="","",IF(countif('Mens Lineup'!J$3:J1000,CONCATENATE("=",$A464))=0,"",J$2))</f>
        <v/>
      </c>
      <c r="K464" s="3" t="str">
        <f>IF($A464="","",IF(countif('Mens Lineup'!K$3:K1000,CONCATENATE("=",$A464))=0,"",K$2))</f>
        <v/>
      </c>
      <c r="L464" s="3" t="str">
        <f>IF($A464="","",IF(countif('Mens Lineup'!L$3:L1000,CONCATENATE("=",$A464))=0,"",L$2))</f>
        <v/>
      </c>
      <c r="M464" s="3" t="str">
        <f>IF($A464="","",IF(countif('Mens Lineup'!M$3:M1000,CONCATENATE("=",$A464))=0,"",M$2))</f>
        <v/>
      </c>
      <c r="N464" s="3" t="str">
        <f>IF($A464="","",IF(countif('Mens Lineup'!N$3:N1000,CONCATENATE("=",$A464))=0,"",N$2))</f>
        <v/>
      </c>
      <c r="O464" s="3" t="str">
        <f>IF($A464="","",IF(countif('Mens Lineup'!O$3:O1000,CONCATENATE("=",$A464))=0,"",O$2))</f>
        <v/>
      </c>
      <c r="P464" s="3" t="str">
        <f>IF($A464="","",IF(countif('Mens Lineup'!P$3:P1000,CONCATENATE("=",$A464))=0,"",P$2))</f>
        <v/>
      </c>
      <c r="Q464" s="3" t="str">
        <f>IF($A464="","",IF(countif('Mens Lineup'!Q$3:Q1000,CONCATENATE("=",$A464))=0,"",Q$2))</f>
        <v/>
      </c>
      <c r="R464" s="3" t="str">
        <f>IF($A464="","",IF(countif('Mens Lineup'!R$3:R1000,CONCATENATE("=",$A464))=0,"",R$2))</f>
        <v/>
      </c>
      <c r="S464" s="3" t="str">
        <f>IF($A464="","",IF(countif('Mens Lineup'!S$3:S1000,CONCATENATE("=",$A464))=0,"",S$2))</f>
        <v/>
      </c>
      <c r="W464" s="3" t="str">
        <f>IFERROR(__xludf.DUMMYFUNCTION("JOIN("","",FILTER(B464:S464,B464:S464&lt;&gt;""""))"),"#N/A")</f>
        <v>#N/A</v>
      </c>
    </row>
    <row r="465">
      <c r="A465" s="3"/>
      <c r="B465" s="3" t="str">
        <f>IF($A465="","",IF(countif('Mens Lineup'!B$3:B1000,CONCATENATE("=",$A465))=0,"",B$2))</f>
        <v/>
      </c>
      <c r="C465" s="3" t="str">
        <f>IF($A465="","",IF(countif('Mens Lineup'!C$3:C1000,CONCATENATE("=",$A465))=0,"",C$2))</f>
        <v/>
      </c>
      <c r="D465" s="3" t="str">
        <f>IF($A465="","",IF(countif('Mens Lineup'!D$3:D1000,CONCATENATE("=",$A465))=0,"",D$2))</f>
        <v/>
      </c>
      <c r="E465" s="3" t="str">
        <f>IF($A465="","",IF(countif('Mens Lineup'!E$3:E1000,CONCATENATE("=",$A465))=0,"",E$2))</f>
        <v/>
      </c>
      <c r="F465" s="3" t="str">
        <f>IF($A465="","",IF(countif('Mens Lineup'!F$3:F1000,CONCATENATE("=",$A465))=0,"",F$2))</f>
        <v/>
      </c>
      <c r="G465" s="3" t="str">
        <f>IF($A465="","",IF(countif('Mens Lineup'!G$3:G1000,CONCATENATE("=",$A465))=0,"",G$2))</f>
        <v/>
      </c>
      <c r="H465" s="3" t="str">
        <f>IF($A465="","",IF(countif('Mens Lineup'!H$3:H1000,CONCATENATE("=",$A465))=0,"",H$2))</f>
        <v/>
      </c>
      <c r="I465" s="3" t="str">
        <f>IF($A465="","",IF(countif('Mens Lineup'!I$3:I1000,CONCATENATE("=",$A465))=0,"",I$2))</f>
        <v/>
      </c>
      <c r="J465" s="3" t="str">
        <f>IF($A465="","",IF(countif('Mens Lineup'!J$3:J1000,CONCATENATE("=",$A465))=0,"",J$2))</f>
        <v/>
      </c>
      <c r="K465" s="3" t="str">
        <f>IF($A465="","",IF(countif('Mens Lineup'!K$3:K1000,CONCATENATE("=",$A465))=0,"",K$2))</f>
        <v/>
      </c>
      <c r="L465" s="3" t="str">
        <f>IF($A465="","",IF(countif('Mens Lineup'!L$3:L1000,CONCATENATE("=",$A465))=0,"",L$2))</f>
        <v/>
      </c>
      <c r="M465" s="3" t="str">
        <f>IF($A465="","",IF(countif('Mens Lineup'!M$3:M1000,CONCATENATE("=",$A465))=0,"",M$2))</f>
        <v/>
      </c>
      <c r="N465" s="3" t="str">
        <f>IF($A465="","",IF(countif('Mens Lineup'!N$3:N1000,CONCATENATE("=",$A465))=0,"",N$2))</f>
        <v/>
      </c>
      <c r="O465" s="3" t="str">
        <f>IF($A465="","",IF(countif('Mens Lineup'!O$3:O1000,CONCATENATE("=",$A465))=0,"",O$2))</f>
        <v/>
      </c>
      <c r="P465" s="3" t="str">
        <f>IF($A465="","",IF(countif('Mens Lineup'!P$3:P1000,CONCATENATE("=",$A465))=0,"",P$2))</f>
        <v/>
      </c>
      <c r="Q465" s="3" t="str">
        <f>IF($A465="","",IF(countif('Mens Lineup'!Q$3:Q1000,CONCATENATE("=",$A465))=0,"",Q$2))</f>
        <v/>
      </c>
      <c r="R465" s="3" t="str">
        <f>IF($A465="","",IF(countif('Mens Lineup'!R$3:R1000,CONCATENATE("=",$A465))=0,"",R$2))</f>
        <v/>
      </c>
      <c r="S465" s="3" t="str">
        <f>IF($A465="","",IF(countif('Mens Lineup'!S$3:S1000,CONCATENATE("=",$A465))=0,"",S$2))</f>
        <v/>
      </c>
      <c r="W465" s="3" t="str">
        <f>IFERROR(__xludf.DUMMYFUNCTION("JOIN("","",FILTER(B465:S465,B465:S465&lt;&gt;""""))"),"#N/A")</f>
        <v>#N/A</v>
      </c>
    </row>
    <row r="466">
      <c r="A466" s="3"/>
      <c r="B466" s="3" t="str">
        <f>IF($A466="","",IF(countif('Mens Lineup'!B$3:B1000,CONCATENATE("=",$A466))=0,"",B$2))</f>
        <v/>
      </c>
      <c r="C466" s="3" t="str">
        <f>IF($A466="","",IF(countif('Mens Lineup'!C$3:C1000,CONCATENATE("=",$A466))=0,"",C$2))</f>
        <v/>
      </c>
      <c r="D466" s="3" t="str">
        <f>IF($A466="","",IF(countif('Mens Lineup'!D$3:D1000,CONCATENATE("=",$A466))=0,"",D$2))</f>
        <v/>
      </c>
      <c r="E466" s="3" t="str">
        <f>IF($A466="","",IF(countif('Mens Lineup'!E$3:E1000,CONCATENATE("=",$A466))=0,"",E$2))</f>
        <v/>
      </c>
      <c r="F466" s="3" t="str">
        <f>IF($A466="","",IF(countif('Mens Lineup'!F$3:F1000,CONCATENATE("=",$A466))=0,"",F$2))</f>
        <v/>
      </c>
      <c r="G466" s="3" t="str">
        <f>IF($A466="","",IF(countif('Mens Lineup'!G$3:G1000,CONCATENATE("=",$A466))=0,"",G$2))</f>
        <v/>
      </c>
      <c r="H466" s="3" t="str">
        <f>IF($A466="","",IF(countif('Mens Lineup'!H$3:H1000,CONCATENATE("=",$A466))=0,"",H$2))</f>
        <v/>
      </c>
      <c r="I466" s="3" t="str">
        <f>IF($A466="","",IF(countif('Mens Lineup'!I$3:I1000,CONCATENATE("=",$A466))=0,"",I$2))</f>
        <v/>
      </c>
      <c r="J466" s="3" t="str">
        <f>IF($A466="","",IF(countif('Mens Lineup'!J$3:J1000,CONCATENATE("=",$A466))=0,"",J$2))</f>
        <v/>
      </c>
      <c r="K466" s="3" t="str">
        <f>IF($A466="","",IF(countif('Mens Lineup'!K$3:K1000,CONCATENATE("=",$A466))=0,"",K$2))</f>
        <v/>
      </c>
      <c r="L466" s="3" t="str">
        <f>IF($A466="","",IF(countif('Mens Lineup'!L$3:L1000,CONCATENATE("=",$A466))=0,"",L$2))</f>
        <v/>
      </c>
      <c r="M466" s="3" t="str">
        <f>IF($A466="","",IF(countif('Mens Lineup'!M$3:M1000,CONCATENATE("=",$A466))=0,"",M$2))</f>
        <v/>
      </c>
      <c r="N466" s="3" t="str">
        <f>IF($A466="","",IF(countif('Mens Lineup'!N$3:N1000,CONCATENATE("=",$A466))=0,"",N$2))</f>
        <v/>
      </c>
      <c r="O466" s="3" t="str">
        <f>IF($A466="","",IF(countif('Mens Lineup'!O$3:O1000,CONCATENATE("=",$A466))=0,"",O$2))</f>
        <v/>
      </c>
      <c r="P466" s="3" t="str">
        <f>IF($A466="","",IF(countif('Mens Lineup'!P$3:P1000,CONCATENATE("=",$A466))=0,"",P$2))</f>
        <v/>
      </c>
      <c r="Q466" s="3" t="str">
        <f>IF($A466="","",IF(countif('Mens Lineup'!Q$3:Q1000,CONCATENATE("=",$A466))=0,"",Q$2))</f>
        <v/>
      </c>
      <c r="R466" s="3" t="str">
        <f>IF($A466="","",IF(countif('Mens Lineup'!R$3:R1000,CONCATENATE("=",$A466))=0,"",R$2))</f>
        <v/>
      </c>
      <c r="S466" s="3" t="str">
        <f>IF($A466="","",IF(countif('Mens Lineup'!S$3:S1000,CONCATENATE("=",$A466))=0,"",S$2))</f>
        <v/>
      </c>
      <c r="W466" s="3" t="str">
        <f>IFERROR(__xludf.DUMMYFUNCTION("JOIN("","",FILTER(B466:S466,B466:S466&lt;&gt;""""))"),"#N/A")</f>
        <v>#N/A</v>
      </c>
    </row>
    <row r="467">
      <c r="A467" s="3"/>
      <c r="B467" s="3" t="str">
        <f>IF($A467="","",IF(countif('Mens Lineup'!B$3:B1000,CONCATENATE("=",$A467))=0,"",B$2))</f>
        <v/>
      </c>
      <c r="C467" s="3" t="str">
        <f>IF($A467="","",IF(countif('Mens Lineup'!C$3:C1000,CONCATENATE("=",$A467))=0,"",C$2))</f>
        <v/>
      </c>
      <c r="D467" s="3" t="str">
        <f>IF($A467="","",IF(countif('Mens Lineup'!D$3:D1000,CONCATENATE("=",$A467))=0,"",D$2))</f>
        <v/>
      </c>
      <c r="E467" s="3" t="str">
        <f>IF($A467="","",IF(countif('Mens Lineup'!E$3:E1000,CONCATENATE("=",$A467))=0,"",E$2))</f>
        <v/>
      </c>
      <c r="F467" s="3" t="str">
        <f>IF($A467="","",IF(countif('Mens Lineup'!F$3:F1000,CONCATENATE("=",$A467))=0,"",F$2))</f>
        <v/>
      </c>
      <c r="G467" s="3" t="str">
        <f>IF($A467="","",IF(countif('Mens Lineup'!G$3:G1000,CONCATENATE("=",$A467))=0,"",G$2))</f>
        <v/>
      </c>
      <c r="H467" s="3" t="str">
        <f>IF($A467="","",IF(countif('Mens Lineup'!H$3:H1000,CONCATENATE("=",$A467))=0,"",H$2))</f>
        <v/>
      </c>
      <c r="I467" s="3" t="str">
        <f>IF($A467="","",IF(countif('Mens Lineup'!I$3:I1000,CONCATENATE("=",$A467))=0,"",I$2))</f>
        <v/>
      </c>
      <c r="J467" s="3" t="str">
        <f>IF($A467="","",IF(countif('Mens Lineup'!J$3:J1000,CONCATENATE("=",$A467))=0,"",J$2))</f>
        <v/>
      </c>
      <c r="K467" s="3" t="str">
        <f>IF($A467="","",IF(countif('Mens Lineup'!K$3:K1000,CONCATENATE("=",$A467))=0,"",K$2))</f>
        <v/>
      </c>
      <c r="L467" s="3" t="str">
        <f>IF($A467="","",IF(countif('Mens Lineup'!L$3:L1000,CONCATENATE("=",$A467))=0,"",L$2))</f>
        <v/>
      </c>
      <c r="M467" s="3" t="str">
        <f>IF($A467="","",IF(countif('Mens Lineup'!M$3:M1000,CONCATENATE("=",$A467))=0,"",M$2))</f>
        <v/>
      </c>
      <c r="N467" s="3" t="str">
        <f>IF($A467="","",IF(countif('Mens Lineup'!N$3:N1000,CONCATENATE("=",$A467))=0,"",N$2))</f>
        <v/>
      </c>
      <c r="O467" s="3" t="str">
        <f>IF($A467="","",IF(countif('Mens Lineup'!O$3:O1000,CONCATENATE("=",$A467))=0,"",O$2))</f>
        <v/>
      </c>
      <c r="P467" s="3" t="str">
        <f>IF($A467="","",IF(countif('Mens Lineup'!P$3:P1000,CONCATENATE("=",$A467))=0,"",P$2))</f>
        <v/>
      </c>
      <c r="Q467" s="3" t="str">
        <f>IF($A467="","",IF(countif('Mens Lineup'!Q$3:Q1000,CONCATENATE("=",$A467))=0,"",Q$2))</f>
        <v/>
      </c>
      <c r="R467" s="3" t="str">
        <f>IF($A467="","",IF(countif('Mens Lineup'!R$3:R1000,CONCATENATE("=",$A467))=0,"",R$2))</f>
        <v/>
      </c>
      <c r="S467" s="3" t="str">
        <f>IF($A467="","",IF(countif('Mens Lineup'!S$3:S1000,CONCATENATE("=",$A467))=0,"",S$2))</f>
        <v/>
      </c>
      <c r="W467" s="3" t="str">
        <f>IFERROR(__xludf.DUMMYFUNCTION("JOIN("","",FILTER(B467:S467,B467:S467&lt;&gt;""""))"),"#N/A")</f>
        <v>#N/A</v>
      </c>
    </row>
    <row r="468">
      <c r="A468" s="3"/>
      <c r="B468" s="3" t="str">
        <f>IF($A468="","",IF(countif('Mens Lineup'!B$3:B1000,CONCATENATE("=",$A468))=0,"",B$2))</f>
        <v/>
      </c>
      <c r="C468" s="3" t="str">
        <f>IF($A468="","",IF(countif('Mens Lineup'!C$3:C1000,CONCATENATE("=",$A468))=0,"",C$2))</f>
        <v/>
      </c>
      <c r="D468" s="3" t="str">
        <f>IF($A468="","",IF(countif('Mens Lineup'!D$3:D1000,CONCATENATE("=",$A468))=0,"",D$2))</f>
        <v/>
      </c>
      <c r="E468" s="3" t="str">
        <f>IF($A468="","",IF(countif('Mens Lineup'!E$3:E1000,CONCATENATE("=",$A468))=0,"",E$2))</f>
        <v/>
      </c>
      <c r="F468" s="3" t="str">
        <f>IF($A468="","",IF(countif('Mens Lineup'!F$3:F1000,CONCATENATE("=",$A468))=0,"",F$2))</f>
        <v/>
      </c>
      <c r="G468" s="3" t="str">
        <f>IF($A468="","",IF(countif('Mens Lineup'!G$3:G1000,CONCATENATE("=",$A468))=0,"",G$2))</f>
        <v/>
      </c>
      <c r="H468" s="3" t="str">
        <f>IF($A468="","",IF(countif('Mens Lineup'!H$3:H1000,CONCATENATE("=",$A468))=0,"",H$2))</f>
        <v/>
      </c>
      <c r="I468" s="3" t="str">
        <f>IF($A468="","",IF(countif('Mens Lineup'!I$3:I1000,CONCATENATE("=",$A468))=0,"",I$2))</f>
        <v/>
      </c>
      <c r="J468" s="3" t="str">
        <f>IF($A468="","",IF(countif('Mens Lineup'!J$3:J1000,CONCATENATE("=",$A468))=0,"",J$2))</f>
        <v/>
      </c>
      <c r="K468" s="3" t="str">
        <f>IF($A468="","",IF(countif('Mens Lineup'!K$3:K1000,CONCATENATE("=",$A468))=0,"",K$2))</f>
        <v/>
      </c>
      <c r="L468" s="3" t="str">
        <f>IF($A468="","",IF(countif('Mens Lineup'!L$3:L1000,CONCATENATE("=",$A468))=0,"",L$2))</f>
        <v/>
      </c>
      <c r="M468" s="3" t="str">
        <f>IF($A468="","",IF(countif('Mens Lineup'!M$3:M1000,CONCATENATE("=",$A468))=0,"",M$2))</f>
        <v/>
      </c>
      <c r="N468" s="3" t="str">
        <f>IF($A468="","",IF(countif('Mens Lineup'!N$3:N1000,CONCATENATE("=",$A468))=0,"",N$2))</f>
        <v/>
      </c>
      <c r="O468" s="3" t="str">
        <f>IF($A468="","",IF(countif('Mens Lineup'!O$3:O1000,CONCATENATE("=",$A468))=0,"",O$2))</f>
        <v/>
      </c>
      <c r="P468" s="3" t="str">
        <f>IF($A468="","",IF(countif('Mens Lineup'!P$3:P1000,CONCATENATE("=",$A468))=0,"",P$2))</f>
        <v/>
      </c>
      <c r="Q468" s="3" t="str">
        <f>IF($A468="","",IF(countif('Mens Lineup'!Q$3:Q1000,CONCATENATE("=",$A468))=0,"",Q$2))</f>
        <v/>
      </c>
      <c r="R468" s="3" t="str">
        <f>IF($A468="","",IF(countif('Mens Lineup'!R$3:R1000,CONCATENATE("=",$A468))=0,"",R$2))</f>
        <v/>
      </c>
      <c r="S468" s="3" t="str">
        <f>IF($A468="","",IF(countif('Mens Lineup'!S$3:S1000,CONCATENATE("=",$A468))=0,"",S$2))</f>
        <v/>
      </c>
      <c r="W468" s="3" t="str">
        <f>IFERROR(__xludf.DUMMYFUNCTION("JOIN("","",FILTER(B468:S468,B468:S468&lt;&gt;""""))"),"#N/A")</f>
        <v>#N/A</v>
      </c>
    </row>
    <row r="469">
      <c r="A469" s="3"/>
      <c r="B469" s="3" t="str">
        <f>IF($A469="","",IF(countif('Mens Lineup'!B$3:B1000,CONCATENATE("=",$A469))=0,"",B$2))</f>
        <v/>
      </c>
      <c r="C469" s="3" t="str">
        <f>IF($A469="","",IF(countif('Mens Lineup'!C$3:C1000,CONCATENATE("=",$A469))=0,"",C$2))</f>
        <v/>
      </c>
      <c r="D469" s="3" t="str">
        <f>IF($A469="","",IF(countif('Mens Lineup'!D$3:D1000,CONCATENATE("=",$A469))=0,"",D$2))</f>
        <v/>
      </c>
      <c r="E469" s="3" t="str">
        <f>IF($A469="","",IF(countif('Mens Lineup'!E$3:E1000,CONCATENATE("=",$A469))=0,"",E$2))</f>
        <v/>
      </c>
      <c r="F469" s="3" t="str">
        <f>IF($A469="","",IF(countif('Mens Lineup'!F$3:F1000,CONCATENATE("=",$A469))=0,"",F$2))</f>
        <v/>
      </c>
      <c r="G469" s="3" t="str">
        <f>IF($A469="","",IF(countif('Mens Lineup'!G$3:G1000,CONCATENATE("=",$A469))=0,"",G$2))</f>
        <v/>
      </c>
      <c r="H469" s="3" t="str">
        <f>IF($A469="","",IF(countif('Mens Lineup'!H$3:H1000,CONCATENATE("=",$A469))=0,"",H$2))</f>
        <v/>
      </c>
      <c r="I469" s="3" t="str">
        <f>IF($A469="","",IF(countif('Mens Lineup'!I$3:I1000,CONCATENATE("=",$A469))=0,"",I$2))</f>
        <v/>
      </c>
      <c r="J469" s="3" t="str">
        <f>IF($A469="","",IF(countif('Mens Lineup'!J$3:J1000,CONCATENATE("=",$A469))=0,"",J$2))</f>
        <v/>
      </c>
      <c r="K469" s="3" t="str">
        <f>IF($A469="","",IF(countif('Mens Lineup'!K$3:K1000,CONCATENATE("=",$A469))=0,"",K$2))</f>
        <v/>
      </c>
      <c r="L469" s="3" t="str">
        <f>IF($A469="","",IF(countif('Mens Lineup'!L$3:L1000,CONCATENATE("=",$A469))=0,"",L$2))</f>
        <v/>
      </c>
      <c r="M469" s="3" t="str">
        <f>IF($A469="","",IF(countif('Mens Lineup'!M$3:M1000,CONCATENATE("=",$A469))=0,"",M$2))</f>
        <v/>
      </c>
      <c r="N469" s="3" t="str">
        <f>IF($A469="","",IF(countif('Mens Lineup'!N$3:N1000,CONCATENATE("=",$A469))=0,"",N$2))</f>
        <v/>
      </c>
      <c r="O469" s="3" t="str">
        <f>IF($A469="","",IF(countif('Mens Lineup'!O$3:O1000,CONCATENATE("=",$A469))=0,"",O$2))</f>
        <v/>
      </c>
      <c r="P469" s="3" t="str">
        <f>IF($A469="","",IF(countif('Mens Lineup'!P$3:P1000,CONCATENATE("=",$A469))=0,"",P$2))</f>
        <v/>
      </c>
      <c r="Q469" s="3" t="str">
        <f>IF($A469="","",IF(countif('Mens Lineup'!Q$3:Q1000,CONCATENATE("=",$A469))=0,"",Q$2))</f>
        <v/>
      </c>
      <c r="R469" s="3" t="str">
        <f>IF($A469="","",IF(countif('Mens Lineup'!R$3:R1000,CONCATENATE("=",$A469))=0,"",R$2))</f>
        <v/>
      </c>
      <c r="S469" s="3" t="str">
        <f>IF($A469="","",IF(countif('Mens Lineup'!S$3:S1000,CONCATENATE("=",$A469))=0,"",S$2))</f>
        <v/>
      </c>
      <c r="W469" s="3" t="str">
        <f>IFERROR(__xludf.DUMMYFUNCTION("JOIN("","",FILTER(B469:S469,B469:S469&lt;&gt;""""))"),"#N/A")</f>
        <v>#N/A</v>
      </c>
    </row>
    <row r="470">
      <c r="A470" s="3"/>
      <c r="B470" s="3" t="str">
        <f>IF($A470="","",IF(countif('Mens Lineup'!B$3:B1000,CONCATENATE("=",$A470))=0,"",B$2))</f>
        <v/>
      </c>
      <c r="C470" s="3" t="str">
        <f>IF($A470="","",IF(countif('Mens Lineup'!C$3:C1000,CONCATENATE("=",$A470))=0,"",C$2))</f>
        <v/>
      </c>
      <c r="D470" s="3" t="str">
        <f>IF($A470="","",IF(countif('Mens Lineup'!D$3:D1000,CONCATENATE("=",$A470))=0,"",D$2))</f>
        <v/>
      </c>
      <c r="E470" s="3" t="str">
        <f>IF($A470="","",IF(countif('Mens Lineup'!E$3:E1000,CONCATENATE("=",$A470))=0,"",E$2))</f>
        <v/>
      </c>
      <c r="F470" s="3" t="str">
        <f>IF($A470="","",IF(countif('Mens Lineup'!F$3:F1000,CONCATENATE("=",$A470))=0,"",F$2))</f>
        <v/>
      </c>
      <c r="G470" s="3" t="str">
        <f>IF($A470="","",IF(countif('Mens Lineup'!G$3:G1000,CONCATENATE("=",$A470))=0,"",G$2))</f>
        <v/>
      </c>
      <c r="H470" s="3" t="str">
        <f>IF($A470="","",IF(countif('Mens Lineup'!H$3:H1000,CONCATENATE("=",$A470))=0,"",H$2))</f>
        <v/>
      </c>
      <c r="I470" s="3" t="str">
        <f>IF($A470="","",IF(countif('Mens Lineup'!I$3:I1000,CONCATENATE("=",$A470))=0,"",I$2))</f>
        <v/>
      </c>
      <c r="J470" s="3" t="str">
        <f>IF($A470="","",IF(countif('Mens Lineup'!J$3:J1000,CONCATENATE("=",$A470))=0,"",J$2))</f>
        <v/>
      </c>
      <c r="K470" s="3" t="str">
        <f>IF($A470="","",IF(countif('Mens Lineup'!K$3:K1000,CONCATENATE("=",$A470))=0,"",K$2))</f>
        <v/>
      </c>
      <c r="L470" s="3" t="str">
        <f>IF($A470="","",IF(countif('Mens Lineup'!L$3:L1000,CONCATENATE("=",$A470))=0,"",L$2))</f>
        <v/>
      </c>
      <c r="M470" s="3" t="str">
        <f>IF($A470="","",IF(countif('Mens Lineup'!M$3:M1000,CONCATENATE("=",$A470))=0,"",M$2))</f>
        <v/>
      </c>
      <c r="N470" s="3" t="str">
        <f>IF($A470="","",IF(countif('Mens Lineup'!N$3:N1000,CONCATENATE("=",$A470))=0,"",N$2))</f>
        <v/>
      </c>
      <c r="O470" s="3" t="str">
        <f>IF($A470="","",IF(countif('Mens Lineup'!O$3:O1000,CONCATENATE("=",$A470))=0,"",O$2))</f>
        <v/>
      </c>
      <c r="P470" s="3" t="str">
        <f>IF($A470="","",IF(countif('Mens Lineup'!P$3:P1000,CONCATENATE("=",$A470))=0,"",P$2))</f>
        <v/>
      </c>
      <c r="Q470" s="3" t="str">
        <f>IF($A470="","",IF(countif('Mens Lineup'!Q$3:Q1000,CONCATENATE("=",$A470))=0,"",Q$2))</f>
        <v/>
      </c>
      <c r="R470" s="3" t="str">
        <f>IF($A470="","",IF(countif('Mens Lineup'!R$3:R1000,CONCATENATE("=",$A470))=0,"",R$2))</f>
        <v/>
      </c>
      <c r="S470" s="3" t="str">
        <f>IF($A470="","",IF(countif('Mens Lineup'!S$3:S1000,CONCATENATE("=",$A470))=0,"",S$2))</f>
        <v/>
      </c>
      <c r="W470" s="3" t="str">
        <f>IFERROR(__xludf.DUMMYFUNCTION("JOIN("","",FILTER(B470:S470,B470:S470&lt;&gt;""""))"),"#N/A")</f>
        <v>#N/A</v>
      </c>
    </row>
    <row r="471">
      <c r="A471" s="3"/>
      <c r="B471" s="3" t="str">
        <f>IF($A471="","",IF(countif('Mens Lineup'!B$3:B1000,CONCATENATE("=",$A471))=0,"",B$2))</f>
        <v/>
      </c>
      <c r="C471" s="3" t="str">
        <f>IF($A471="","",IF(countif('Mens Lineup'!C$3:C1000,CONCATENATE("=",$A471))=0,"",C$2))</f>
        <v/>
      </c>
      <c r="D471" s="3" t="str">
        <f>IF($A471="","",IF(countif('Mens Lineup'!D$3:D1000,CONCATENATE("=",$A471))=0,"",D$2))</f>
        <v/>
      </c>
      <c r="E471" s="3" t="str">
        <f>IF($A471="","",IF(countif('Mens Lineup'!E$3:E1000,CONCATENATE("=",$A471))=0,"",E$2))</f>
        <v/>
      </c>
      <c r="F471" s="3" t="str">
        <f>IF($A471="","",IF(countif('Mens Lineup'!F$3:F1000,CONCATENATE("=",$A471))=0,"",F$2))</f>
        <v/>
      </c>
      <c r="G471" s="3" t="str">
        <f>IF($A471="","",IF(countif('Mens Lineup'!G$3:G1000,CONCATENATE("=",$A471))=0,"",G$2))</f>
        <v/>
      </c>
      <c r="H471" s="3" t="str">
        <f>IF($A471="","",IF(countif('Mens Lineup'!H$3:H1000,CONCATENATE("=",$A471))=0,"",H$2))</f>
        <v/>
      </c>
      <c r="I471" s="3" t="str">
        <f>IF($A471="","",IF(countif('Mens Lineup'!I$3:I1000,CONCATENATE("=",$A471))=0,"",I$2))</f>
        <v/>
      </c>
      <c r="J471" s="3" t="str">
        <f>IF($A471="","",IF(countif('Mens Lineup'!J$3:J1000,CONCATENATE("=",$A471))=0,"",J$2))</f>
        <v/>
      </c>
      <c r="K471" s="3" t="str">
        <f>IF($A471="","",IF(countif('Mens Lineup'!K$3:K1000,CONCATENATE("=",$A471))=0,"",K$2))</f>
        <v/>
      </c>
      <c r="L471" s="3" t="str">
        <f>IF($A471="","",IF(countif('Mens Lineup'!L$3:L1000,CONCATENATE("=",$A471))=0,"",L$2))</f>
        <v/>
      </c>
      <c r="M471" s="3" t="str">
        <f>IF($A471="","",IF(countif('Mens Lineup'!M$3:M1000,CONCATENATE("=",$A471))=0,"",M$2))</f>
        <v/>
      </c>
      <c r="N471" s="3" t="str">
        <f>IF($A471="","",IF(countif('Mens Lineup'!N$3:N1000,CONCATENATE("=",$A471))=0,"",N$2))</f>
        <v/>
      </c>
      <c r="O471" s="3" t="str">
        <f>IF($A471="","",IF(countif('Mens Lineup'!O$3:O1000,CONCATENATE("=",$A471))=0,"",O$2))</f>
        <v/>
      </c>
      <c r="P471" s="3" t="str">
        <f>IF($A471="","",IF(countif('Mens Lineup'!P$3:P1000,CONCATENATE("=",$A471))=0,"",P$2))</f>
        <v/>
      </c>
      <c r="Q471" s="3" t="str">
        <f>IF($A471="","",IF(countif('Mens Lineup'!Q$3:Q1000,CONCATENATE("=",$A471))=0,"",Q$2))</f>
        <v/>
      </c>
      <c r="R471" s="3" t="str">
        <f>IF($A471="","",IF(countif('Mens Lineup'!R$3:R1000,CONCATENATE("=",$A471))=0,"",R$2))</f>
        <v/>
      </c>
      <c r="S471" s="3" t="str">
        <f>IF($A471="","",IF(countif('Mens Lineup'!S$3:S1000,CONCATENATE("=",$A471))=0,"",S$2))</f>
        <v/>
      </c>
      <c r="W471" s="3" t="str">
        <f>IFERROR(__xludf.DUMMYFUNCTION("JOIN("","",FILTER(B471:S471,B471:S471&lt;&gt;""""))"),"#N/A")</f>
        <v>#N/A</v>
      </c>
    </row>
    <row r="472">
      <c r="A472" s="3"/>
      <c r="B472" s="3" t="str">
        <f>IF($A472="","",IF(countif('Mens Lineup'!B$3:B1000,CONCATENATE("=",$A472))=0,"",B$2))</f>
        <v/>
      </c>
      <c r="C472" s="3" t="str">
        <f>IF($A472="","",IF(countif('Mens Lineup'!C$3:C1000,CONCATENATE("=",$A472))=0,"",C$2))</f>
        <v/>
      </c>
      <c r="D472" s="3" t="str">
        <f>IF($A472="","",IF(countif('Mens Lineup'!D$3:D1000,CONCATENATE("=",$A472))=0,"",D$2))</f>
        <v/>
      </c>
      <c r="E472" s="3" t="str">
        <f>IF($A472="","",IF(countif('Mens Lineup'!E$3:E1000,CONCATENATE("=",$A472))=0,"",E$2))</f>
        <v/>
      </c>
      <c r="F472" s="3" t="str">
        <f>IF($A472="","",IF(countif('Mens Lineup'!F$3:F1000,CONCATENATE("=",$A472))=0,"",F$2))</f>
        <v/>
      </c>
      <c r="G472" s="3" t="str">
        <f>IF($A472="","",IF(countif('Mens Lineup'!G$3:G1000,CONCATENATE("=",$A472))=0,"",G$2))</f>
        <v/>
      </c>
      <c r="H472" s="3" t="str">
        <f>IF($A472="","",IF(countif('Mens Lineup'!H$3:H1000,CONCATENATE("=",$A472))=0,"",H$2))</f>
        <v/>
      </c>
      <c r="I472" s="3" t="str">
        <f>IF($A472="","",IF(countif('Mens Lineup'!I$3:I1000,CONCATENATE("=",$A472))=0,"",I$2))</f>
        <v/>
      </c>
      <c r="J472" s="3" t="str">
        <f>IF($A472="","",IF(countif('Mens Lineup'!J$3:J1000,CONCATENATE("=",$A472))=0,"",J$2))</f>
        <v/>
      </c>
      <c r="K472" s="3" t="str">
        <f>IF($A472="","",IF(countif('Mens Lineup'!K$3:K1000,CONCATENATE("=",$A472))=0,"",K$2))</f>
        <v/>
      </c>
      <c r="L472" s="3" t="str">
        <f>IF($A472="","",IF(countif('Mens Lineup'!L$3:L1000,CONCATENATE("=",$A472))=0,"",L$2))</f>
        <v/>
      </c>
      <c r="M472" s="3" t="str">
        <f>IF($A472="","",IF(countif('Mens Lineup'!M$3:M1000,CONCATENATE("=",$A472))=0,"",M$2))</f>
        <v/>
      </c>
      <c r="N472" s="3" t="str">
        <f>IF($A472="","",IF(countif('Mens Lineup'!N$3:N1000,CONCATENATE("=",$A472))=0,"",N$2))</f>
        <v/>
      </c>
      <c r="O472" s="3" t="str">
        <f>IF($A472="","",IF(countif('Mens Lineup'!O$3:O1000,CONCATENATE("=",$A472))=0,"",O$2))</f>
        <v/>
      </c>
      <c r="P472" s="3" t="str">
        <f>IF($A472="","",IF(countif('Mens Lineup'!P$3:P1000,CONCATENATE("=",$A472))=0,"",P$2))</f>
        <v/>
      </c>
      <c r="Q472" s="3" t="str">
        <f>IF($A472="","",IF(countif('Mens Lineup'!Q$3:Q1000,CONCATENATE("=",$A472))=0,"",Q$2))</f>
        <v/>
      </c>
      <c r="R472" s="3" t="str">
        <f>IF($A472="","",IF(countif('Mens Lineup'!R$3:R1000,CONCATENATE("=",$A472))=0,"",R$2))</f>
        <v/>
      </c>
      <c r="S472" s="3" t="str">
        <f>IF($A472="","",IF(countif('Mens Lineup'!S$3:S1000,CONCATENATE("=",$A472))=0,"",S$2))</f>
        <v/>
      </c>
      <c r="W472" s="3" t="str">
        <f>IFERROR(__xludf.DUMMYFUNCTION("JOIN("","",FILTER(B472:S472,B472:S472&lt;&gt;""""))"),"#N/A")</f>
        <v>#N/A</v>
      </c>
    </row>
    <row r="473">
      <c r="A473" s="3"/>
      <c r="B473" s="3" t="str">
        <f>IF($A473="","",IF(countif('Mens Lineup'!B$3:B1000,CONCATENATE("=",$A473))=0,"",B$2))</f>
        <v/>
      </c>
      <c r="C473" s="3" t="str">
        <f>IF($A473="","",IF(countif('Mens Lineup'!C$3:C1000,CONCATENATE("=",$A473))=0,"",C$2))</f>
        <v/>
      </c>
      <c r="D473" s="3" t="str">
        <f>IF($A473="","",IF(countif('Mens Lineup'!D$3:D1000,CONCATENATE("=",$A473))=0,"",D$2))</f>
        <v/>
      </c>
      <c r="E473" s="3" t="str">
        <f>IF($A473="","",IF(countif('Mens Lineup'!E$3:E1000,CONCATENATE("=",$A473))=0,"",E$2))</f>
        <v/>
      </c>
      <c r="F473" s="3" t="str">
        <f>IF($A473="","",IF(countif('Mens Lineup'!F$3:F1000,CONCATENATE("=",$A473))=0,"",F$2))</f>
        <v/>
      </c>
      <c r="G473" s="3" t="str">
        <f>IF($A473="","",IF(countif('Mens Lineup'!G$3:G1000,CONCATENATE("=",$A473))=0,"",G$2))</f>
        <v/>
      </c>
      <c r="H473" s="3" t="str">
        <f>IF($A473="","",IF(countif('Mens Lineup'!H$3:H1000,CONCATENATE("=",$A473))=0,"",H$2))</f>
        <v/>
      </c>
      <c r="I473" s="3" t="str">
        <f>IF($A473="","",IF(countif('Mens Lineup'!I$3:I1000,CONCATENATE("=",$A473))=0,"",I$2))</f>
        <v/>
      </c>
      <c r="J473" s="3" t="str">
        <f>IF($A473="","",IF(countif('Mens Lineup'!J$3:J1000,CONCATENATE("=",$A473))=0,"",J$2))</f>
        <v/>
      </c>
      <c r="K473" s="3" t="str">
        <f>IF($A473="","",IF(countif('Mens Lineup'!K$3:K1000,CONCATENATE("=",$A473))=0,"",K$2))</f>
        <v/>
      </c>
      <c r="L473" s="3" t="str">
        <f>IF($A473="","",IF(countif('Mens Lineup'!L$3:L1000,CONCATENATE("=",$A473))=0,"",L$2))</f>
        <v/>
      </c>
      <c r="M473" s="3" t="str">
        <f>IF($A473="","",IF(countif('Mens Lineup'!M$3:M1000,CONCATENATE("=",$A473))=0,"",M$2))</f>
        <v/>
      </c>
      <c r="N473" s="3" t="str">
        <f>IF($A473="","",IF(countif('Mens Lineup'!N$3:N1000,CONCATENATE("=",$A473))=0,"",N$2))</f>
        <v/>
      </c>
      <c r="O473" s="3" t="str">
        <f>IF($A473="","",IF(countif('Mens Lineup'!O$3:O1000,CONCATENATE("=",$A473))=0,"",O$2))</f>
        <v/>
      </c>
      <c r="P473" s="3" t="str">
        <f>IF($A473="","",IF(countif('Mens Lineup'!P$3:P1000,CONCATENATE("=",$A473))=0,"",P$2))</f>
        <v/>
      </c>
      <c r="Q473" s="3" t="str">
        <f>IF($A473="","",IF(countif('Mens Lineup'!Q$3:Q1000,CONCATENATE("=",$A473))=0,"",Q$2))</f>
        <v/>
      </c>
      <c r="R473" s="3" t="str">
        <f>IF($A473="","",IF(countif('Mens Lineup'!R$3:R1000,CONCATENATE("=",$A473))=0,"",R$2))</f>
        <v/>
      </c>
      <c r="S473" s="3" t="str">
        <f>IF($A473="","",IF(countif('Mens Lineup'!S$3:S1000,CONCATENATE("=",$A473))=0,"",S$2))</f>
        <v/>
      </c>
      <c r="W473" s="3" t="str">
        <f>IFERROR(__xludf.DUMMYFUNCTION("JOIN("","",FILTER(B473:S473,B473:S473&lt;&gt;""""))"),"#N/A")</f>
        <v>#N/A</v>
      </c>
    </row>
    <row r="474">
      <c r="A474" s="3"/>
      <c r="B474" s="3" t="str">
        <f>IF($A474="","",IF(countif('Mens Lineup'!B$3:B1000,CONCATENATE("=",$A474))=0,"",B$2))</f>
        <v/>
      </c>
      <c r="C474" s="3" t="str">
        <f>IF($A474="","",IF(countif('Mens Lineup'!C$3:C1000,CONCATENATE("=",$A474))=0,"",C$2))</f>
        <v/>
      </c>
      <c r="D474" s="3" t="str">
        <f>IF($A474="","",IF(countif('Mens Lineup'!D$3:D1000,CONCATENATE("=",$A474))=0,"",D$2))</f>
        <v/>
      </c>
      <c r="E474" s="3" t="str">
        <f>IF($A474="","",IF(countif('Mens Lineup'!E$3:E1000,CONCATENATE("=",$A474))=0,"",E$2))</f>
        <v/>
      </c>
      <c r="F474" s="3" t="str">
        <f>IF($A474="","",IF(countif('Mens Lineup'!F$3:F1000,CONCATENATE("=",$A474))=0,"",F$2))</f>
        <v/>
      </c>
      <c r="G474" s="3" t="str">
        <f>IF($A474="","",IF(countif('Mens Lineup'!G$3:G1000,CONCATENATE("=",$A474))=0,"",G$2))</f>
        <v/>
      </c>
      <c r="H474" s="3" t="str">
        <f>IF($A474="","",IF(countif('Mens Lineup'!H$3:H1000,CONCATENATE("=",$A474))=0,"",H$2))</f>
        <v/>
      </c>
      <c r="I474" s="3" t="str">
        <f>IF($A474="","",IF(countif('Mens Lineup'!I$3:I1000,CONCATENATE("=",$A474))=0,"",I$2))</f>
        <v/>
      </c>
      <c r="J474" s="3" t="str">
        <f>IF($A474="","",IF(countif('Mens Lineup'!J$3:J1000,CONCATENATE("=",$A474))=0,"",J$2))</f>
        <v/>
      </c>
      <c r="K474" s="3" t="str">
        <f>IF($A474="","",IF(countif('Mens Lineup'!K$3:K1000,CONCATENATE("=",$A474))=0,"",K$2))</f>
        <v/>
      </c>
      <c r="L474" s="3" t="str">
        <f>IF($A474="","",IF(countif('Mens Lineup'!L$3:L1000,CONCATENATE("=",$A474))=0,"",L$2))</f>
        <v/>
      </c>
      <c r="M474" s="3" t="str">
        <f>IF($A474="","",IF(countif('Mens Lineup'!M$3:M1000,CONCATENATE("=",$A474))=0,"",M$2))</f>
        <v/>
      </c>
      <c r="N474" s="3" t="str">
        <f>IF($A474="","",IF(countif('Mens Lineup'!N$3:N1000,CONCATENATE("=",$A474))=0,"",N$2))</f>
        <v/>
      </c>
      <c r="O474" s="3" t="str">
        <f>IF($A474="","",IF(countif('Mens Lineup'!O$3:O1000,CONCATENATE("=",$A474))=0,"",O$2))</f>
        <v/>
      </c>
      <c r="P474" s="3" t="str">
        <f>IF($A474="","",IF(countif('Mens Lineup'!P$3:P1000,CONCATENATE("=",$A474))=0,"",P$2))</f>
        <v/>
      </c>
      <c r="Q474" s="3" t="str">
        <f>IF($A474="","",IF(countif('Mens Lineup'!Q$3:Q1000,CONCATENATE("=",$A474))=0,"",Q$2))</f>
        <v/>
      </c>
      <c r="R474" s="3" t="str">
        <f>IF($A474="","",IF(countif('Mens Lineup'!R$3:R1000,CONCATENATE("=",$A474))=0,"",R$2))</f>
        <v/>
      </c>
      <c r="S474" s="3" t="str">
        <f>IF($A474="","",IF(countif('Mens Lineup'!S$3:S1000,CONCATENATE("=",$A474))=0,"",S$2))</f>
        <v/>
      </c>
      <c r="W474" s="3" t="str">
        <f>IFERROR(__xludf.DUMMYFUNCTION("JOIN("","",FILTER(B474:S474,B474:S474&lt;&gt;""""))"),"#N/A")</f>
        <v>#N/A</v>
      </c>
    </row>
    <row r="475">
      <c r="A475" s="3"/>
      <c r="B475" s="3" t="str">
        <f>IF($A475="","",IF(countif('Mens Lineup'!B$3:B1000,CONCATENATE("=",$A475))=0,"",B$2))</f>
        <v/>
      </c>
      <c r="C475" s="3" t="str">
        <f>IF($A475="","",IF(countif('Mens Lineup'!C$3:C1000,CONCATENATE("=",$A475))=0,"",C$2))</f>
        <v/>
      </c>
      <c r="D475" s="3" t="str">
        <f>IF($A475="","",IF(countif('Mens Lineup'!D$3:D1000,CONCATENATE("=",$A475))=0,"",D$2))</f>
        <v/>
      </c>
      <c r="E475" s="3" t="str">
        <f>IF($A475="","",IF(countif('Mens Lineup'!E$3:E1000,CONCATENATE("=",$A475))=0,"",E$2))</f>
        <v/>
      </c>
      <c r="F475" s="3" t="str">
        <f>IF($A475="","",IF(countif('Mens Lineup'!F$3:F1000,CONCATENATE("=",$A475))=0,"",F$2))</f>
        <v/>
      </c>
      <c r="G475" s="3" t="str">
        <f>IF($A475="","",IF(countif('Mens Lineup'!G$3:G1000,CONCATENATE("=",$A475))=0,"",G$2))</f>
        <v/>
      </c>
      <c r="H475" s="3" t="str">
        <f>IF($A475="","",IF(countif('Mens Lineup'!H$3:H1000,CONCATENATE("=",$A475))=0,"",H$2))</f>
        <v/>
      </c>
      <c r="I475" s="3" t="str">
        <f>IF($A475="","",IF(countif('Mens Lineup'!I$3:I1000,CONCATENATE("=",$A475))=0,"",I$2))</f>
        <v/>
      </c>
      <c r="J475" s="3" t="str">
        <f>IF($A475="","",IF(countif('Mens Lineup'!J$3:J1000,CONCATENATE("=",$A475))=0,"",J$2))</f>
        <v/>
      </c>
      <c r="K475" s="3" t="str">
        <f>IF($A475="","",IF(countif('Mens Lineup'!K$3:K1000,CONCATENATE("=",$A475))=0,"",K$2))</f>
        <v/>
      </c>
      <c r="L475" s="3" t="str">
        <f>IF($A475="","",IF(countif('Mens Lineup'!L$3:L1000,CONCATENATE("=",$A475))=0,"",L$2))</f>
        <v/>
      </c>
      <c r="M475" s="3" t="str">
        <f>IF($A475="","",IF(countif('Mens Lineup'!M$3:M1000,CONCATENATE("=",$A475))=0,"",M$2))</f>
        <v/>
      </c>
      <c r="N475" s="3" t="str">
        <f>IF($A475="","",IF(countif('Mens Lineup'!N$3:N1000,CONCATENATE("=",$A475))=0,"",N$2))</f>
        <v/>
      </c>
      <c r="O475" s="3" t="str">
        <f>IF($A475="","",IF(countif('Mens Lineup'!O$3:O1000,CONCATENATE("=",$A475))=0,"",O$2))</f>
        <v/>
      </c>
      <c r="P475" s="3" t="str">
        <f>IF($A475="","",IF(countif('Mens Lineup'!P$3:P1000,CONCATENATE("=",$A475))=0,"",P$2))</f>
        <v/>
      </c>
      <c r="Q475" s="3" t="str">
        <f>IF($A475="","",IF(countif('Mens Lineup'!Q$3:Q1000,CONCATENATE("=",$A475))=0,"",Q$2))</f>
        <v/>
      </c>
      <c r="R475" s="3" t="str">
        <f>IF($A475="","",IF(countif('Mens Lineup'!R$3:R1000,CONCATENATE("=",$A475))=0,"",R$2))</f>
        <v/>
      </c>
      <c r="S475" s="3" t="str">
        <f>IF($A475="","",IF(countif('Mens Lineup'!S$3:S1000,CONCATENATE("=",$A475))=0,"",S$2))</f>
        <v/>
      </c>
      <c r="W475" s="3" t="str">
        <f>IFERROR(__xludf.DUMMYFUNCTION("JOIN("","",FILTER(B475:S475,B475:S475&lt;&gt;""""))"),"#N/A")</f>
        <v>#N/A</v>
      </c>
    </row>
    <row r="476">
      <c r="A476" s="3"/>
      <c r="B476" s="3" t="str">
        <f>IF($A476="","",IF(countif('Mens Lineup'!B$3:B1000,CONCATENATE("=",$A476))=0,"",B$2))</f>
        <v/>
      </c>
      <c r="C476" s="3" t="str">
        <f>IF($A476="","",IF(countif('Mens Lineup'!C$3:C1000,CONCATENATE("=",$A476))=0,"",C$2))</f>
        <v/>
      </c>
      <c r="D476" s="3" t="str">
        <f>IF($A476="","",IF(countif('Mens Lineup'!D$3:D1000,CONCATENATE("=",$A476))=0,"",D$2))</f>
        <v/>
      </c>
      <c r="E476" s="3" t="str">
        <f>IF($A476="","",IF(countif('Mens Lineup'!E$3:E1000,CONCATENATE("=",$A476))=0,"",E$2))</f>
        <v/>
      </c>
      <c r="F476" s="3" t="str">
        <f>IF($A476="","",IF(countif('Mens Lineup'!F$3:F1000,CONCATENATE("=",$A476))=0,"",F$2))</f>
        <v/>
      </c>
      <c r="G476" s="3" t="str">
        <f>IF($A476="","",IF(countif('Mens Lineup'!G$3:G1000,CONCATENATE("=",$A476))=0,"",G$2))</f>
        <v/>
      </c>
      <c r="H476" s="3" t="str">
        <f>IF($A476="","",IF(countif('Mens Lineup'!H$3:H1000,CONCATENATE("=",$A476))=0,"",H$2))</f>
        <v/>
      </c>
      <c r="I476" s="3" t="str">
        <f>IF($A476="","",IF(countif('Mens Lineup'!I$3:I1000,CONCATENATE("=",$A476))=0,"",I$2))</f>
        <v/>
      </c>
      <c r="J476" s="3" t="str">
        <f>IF($A476="","",IF(countif('Mens Lineup'!J$3:J1000,CONCATENATE("=",$A476))=0,"",J$2))</f>
        <v/>
      </c>
      <c r="K476" s="3" t="str">
        <f>IF($A476="","",IF(countif('Mens Lineup'!K$3:K1000,CONCATENATE("=",$A476))=0,"",K$2))</f>
        <v/>
      </c>
      <c r="L476" s="3" t="str">
        <f>IF($A476="","",IF(countif('Mens Lineup'!L$3:L1000,CONCATENATE("=",$A476))=0,"",L$2))</f>
        <v/>
      </c>
      <c r="M476" s="3" t="str">
        <f>IF($A476="","",IF(countif('Mens Lineup'!M$3:M1000,CONCATENATE("=",$A476))=0,"",M$2))</f>
        <v/>
      </c>
      <c r="N476" s="3" t="str">
        <f>IF($A476="","",IF(countif('Mens Lineup'!N$3:N1000,CONCATENATE("=",$A476))=0,"",N$2))</f>
        <v/>
      </c>
      <c r="O476" s="3" t="str">
        <f>IF($A476="","",IF(countif('Mens Lineup'!O$3:O1000,CONCATENATE("=",$A476))=0,"",O$2))</f>
        <v/>
      </c>
      <c r="P476" s="3" t="str">
        <f>IF($A476="","",IF(countif('Mens Lineup'!P$3:P1000,CONCATENATE("=",$A476))=0,"",P$2))</f>
        <v/>
      </c>
      <c r="Q476" s="3" t="str">
        <f>IF($A476="","",IF(countif('Mens Lineup'!Q$3:Q1000,CONCATENATE("=",$A476))=0,"",Q$2))</f>
        <v/>
      </c>
      <c r="R476" s="3" t="str">
        <f>IF($A476="","",IF(countif('Mens Lineup'!R$3:R1000,CONCATENATE("=",$A476))=0,"",R$2))</f>
        <v/>
      </c>
      <c r="S476" s="3" t="str">
        <f>IF($A476="","",IF(countif('Mens Lineup'!S$3:S1000,CONCATENATE("=",$A476))=0,"",S$2))</f>
        <v/>
      </c>
      <c r="W476" s="3" t="str">
        <f>IFERROR(__xludf.DUMMYFUNCTION("JOIN("","",FILTER(B476:S476,B476:S476&lt;&gt;""""))"),"#N/A")</f>
        <v>#N/A</v>
      </c>
    </row>
    <row r="477">
      <c r="A477" s="3"/>
      <c r="B477" s="3" t="str">
        <f>IF($A477="","",IF(countif('Mens Lineup'!B$3:B1000,CONCATENATE("=",$A477))=0,"",B$2))</f>
        <v/>
      </c>
      <c r="C477" s="3" t="str">
        <f>IF($A477="","",IF(countif('Mens Lineup'!C$3:C1000,CONCATENATE("=",$A477))=0,"",C$2))</f>
        <v/>
      </c>
      <c r="D477" s="3" t="str">
        <f>IF($A477="","",IF(countif('Mens Lineup'!D$3:D1000,CONCATENATE("=",$A477))=0,"",D$2))</f>
        <v/>
      </c>
      <c r="E477" s="3" t="str">
        <f>IF($A477="","",IF(countif('Mens Lineup'!E$3:E1000,CONCATENATE("=",$A477))=0,"",E$2))</f>
        <v/>
      </c>
      <c r="F477" s="3" t="str">
        <f>IF($A477="","",IF(countif('Mens Lineup'!F$3:F1000,CONCATENATE("=",$A477))=0,"",F$2))</f>
        <v/>
      </c>
      <c r="G477" s="3" t="str">
        <f>IF($A477="","",IF(countif('Mens Lineup'!G$3:G1000,CONCATENATE("=",$A477))=0,"",G$2))</f>
        <v/>
      </c>
      <c r="H477" s="3" t="str">
        <f>IF($A477="","",IF(countif('Mens Lineup'!H$3:H1000,CONCATENATE("=",$A477))=0,"",H$2))</f>
        <v/>
      </c>
      <c r="I477" s="3" t="str">
        <f>IF($A477="","",IF(countif('Mens Lineup'!I$3:I1000,CONCATENATE("=",$A477))=0,"",I$2))</f>
        <v/>
      </c>
      <c r="J477" s="3" t="str">
        <f>IF($A477="","",IF(countif('Mens Lineup'!J$3:J1000,CONCATENATE("=",$A477))=0,"",J$2))</f>
        <v/>
      </c>
      <c r="K477" s="3" t="str">
        <f>IF($A477="","",IF(countif('Mens Lineup'!K$3:K1000,CONCATENATE("=",$A477))=0,"",K$2))</f>
        <v/>
      </c>
      <c r="L477" s="3" t="str">
        <f>IF($A477="","",IF(countif('Mens Lineup'!L$3:L1000,CONCATENATE("=",$A477))=0,"",L$2))</f>
        <v/>
      </c>
      <c r="M477" s="3" t="str">
        <f>IF($A477="","",IF(countif('Mens Lineup'!M$3:M1000,CONCATENATE("=",$A477))=0,"",M$2))</f>
        <v/>
      </c>
      <c r="N477" s="3" t="str">
        <f>IF($A477="","",IF(countif('Mens Lineup'!N$3:N1000,CONCATENATE("=",$A477))=0,"",N$2))</f>
        <v/>
      </c>
      <c r="O477" s="3" t="str">
        <f>IF($A477="","",IF(countif('Mens Lineup'!O$3:O1000,CONCATENATE("=",$A477))=0,"",O$2))</f>
        <v/>
      </c>
      <c r="P477" s="3" t="str">
        <f>IF($A477="","",IF(countif('Mens Lineup'!P$3:P1000,CONCATENATE("=",$A477))=0,"",P$2))</f>
        <v/>
      </c>
      <c r="Q477" s="3" t="str">
        <f>IF($A477="","",IF(countif('Mens Lineup'!Q$3:Q1000,CONCATENATE("=",$A477))=0,"",Q$2))</f>
        <v/>
      </c>
      <c r="R477" s="3" t="str">
        <f>IF($A477="","",IF(countif('Mens Lineup'!R$3:R1000,CONCATENATE("=",$A477))=0,"",R$2))</f>
        <v/>
      </c>
      <c r="S477" s="3" t="str">
        <f>IF($A477="","",IF(countif('Mens Lineup'!S$3:S1000,CONCATENATE("=",$A477))=0,"",S$2))</f>
        <v/>
      </c>
      <c r="W477" s="3" t="str">
        <f>IFERROR(__xludf.DUMMYFUNCTION("JOIN("","",FILTER(B477:S477,B477:S477&lt;&gt;""""))"),"#N/A")</f>
        <v>#N/A</v>
      </c>
    </row>
    <row r="478">
      <c r="A478" s="3"/>
      <c r="B478" s="3" t="str">
        <f>IF($A478="","",IF(countif('Mens Lineup'!B$3:B1000,CONCATENATE("=",$A478))=0,"",B$2))</f>
        <v/>
      </c>
      <c r="C478" s="3" t="str">
        <f>IF($A478="","",IF(countif('Mens Lineup'!C$3:C1000,CONCATENATE("=",$A478))=0,"",C$2))</f>
        <v/>
      </c>
      <c r="D478" s="3" t="str">
        <f>IF($A478="","",IF(countif('Mens Lineup'!D$3:D1000,CONCATENATE("=",$A478))=0,"",D$2))</f>
        <v/>
      </c>
      <c r="E478" s="3" t="str">
        <f>IF($A478="","",IF(countif('Mens Lineup'!E$3:E1000,CONCATENATE("=",$A478))=0,"",E$2))</f>
        <v/>
      </c>
      <c r="F478" s="3" t="str">
        <f>IF($A478="","",IF(countif('Mens Lineup'!F$3:F1000,CONCATENATE("=",$A478))=0,"",F$2))</f>
        <v/>
      </c>
      <c r="G478" s="3" t="str">
        <f>IF($A478="","",IF(countif('Mens Lineup'!G$3:G1000,CONCATENATE("=",$A478))=0,"",G$2))</f>
        <v/>
      </c>
      <c r="H478" s="3" t="str">
        <f>IF($A478="","",IF(countif('Mens Lineup'!H$3:H1000,CONCATENATE("=",$A478))=0,"",H$2))</f>
        <v/>
      </c>
      <c r="I478" s="3" t="str">
        <f>IF($A478="","",IF(countif('Mens Lineup'!I$3:I1000,CONCATENATE("=",$A478))=0,"",I$2))</f>
        <v/>
      </c>
      <c r="J478" s="3" t="str">
        <f>IF($A478="","",IF(countif('Mens Lineup'!J$3:J1000,CONCATENATE("=",$A478))=0,"",J$2))</f>
        <v/>
      </c>
      <c r="K478" s="3" t="str">
        <f>IF($A478="","",IF(countif('Mens Lineup'!K$3:K1000,CONCATENATE("=",$A478))=0,"",K$2))</f>
        <v/>
      </c>
      <c r="L478" s="3" t="str">
        <f>IF($A478="","",IF(countif('Mens Lineup'!L$3:L1000,CONCATENATE("=",$A478))=0,"",L$2))</f>
        <v/>
      </c>
      <c r="M478" s="3" t="str">
        <f>IF($A478="","",IF(countif('Mens Lineup'!M$3:M1000,CONCATENATE("=",$A478))=0,"",M$2))</f>
        <v/>
      </c>
      <c r="N478" s="3" t="str">
        <f>IF($A478="","",IF(countif('Mens Lineup'!N$3:N1000,CONCATENATE("=",$A478))=0,"",N$2))</f>
        <v/>
      </c>
      <c r="O478" s="3" t="str">
        <f>IF($A478="","",IF(countif('Mens Lineup'!O$3:O1000,CONCATENATE("=",$A478))=0,"",O$2))</f>
        <v/>
      </c>
      <c r="P478" s="3" t="str">
        <f>IF($A478="","",IF(countif('Mens Lineup'!P$3:P1000,CONCATENATE("=",$A478))=0,"",P$2))</f>
        <v/>
      </c>
      <c r="Q478" s="3" t="str">
        <f>IF($A478="","",IF(countif('Mens Lineup'!Q$3:Q1000,CONCATENATE("=",$A478))=0,"",Q$2))</f>
        <v/>
      </c>
      <c r="R478" s="3" t="str">
        <f>IF($A478="","",IF(countif('Mens Lineup'!R$3:R1000,CONCATENATE("=",$A478))=0,"",R$2))</f>
        <v/>
      </c>
      <c r="S478" s="3" t="str">
        <f>IF($A478="","",IF(countif('Mens Lineup'!S$3:S1000,CONCATENATE("=",$A478))=0,"",S$2))</f>
        <v/>
      </c>
      <c r="W478" s="3" t="str">
        <f>IFERROR(__xludf.DUMMYFUNCTION("JOIN("","",FILTER(B478:S478,B478:S478&lt;&gt;""""))"),"#N/A")</f>
        <v>#N/A</v>
      </c>
    </row>
    <row r="479">
      <c r="A479" s="3"/>
      <c r="B479" s="3" t="str">
        <f>IF($A479="","",IF(countif('Mens Lineup'!B$3:B1000,CONCATENATE("=",$A479))=0,"",B$2))</f>
        <v/>
      </c>
      <c r="C479" s="3" t="str">
        <f>IF($A479="","",IF(countif('Mens Lineup'!C$3:C1000,CONCATENATE("=",$A479))=0,"",C$2))</f>
        <v/>
      </c>
      <c r="D479" s="3" t="str">
        <f>IF($A479="","",IF(countif('Mens Lineup'!D$3:D1000,CONCATENATE("=",$A479))=0,"",D$2))</f>
        <v/>
      </c>
      <c r="E479" s="3" t="str">
        <f>IF($A479="","",IF(countif('Mens Lineup'!E$3:E1000,CONCATENATE("=",$A479))=0,"",E$2))</f>
        <v/>
      </c>
      <c r="F479" s="3" t="str">
        <f>IF($A479="","",IF(countif('Mens Lineup'!F$3:F1000,CONCATENATE("=",$A479))=0,"",F$2))</f>
        <v/>
      </c>
      <c r="G479" s="3" t="str">
        <f>IF($A479="","",IF(countif('Mens Lineup'!G$3:G1000,CONCATENATE("=",$A479))=0,"",G$2))</f>
        <v/>
      </c>
      <c r="H479" s="3" t="str">
        <f>IF($A479="","",IF(countif('Mens Lineup'!H$3:H1000,CONCATENATE("=",$A479))=0,"",H$2))</f>
        <v/>
      </c>
      <c r="I479" s="3" t="str">
        <f>IF($A479="","",IF(countif('Mens Lineup'!I$3:I1000,CONCATENATE("=",$A479))=0,"",I$2))</f>
        <v/>
      </c>
      <c r="J479" s="3" t="str">
        <f>IF($A479="","",IF(countif('Mens Lineup'!J$3:J1000,CONCATENATE("=",$A479))=0,"",J$2))</f>
        <v/>
      </c>
      <c r="K479" s="3" t="str">
        <f>IF($A479="","",IF(countif('Mens Lineup'!K$3:K1000,CONCATENATE("=",$A479))=0,"",K$2))</f>
        <v/>
      </c>
      <c r="L479" s="3" t="str">
        <f>IF($A479="","",IF(countif('Mens Lineup'!L$3:L1000,CONCATENATE("=",$A479))=0,"",L$2))</f>
        <v/>
      </c>
      <c r="M479" s="3" t="str">
        <f>IF($A479="","",IF(countif('Mens Lineup'!M$3:M1000,CONCATENATE("=",$A479))=0,"",M$2))</f>
        <v/>
      </c>
      <c r="N479" s="3" t="str">
        <f>IF($A479="","",IF(countif('Mens Lineup'!N$3:N1000,CONCATENATE("=",$A479))=0,"",N$2))</f>
        <v/>
      </c>
      <c r="O479" s="3" t="str">
        <f>IF($A479="","",IF(countif('Mens Lineup'!O$3:O1000,CONCATENATE("=",$A479))=0,"",O$2))</f>
        <v/>
      </c>
      <c r="P479" s="3" t="str">
        <f>IF($A479="","",IF(countif('Mens Lineup'!P$3:P1000,CONCATENATE("=",$A479))=0,"",P$2))</f>
        <v/>
      </c>
      <c r="Q479" s="3" t="str">
        <f>IF($A479="","",IF(countif('Mens Lineup'!Q$3:Q1000,CONCATENATE("=",$A479))=0,"",Q$2))</f>
        <v/>
      </c>
      <c r="R479" s="3" t="str">
        <f>IF($A479="","",IF(countif('Mens Lineup'!R$3:R1000,CONCATENATE("=",$A479))=0,"",R$2))</f>
        <v/>
      </c>
      <c r="S479" s="3" t="str">
        <f>IF($A479="","",IF(countif('Mens Lineup'!S$3:S1000,CONCATENATE("=",$A479))=0,"",S$2))</f>
        <v/>
      </c>
      <c r="W479" s="3" t="str">
        <f>IFERROR(__xludf.DUMMYFUNCTION("JOIN("","",FILTER(B479:S479,B479:S479&lt;&gt;""""))"),"#N/A")</f>
        <v>#N/A</v>
      </c>
    </row>
    <row r="480">
      <c r="A480" s="3"/>
      <c r="B480" s="3" t="str">
        <f>IF($A480="","",IF(countif('Mens Lineup'!B$3:B1000,CONCATENATE("=",$A480))=0,"",B$2))</f>
        <v/>
      </c>
      <c r="C480" s="3" t="str">
        <f>IF($A480="","",IF(countif('Mens Lineup'!C$3:C1000,CONCATENATE("=",$A480))=0,"",C$2))</f>
        <v/>
      </c>
      <c r="D480" s="3" t="str">
        <f>IF($A480="","",IF(countif('Mens Lineup'!D$3:D1000,CONCATENATE("=",$A480))=0,"",D$2))</f>
        <v/>
      </c>
      <c r="E480" s="3" t="str">
        <f>IF($A480="","",IF(countif('Mens Lineup'!E$3:E1000,CONCATENATE("=",$A480))=0,"",E$2))</f>
        <v/>
      </c>
      <c r="F480" s="3" t="str">
        <f>IF($A480="","",IF(countif('Mens Lineup'!F$3:F1000,CONCATENATE("=",$A480))=0,"",F$2))</f>
        <v/>
      </c>
      <c r="G480" s="3" t="str">
        <f>IF($A480="","",IF(countif('Mens Lineup'!G$3:G1000,CONCATENATE("=",$A480))=0,"",G$2))</f>
        <v/>
      </c>
      <c r="H480" s="3" t="str">
        <f>IF($A480="","",IF(countif('Mens Lineup'!H$3:H1000,CONCATENATE("=",$A480))=0,"",H$2))</f>
        <v/>
      </c>
      <c r="I480" s="3" t="str">
        <f>IF($A480="","",IF(countif('Mens Lineup'!I$3:I1000,CONCATENATE("=",$A480))=0,"",I$2))</f>
        <v/>
      </c>
      <c r="J480" s="3" t="str">
        <f>IF($A480="","",IF(countif('Mens Lineup'!J$3:J1000,CONCATENATE("=",$A480))=0,"",J$2))</f>
        <v/>
      </c>
      <c r="K480" s="3" t="str">
        <f>IF($A480="","",IF(countif('Mens Lineup'!K$3:K1000,CONCATENATE("=",$A480))=0,"",K$2))</f>
        <v/>
      </c>
      <c r="L480" s="3" t="str">
        <f>IF($A480="","",IF(countif('Mens Lineup'!L$3:L1000,CONCATENATE("=",$A480))=0,"",L$2))</f>
        <v/>
      </c>
      <c r="M480" s="3" t="str">
        <f>IF($A480="","",IF(countif('Mens Lineup'!M$3:M1000,CONCATENATE("=",$A480))=0,"",M$2))</f>
        <v/>
      </c>
      <c r="N480" s="3" t="str">
        <f>IF($A480="","",IF(countif('Mens Lineup'!N$3:N1000,CONCATENATE("=",$A480))=0,"",N$2))</f>
        <v/>
      </c>
      <c r="O480" s="3" t="str">
        <f>IF($A480="","",IF(countif('Mens Lineup'!O$3:O1000,CONCATENATE("=",$A480))=0,"",O$2))</f>
        <v/>
      </c>
      <c r="P480" s="3" t="str">
        <f>IF($A480="","",IF(countif('Mens Lineup'!P$3:P1000,CONCATENATE("=",$A480))=0,"",P$2))</f>
        <v/>
      </c>
      <c r="Q480" s="3" t="str">
        <f>IF($A480="","",IF(countif('Mens Lineup'!Q$3:Q1000,CONCATENATE("=",$A480))=0,"",Q$2))</f>
        <v/>
      </c>
      <c r="R480" s="3" t="str">
        <f>IF($A480="","",IF(countif('Mens Lineup'!R$3:R1000,CONCATENATE("=",$A480))=0,"",R$2))</f>
        <v/>
      </c>
      <c r="S480" s="3" t="str">
        <f>IF($A480="","",IF(countif('Mens Lineup'!S$3:S1000,CONCATENATE("=",$A480))=0,"",S$2))</f>
        <v/>
      </c>
      <c r="W480" s="3" t="str">
        <f>IFERROR(__xludf.DUMMYFUNCTION("JOIN("","",FILTER(B480:S480,B480:S480&lt;&gt;""""))"),"#N/A")</f>
        <v>#N/A</v>
      </c>
    </row>
    <row r="481">
      <c r="A481" s="3"/>
      <c r="B481" s="3" t="str">
        <f>IF($A481="","",IF(countif('Mens Lineup'!B$3:B1000,CONCATENATE("=",$A481))=0,"",B$2))</f>
        <v/>
      </c>
      <c r="C481" s="3" t="str">
        <f>IF($A481="","",IF(countif('Mens Lineup'!C$3:C1000,CONCATENATE("=",$A481))=0,"",C$2))</f>
        <v/>
      </c>
      <c r="D481" s="3" t="str">
        <f>IF($A481="","",IF(countif('Mens Lineup'!D$3:D1000,CONCATENATE("=",$A481))=0,"",D$2))</f>
        <v/>
      </c>
      <c r="E481" s="3" t="str">
        <f>IF($A481="","",IF(countif('Mens Lineup'!E$3:E1000,CONCATENATE("=",$A481))=0,"",E$2))</f>
        <v/>
      </c>
      <c r="F481" s="3" t="str">
        <f>IF($A481="","",IF(countif('Mens Lineup'!F$3:F1000,CONCATENATE("=",$A481))=0,"",F$2))</f>
        <v/>
      </c>
      <c r="G481" s="3" t="str">
        <f>IF($A481="","",IF(countif('Mens Lineup'!G$3:G1000,CONCATENATE("=",$A481))=0,"",G$2))</f>
        <v/>
      </c>
      <c r="H481" s="3" t="str">
        <f>IF($A481="","",IF(countif('Mens Lineup'!H$3:H1000,CONCATENATE("=",$A481))=0,"",H$2))</f>
        <v/>
      </c>
      <c r="I481" s="3" t="str">
        <f>IF($A481="","",IF(countif('Mens Lineup'!I$3:I1000,CONCATENATE("=",$A481))=0,"",I$2))</f>
        <v/>
      </c>
      <c r="J481" s="3" t="str">
        <f>IF($A481="","",IF(countif('Mens Lineup'!J$3:J1000,CONCATENATE("=",$A481))=0,"",J$2))</f>
        <v/>
      </c>
      <c r="K481" s="3" t="str">
        <f>IF($A481="","",IF(countif('Mens Lineup'!K$3:K1000,CONCATENATE("=",$A481))=0,"",K$2))</f>
        <v/>
      </c>
      <c r="L481" s="3" t="str">
        <f>IF($A481="","",IF(countif('Mens Lineup'!L$3:L1000,CONCATENATE("=",$A481))=0,"",L$2))</f>
        <v/>
      </c>
      <c r="M481" s="3" t="str">
        <f>IF($A481="","",IF(countif('Mens Lineup'!M$3:M1000,CONCATENATE("=",$A481))=0,"",M$2))</f>
        <v/>
      </c>
      <c r="N481" s="3" t="str">
        <f>IF($A481="","",IF(countif('Mens Lineup'!N$3:N1000,CONCATENATE("=",$A481))=0,"",N$2))</f>
        <v/>
      </c>
      <c r="O481" s="3" t="str">
        <f>IF($A481="","",IF(countif('Mens Lineup'!O$3:O1000,CONCATENATE("=",$A481))=0,"",O$2))</f>
        <v/>
      </c>
      <c r="P481" s="3" t="str">
        <f>IF($A481="","",IF(countif('Mens Lineup'!P$3:P1000,CONCATENATE("=",$A481))=0,"",P$2))</f>
        <v/>
      </c>
      <c r="Q481" s="3" t="str">
        <f>IF($A481="","",IF(countif('Mens Lineup'!Q$3:Q1000,CONCATENATE("=",$A481))=0,"",Q$2))</f>
        <v/>
      </c>
      <c r="R481" s="3" t="str">
        <f>IF($A481="","",IF(countif('Mens Lineup'!R$3:R1000,CONCATENATE("=",$A481))=0,"",R$2))</f>
        <v/>
      </c>
      <c r="S481" s="3" t="str">
        <f>IF($A481="","",IF(countif('Mens Lineup'!S$3:S1000,CONCATENATE("=",$A481))=0,"",S$2))</f>
        <v/>
      </c>
      <c r="W481" s="3" t="str">
        <f>IFERROR(__xludf.DUMMYFUNCTION("JOIN("","",FILTER(B481:S481,B481:S481&lt;&gt;""""))"),"#N/A")</f>
        <v>#N/A</v>
      </c>
    </row>
    <row r="482">
      <c r="A482" s="3"/>
      <c r="B482" s="3" t="str">
        <f>IF($A482="","",IF(countif('Mens Lineup'!B$3:B1000,CONCATENATE("=",$A482))=0,"",B$2))</f>
        <v/>
      </c>
      <c r="C482" s="3" t="str">
        <f>IF($A482="","",IF(countif('Mens Lineup'!C$3:C1000,CONCATENATE("=",$A482))=0,"",C$2))</f>
        <v/>
      </c>
      <c r="D482" s="3" t="str">
        <f>IF($A482="","",IF(countif('Mens Lineup'!D$3:D1000,CONCATENATE("=",$A482))=0,"",D$2))</f>
        <v/>
      </c>
      <c r="E482" s="3" t="str">
        <f>IF($A482="","",IF(countif('Mens Lineup'!E$3:E1000,CONCATENATE("=",$A482))=0,"",E$2))</f>
        <v/>
      </c>
      <c r="F482" s="3" t="str">
        <f>IF($A482="","",IF(countif('Mens Lineup'!F$3:F1000,CONCATENATE("=",$A482))=0,"",F$2))</f>
        <v/>
      </c>
      <c r="G482" s="3" t="str">
        <f>IF($A482="","",IF(countif('Mens Lineup'!G$3:G1000,CONCATENATE("=",$A482))=0,"",G$2))</f>
        <v/>
      </c>
      <c r="H482" s="3" t="str">
        <f>IF($A482="","",IF(countif('Mens Lineup'!H$3:H1000,CONCATENATE("=",$A482))=0,"",H$2))</f>
        <v/>
      </c>
      <c r="I482" s="3" t="str">
        <f>IF($A482="","",IF(countif('Mens Lineup'!I$3:I1000,CONCATENATE("=",$A482))=0,"",I$2))</f>
        <v/>
      </c>
      <c r="J482" s="3" t="str">
        <f>IF($A482="","",IF(countif('Mens Lineup'!J$3:J1000,CONCATENATE("=",$A482))=0,"",J$2))</f>
        <v/>
      </c>
      <c r="K482" s="3" t="str">
        <f>IF($A482="","",IF(countif('Mens Lineup'!K$3:K1000,CONCATENATE("=",$A482))=0,"",K$2))</f>
        <v/>
      </c>
      <c r="L482" s="3" t="str">
        <f>IF($A482="","",IF(countif('Mens Lineup'!L$3:L1000,CONCATENATE("=",$A482))=0,"",L$2))</f>
        <v/>
      </c>
      <c r="M482" s="3" t="str">
        <f>IF($A482="","",IF(countif('Mens Lineup'!M$3:M1000,CONCATENATE("=",$A482))=0,"",M$2))</f>
        <v/>
      </c>
      <c r="N482" s="3" t="str">
        <f>IF($A482="","",IF(countif('Mens Lineup'!N$3:N1000,CONCATENATE("=",$A482))=0,"",N$2))</f>
        <v/>
      </c>
      <c r="O482" s="3" t="str">
        <f>IF($A482="","",IF(countif('Mens Lineup'!O$3:O1000,CONCATENATE("=",$A482))=0,"",O$2))</f>
        <v/>
      </c>
      <c r="P482" s="3" t="str">
        <f>IF($A482="","",IF(countif('Mens Lineup'!P$3:P1000,CONCATENATE("=",$A482))=0,"",P$2))</f>
        <v/>
      </c>
      <c r="Q482" s="3" t="str">
        <f>IF($A482="","",IF(countif('Mens Lineup'!Q$3:Q1000,CONCATENATE("=",$A482))=0,"",Q$2))</f>
        <v/>
      </c>
      <c r="R482" s="3" t="str">
        <f>IF($A482="","",IF(countif('Mens Lineup'!R$3:R1000,CONCATENATE("=",$A482))=0,"",R$2))</f>
        <v/>
      </c>
      <c r="S482" s="3" t="str">
        <f>IF($A482="","",IF(countif('Mens Lineup'!S$3:S1000,CONCATENATE("=",$A482))=0,"",S$2))</f>
        <v/>
      </c>
      <c r="W482" s="3" t="str">
        <f>IFERROR(__xludf.DUMMYFUNCTION("JOIN("","",FILTER(B482:S482,B482:S482&lt;&gt;""""))"),"#N/A")</f>
        <v>#N/A</v>
      </c>
    </row>
    <row r="483">
      <c r="A483" s="3"/>
      <c r="B483" s="3" t="str">
        <f>IF($A483="","",IF(countif('Mens Lineup'!B$3:B1000,CONCATENATE("=",$A483))=0,"",B$2))</f>
        <v/>
      </c>
      <c r="C483" s="3" t="str">
        <f>IF($A483="","",IF(countif('Mens Lineup'!C$3:C1000,CONCATENATE("=",$A483))=0,"",C$2))</f>
        <v/>
      </c>
      <c r="D483" s="3" t="str">
        <f>IF($A483="","",IF(countif('Mens Lineup'!D$3:D1000,CONCATENATE("=",$A483))=0,"",D$2))</f>
        <v/>
      </c>
      <c r="E483" s="3" t="str">
        <f>IF($A483="","",IF(countif('Mens Lineup'!E$3:E1000,CONCATENATE("=",$A483))=0,"",E$2))</f>
        <v/>
      </c>
      <c r="F483" s="3" t="str">
        <f>IF($A483="","",IF(countif('Mens Lineup'!F$3:F1000,CONCATENATE("=",$A483))=0,"",F$2))</f>
        <v/>
      </c>
      <c r="G483" s="3" t="str">
        <f>IF($A483="","",IF(countif('Mens Lineup'!G$3:G1000,CONCATENATE("=",$A483))=0,"",G$2))</f>
        <v/>
      </c>
      <c r="H483" s="3" t="str">
        <f>IF($A483="","",IF(countif('Mens Lineup'!H$3:H1000,CONCATENATE("=",$A483))=0,"",H$2))</f>
        <v/>
      </c>
      <c r="I483" s="3" t="str">
        <f>IF($A483="","",IF(countif('Mens Lineup'!I$3:I1000,CONCATENATE("=",$A483))=0,"",I$2))</f>
        <v/>
      </c>
      <c r="J483" s="3" t="str">
        <f>IF($A483="","",IF(countif('Mens Lineup'!J$3:J1000,CONCATENATE("=",$A483))=0,"",J$2))</f>
        <v/>
      </c>
      <c r="K483" s="3" t="str">
        <f>IF($A483="","",IF(countif('Mens Lineup'!K$3:K1000,CONCATENATE("=",$A483))=0,"",K$2))</f>
        <v/>
      </c>
      <c r="L483" s="3" t="str">
        <f>IF($A483="","",IF(countif('Mens Lineup'!L$3:L1000,CONCATENATE("=",$A483))=0,"",L$2))</f>
        <v/>
      </c>
      <c r="M483" s="3" t="str">
        <f>IF($A483="","",IF(countif('Mens Lineup'!M$3:M1000,CONCATENATE("=",$A483))=0,"",M$2))</f>
        <v/>
      </c>
      <c r="N483" s="3" t="str">
        <f>IF($A483="","",IF(countif('Mens Lineup'!N$3:N1000,CONCATENATE("=",$A483))=0,"",N$2))</f>
        <v/>
      </c>
      <c r="O483" s="3" t="str">
        <f>IF($A483="","",IF(countif('Mens Lineup'!O$3:O1000,CONCATENATE("=",$A483))=0,"",O$2))</f>
        <v/>
      </c>
      <c r="P483" s="3" t="str">
        <f>IF($A483="","",IF(countif('Mens Lineup'!P$3:P1000,CONCATENATE("=",$A483))=0,"",P$2))</f>
        <v/>
      </c>
      <c r="Q483" s="3" t="str">
        <f>IF($A483="","",IF(countif('Mens Lineup'!Q$3:Q1000,CONCATENATE("=",$A483))=0,"",Q$2))</f>
        <v/>
      </c>
      <c r="R483" s="3" t="str">
        <f>IF($A483="","",IF(countif('Mens Lineup'!R$3:R1000,CONCATENATE("=",$A483))=0,"",R$2))</f>
        <v/>
      </c>
      <c r="S483" s="3" t="str">
        <f>IF($A483="","",IF(countif('Mens Lineup'!S$3:S1000,CONCATENATE("=",$A483))=0,"",S$2))</f>
        <v/>
      </c>
      <c r="W483" s="3" t="str">
        <f>IFERROR(__xludf.DUMMYFUNCTION("JOIN("","",FILTER(B483:S483,B483:S483&lt;&gt;""""))"),"#N/A")</f>
        <v>#N/A</v>
      </c>
    </row>
    <row r="484">
      <c r="A484" s="3"/>
      <c r="B484" s="3" t="str">
        <f>IF($A484="","",IF(countif('Mens Lineup'!B$3:B1000,CONCATENATE("=",$A484))=0,"",B$2))</f>
        <v/>
      </c>
      <c r="C484" s="3" t="str">
        <f>IF($A484="","",IF(countif('Mens Lineup'!C$3:C1000,CONCATENATE("=",$A484))=0,"",C$2))</f>
        <v/>
      </c>
      <c r="D484" s="3" t="str">
        <f>IF($A484="","",IF(countif('Mens Lineup'!D$3:D1000,CONCATENATE("=",$A484))=0,"",D$2))</f>
        <v/>
      </c>
      <c r="E484" s="3" t="str">
        <f>IF($A484="","",IF(countif('Mens Lineup'!E$3:E1000,CONCATENATE("=",$A484))=0,"",E$2))</f>
        <v/>
      </c>
      <c r="F484" s="3" t="str">
        <f>IF($A484="","",IF(countif('Mens Lineup'!F$3:F1000,CONCATENATE("=",$A484))=0,"",F$2))</f>
        <v/>
      </c>
      <c r="G484" s="3" t="str">
        <f>IF($A484="","",IF(countif('Mens Lineup'!G$3:G1000,CONCATENATE("=",$A484))=0,"",G$2))</f>
        <v/>
      </c>
      <c r="H484" s="3" t="str">
        <f>IF($A484="","",IF(countif('Mens Lineup'!H$3:H1000,CONCATENATE("=",$A484))=0,"",H$2))</f>
        <v/>
      </c>
      <c r="I484" s="3" t="str">
        <f>IF($A484="","",IF(countif('Mens Lineup'!I$3:I1000,CONCATENATE("=",$A484))=0,"",I$2))</f>
        <v/>
      </c>
      <c r="J484" s="3" t="str">
        <f>IF($A484="","",IF(countif('Mens Lineup'!J$3:J1000,CONCATENATE("=",$A484))=0,"",J$2))</f>
        <v/>
      </c>
      <c r="K484" s="3" t="str">
        <f>IF($A484="","",IF(countif('Mens Lineup'!K$3:K1000,CONCATENATE("=",$A484))=0,"",K$2))</f>
        <v/>
      </c>
      <c r="L484" s="3" t="str">
        <f>IF($A484="","",IF(countif('Mens Lineup'!L$3:L1000,CONCATENATE("=",$A484))=0,"",L$2))</f>
        <v/>
      </c>
      <c r="M484" s="3" t="str">
        <f>IF($A484="","",IF(countif('Mens Lineup'!M$3:M1000,CONCATENATE("=",$A484))=0,"",M$2))</f>
        <v/>
      </c>
      <c r="N484" s="3" t="str">
        <f>IF($A484="","",IF(countif('Mens Lineup'!N$3:N1000,CONCATENATE("=",$A484))=0,"",N$2))</f>
        <v/>
      </c>
      <c r="O484" s="3" t="str">
        <f>IF($A484="","",IF(countif('Mens Lineup'!O$3:O1000,CONCATENATE("=",$A484))=0,"",O$2))</f>
        <v/>
      </c>
      <c r="P484" s="3" t="str">
        <f>IF($A484="","",IF(countif('Mens Lineup'!P$3:P1000,CONCATENATE("=",$A484))=0,"",P$2))</f>
        <v/>
      </c>
      <c r="Q484" s="3" t="str">
        <f>IF($A484="","",IF(countif('Mens Lineup'!Q$3:Q1000,CONCATENATE("=",$A484))=0,"",Q$2))</f>
        <v/>
      </c>
      <c r="R484" s="3" t="str">
        <f>IF($A484="","",IF(countif('Mens Lineup'!R$3:R1000,CONCATENATE("=",$A484))=0,"",R$2))</f>
        <v/>
      </c>
      <c r="S484" s="3" t="str">
        <f>IF($A484="","",IF(countif('Mens Lineup'!S$3:S1000,CONCATENATE("=",$A484))=0,"",S$2))</f>
        <v/>
      </c>
      <c r="W484" s="3" t="str">
        <f>IFERROR(__xludf.DUMMYFUNCTION("JOIN("","",FILTER(B484:S484,B484:S484&lt;&gt;""""))"),"#N/A")</f>
        <v>#N/A</v>
      </c>
    </row>
    <row r="485">
      <c r="A485" s="3"/>
      <c r="B485" s="3" t="str">
        <f>IF($A485="","",IF(countif('Mens Lineup'!B$3:B1000,CONCATENATE("=",$A485))=0,"",B$2))</f>
        <v/>
      </c>
      <c r="C485" s="3" t="str">
        <f>IF($A485="","",IF(countif('Mens Lineup'!C$3:C1000,CONCATENATE("=",$A485))=0,"",C$2))</f>
        <v/>
      </c>
      <c r="D485" s="3" t="str">
        <f>IF($A485="","",IF(countif('Mens Lineup'!D$3:D1000,CONCATENATE("=",$A485))=0,"",D$2))</f>
        <v/>
      </c>
      <c r="E485" s="3" t="str">
        <f>IF($A485="","",IF(countif('Mens Lineup'!E$3:E1000,CONCATENATE("=",$A485))=0,"",E$2))</f>
        <v/>
      </c>
      <c r="F485" s="3" t="str">
        <f>IF($A485="","",IF(countif('Mens Lineup'!F$3:F1000,CONCATENATE("=",$A485))=0,"",F$2))</f>
        <v/>
      </c>
      <c r="G485" s="3" t="str">
        <f>IF($A485="","",IF(countif('Mens Lineup'!G$3:G1000,CONCATENATE("=",$A485))=0,"",G$2))</f>
        <v/>
      </c>
      <c r="H485" s="3" t="str">
        <f>IF($A485="","",IF(countif('Mens Lineup'!H$3:H1000,CONCATENATE("=",$A485))=0,"",H$2))</f>
        <v/>
      </c>
      <c r="I485" s="3" t="str">
        <f>IF($A485="","",IF(countif('Mens Lineup'!I$3:I1000,CONCATENATE("=",$A485))=0,"",I$2))</f>
        <v/>
      </c>
      <c r="J485" s="3" t="str">
        <f>IF($A485="","",IF(countif('Mens Lineup'!J$3:J1000,CONCATENATE("=",$A485))=0,"",J$2))</f>
        <v/>
      </c>
      <c r="K485" s="3" t="str">
        <f>IF($A485="","",IF(countif('Mens Lineup'!K$3:K1000,CONCATENATE("=",$A485))=0,"",K$2))</f>
        <v/>
      </c>
      <c r="L485" s="3" t="str">
        <f>IF($A485="","",IF(countif('Mens Lineup'!L$3:L1000,CONCATENATE("=",$A485))=0,"",L$2))</f>
        <v/>
      </c>
      <c r="M485" s="3" t="str">
        <f>IF($A485="","",IF(countif('Mens Lineup'!M$3:M1000,CONCATENATE("=",$A485))=0,"",M$2))</f>
        <v/>
      </c>
      <c r="N485" s="3" t="str">
        <f>IF($A485="","",IF(countif('Mens Lineup'!N$3:N1000,CONCATENATE("=",$A485))=0,"",N$2))</f>
        <v/>
      </c>
      <c r="O485" s="3" t="str">
        <f>IF($A485="","",IF(countif('Mens Lineup'!O$3:O1000,CONCATENATE("=",$A485))=0,"",O$2))</f>
        <v/>
      </c>
      <c r="P485" s="3" t="str">
        <f>IF($A485="","",IF(countif('Mens Lineup'!P$3:P1000,CONCATENATE("=",$A485))=0,"",P$2))</f>
        <v/>
      </c>
      <c r="Q485" s="3" t="str">
        <f>IF($A485="","",IF(countif('Mens Lineup'!Q$3:Q1000,CONCATENATE("=",$A485))=0,"",Q$2))</f>
        <v/>
      </c>
      <c r="R485" s="3" t="str">
        <f>IF($A485="","",IF(countif('Mens Lineup'!R$3:R1000,CONCATENATE("=",$A485))=0,"",R$2))</f>
        <v/>
      </c>
      <c r="S485" s="3" t="str">
        <f>IF($A485="","",IF(countif('Mens Lineup'!S$3:S1000,CONCATENATE("=",$A485))=0,"",S$2))</f>
        <v/>
      </c>
      <c r="W485" s="3" t="str">
        <f>IFERROR(__xludf.DUMMYFUNCTION("JOIN("","",FILTER(B485:S485,B485:S485&lt;&gt;""""))"),"#N/A")</f>
        <v>#N/A</v>
      </c>
    </row>
    <row r="486">
      <c r="A486" s="3"/>
      <c r="B486" s="3" t="str">
        <f>IF($A486="","",IF(countif('Mens Lineup'!B$3:B1000,CONCATENATE("=",$A486))=0,"",B$2))</f>
        <v/>
      </c>
      <c r="C486" s="3" t="str">
        <f>IF($A486="","",IF(countif('Mens Lineup'!C$3:C1000,CONCATENATE("=",$A486))=0,"",C$2))</f>
        <v/>
      </c>
      <c r="D486" s="3" t="str">
        <f>IF($A486="","",IF(countif('Mens Lineup'!D$3:D1000,CONCATENATE("=",$A486))=0,"",D$2))</f>
        <v/>
      </c>
      <c r="E486" s="3" t="str">
        <f>IF($A486="","",IF(countif('Mens Lineup'!E$3:E1000,CONCATENATE("=",$A486))=0,"",E$2))</f>
        <v/>
      </c>
      <c r="F486" s="3" t="str">
        <f>IF($A486="","",IF(countif('Mens Lineup'!F$3:F1000,CONCATENATE("=",$A486))=0,"",F$2))</f>
        <v/>
      </c>
      <c r="G486" s="3" t="str">
        <f>IF($A486="","",IF(countif('Mens Lineup'!G$3:G1000,CONCATENATE("=",$A486))=0,"",G$2))</f>
        <v/>
      </c>
      <c r="H486" s="3" t="str">
        <f>IF($A486="","",IF(countif('Mens Lineup'!H$3:H1000,CONCATENATE("=",$A486))=0,"",H$2))</f>
        <v/>
      </c>
      <c r="I486" s="3" t="str">
        <f>IF($A486="","",IF(countif('Mens Lineup'!I$3:I1000,CONCATENATE("=",$A486))=0,"",I$2))</f>
        <v/>
      </c>
      <c r="J486" s="3" t="str">
        <f>IF($A486="","",IF(countif('Mens Lineup'!J$3:J1000,CONCATENATE("=",$A486))=0,"",J$2))</f>
        <v/>
      </c>
      <c r="K486" s="3" t="str">
        <f>IF($A486="","",IF(countif('Mens Lineup'!K$3:K1000,CONCATENATE("=",$A486))=0,"",K$2))</f>
        <v/>
      </c>
      <c r="L486" s="3" t="str">
        <f>IF($A486="","",IF(countif('Mens Lineup'!L$3:L1000,CONCATENATE("=",$A486))=0,"",L$2))</f>
        <v/>
      </c>
      <c r="M486" s="3" t="str">
        <f>IF($A486="","",IF(countif('Mens Lineup'!M$3:M1000,CONCATENATE("=",$A486))=0,"",M$2))</f>
        <v/>
      </c>
      <c r="N486" s="3" t="str">
        <f>IF($A486="","",IF(countif('Mens Lineup'!N$3:N1000,CONCATENATE("=",$A486))=0,"",N$2))</f>
        <v/>
      </c>
      <c r="O486" s="3" t="str">
        <f>IF($A486="","",IF(countif('Mens Lineup'!O$3:O1000,CONCATENATE("=",$A486))=0,"",O$2))</f>
        <v/>
      </c>
      <c r="P486" s="3" t="str">
        <f>IF($A486="","",IF(countif('Mens Lineup'!P$3:P1000,CONCATENATE("=",$A486))=0,"",P$2))</f>
        <v/>
      </c>
      <c r="Q486" s="3" t="str">
        <f>IF($A486="","",IF(countif('Mens Lineup'!Q$3:Q1000,CONCATENATE("=",$A486))=0,"",Q$2))</f>
        <v/>
      </c>
      <c r="R486" s="3" t="str">
        <f>IF($A486="","",IF(countif('Mens Lineup'!R$3:R1000,CONCATENATE("=",$A486))=0,"",R$2))</f>
        <v/>
      </c>
      <c r="S486" s="3" t="str">
        <f>IF($A486="","",IF(countif('Mens Lineup'!S$3:S1000,CONCATENATE("=",$A486))=0,"",S$2))</f>
        <v/>
      </c>
      <c r="W486" s="3" t="str">
        <f>IFERROR(__xludf.DUMMYFUNCTION("JOIN("","",FILTER(B486:S486,B486:S486&lt;&gt;""""))"),"#N/A")</f>
        <v>#N/A</v>
      </c>
    </row>
    <row r="487">
      <c r="A487" s="3"/>
      <c r="B487" s="3" t="str">
        <f>IF($A487="","",IF(countif('Mens Lineup'!B$3:B1000,CONCATENATE("=",$A487))=0,"",B$2))</f>
        <v/>
      </c>
      <c r="C487" s="3" t="str">
        <f>IF($A487="","",IF(countif('Mens Lineup'!C$3:C1000,CONCATENATE("=",$A487))=0,"",C$2))</f>
        <v/>
      </c>
      <c r="D487" s="3" t="str">
        <f>IF($A487="","",IF(countif('Mens Lineup'!D$3:D1000,CONCATENATE("=",$A487))=0,"",D$2))</f>
        <v/>
      </c>
      <c r="E487" s="3" t="str">
        <f>IF($A487="","",IF(countif('Mens Lineup'!E$3:E1000,CONCATENATE("=",$A487))=0,"",E$2))</f>
        <v/>
      </c>
      <c r="F487" s="3" t="str">
        <f>IF($A487="","",IF(countif('Mens Lineup'!F$3:F1000,CONCATENATE("=",$A487))=0,"",F$2))</f>
        <v/>
      </c>
      <c r="G487" s="3" t="str">
        <f>IF($A487="","",IF(countif('Mens Lineup'!G$3:G1000,CONCATENATE("=",$A487))=0,"",G$2))</f>
        <v/>
      </c>
      <c r="H487" s="3" t="str">
        <f>IF($A487="","",IF(countif('Mens Lineup'!H$3:H1000,CONCATENATE("=",$A487))=0,"",H$2))</f>
        <v/>
      </c>
      <c r="I487" s="3" t="str">
        <f>IF($A487="","",IF(countif('Mens Lineup'!I$3:I1000,CONCATENATE("=",$A487))=0,"",I$2))</f>
        <v/>
      </c>
      <c r="J487" s="3" t="str">
        <f>IF($A487="","",IF(countif('Mens Lineup'!J$3:J1000,CONCATENATE("=",$A487))=0,"",J$2))</f>
        <v/>
      </c>
      <c r="K487" s="3" t="str">
        <f>IF($A487="","",IF(countif('Mens Lineup'!K$3:K1000,CONCATENATE("=",$A487))=0,"",K$2))</f>
        <v/>
      </c>
      <c r="L487" s="3" t="str">
        <f>IF($A487="","",IF(countif('Mens Lineup'!L$3:L1000,CONCATENATE("=",$A487))=0,"",L$2))</f>
        <v/>
      </c>
      <c r="M487" s="3" t="str">
        <f>IF($A487="","",IF(countif('Mens Lineup'!M$3:M1000,CONCATENATE("=",$A487))=0,"",M$2))</f>
        <v/>
      </c>
      <c r="N487" s="3" t="str">
        <f>IF($A487="","",IF(countif('Mens Lineup'!N$3:N1000,CONCATENATE("=",$A487))=0,"",N$2))</f>
        <v/>
      </c>
      <c r="O487" s="3" t="str">
        <f>IF($A487="","",IF(countif('Mens Lineup'!O$3:O1000,CONCATENATE("=",$A487))=0,"",O$2))</f>
        <v/>
      </c>
      <c r="P487" s="3" t="str">
        <f>IF($A487="","",IF(countif('Mens Lineup'!P$3:P1000,CONCATENATE("=",$A487))=0,"",P$2))</f>
        <v/>
      </c>
      <c r="Q487" s="3" t="str">
        <f>IF($A487="","",IF(countif('Mens Lineup'!Q$3:Q1000,CONCATENATE("=",$A487))=0,"",Q$2))</f>
        <v/>
      </c>
      <c r="R487" s="3" t="str">
        <f>IF($A487="","",IF(countif('Mens Lineup'!R$3:R1000,CONCATENATE("=",$A487))=0,"",R$2))</f>
        <v/>
      </c>
      <c r="S487" s="3" t="str">
        <f>IF($A487="","",IF(countif('Mens Lineup'!S$3:S1000,CONCATENATE("=",$A487))=0,"",S$2))</f>
        <v/>
      </c>
      <c r="W487" s="3" t="str">
        <f>IFERROR(__xludf.DUMMYFUNCTION("JOIN("","",FILTER(B487:S487,B487:S487&lt;&gt;""""))"),"#N/A")</f>
        <v>#N/A</v>
      </c>
    </row>
    <row r="488">
      <c r="A488" s="3"/>
      <c r="B488" s="3" t="str">
        <f>IF($A488="","",IF(countif('Mens Lineup'!B$3:B1000,CONCATENATE("=",$A488))=0,"",B$2))</f>
        <v/>
      </c>
      <c r="C488" s="3" t="str">
        <f>IF($A488="","",IF(countif('Mens Lineup'!C$3:C1000,CONCATENATE("=",$A488))=0,"",C$2))</f>
        <v/>
      </c>
      <c r="D488" s="3" t="str">
        <f>IF($A488="","",IF(countif('Mens Lineup'!D$3:D1000,CONCATENATE("=",$A488))=0,"",D$2))</f>
        <v/>
      </c>
      <c r="E488" s="3" t="str">
        <f>IF($A488="","",IF(countif('Mens Lineup'!E$3:E1000,CONCATENATE("=",$A488))=0,"",E$2))</f>
        <v/>
      </c>
      <c r="F488" s="3" t="str">
        <f>IF($A488="","",IF(countif('Mens Lineup'!F$3:F1000,CONCATENATE("=",$A488))=0,"",F$2))</f>
        <v/>
      </c>
      <c r="G488" s="3" t="str">
        <f>IF($A488="","",IF(countif('Mens Lineup'!G$3:G1000,CONCATENATE("=",$A488))=0,"",G$2))</f>
        <v/>
      </c>
      <c r="H488" s="3" t="str">
        <f>IF($A488="","",IF(countif('Mens Lineup'!H$3:H1000,CONCATENATE("=",$A488))=0,"",H$2))</f>
        <v/>
      </c>
      <c r="I488" s="3" t="str">
        <f>IF($A488="","",IF(countif('Mens Lineup'!I$3:I1000,CONCATENATE("=",$A488))=0,"",I$2))</f>
        <v/>
      </c>
      <c r="J488" s="3" t="str">
        <f>IF($A488="","",IF(countif('Mens Lineup'!J$3:J1000,CONCATENATE("=",$A488))=0,"",J$2))</f>
        <v/>
      </c>
      <c r="K488" s="3" t="str">
        <f>IF($A488="","",IF(countif('Mens Lineup'!K$3:K1000,CONCATENATE("=",$A488))=0,"",K$2))</f>
        <v/>
      </c>
      <c r="L488" s="3" t="str">
        <f>IF($A488="","",IF(countif('Mens Lineup'!L$3:L1000,CONCATENATE("=",$A488))=0,"",L$2))</f>
        <v/>
      </c>
      <c r="M488" s="3" t="str">
        <f>IF($A488="","",IF(countif('Mens Lineup'!M$3:M1000,CONCATENATE("=",$A488))=0,"",M$2))</f>
        <v/>
      </c>
      <c r="N488" s="3" t="str">
        <f>IF($A488="","",IF(countif('Mens Lineup'!N$3:N1000,CONCATENATE("=",$A488))=0,"",N$2))</f>
        <v/>
      </c>
      <c r="O488" s="3" t="str">
        <f>IF($A488="","",IF(countif('Mens Lineup'!O$3:O1000,CONCATENATE("=",$A488))=0,"",O$2))</f>
        <v/>
      </c>
      <c r="P488" s="3" t="str">
        <f>IF($A488="","",IF(countif('Mens Lineup'!P$3:P1000,CONCATENATE("=",$A488))=0,"",P$2))</f>
        <v/>
      </c>
      <c r="Q488" s="3" t="str">
        <f>IF($A488="","",IF(countif('Mens Lineup'!Q$3:Q1000,CONCATENATE("=",$A488))=0,"",Q$2))</f>
        <v/>
      </c>
      <c r="R488" s="3" t="str">
        <f>IF($A488="","",IF(countif('Mens Lineup'!R$3:R1000,CONCATENATE("=",$A488))=0,"",R$2))</f>
        <v/>
      </c>
      <c r="S488" s="3" t="str">
        <f>IF($A488="","",IF(countif('Mens Lineup'!S$3:S1000,CONCATENATE("=",$A488))=0,"",S$2))</f>
        <v/>
      </c>
      <c r="W488" s="3" t="str">
        <f>IFERROR(__xludf.DUMMYFUNCTION("JOIN("","",FILTER(B488:S488,B488:S488&lt;&gt;""""))"),"#N/A")</f>
        <v>#N/A</v>
      </c>
    </row>
    <row r="489">
      <c r="A489" s="3"/>
      <c r="B489" s="3" t="str">
        <f>IF($A489="","",IF(countif('Mens Lineup'!B$3:B1000,CONCATENATE("=",$A489))=0,"",B$2))</f>
        <v/>
      </c>
      <c r="C489" s="3" t="str">
        <f>IF($A489="","",IF(countif('Mens Lineup'!C$3:C1000,CONCATENATE("=",$A489))=0,"",C$2))</f>
        <v/>
      </c>
      <c r="D489" s="3" t="str">
        <f>IF($A489="","",IF(countif('Mens Lineup'!D$3:D1000,CONCATENATE("=",$A489))=0,"",D$2))</f>
        <v/>
      </c>
      <c r="E489" s="3" t="str">
        <f>IF($A489="","",IF(countif('Mens Lineup'!E$3:E1000,CONCATENATE("=",$A489))=0,"",E$2))</f>
        <v/>
      </c>
      <c r="F489" s="3" t="str">
        <f>IF($A489="","",IF(countif('Mens Lineup'!F$3:F1000,CONCATENATE("=",$A489))=0,"",F$2))</f>
        <v/>
      </c>
      <c r="G489" s="3" t="str">
        <f>IF($A489="","",IF(countif('Mens Lineup'!G$3:G1000,CONCATENATE("=",$A489))=0,"",G$2))</f>
        <v/>
      </c>
      <c r="H489" s="3" t="str">
        <f>IF($A489="","",IF(countif('Mens Lineup'!H$3:H1000,CONCATENATE("=",$A489))=0,"",H$2))</f>
        <v/>
      </c>
      <c r="I489" s="3" t="str">
        <f>IF($A489="","",IF(countif('Mens Lineup'!I$3:I1000,CONCATENATE("=",$A489))=0,"",I$2))</f>
        <v/>
      </c>
      <c r="J489" s="3" t="str">
        <f>IF($A489="","",IF(countif('Mens Lineup'!J$3:J1000,CONCATENATE("=",$A489))=0,"",J$2))</f>
        <v/>
      </c>
      <c r="K489" s="3" t="str">
        <f>IF($A489="","",IF(countif('Mens Lineup'!K$3:K1000,CONCATENATE("=",$A489))=0,"",K$2))</f>
        <v/>
      </c>
      <c r="L489" s="3" t="str">
        <f>IF($A489="","",IF(countif('Mens Lineup'!L$3:L1000,CONCATENATE("=",$A489))=0,"",L$2))</f>
        <v/>
      </c>
      <c r="M489" s="3" t="str">
        <f>IF($A489="","",IF(countif('Mens Lineup'!M$3:M1000,CONCATENATE("=",$A489))=0,"",M$2))</f>
        <v/>
      </c>
      <c r="N489" s="3" t="str">
        <f>IF($A489="","",IF(countif('Mens Lineup'!N$3:N1000,CONCATENATE("=",$A489))=0,"",N$2))</f>
        <v/>
      </c>
      <c r="O489" s="3" t="str">
        <f>IF($A489="","",IF(countif('Mens Lineup'!O$3:O1000,CONCATENATE("=",$A489))=0,"",O$2))</f>
        <v/>
      </c>
      <c r="P489" s="3" t="str">
        <f>IF($A489="","",IF(countif('Mens Lineup'!P$3:P1000,CONCATENATE("=",$A489))=0,"",P$2))</f>
        <v/>
      </c>
      <c r="Q489" s="3" t="str">
        <f>IF($A489="","",IF(countif('Mens Lineup'!Q$3:Q1000,CONCATENATE("=",$A489))=0,"",Q$2))</f>
        <v/>
      </c>
      <c r="R489" s="3" t="str">
        <f>IF($A489="","",IF(countif('Mens Lineup'!R$3:R1000,CONCATENATE("=",$A489))=0,"",R$2))</f>
        <v/>
      </c>
      <c r="S489" s="3" t="str">
        <f>IF($A489="","",IF(countif('Mens Lineup'!S$3:S1000,CONCATENATE("=",$A489))=0,"",S$2))</f>
        <v/>
      </c>
      <c r="W489" s="3" t="str">
        <f>IFERROR(__xludf.DUMMYFUNCTION("JOIN("","",FILTER(B489:S489,B489:S489&lt;&gt;""""))"),"#N/A")</f>
        <v>#N/A</v>
      </c>
    </row>
    <row r="490">
      <c r="A490" s="3"/>
      <c r="B490" s="3" t="str">
        <f>IF($A490="","",IF(countif('Mens Lineup'!B$3:B1000,CONCATENATE("=",$A490))=0,"",B$2))</f>
        <v/>
      </c>
      <c r="C490" s="3" t="str">
        <f>IF($A490="","",IF(countif('Mens Lineup'!C$3:C1000,CONCATENATE("=",$A490))=0,"",C$2))</f>
        <v/>
      </c>
      <c r="D490" s="3" t="str">
        <f>IF($A490="","",IF(countif('Mens Lineup'!D$3:D1000,CONCATENATE("=",$A490))=0,"",D$2))</f>
        <v/>
      </c>
      <c r="E490" s="3" t="str">
        <f>IF($A490="","",IF(countif('Mens Lineup'!E$3:E1000,CONCATENATE("=",$A490))=0,"",E$2))</f>
        <v/>
      </c>
      <c r="F490" s="3" t="str">
        <f>IF($A490="","",IF(countif('Mens Lineup'!F$3:F1000,CONCATENATE("=",$A490))=0,"",F$2))</f>
        <v/>
      </c>
      <c r="G490" s="3" t="str">
        <f>IF($A490="","",IF(countif('Mens Lineup'!G$3:G1000,CONCATENATE("=",$A490))=0,"",G$2))</f>
        <v/>
      </c>
      <c r="H490" s="3" t="str">
        <f>IF($A490="","",IF(countif('Mens Lineup'!H$3:H1000,CONCATENATE("=",$A490))=0,"",H$2))</f>
        <v/>
      </c>
      <c r="I490" s="3" t="str">
        <f>IF($A490="","",IF(countif('Mens Lineup'!I$3:I1000,CONCATENATE("=",$A490))=0,"",I$2))</f>
        <v/>
      </c>
      <c r="J490" s="3" t="str">
        <f>IF($A490="","",IF(countif('Mens Lineup'!J$3:J1000,CONCATENATE("=",$A490))=0,"",J$2))</f>
        <v/>
      </c>
      <c r="K490" s="3" t="str">
        <f>IF($A490="","",IF(countif('Mens Lineup'!K$3:K1000,CONCATENATE("=",$A490))=0,"",K$2))</f>
        <v/>
      </c>
      <c r="L490" s="3" t="str">
        <f>IF($A490="","",IF(countif('Mens Lineup'!L$3:L1000,CONCATENATE("=",$A490))=0,"",L$2))</f>
        <v/>
      </c>
      <c r="M490" s="3" t="str">
        <f>IF($A490="","",IF(countif('Mens Lineup'!M$3:M1000,CONCATENATE("=",$A490))=0,"",M$2))</f>
        <v/>
      </c>
      <c r="N490" s="3" t="str">
        <f>IF($A490="","",IF(countif('Mens Lineup'!N$3:N1000,CONCATENATE("=",$A490))=0,"",N$2))</f>
        <v/>
      </c>
      <c r="O490" s="3" t="str">
        <f>IF($A490="","",IF(countif('Mens Lineup'!O$3:O1000,CONCATENATE("=",$A490))=0,"",O$2))</f>
        <v/>
      </c>
      <c r="P490" s="3" t="str">
        <f>IF($A490="","",IF(countif('Mens Lineup'!P$3:P1000,CONCATENATE("=",$A490))=0,"",P$2))</f>
        <v/>
      </c>
      <c r="Q490" s="3" t="str">
        <f>IF($A490="","",IF(countif('Mens Lineup'!Q$3:Q1000,CONCATENATE("=",$A490))=0,"",Q$2))</f>
        <v/>
      </c>
      <c r="R490" s="3" t="str">
        <f>IF($A490="","",IF(countif('Mens Lineup'!R$3:R1000,CONCATENATE("=",$A490))=0,"",R$2))</f>
        <v/>
      </c>
      <c r="S490" s="3" t="str">
        <f>IF($A490="","",IF(countif('Mens Lineup'!S$3:S1000,CONCATENATE("=",$A490))=0,"",S$2))</f>
        <v/>
      </c>
      <c r="W490" s="3" t="str">
        <f>IFERROR(__xludf.DUMMYFUNCTION("JOIN("","",FILTER(B490:S490,B490:S490&lt;&gt;""""))"),"#N/A")</f>
        <v>#N/A</v>
      </c>
    </row>
    <row r="491">
      <c r="A491" s="3"/>
      <c r="B491" s="3" t="str">
        <f>IF($A491="","",IF(countif('Mens Lineup'!B$3:B1000,CONCATENATE("=",$A491))=0,"",B$2))</f>
        <v/>
      </c>
      <c r="C491" s="3" t="str">
        <f>IF($A491="","",IF(countif('Mens Lineup'!C$3:C1000,CONCATENATE("=",$A491))=0,"",C$2))</f>
        <v/>
      </c>
      <c r="D491" s="3" t="str">
        <f>IF($A491="","",IF(countif('Mens Lineup'!D$3:D1000,CONCATENATE("=",$A491))=0,"",D$2))</f>
        <v/>
      </c>
      <c r="E491" s="3" t="str">
        <f>IF($A491="","",IF(countif('Mens Lineup'!E$3:E1000,CONCATENATE("=",$A491))=0,"",E$2))</f>
        <v/>
      </c>
      <c r="F491" s="3" t="str">
        <f>IF($A491="","",IF(countif('Mens Lineup'!F$3:F1000,CONCATENATE("=",$A491))=0,"",F$2))</f>
        <v/>
      </c>
      <c r="G491" s="3" t="str">
        <f>IF($A491="","",IF(countif('Mens Lineup'!G$3:G1000,CONCATENATE("=",$A491))=0,"",G$2))</f>
        <v/>
      </c>
      <c r="H491" s="3" t="str">
        <f>IF($A491="","",IF(countif('Mens Lineup'!H$3:H1000,CONCATENATE("=",$A491))=0,"",H$2))</f>
        <v/>
      </c>
      <c r="I491" s="3" t="str">
        <f>IF($A491="","",IF(countif('Mens Lineup'!I$3:I1000,CONCATENATE("=",$A491))=0,"",I$2))</f>
        <v/>
      </c>
      <c r="J491" s="3" t="str">
        <f>IF($A491="","",IF(countif('Mens Lineup'!J$3:J1000,CONCATENATE("=",$A491))=0,"",J$2))</f>
        <v/>
      </c>
      <c r="K491" s="3" t="str">
        <f>IF($A491="","",IF(countif('Mens Lineup'!K$3:K1000,CONCATENATE("=",$A491))=0,"",K$2))</f>
        <v/>
      </c>
      <c r="L491" s="3" t="str">
        <f>IF($A491="","",IF(countif('Mens Lineup'!L$3:L1000,CONCATENATE("=",$A491))=0,"",L$2))</f>
        <v/>
      </c>
      <c r="M491" s="3" t="str">
        <f>IF($A491="","",IF(countif('Mens Lineup'!M$3:M1000,CONCATENATE("=",$A491))=0,"",M$2))</f>
        <v/>
      </c>
      <c r="N491" s="3" t="str">
        <f>IF($A491="","",IF(countif('Mens Lineup'!N$3:N1000,CONCATENATE("=",$A491))=0,"",N$2))</f>
        <v/>
      </c>
      <c r="O491" s="3" t="str">
        <f>IF($A491="","",IF(countif('Mens Lineup'!O$3:O1000,CONCATENATE("=",$A491))=0,"",O$2))</f>
        <v/>
      </c>
      <c r="P491" s="3" t="str">
        <f>IF($A491="","",IF(countif('Mens Lineup'!P$3:P1000,CONCATENATE("=",$A491))=0,"",P$2))</f>
        <v/>
      </c>
      <c r="Q491" s="3" t="str">
        <f>IF($A491="","",IF(countif('Mens Lineup'!Q$3:Q1000,CONCATENATE("=",$A491))=0,"",Q$2))</f>
        <v/>
      </c>
      <c r="R491" s="3" t="str">
        <f>IF($A491="","",IF(countif('Mens Lineup'!R$3:R1000,CONCATENATE("=",$A491))=0,"",R$2))</f>
        <v/>
      </c>
      <c r="S491" s="3" t="str">
        <f>IF($A491="","",IF(countif('Mens Lineup'!S$3:S1000,CONCATENATE("=",$A491))=0,"",S$2))</f>
        <v/>
      </c>
      <c r="W491" s="3" t="str">
        <f>IFERROR(__xludf.DUMMYFUNCTION("JOIN("","",FILTER(B491:S491,B491:S491&lt;&gt;""""))"),"#N/A")</f>
        <v>#N/A</v>
      </c>
    </row>
    <row r="492">
      <c r="A492" s="3"/>
      <c r="B492" s="3" t="str">
        <f>IF($A492="","",IF(countif('Mens Lineup'!B$3:B1000,CONCATENATE("=",$A492))=0,"",B$2))</f>
        <v/>
      </c>
      <c r="C492" s="3" t="str">
        <f>IF($A492="","",IF(countif('Mens Lineup'!C$3:C1000,CONCATENATE("=",$A492))=0,"",C$2))</f>
        <v/>
      </c>
      <c r="D492" s="3" t="str">
        <f>IF($A492="","",IF(countif('Mens Lineup'!D$3:D1000,CONCATENATE("=",$A492))=0,"",D$2))</f>
        <v/>
      </c>
      <c r="E492" s="3" t="str">
        <f>IF($A492="","",IF(countif('Mens Lineup'!E$3:E1000,CONCATENATE("=",$A492))=0,"",E$2))</f>
        <v/>
      </c>
      <c r="F492" s="3" t="str">
        <f>IF($A492="","",IF(countif('Mens Lineup'!F$3:F1000,CONCATENATE("=",$A492))=0,"",F$2))</f>
        <v/>
      </c>
      <c r="G492" s="3" t="str">
        <f>IF($A492="","",IF(countif('Mens Lineup'!G$3:G1000,CONCATENATE("=",$A492))=0,"",G$2))</f>
        <v/>
      </c>
      <c r="H492" s="3" t="str">
        <f>IF($A492="","",IF(countif('Mens Lineup'!H$3:H1000,CONCATENATE("=",$A492))=0,"",H$2))</f>
        <v/>
      </c>
      <c r="I492" s="3" t="str">
        <f>IF($A492="","",IF(countif('Mens Lineup'!I$3:I1000,CONCATENATE("=",$A492))=0,"",I$2))</f>
        <v/>
      </c>
      <c r="J492" s="3" t="str">
        <f>IF($A492="","",IF(countif('Mens Lineup'!J$3:J1000,CONCATENATE("=",$A492))=0,"",J$2))</f>
        <v/>
      </c>
      <c r="K492" s="3" t="str">
        <f>IF($A492="","",IF(countif('Mens Lineup'!K$3:K1000,CONCATENATE("=",$A492))=0,"",K$2))</f>
        <v/>
      </c>
      <c r="L492" s="3" t="str">
        <f>IF($A492="","",IF(countif('Mens Lineup'!L$3:L1000,CONCATENATE("=",$A492))=0,"",L$2))</f>
        <v/>
      </c>
      <c r="M492" s="3" t="str">
        <f>IF($A492="","",IF(countif('Mens Lineup'!M$3:M1000,CONCATENATE("=",$A492))=0,"",M$2))</f>
        <v/>
      </c>
      <c r="N492" s="3" t="str">
        <f>IF($A492="","",IF(countif('Mens Lineup'!N$3:N1000,CONCATENATE("=",$A492))=0,"",N$2))</f>
        <v/>
      </c>
      <c r="O492" s="3" t="str">
        <f>IF($A492="","",IF(countif('Mens Lineup'!O$3:O1000,CONCATENATE("=",$A492))=0,"",O$2))</f>
        <v/>
      </c>
      <c r="P492" s="3" t="str">
        <f>IF($A492="","",IF(countif('Mens Lineup'!P$3:P1000,CONCATENATE("=",$A492))=0,"",P$2))</f>
        <v/>
      </c>
      <c r="Q492" s="3" t="str">
        <f>IF($A492="","",IF(countif('Mens Lineup'!Q$3:Q1000,CONCATENATE("=",$A492))=0,"",Q$2))</f>
        <v/>
      </c>
      <c r="R492" s="3" t="str">
        <f>IF($A492="","",IF(countif('Mens Lineup'!R$3:R1000,CONCATENATE("=",$A492))=0,"",R$2))</f>
        <v/>
      </c>
      <c r="S492" s="3" t="str">
        <f>IF($A492="","",IF(countif('Mens Lineup'!S$3:S1000,CONCATENATE("=",$A492))=0,"",S$2))</f>
        <v/>
      </c>
      <c r="W492" s="3" t="str">
        <f>IFERROR(__xludf.DUMMYFUNCTION("JOIN("","",FILTER(B492:S492,B492:S492&lt;&gt;""""))"),"#N/A")</f>
        <v>#N/A</v>
      </c>
    </row>
    <row r="493">
      <c r="A493" s="3"/>
      <c r="B493" s="3" t="str">
        <f>IF($A493="","",IF(countif('Mens Lineup'!B$3:B1000,CONCATENATE("=",$A493))=0,"",B$2))</f>
        <v/>
      </c>
      <c r="C493" s="3" t="str">
        <f>IF($A493="","",IF(countif('Mens Lineup'!C$3:C1000,CONCATENATE("=",$A493))=0,"",C$2))</f>
        <v/>
      </c>
      <c r="D493" s="3" t="str">
        <f>IF($A493="","",IF(countif('Mens Lineup'!D$3:D1000,CONCATENATE("=",$A493))=0,"",D$2))</f>
        <v/>
      </c>
      <c r="E493" s="3" t="str">
        <f>IF($A493="","",IF(countif('Mens Lineup'!E$3:E1000,CONCATENATE("=",$A493))=0,"",E$2))</f>
        <v/>
      </c>
      <c r="F493" s="3" t="str">
        <f>IF($A493="","",IF(countif('Mens Lineup'!F$3:F1000,CONCATENATE("=",$A493))=0,"",F$2))</f>
        <v/>
      </c>
      <c r="G493" s="3" t="str">
        <f>IF($A493="","",IF(countif('Mens Lineup'!G$3:G1000,CONCATENATE("=",$A493))=0,"",G$2))</f>
        <v/>
      </c>
      <c r="H493" s="3" t="str">
        <f>IF($A493="","",IF(countif('Mens Lineup'!H$3:H1000,CONCATENATE("=",$A493))=0,"",H$2))</f>
        <v/>
      </c>
      <c r="I493" s="3" t="str">
        <f>IF($A493="","",IF(countif('Mens Lineup'!I$3:I1000,CONCATENATE("=",$A493))=0,"",I$2))</f>
        <v/>
      </c>
      <c r="J493" s="3" t="str">
        <f>IF($A493="","",IF(countif('Mens Lineup'!J$3:J1000,CONCATENATE("=",$A493))=0,"",J$2))</f>
        <v/>
      </c>
      <c r="K493" s="3" t="str">
        <f>IF($A493="","",IF(countif('Mens Lineup'!K$3:K1000,CONCATENATE("=",$A493))=0,"",K$2))</f>
        <v/>
      </c>
      <c r="L493" s="3" t="str">
        <f>IF($A493="","",IF(countif('Mens Lineup'!L$3:L1000,CONCATENATE("=",$A493))=0,"",L$2))</f>
        <v/>
      </c>
      <c r="M493" s="3" t="str">
        <f>IF($A493="","",IF(countif('Mens Lineup'!M$3:M1000,CONCATENATE("=",$A493))=0,"",M$2))</f>
        <v/>
      </c>
      <c r="N493" s="3" t="str">
        <f>IF($A493="","",IF(countif('Mens Lineup'!N$3:N1000,CONCATENATE("=",$A493))=0,"",N$2))</f>
        <v/>
      </c>
      <c r="O493" s="3" t="str">
        <f>IF($A493="","",IF(countif('Mens Lineup'!O$3:O1000,CONCATENATE("=",$A493))=0,"",O$2))</f>
        <v/>
      </c>
      <c r="P493" s="3" t="str">
        <f>IF($A493="","",IF(countif('Mens Lineup'!P$3:P1000,CONCATENATE("=",$A493))=0,"",P$2))</f>
        <v/>
      </c>
      <c r="Q493" s="3" t="str">
        <f>IF($A493="","",IF(countif('Mens Lineup'!Q$3:Q1000,CONCATENATE("=",$A493))=0,"",Q$2))</f>
        <v/>
      </c>
      <c r="R493" s="3" t="str">
        <f>IF($A493="","",IF(countif('Mens Lineup'!R$3:R1000,CONCATENATE("=",$A493))=0,"",R$2))</f>
        <v/>
      </c>
      <c r="S493" s="3" t="str">
        <f>IF($A493="","",IF(countif('Mens Lineup'!S$3:S1000,CONCATENATE("=",$A493))=0,"",S$2))</f>
        <v/>
      </c>
      <c r="W493" s="3" t="str">
        <f>IFERROR(__xludf.DUMMYFUNCTION("JOIN("","",FILTER(B493:S493,B493:S493&lt;&gt;""""))"),"#N/A")</f>
        <v>#N/A</v>
      </c>
    </row>
    <row r="494">
      <c r="A494" s="3"/>
      <c r="B494" s="3" t="str">
        <f>IF($A494="","",IF(countif('Mens Lineup'!B$3:B1000,CONCATENATE("=",$A494))=0,"",B$2))</f>
        <v/>
      </c>
      <c r="C494" s="3" t="str">
        <f>IF($A494="","",IF(countif('Mens Lineup'!C$3:C1000,CONCATENATE("=",$A494))=0,"",C$2))</f>
        <v/>
      </c>
      <c r="D494" s="3" t="str">
        <f>IF($A494="","",IF(countif('Mens Lineup'!D$3:D1000,CONCATENATE("=",$A494))=0,"",D$2))</f>
        <v/>
      </c>
      <c r="E494" s="3" t="str">
        <f>IF($A494="","",IF(countif('Mens Lineup'!E$3:E1000,CONCATENATE("=",$A494))=0,"",E$2))</f>
        <v/>
      </c>
      <c r="F494" s="3" t="str">
        <f>IF($A494="","",IF(countif('Mens Lineup'!F$3:F1000,CONCATENATE("=",$A494))=0,"",F$2))</f>
        <v/>
      </c>
      <c r="G494" s="3" t="str">
        <f>IF($A494="","",IF(countif('Mens Lineup'!G$3:G1000,CONCATENATE("=",$A494))=0,"",G$2))</f>
        <v/>
      </c>
      <c r="H494" s="3" t="str">
        <f>IF($A494="","",IF(countif('Mens Lineup'!H$3:H1000,CONCATENATE("=",$A494))=0,"",H$2))</f>
        <v/>
      </c>
      <c r="I494" s="3" t="str">
        <f>IF($A494="","",IF(countif('Mens Lineup'!I$3:I1000,CONCATENATE("=",$A494))=0,"",I$2))</f>
        <v/>
      </c>
      <c r="J494" s="3" t="str">
        <f>IF($A494="","",IF(countif('Mens Lineup'!J$3:J1000,CONCATENATE("=",$A494))=0,"",J$2))</f>
        <v/>
      </c>
      <c r="K494" s="3" t="str">
        <f>IF($A494="","",IF(countif('Mens Lineup'!K$3:K1000,CONCATENATE("=",$A494))=0,"",K$2))</f>
        <v/>
      </c>
      <c r="L494" s="3" t="str">
        <f>IF($A494="","",IF(countif('Mens Lineup'!L$3:L1000,CONCATENATE("=",$A494))=0,"",L$2))</f>
        <v/>
      </c>
      <c r="M494" s="3" t="str">
        <f>IF($A494="","",IF(countif('Mens Lineup'!M$3:M1000,CONCATENATE("=",$A494))=0,"",M$2))</f>
        <v/>
      </c>
      <c r="N494" s="3" t="str">
        <f>IF($A494="","",IF(countif('Mens Lineup'!N$3:N1000,CONCATENATE("=",$A494))=0,"",N$2))</f>
        <v/>
      </c>
      <c r="O494" s="3" t="str">
        <f>IF($A494="","",IF(countif('Mens Lineup'!O$3:O1000,CONCATENATE("=",$A494))=0,"",O$2))</f>
        <v/>
      </c>
      <c r="P494" s="3" t="str">
        <f>IF($A494="","",IF(countif('Mens Lineup'!P$3:P1000,CONCATENATE("=",$A494))=0,"",P$2))</f>
        <v/>
      </c>
      <c r="Q494" s="3" t="str">
        <f>IF($A494="","",IF(countif('Mens Lineup'!Q$3:Q1000,CONCATENATE("=",$A494))=0,"",Q$2))</f>
        <v/>
      </c>
      <c r="R494" s="3" t="str">
        <f>IF($A494="","",IF(countif('Mens Lineup'!R$3:R1000,CONCATENATE("=",$A494))=0,"",R$2))</f>
        <v/>
      </c>
      <c r="S494" s="3" t="str">
        <f>IF($A494="","",IF(countif('Mens Lineup'!S$3:S1000,CONCATENATE("=",$A494))=0,"",S$2))</f>
        <v/>
      </c>
      <c r="W494" s="3" t="str">
        <f>IFERROR(__xludf.DUMMYFUNCTION("JOIN("","",FILTER(B494:S494,B494:S494&lt;&gt;""""))"),"#N/A")</f>
        <v>#N/A</v>
      </c>
    </row>
    <row r="495">
      <c r="A495" s="3"/>
      <c r="B495" s="3" t="str">
        <f>IF($A495="","",IF(countif('Mens Lineup'!B$3:B1000,CONCATENATE("=",$A495))=0,"",B$2))</f>
        <v/>
      </c>
      <c r="C495" s="3" t="str">
        <f>IF($A495="","",IF(countif('Mens Lineup'!C$3:C1000,CONCATENATE("=",$A495))=0,"",C$2))</f>
        <v/>
      </c>
      <c r="D495" s="3" t="str">
        <f>IF($A495="","",IF(countif('Mens Lineup'!D$3:D1000,CONCATENATE("=",$A495))=0,"",D$2))</f>
        <v/>
      </c>
      <c r="E495" s="3" t="str">
        <f>IF($A495="","",IF(countif('Mens Lineup'!E$3:E1000,CONCATENATE("=",$A495))=0,"",E$2))</f>
        <v/>
      </c>
      <c r="F495" s="3" t="str">
        <f>IF($A495="","",IF(countif('Mens Lineup'!F$3:F1000,CONCATENATE("=",$A495))=0,"",F$2))</f>
        <v/>
      </c>
      <c r="G495" s="3" t="str">
        <f>IF($A495="","",IF(countif('Mens Lineup'!G$3:G1000,CONCATENATE("=",$A495))=0,"",G$2))</f>
        <v/>
      </c>
      <c r="H495" s="3" t="str">
        <f>IF($A495="","",IF(countif('Mens Lineup'!H$3:H1000,CONCATENATE("=",$A495))=0,"",H$2))</f>
        <v/>
      </c>
      <c r="I495" s="3" t="str">
        <f>IF($A495="","",IF(countif('Mens Lineup'!I$3:I1000,CONCATENATE("=",$A495))=0,"",I$2))</f>
        <v/>
      </c>
      <c r="J495" s="3" t="str">
        <f>IF($A495="","",IF(countif('Mens Lineup'!J$3:J1000,CONCATENATE("=",$A495))=0,"",J$2))</f>
        <v/>
      </c>
      <c r="K495" s="3" t="str">
        <f>IF($A495="","",IF(countif('Mens Lineup'!K$3:K1000,CONCATENATE("=",$A495))=0,"",K$2))</f>
        <v/>
      </c>
      <c r="L495" s="3" t="str">
        <f>IF($A495="","",IF(countif('Mens Lineup'!L$3:L1000,CONCATENATE("=",$A495))=0,"",L$2))</f>
        <v/>
      </c>
      <c r="M495" s="3" t="str">
        <f>IF($A495="","",IF(countif('Mens Lineup'!M$3:M1000,CONCATENATE("=",$A495))=0,"",M$2))</f>
        <v/>
      </c>
      <c r="N495" s="3" t="str">
        <f>IF($A495="","",IF(countif('Mens Lineup'!N$3:N1000,CONCATENATE("=",$A495))=0,"",N$2))</f>
        <v/>
      </c>
      <c r="O495" s="3" t="str">
        <f>IF($A495="","",IF(countif('Mens Lineup'!O$3:O1000,CONCATENATE("=",$A495))=0,"",O$2))</f>
        <v/>
      </c>
      <c r="P495" s="3" t="str">
        <f>IF($A495="","",IF(countif('Mens Lineup'!P$3:P1000,CONCATENATE("=",$A495))=0,"",P$2))</f>
        <v/>
      </c>
      <c r="Q495" s="3" t="str">
        <f>IF($A495="","",IF(countif('Mens Lineup'!Q$3:Q1000,CONCATENATE("=",$A495))=0,"",Q$2))</f>
        <v/>
      </c>
      <c r="R495" s="3" t="str">
        <f>IF($A495="","",IF(countif('Mens Lineup'!R$3:R1000,CONCATENATE("=",$A495))=0,"",R$2))</f>
        <v/>
      </c>
      <c r="S495" s="3" t="str">
        <f>IF($A495="","",IF(countif('Mens Lineup'!S$3:S1000,CONCATENATE("=",$A495))=0,"",S$2))</f>
        <v/>
      </c>
      <c r="W495" s="3" t="str">
        <f>IFERROR(__xludf.DUMMYFUNCTION("JOIN("","",FILTER(B495:S495,B495:S495&lt;&gt;""""))"),"#N/A")</f>
        <v>#N/A</v>
      </c>
    </row>
    <row r="496">
      <c r="A496" s="3"/>
      <c r="B496" s="3" t="str">
        <f>IF($A496="","",IF(countif('Mens Lineup'!B$3:B1000,CONCATENATE("=",$A496))=0,"",B$2))</f>
        <v/>
      </c>
      <c r="C496" s="3" t="str">
        <f>IF($A496="","",IF(countif('Mens Lineup'!C$3:C1000,CONCATENATE("=",$A496))=0,"",C$2))</f>
        <v/>
      </c>
      <c r="D496" s="3" t="str">
        <f>IF($A496="","",IF(countif('Mens Lineup'!D$3:D1000,CONCATENATE("=",$A496))=0,"",D$2))</f>
        <v/>
      </c>
      <c r="E496" s="3" t="str">
        <f>IF($A496="","",IF(countif('Mens Lineup'!E$3:E1000,CONCATENATE("=",$A496))=0,"",E$2))</f>
        <v/>
      </c>
      <c r="F496" s="3" t="str">
        <f>IF($A496="","",IF(countif('Mens Lineup'!F$3:F1000,CONCATENATE("=",$A496))=0,"",F$2))</f>
        <v/>
      </c>
      <c r="G496" s="3" t="str">
        <f>IF($A496="","",IF(countif('Mens Lineup'!G$3:G1000,CONCATENATE("=",$A496))=0,"",G$2))</f>
        <v/>
      </c>
      <c r="H496" s="3" t="str">
        <f>IF($A496="","",IF(countif('Mens Lineup'!H$3:H1000,CONCATENATE("=",$A496))=0,"",H$2))</f>
        <v/>
      </c>
      <c r="I496" s="3" t="str">
        <f>IF($A496="","",IF(countif('Mens Lineup'!I$3:I1000,CONCATENATE("=",$A496))=0,"",I$2))</f>
        <v/>
      </c>
      <c r="J496" s="3" t="str">
        <f>IF($A496="","",IF(countif('Mens Lineup'!J$3:J1000,CONCATENATE("=",$A496))=0,"",J$2))</f>
        <v/>
      </c>
      <c r="K496" s="3" t="str">
        <f>IF($A496="","",IF(countif('Mens Lineup'!K$3:K1000,CONCATENATE("=",$A496))=0,"",K$2))</f>
        <v/>
      </c>
      <c r="L496" s="3" t="str">
        <f>IF($A496="","",IF(countif('Mens Lineup'!L$3:L1000,CONCATENATE("=",$A496))=0,"",L$2))</f>
        <v/>
      </c>
      <c r="M496" s="3" t="str">
        <f>IF($A496="","",IF(countif('Mens Lineup'!M$3:M1000,CONCATENATE("=",$A496))=0,"",M$2))</f>
        <v/>
      </c>
      <c r="N496" s="3" t="str">
        <f>IF($A496="","",IF(countif('Mens Lineup'!N$3:N1000,CONCATENATE("=",$A496))=0,"",N$2))</f>
        <v/>
      </c>
      <c r="O496" s="3" t="str">
        <f>IF($A496="","",IF(countif('Mens Lineup'!O$3:O1000,CONCATENATE("=",$A496))=0,"",O$2))</f>
        <v/>
      </c>
      <c r="P496" s="3" t="str">
        <f>IF($A496="","",IF(countif('Mens Lineup'!P$3:P1000,CONCATENATE("=",$A496))=0,"",P$2))</f>
        <v/>
      </c>
      <c r="Q496" s="3" t="str">
        <f>IF($A496="","",IF(countif('Mens Lineup'!Q$3:Q1000,CONCATENATE("=",$A496))=0,"",Q$2))</f>
        <v/>
      </c>
      <c r="R496" s="3" t="str">
        <f>IF($A496="","",IF(countif('Mens Lineup'!R$3:R1000,CONCATENATE("=",$A496))=0,"",R$2))</f>
        <v/>
      </c>
      <c r="S496" s="3" t="str">
        <f>IF($A496="","",IF(countif('Mens Lineup'!S$3:S1000,CONCATENATE("=",$A496))=0,"",S$2))</f>
        <v/>
      </c>
      <c r="W496" s="3" t="str">
        <f>IFERROR(__xludf.DUMMYFUNCTION("JOIN("","",FILTER(B496:S496,B496:S496&lt;&gt;""""))"),"#N/A")</f>
        <v>#N/A</v>
      </c>
    </row>
    <row r="497">
      <c r="A497" s="3"/>
      <c r="B497" s="3" t="str">
        <f>IF($A497="","",IF(countif('Mens Lineup'!B$3:B1000,CONCATENATE("=",$A497))=0,"",B$2))</f>
        <v/>
      </c>
      <c r="C497" s="3" t="str">
        <f>IF($A497="","",IF(countif('Mens Lineup'!C$3:C1000,CONCATENATE("=",$A497))=0,"",C$2))</f>
        <v/>
      </c>
      <c r="D497" s="3" t="str">
        <f>IF($A497="","",IF(countif('Mens Lineup'!D$3:D1000,CONCATENATE("=",$A497))=0,"",D$2))</f>
        <v/>
      </c>
      <c r="E497" s="3" t="str">
        <f>IF($A497="","",IF(countif('Mens Lineup'!E$3:E1000,CONCATENATE("=",$A497))=0,"",E$2))</f>
        <v/>
      </c>
      <c r="F497" s="3" t="str">
        <f>IF($A497="","",IF(countif('Mens Lineup'!F$3:F1000,CONCATENATE("=",$A497))=0,"",F$2))</f>
        <v/>
      </c>
      <c r="G497" s="3" t="str">
        <f>IF($A497="","",IF(countif('Mens Lineup'!G$3:G1000,CONCATENATE("=",$A497))=0,"",G$2))</f>
        <v/>
      </c>
      <c r="H497" s="3" t="str">
        <f>IF($A497="","",IF(countif('Mens Lineup'!H$3:H1000,CONCATENATE("=",$A497))=0,"",H$2))</f>
        <v/>
      </c>
      <c r="I497" s="3" t="str">
        <f>IF($A497="","",IF(countif('Mens Lineup'!I$3:I1000,CONCATENATE("=",$A497))=0,"",I$2))</f>
        <v/>
      </c>
      <c r="J497" s="3" t="str">
        <f>IF($A497="","",IF(countif('Mens Lineup'!J$3:J1000,CONCATENATE("=",$A497))=0,"",J$2))</f>
        <v/>
      </c>
      <c r="K497" s="3" t="str">
        <f>IF($A497="","",IF(countif('Mens Lineup'!K$3:K1000,CONCATENATE("=",$A497))=0,"",K$2))</f>
        <v/>
      </c>
      <c r="L497" s="3" t="str">
        <f>IF($A497="","",IF(countif('Mens Lineup'!L$3:L1000,CONCATENATE("=",$A497))=0,"",L$2))</f>
        <v/>
      </c>
      <c r="M497" s="3" t="str">
        <f>IF($A497="","",IF(countif('Mens Lineup'!M$3:M1000,CONCATENATE("=",$A497))=0,"",M$2))</f>
        <v/>
      </c>
      <c r="N497" s="3" t="str">
        <f>IF($A497="","",IF(countif('Mens Lineup'!N$3:N1000,CONCATENATE("=",$A497))=0,"",N$2))</f>
        <v/>
      </c>
      <c r="O497" s="3" t="str">
        <f>IF($A497="","",IF(countif('Mens Lineup'!O$3:O1000,CONCATENATE("=",$A497))=0,"",O$2))</f>
        <v/>
      </c>
      <c r="P497" s="3" t="str">
        <f>IF($A497="","",IF(countif('Mens Lineup'!P$3:P1000,CONCATENATE("=",$A497))=0,"",P$2))</f>
        <v/>
      </c>
      <c r="Q497" s="3" t="str">
        <f>IF($A497="","",IF(countif('Mens Lineup'!Q$3:Q1000,CONCATENATE("=",$A497))=0,"",Q$2))</f>
        <v/>
      </c>
      <c r="R497" s="3" t="str">
        <f>IF($A497="","",IF(countif('Mens Lineup'!R$3:R1000,CONCATENATE("=",$A497))=0,"",R$2))</f>
        <v/>
      </c>
      <c r="S497" s="3" t="str">
        <f>IF($A497="","",IF(countif('Mens Lineup'!S$3:S1000,CONCATENATE("=",$A497))=0,"",S$2))</f>
        <v/>
      </c>
      <c r="W497" s="3" t="str">
        <f>IFERROR(__xludf.DUMMYFUNCTION("JOIN("","",FILTER(B497:S497,B497:S497&lt;&gt;""""))"),"#N/A")</f>
        <v>#N/A</v>
      </c>
    </row>
    <row r="498">
      <c r="A498" s="3"/>
      <c r="B498" s="3" t="str">
        <f>IF($A498="","",IF(countif('Mens Lineup'!B$3:B1000,CONCATENATE("=",$A498))=0,"",B$2))</f>
        <v/>
      </c>
      <c r="C498" s="3" t="str">
        <f>IF($A498="","",IF(countif('Mens Lineup'!C$3:C1000,CONCATENATE("=",$A498))=0,"",C$2))</f>
        <v/>
      </c>
      <c r="D498" s="3" t="str">
        <f>IF($A498="","",IF(countif('Mens Lineup'!D$3:D1000,CONCATENATE("=",$A498))=0,"",D$2))</f>
        <v/>
      </c>
      <c r="E498" s="3" t="str">
        <f>IF($A498="","",IF(countif('Mens Lineup'!E$3:E1000,CONCATENATE("=",$A498))=0,"",E$2))</f>
        <v/>
      </c>
      <c r="F498" s="3" t="str">
        <f>IF($A498="","",IF(countif('Mens Lineup'!F$3:F1000,CONCATENATE("=",$A498))=0,"",F$2))</f>
        <v/>
      </c>
      <c r="G498" s="3" t="str">
        <f>IF($A498="","",IF(countif('Mens Lineup'!G$3:G1000,CONCATENATE("=",$A498))=0,"",G$2))</f>
        <v/>
      </c>
      <c r="H498" s="3" t="str">
        <f>IF($A498="","",IF(countif('Mens Lineup'!H$3:H1000,CONCATENATE("=",$A498))=0,"",H$2))</f>
        <v/>
      </c>
      <c r="I498" s="3" t="str">
        <f>IF($A498="","",IF(countif('Mens Lineup'!I$3:I1000,CONCATENATE("=",$A498))=0,"",I$2))</f>
        <v/>
      </c>
      <c r="J498" s="3" t="str">
        <f>IF($A498="","",IF(countif('Mens Lineup'!J$3:J1000,CONCATENATE("=",$A498))=0,"",J$2))</f>
        <v/>
      </c>
      <c r="K498" s="3" t="str">
        <f>IF($A498="","",IF(countif('Mens Lineup'!K$3:K1000,CONCATENATE("=",$A498))=0,"",K$2))</f>
        <v/>
      </c>
      <c r="L498" s="3" t="str">
        <f>IF($A498="","",IF(countif('Mens Lineup'!L$3:L1000,CONCATENATE("=",$A498))=0,"",L$2))</f>
        <v/>
      </c>
      <c r="M498" s="3" t="str">
        <f>IF($A498="","",IF(countif('Mens Lineup'!M$3:M1000,CONCATENATE("=",$A498))=0,"",M$2))</f>
        <v/>
      </c>
      <c r="N498" s="3" t="str">
        <f>IF($A498="","",IF(countif('Mens Lineup'!N$3:N1000,CONCATENATE("=",$A498))=0,"",N$2))</f>
        <v/>
      </c>
      <c r="O498" s="3" t="str">
        <f>IF($A498="","",IF(countif('Mens Lineup'!O$3:O1000,CONCATENATE("=",$A498))=0,"",O$2))</f>
        <v/>
      </c>
      <c r="P498" s="3" t="str">
        <f>IF($A498="","",IF(countif('Mens Lineup'!P$3:P1000,CONCATENATE("=",$A498))=0,"",P$2))</f>
        <v/>
      </c>
      <c r="Q498" s="3" t="str">
        <f>IF($A498="","",IF(countif('Mens Lineup'!Q$3:Q1000,CONCATENATE("=",$A498))=0,"",Q$2))</f>
        <v/>
      </c>
      <c r="R498" s="3" t="str">
        <f>IF($A498="","",IF(countif('Mens Lineup'!R$3:R1000,CONCATENATE("=",$A498))=0,"",R$2))</f>
        <v/>
      </c>
      <c r="S498" s="3" t="str">
        <f>IF($A498="","",IF(countif('Mens Lineup'!S$3:S1000,CONCATENATE("=",$A498))=0,"",S$2))</f>
        <v/>
      </c>
      <c r="W498" s="3" t="str">
        <f>IFERROR(__xludf.DUMMYFUNCTION("JOIN("","",FILTER(B498:S498,B498:S498&lt;&gt;""""))"),"#N/A")</f>
        <v>#N/A</v>
      </c>
    </row>
    <row r="499">
      <c r="A499" s="3"/>
      <c r="B499" s="3" t="str">
        <f>IF($A499="","",IF(countif('Mens Lineup'!B$3:B1000,CONCATENATE("=",$A499))=0,"",B$2))</f>
        <v/>
      </c>
      <c r="C499" s="3" t="str">
        <f>IF($A499="","",IF(countif('Mens Lineup'!C$3:C1000,CONCATENATE("=",$A499))=0,"",C$2))</f>
        <v/>
      </c>
      <c r="D499" s="3" t="str">
        <f>IF($A499="","",IF(countif('Mens Lineup'!D$3:D1000,CONCATENATE("=",$A499))=0,"",D$2))</f>
        <v/>
      </c>
      <c r="E499" s="3" t="str">
        <f>IF($A499="","",IF(countif('Mens Lineup'!E$3:E1000,CONCATENATE("=",$A499))=0,"",E$2))</f>
        <v/>
      </c>
      <c r="F499" s="3" t="str">
        <f>IF($A499="","",IF(countif('Mens Lineup'!F$3:F1000,CONCATENATE("=",$A499))=0,"",F$2))</f>
        <v/>
      </c>
      <c r="G499" s="3" t="str">
        <f>IF($A499="","",IF(countif('Mens Lineup'!G$3:G1000,CONCATENATE("=",$A499))=0,"",G$2))</f>
        <v/>
      </c>
      <c r="H499" s="3" t="str">
        <f>IF($A499="","",IF(countif('Mens Lineup'!H$3:H1000,CONCATENATE("=",$A499))=0,"",H$2))</f>
        <v/>
      </c>
      <c r="I499" s="3" t="str">
        <f>IF($A499="","",IF(countif('Mens Lineup'!I$3:I1000,CONCATENATE("=",$A499))=0,"",I$2))</f>
        <v/>
      </c>
      <c r="J499" s="3" t="str">
        <f>IF($A499="","",IF(countif('Mens Lineup'!J$3:J1000,CONCATENATE("=",$A499))=0,"",J$2))</f>
        <v/>
      </c>
      <c r="K499" s="3" t="str">
        <f>IF($A499="","",IF(countif('Mens Lineup'!K$3:K1000,CONCATENATE("=",$A499))=0,"",K$2))</f>
        <v/>
      </c>
      <c r="L499" s="3" t="str">
        <f>IF($A499="","",IF(countif('Mens Lineup'!L$3:L1000,CONCATENATE("=",$A499))=0,"",L$2))</f>
        <v/>
      </c>
      <c r="M499" s="3" t="str">
        <f>IF($A499="","",IF(countif('Mens Lineup'!M$3:M1000,CONCATENATE("=",$A499))=0,"",M$2))</f>
        <v/>
      </c>
      <c r="N499" s="3" t="str">
        <f>IF($A499="","",IF(countif('Mens Lineup'!N$3:N1000,CONCATENATE("=",$A499))=0,"",N$2))</f>
        <v/>
      </c>
      <c r="O499" s="3" t="str">
        <f>IF($A499="","",IF(countif('Mens Lineup'!O$3:O1000,CONCATENATE("=",$A499))=0,"",O$2))</f>
        <v/>
      </c>
      <c r="P499" s="3" t="str">
        <f>IF($A499="","",IF(countif('Mens Lineup'!P$3:P1000,CONCATENATE("=",$A499))=0,"",P$2))</f>
        <v/>
      </c>
      <c r="Q499" s="3" t="str">
        <f>IF($A499="","",IF(countif('Mens Lineup'!Q$3:Q1000,CONCATENATE("=",$A499))=0,"",Q$2))</f>
        <v/>
      </c>
      <c r="R499" s="3" t="str">
        <f>IF($A499="","",IF(countif('Mens Lineup'!R$3:R1000,CONCATENATE("=",$A499))=0,"",R$2))</f>
        <v/>
      </c>
      <c r="S499" s="3" t="str">
        <f>IF($A499="","",IF(countif('Mens Lineup'!S$3:S1000,CONCATENATE("=",$A499))=0,"",S$2))</f>
        <v/>
      </c>
      <c r="W499" s="3" t="str">
        <f>IFERROR(__xludf.DUMMYFUNCTION("JOIN("","",FILTER(B499:S499,B499:S499&lt;&gt;""""))"),"#N/A")</f>
        <v>#N/A</v>
      </c>
    </row>
    <row r="500">
      <c r="A500" s="3"/>
      <c r="B500" s="3" t="str">
        <f>IF($A500="","",IF(countif('Mens Lineup'!B$3:B1000,CONCATENATE("=",$A500))=0,"",B$2))</f>
        <v/>
      </c>
      <c r="C500" s="3" t="str">
        <f>IF($A500="","",IF(countif('Mens Lineup'!C$3:C1000,CONCATENATE("=",$A500))=0,"",C$2))</f>
        <v/>
      </c>
      <c r="D500" s="3" t="str">
        <f>IF($A500="","",IF(countif('Mens Lineup'!D$3:D1000,CONCATENATE("=",$A500))=0,"",D$2))</f>
        <v/>
      </c>
      <c r="E500" s="3" t="str">
        <f>IF($A500="","",IF(countif('Mens Lineup'!E$3:E1000,CONCATENATE("=",$A500))=0,"",E$2))</f>
        <v/>
      </c>
      <c r="F500" s="3" t="str">
        <f>IF($A500="","",IF(countif('Mens Lineup'!F$3:F1000,CONCATENATE("=",$A500))=0,"",F$2))</f>
        <v/>
      </c>
      <c r="G500" s="3" t="str">
        <f>IF($A500="","",IF(countif('Mens Lineup'!G$3:G1000,CONCATENATE("=",$A500))=0,"",G$2))</f>
        <v/>
      </c>
      <c r="H500" s="3" t="str">
        <f>IF($A500="","",IF(countif('Mens Lineup'!H$3:H1000,CONCATENATE("=",$A500))=0,"",H$2))</f>
        <v/>
      </c>
      <c r="I500" s="3" t="str">
        <f>IF($A500="","",IF(countif('Mens Lineup'!I$3:I1000,CONCATENATE("=",$A500))=0,"",I$2))</f>
        <v/>
      </c>
      <c r="J500" s="3" t="str">
        <f>IF($A500="","",IF(countif('Mens Lineup'!J$3:J1000,CONCATENATE("=",$A500))=0,"",J$2))</f>
        <v/>
      </c>
      <c r="K500" s="3" t="str">
        <f>IF($A500="","",IF(countif('Mens Lineup'!K$3:K1000,CONCATENATE("=",$A500))=0,"",K$2))</f>
        <v/>
      </c>
      <c r="L500" s="3" t="str">
        <f>IF($A500="","",IF(countif('Mens Lineup'!L$3:L1000,CONCATENATE("=",$A500))=0,"",L$2))</f>
        <v/>
      </c>
      <c r="M500" s="3" t="str">
        <f>IF($A500="","",IF(countif('Mens Lineup'!M$3:M1000,CONCATENATE("=",$A500))=0,"",M$2))</f>
        <v/>
      </c>
      <c r="N500" s="3" t="str">
        <f>IF($A500="","",IF(countif('Mens Lineup'!N$3:N1000,CONCATENATE("=",$A500))=0,"",N$2))</f>
        <v/>
      </c>
      <c r="O500" s="3" t="str">
        <f>IF($A500="","",IF(countif('Mens Lineup'!O$3:O1000,CONCATENATE("=",$A500))=0,"",O$2))</f>
        <v/>
      </c>
      <c r="P500" s="3" t="str">
        <f>IF($A500="","",IF(countif('Mens Lineup'!P$3:P1000,CONCATENATE("=",$A500))=0,"",P$2))</f>
        <v/>
      </c>
      <c r="Q500" s="3" t="str">
        <f>IF($A500="","",IF(countif('Mens Lineup'!Q$3:Q1000,CONCATENATE("=",$A500))=0,"",Q$2))</f>
        <v/>
      </c>
      <c r="R500" s="3" t="str">
        <f>IF($A500="","",IF(countif('Mens Lineup'!R$3:R1000,CONCATENATE("=",$A500))=0,"",R$2))</f>
        <v/>
      </c>
      <c r="S500" s="3" t="str">
        <f>IF($A500="","",IF(countif('Mens Lineup'!S$3:S1000,CONCATENATE("=",$A500))=0,"",S$2))</f>
        <v/>
      </c>
      <c r="W500" s="3" t="str">
        <f>IFERROR(__xludf.DUMMYFUNCTION("JOIN("","",FILTER(B500:S500,B500:S500&lt;&gt;""""))"),"#N/A")</f>
        <v>#N/A</v>
      </c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7" t="s">
        <v>30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W2" s="7" t="s">
        <v>31</v>
      </c>
    </row>
    <row r="3">
      <c r="A3" s="3" t="str">
        <f t="array" ref="A3:A1000">'Womens Lineup'!W3:W1000</f>
        <v>Olivia Bray</v>
      </c>
      <c r="B3" s="3" t="str">
        <f>IF($A3="","",IF(countif('Womens Lineup'!B$3:B1000,CONCATENATE("=",$A3))=0,"",B$2))</f>
        <v>50 Free</v>
      </c>
      <c r="C3" s="3" t="str">
        <f>IF($A3="","",IF(countif('Womens Lineup'!C$3:C1000,CONCATENATE("=",$A3))=0,"",C$2))</f>
        <v>100 Free</v>
      </c>
      <c r="D3" s="3" t="str">
        <f>IF($A3="","",IF(countif('Womens Lineup'!D$3:D1000,CONCATENATE("=",$A3))=0,"",D$2))</f>
        <v/>
      </c>
      <c r="E3" s="3" t="str">
        <f>IF($A3="","",IF(countif('Womens Lineup'!E$3:E1000,CONCATENATE("=",$A3))=0,"",E$2))</f>
        <v/>
      </c>
      <c r="F3" s="3" t="str">
        <f>IF($A3="","",IF(countif('Womens Lineup'!F$3:F1000,CONCATENATE("=",$A3))=0,"",F$2))</f>
        <v/>
      </c>
      <c r="G3" s="3" t="str">
        <f>IF($A3="","",IF(countif('Womens Lineup'!G$3:G1000,CONCATENATE("=",$A3))=0,"",G$2))</f>
        <v>100 Back</v>
      </c>
      <c r="H3" s="3" t="str">
        <f>IF($A3="","",IF(countif('Womens Lineup'!H$3:H1000,CONCATENATE("=",$A3))=0,"",H$2))</f>
        <v/>
      </c>
      <c r="I3" s="3" t="str">
        <f>IF($A3="","",IF(countif('Womens Lineup'!I$3:I1000,CONCATENATE("=",$A3))=0,"",I$2))</f>
        <v/>
      </c>
      <c r="J3" s="3" t="str">
        <f>IF($A3="","",IF(countif('Womens Lineup'!J$3:J1000,CONCATENATE("=",$A3))=0,"",J$2))</f>
        <v/>
      </c>
      <c r="K3" s="3" t="str">
        <f>IF($A3="","",IF(countif('Womens Lineup'!K$3:K1000,CONCATENATE("=",$A3))=0,"",K$2))</f>
        <v>100 Fly</v>
      </c>
      <c r="L3" s="3" t="str">
        <f>IF($A3="","",IF(countif('Womens Lineup'!L$3:L1000,CONCATENATE("=",$A3))=0,"",L$2))</f>
        <v>200 Fly</v>
      </c>
      <c r="M3" s="3" t="str">
        <f>IF($A3="","",IF(countif('Womens Lineup'!M$3:M1000,CONCATENATE("=",$A3))=0,"",M$2))</f>
        <v/>
      </c>
      <c r="N3" s="3" t="str">
        <f>IF($A3="","",IF(countif('Womens Lineup'!N$3:N1000,CONCATENATE("=",$A3))=0,"",N$2))</f>
        <v/>
      </c>
      <c r="O3" s="3" t="str">
        <f>IF($A3="","",IF(countif('Womens Lineup'!O$3:O1000,CONCATENATE("=",$A3))=0,"",O$2))</f>
        <v/>
      </c>
      <c r="P3" s="3" t="str">
        <f>IF($A3="","",IF(countif('Womens Lineup'!P$3:P1000,CONCATENATE("=",$A3))=0,"",P$2))</f>
        <v/>
      </c>
      <c r="Q3" s="3" t="str">
        <f>IF($A3="","",IF(countif('Womens Lineup'!Q$3:Q1000,CONCATENATE("=",$A3))=0,"",Q$2))</f>
        <v/>
      </c>
      <c r="R3" s="3" t="str">
        <f>IF($A3="","",IF(countif('Womens Lineup'!R$3:R1000,CONCATENATE("=",$A3))=0,"",R$2))</f>
        <v/>
      </c>
      <c r="S3" s="3" t="str">
        <f>IF($A3="","",IF(countif('Womens Lineup'!S$3:S1000,CONCATENATE("=",$A3))=0,"",S$2))</f>
        <v/>
      </c>
      <c r="W3" s="3" t="str">
        <f>IFERROR(__xludf.DUMMYFUNCTION("JOIN("","",FILTER(B3:S3,B3:S3&lt;&gt;""""))"),"50 Free,100 Free,100 Back,100 Fly,200 Fly")</f>
        <v>50 Free,100 Free,100 Back,100 Fly,200 Fly</v>
      </c>
    </row>
    <row r="4">
      <c r="A4" s="3" t="s">
        <v>319</v>
      </c>
      <c r="B4" s="3" t="str">
        <f>IF($A4="","",IF(countif('Womens Lineup'!B$3:B1000,CONCATENATE("=",$A4))=0,"",B$2))</f>
        <v>50 Free</v>
      </c>
      <c r="C4" s="3" t="str">
        <f>IF($A4="","",IF(countif('Womens Lineup'!C$3:C1000,CONCATENATE("=",$A4))=0,"",C$2))</f>
        <v/>
      </c>
      <c r="D4" s="3" t="str">
        <f>IF($A4="","",IF(countif('Womens Lineup'!D$3:D1000,CONCATENATE("=",$A4))=0,"",D$2))</f>
        <v/>
      </c>
      <c r="E4" s="3" t="str">
        <f>IF($A4="","",IF(countif('Womens Lineup'!E$3:E1000,CONCATENATE("=",$A4))=0,"",E$2))</f>
        <v/>
      </c>
      <c r="F4" s="3" t="str">
        <f>IF($A4="","",IF(countif('Womens Lineup'!F$3:F1000,CONCATENATE("=",$A4))=0,"",F$2))</f>
        <v/>
      </c>
      <c r="G4" s="3" t="str">
        <f>IF($A4="","",IF(countif('Womens Lineup'!G$3:G1000,CONCATENATE("=",$A4))=0,"",G$2))</f>
        <v>100 Back</v>
      </c>
      <c r="H4" s="3" t="str">
        <f>IF($A4="","",IF(countif('Womens Lineup'!H$3:H1000,CONCATENATE("=",$A4))=0,"",H$2))</f>
        <v>200 Back</v>
      </c>
      <c r="I4" s="3" t="str">
        <f>IF($A4="","",IF(countif('Womens Lineup'!I$3:I1000,CONCATENATE("=",$A4))=0,"",I$2))</f>
        <v/>
      </c>
      <c r="J4" s="3" t="str">
        <f>IF($A4="","",IF(countif('Womens Lineup'!J$3:J1000,CONCATENATE("=",$A4))=0,"",J$2))</f>
        <v/>
      </c>
      <c r="K4" s="3" t="str">
        <f>IF($A4="","",IF(countif('Womens Lineup'!K$3:K1000,CONCATENATE("=",$A4))=0,"",K$2))</f>
        <v/>
      </c>
      <c r="L4" s="3" t="str">
        <f>IF($A4="","",IF(countif('Womens Lineup'!L$3:L1000,CONCATENATE("=",$A4))=0,"",L$2))</f>
        <v/>
      </c>
      <c r="M4" s="3" t="str">
        <f>IF($A4="","",IF(countif('Womens Lineup'!M$3:M1000,CONCATENATE("=",$A4))=0,"",M$2))</f>
        <v>200 IM</v>
      </c>
      <c r="N4" s="3" t="str">
        <f>IF($A4="","",IF(countif('Womens Lineup'!N$3:N1000,CONCATENATE("=",$A4))=0,"",N$2))</f>
        <v/>
      </c>
      <c r="O4" s="3" t="str">
        <f>IF($A4="","",IF(countif('Womens Lineup'!O$3:O1000,CONCATENATE("=",$A4))=0,"",O$2))</f>
        <v/>
      </c>
      <c r="P4" s="3" t="str">
        <f>IF($A4="","",IF(countif('Womens Lineup'!P$3:P1000,CONCATENATE("=",$A4))=0,"",P$2))</f>
        <v/>
      </c>
      <c r="Q4" s="3" t="str">
        <f>IF($A4="","",IF(countif('Womens Lineup'!Q$3:Q1000,CONCATENATE("=",$A4))=0,"",Q$2))</f>
        <v/>
      </c>
      <c r="R4" s="3" t="str">
        <f>IF($A4="","",IF(countif('Womens Lineup'!R$3:R1000,CONCATENATE("=",$A4))=0,"",R$2))</f>
        <v/>
      </c>
      <c r="S4" s="3" t="str">
        <f>IF($A4="","",IF(countif('Womens Lineup'!S$3:S1000,CONCATENATE("=",$A4))=0,"",S$2))</f>
        <v/>
      </c>
      <c r="W4" s="3" t="str">
        <f>IFERROR(__xludf.DUMMYFUNCTION("JOIN("","",FILTER(B4:S4,B4:S4&lt;&gt;""""))"),"50 Free,100 Back,200 Back,200 IM")</f>
        <v>50 Free,100 Back,200 Back,200 IM</v>
      </c>
    </row>
    <row r="5">
      <c r="A5" s="3" t="s">
        <v>320</v>
      </c>
      <c r="B5" s="3" t="str">
        <f>IF($A5="","",IF(countif('Womens Lineup'!B$3:B1000,CONCATENATE("=",$A5))=0,"",B$2))</f>
        <v>50 Free</v>
      </c>
      <c r="C5" s="3" t="str">
        <f>IF($A5="","",IF(countif('Womens Lineup'!C$3:C1000,CONCATENATE("=",$A5))=0,"",C$2))</f>
        <v>100 Free</v>
      </c>
      <c r="D5" s="3" t="str">
        <f>IF($A5="","",IF(countif('Womens Lineup'!D$3:D1000,CONCATENATE("=",$A5))=0,"",D$2))</f>
        <v/>
      </c>
      <c r="E5" s="3" t="str">
        <f>IF($A5="","",IF(countif('Womens Lineup'!E$3:E1000,CONCATENATE("=",$A5))=0,"",E$2))</f>
        <v/>
      </c>
      <c r="F5" s="3" t="str">
        <f>IF($A5="","",IF(countif('Womens Lineup'!F$3:F1000,CONCATENATE("=",$A5))=0,"",F$2))</f>
        <v>1650 Free</v>
      </c>
      <c r="G5" s="3" t="str">
        <f>IF($A5="","",IF(countif('Womens Lineup'!G$3:G1000,CONCATENATE("=",$A5))=0,"",G$2))</f>
        <v/>
      </c>
      <c r="H5" s="3" t="str">
        <f>IF($A5="","",IF(countif('Womens Lineup'!H$3:H1000,CONCATENATE("=",$A5))=0,"",H$2))</f>
        <v/>
      </c>
      <c r="I5" s="3" t="str">
        <f>IF($A5="","",IF(countif('Womens Lineup'!I$3:I1000,CONCATENATE("=",$A5))=0,"",I$2))</f>
        <v/>
      </c>
      <c r="J5" s="3" t="str">
        <f>IF($A5="","",IF(countif('Womens Lineup'!J$3:J1000,CONCATENATE("=",$A5))=0,"",J$2))</f>
        <v>200 Breast</v>
      </c>
      <c r="K5" s="3" t="str">
        <f>IF($A5="","",IF(countif('Womens Lineup'!K$3:K1000,CONCATENATE("=",$A5))=0,"",K$2))</f>
        <v/>
      </c>
      <c r="L5" s="3" t="str">
        <f>IF($A5="","",IF(countif('Womens Lineup'!L$3:L1000,CONCATENATE("=",$A5))=0,"",L$2))</f>
        <v/>
      </c>
      <c r="M5" s="3" t="str">
        <f>IF($A5="","",IF(countif('Womens Lineup'!M$3:M1000,CONCATENATE("=",$A5))=0,"",M$2))</f>
        <v/>
      </c>
      <c r="N5" s="3" t="str">
        <f>IF($A5="","",IF(countif('Womens Lineup'!N$3:N1000,CONCATENATE("=",$A5))=0,"",N$2))</f>
        <v>400 IM</v>
      </c>
      <c r="O5" s="3" t="str">
        <f>IF($A5="","",IF(countif('Womens Lineup'!O$3:O1000,CONCATENATE("=",$A5))=0,"",O$2))</f>
        <v>1000 Free</v>
      </c>
      <c r="P5" s="3" t="str">
        <f>IF($A5="","",IF(countif('Womens Lineup'!P$3:P1000,CONCATENATE("=",$A5))=0,"",P$2))</f>
        <v/>
      </c>
      <c r="Q5" s="3" t="str">
        <f>IF($A5="","",IF(countif('Womens Lineup'!Q$3:Q1000,CONCATENATE("=",$A5))=0,"",Q$2))</f>
        <v/>
      </c>
      <c r="R5" s="3" t="str">
        <f>IF($A5="","",IF(countif('Womens Lineup'!R$3:R1000,CONCATENATE("=",$A5))=0,"",R$2))</f>
        <v/>
      </c>
      <c r="S5" s="3" t="str">
        <f>IF($A5="","",IF(countif('Womens Lineup'!S$3:S1000,CONCATENATE("=",$A5))=0,"",S$2))</f>
        <v/>
      </c>
      <c r="W5" s="3" t="str">
        <f>IFERROR(__xludf.DUMMYFUNCTION("JOIN("","",FILTER(B5:S5,B5:S5&lt;&gt;""""))"),"50 Free,100 Free,1650 Free,200 Breast,400 IM,1000 Free")</f>
        <v>50 Free,100 Free,1650 Free,200 Breast,400 IM,1000 Free</v>
      </c>
    </row>
    <row r="6">
      <c r="A6" s="3" t="s">
        <v>321</v>
      </c>
      <c r="B6" s="3" t="str">
        <f>IF($A6="","",IF(countif('Womens Lineup'!B$3:B1000,CONCATENATE("=",$A6))=0,"",B$2))</f>
        <v>50 Free</v>
      </c>
      <c r="C6" s="3" t="str">
        <f>IF($A6="","",IF(countif('Womens Lineup'!C$3:C1000,CONCATENATE("=",$A6))=0,"",C$2))</f>
        <v>100 Free</v>
      </c>
      <c r="D6" s="3" t="str">
        <f>IF($A6="","",IF(countif('Womens Lineup'!D$3:D1000,CONCATENATE("=",$A6))=0,"",D$2))</f>
        <v/>
      </c>
      <c r="E6" s="3" t="str">
        <f>IF($A6="","",IF(countif('Womens Lineup'!E$3:E1000,CONCATENATE("=",$A6))=0,"",E$2))</f>
        <v/>
      </c>
      <c r="F6" s="3" t="str">
        <f>IF($A6="","",IF(countif('Womens Lineup'!F$3:F1000,CONCATENATE("=",$A6))=0,"",F$2))</f>
        <v/>
      </c>
      <c r="G6" s="3" t="str">
        <f>IF($A6="","",IF(countif('Womens Lineup'!G$3:G1000,CONCATENATE("=",$A6))=0,"",G$2))</f>
        <v>100 Back</v>
      </c>
      <c r="H6" s="3" t="str">
        <f>IF($A6="","",IF(countif('Womens Lineup'!H$3:H1000,CONCATENATE("=",$A6))=0,"",H$2))</f>
        <v/>
      </c>
      <c r="I6" s="3" t="str">
        <f>IF($A6="","",IF(countif('Womens Lineup'!I$3:I1000,CONCATENATE("=",$A6))=0,"",I$2))</f>
        <v>100 Breast</v>
      </c>
      <c r="J6" s="3" t="str">
        <f>IF($A6="","",IF(countif('Womens Lineup'!J$3:J1000,CONCATENATE("=",$A6))=0,"",J$2))</f>
        <v/>
      </c>
      <c r="K6" s="3" t="str">
        <f>IF($A6="","",IF(countif('Womens Lineup'!K$3:K1000,CONCATENATE("=",$A6))=0,"",K$2))</f>
        <v>100 Fly</v>
      </c>
      <c r="L6" s="3" t="str">
        <f>IF($A6="","",IF(countif('Womens Lineup'!L$3:L1000,CONCATENATE("=",$A6))=0,"",L$2))</f>
        <v/>
      </c>
      <c r="M6" s="3" t="str">
        <f>IF($A6="","",IF(countif('Womens Lineup'!M$3:M1000,CONCATENATE("=",$A6))=0,"",M$2))</f>
        <v>200 IM</v>
      </c>
      <c r="N6" s="3" t="str">
        <f>IF($A6="","",IF(countif('Womens Lineup'!N$3:N1000,CONCATENATE("=",$A6))=0,"",N$2))</f>
        <v/>
      </c>
      <c r="O6" s="3" t="str">
        <f>IF($A6="","",IF(countif('Womens Lineup'!O$3:O1000,CONCATENATE("=",$A6))=0,"",O$2))</f>
        <v/>
      </c>
      <c r="P6" s="3" t="str">
        <f>IF($A6="","",IF(countif('Womens Lineup'!P$3:P1000,CONCATENATE("=",$A6))=0,"",P$2))</f>
        <v/>
      </c>
      <c r="Q6" s="3" t="str">
        <f>IF($A6="","",IF(countif('Womens Lineup'!Q$3:Q1000,CONCATENATE("=",$A6))=0,"",Q$2))</f>
        <v/>
      </c>
      <c r="R6" s="3" t="str">
        <f>IF($A6="","",IF(countif('Womens Lineup'!R$3:R1000,CONCATENATE("=",$A6))=0,"",R$2))</f>
        <v/>
      </c>
      <c r="S6" s="3" t="str">
        <f>IF($A6="","",IF(countif('Womens Lineup'!S$3:S1000,CONCATENATE("=",$A6))=0,"",S$2))</f>
        <v/>
      </c>
      <c r="W6" s="3" t="str">
        <f>IFERROR(__xludf.DUMMYFUNCTION("JOIN("","",FILTER(B6:S6,B6:S6&lt;&gt;""""))"),"50 Free,100 Free,100 Back,100 Breast,100 Fly,200 IM")</f>
        <v>50 Free,100 Free,100 Back,100 Breast,100 Fly,200 IM</v>
      </c>
    </row>
    <row r="7">
      <c r="A7" s="3" t="s">
        <v>322</v>
      </c>
      <c r="B7" s="3" t="str">
        <f>IF($A7="","",IF(countif('Womens Lineup'!B$3:B1000,CONCATENATE("=",$A7))=0,"",B$2))</f>
        <v>50 Free</v>
      </c>
      <c r="C7" s="3" t="str">
        <f>IF($A7="","",IF(countif('Womens Lineup'!C$3:C1000,CONCATENATE("=",$A7))=0,"",C$2))</f>
        <v>100 Free</v>
      </c>
      <c r="D7" s="3" t="str">
        <f>IF($A7="","",IF(countif('Womens Lineup'!D$3:D1000,CONCATENATE("=",$A7))=0,"",D$2))</f>
        <v>200 Free</v>
      </c>
      <c r="E7" s="3" t="str">
        <f>IF($A7="","",IF(countif('Womens Lineup'!E$3:E1000,CONCATENATE("=",$A7))=0,"",E$2))</f>
        <v>500 Free</v>
      </c>
      <c r="F7" s="3" t="str">
        <f>IF($A7="","",IF(countif('Womens Lineup'!F$3:F1000,CONCATENATE("=",$A7))=0,"",F$2))</f>
        <v/>
      </c>
      <c r="G7" s="3" t="str">
        <f>IF($A7="","",IF(countif('Womens Lineup'!G$3:G1000,CONCATENATE("=",$A7))=0,"",G$2))</f>
        <v/>
      </c>
      <c r="H7" s="3" t="str">
        <f>IF($A7="","",IF(countif('Womens Lineup'!H$3:H1000,CONCATENATE("=",$A7))=0,"",H$2))</f>
        <v/>
      </c>
      <c r="I7" s="3" t="str">
        <f>IF($A7="","",IF(countif('Womens Lineup'!I$3:I1000,CONCATENATE("=",$A7))=0,"",I$2))</f>
        <v/>
      </c>
      <c r="J7" s="3" t="str">
        <f>IF($A7="","",IF(countif('Womens Lineup'!J$3:J1000,CONCATENATE("=",$A7))=0,"",J$2))</f>
        <v/>
      </c>
      <c r="K7" s="3" t="str">
        <f>IF($A7="","",IF(countif('Womens Lineup'!K$3:K1000,CONCATENATE("=",$A7))=0,"",K$2))</f>
        <v>100 Fly</v>
      </c>
      <c r="L7" s="3" t="str">
        <f>IF($A7="","",IF(countif('Womens Lineup'!L$3:L1000,CONCATENATE("=",$A7))=0,"",L$2))</f>
        <v/>
      </c>
      <c r="M7" s="3" t="str">
        <f>IF($A7="","",IF(countif('Womens Lineup'!M$3:M1000,CONCATENATE("=",$A7))=0,"",M$2))</f>
        <v>200 IM</v>
      </c>
      <c r="N7" s="3" t="str">
        <f>IF($A7="","",IF(countif('Womens Lineup'!N$3:N1000,CONCATENATE("=",$A7))=0,"",N$2))</f>
        <v/>
      </c>
      <c r="O7" s="3" t="str">
        <f>IF($A7="","",IF(countif('Womens Lineup'!O$3:O1000,CONCATENATE("=",$A7))=0,"",O$2))</f>
        <v/>
      </c>
      <c r="P7" s="3" t="str">
        <f>IF($A7="","",IF(countif('Womens Lineup'!P$3:P1000,CONCATENATE("=",$A7))=0,"",P$2))</f>
        <v/>
      </c>
      <c r="Q7" s="3" t="str">
        <f>IF($A7="","",IF(countif('Womens Lineup'!Q$3:Q1000,CONCATENATE("=",$A7))=0,"",Q$2))</f>
        <v/>
      </c>
      <c r="R7" s="3" t="str">
        <f>IF($A7="","",IF(countif('Womens Lineup'!R$3:R1000,CONCATENATE("=",$A7))=0,"",R$2))</f>
        <v/>
      </c>
      <c r="S7" s="3" t="str">
        <f>IF($A7="","",IF(countif('Womens Lineup'!S$3:S1000,CONCATENATE("=",$A7))=0,"",S$2))</f>
        <v/>
      </c>
      <c r="W7" s="3" t="str">
        <f>IFERROR(__xludf.DUMMYFUNCTION("JOIN("","",FILTER(B7:S7,B7:S7&lt;&gt;""""))"),"50 Free,100 Free,200 Free,500 Free,100 Fly,200 IM")</f>
        <v>50 Free,100 Free,200 Free,500 Free,100 Fly,200 IM</v>
      </c>
    </row>
    <row r="8">
      <c r="A8" s="3" t="s">
        <v>323</v>
      </c>
      <c r="B8" s="3" t="str">
        <f>IF($A8="","",IF(countif('Womens Lineup'!B$3:B1000,CONCATENATE("=",$A8))=0,"",B$2))</f>
        <v>50 Free</v>
      </c>
      <c r="C8" s="3" t="str">
        <f>IF($A8="","",IF(countif('Womens Lineup'!C$3:C1000,CONCATENATE("=",$A8))=0,"",C$2))</f>
        <v>100 Free</v>
      </c>
      <c r="D8" s="3" t="str">
        <f>IF($A8="","",IF(countif('Womens Lineup'!D$3:D1000,CONCATENATE("=",$A8))=0,"",D$2))</f>
        <v>200 Free</v>
      </c>
      <c r="E8" s="3" t="str">
        <f>IF($A8="","",IF(countif('Womens Lineup'!E$3:E1000,CONCATENATE("=",$A8))=0,"",E$2))</f>
        <v/>
      </c>
      <c r="F8" s="3" t="str">
        <f>IF($A8="","",IF(countif('Womens Lineup'!F$3:F1000,CONCATENATE("=",$A8))=0,"",F$2))</f>
        <v/>
      </c>
      <c r="G8" s="3" t="str">
        <f>IF($A8="","",IF(countif('Womens Lineup'!G$3:G1000,CONCATENATE("=",$A8))=0,"",G$2))</f>
        <v/>
      </c>
      <c r="H8" s="3" t="str">
        <f>IF($A8="","",IF(countif('Womens Lineup'!H$3:H1000,CONCATENATE("=",$A8))=0,"",H$2))</f>
        <v/>
      </c>
      <c r="I8" s="3" t="str">
        <f>IF($A8="","",IF(countif('Womens Lineup'!I$3:I1000,CONCATENATE("=",$A8))=0,"",I$2))</f>
        <v/>
      </c>
      <c r="J8" s="3" t="str">
        <f>IF($A8="","",IF(countif('Womens Lineup'!J$3:J1000,CONCATENATE("=",$A8))=0,"",J$2))</f>
        <v/>
      </c>
      <c r="K8" s="3" t="str">
        <f>IF($A8="","",IF(countif('Womens Lineup'!K$3:K1000,CONCATENATE("=",$A8))=0,"",K$2))</f>
        <v>100 Fly</v>
      </c>
      <c r="L8" s="3" t="str">
        <f>IF($A8="","",IF(countif('Womens Lineup'!L$3:L1000,CONCATENATE("=",$A8))=0,"",L$2))</f>
        <v>200 Fly</v>
      </c>
      <c r="M8" s="3" t="str">
        <f>IF($A8="","",IF(countif('Womens Lineup'!M$3:M1000,CONCATENATE("=",$A8))=0,"",M$2))</f>
        <v>200 IM</v>
      </c>
      <c r="N8" s="3" t="str">
        <f>IF($A8="","",IF(countif('Womens Lineup'!N$3:N1000,CONCATENATE("=",$A8))=0,"",N$2))</f>
        <v/>
      </c>
      <c r="O8" s="3" t="str">
        <f>IF($A8="","",IF(countif('Womens Lineup'!O$3:O1000,CONCATENATE("=",$A8))=0,"",O$2))</f>
        <v/>
      </c>
      <c r="P8" s="3" t="str">
        <f>IF($A8="","",IF(countif('Womens Lineup'!P$3:P1000,CONCATENATE("=",$A8))=0,"",P$2))</f>
        <v/>
      </c>
      <c r="Q8" s="3" t="str">
        <f>IF($A8="","",IF(countif('Womens Lineup'!Q$3:Q1000,CONCATENATE("=",$A8))=0,"",Q$2))</f>
        <v/>
      </c>
      <c r="R8" s="3" t="str">
        <f>IF($A8="","",IF(countif('Womens Lineup'!R$3:R1000,CONCATENATE("=",$A8))=0,"",R$2))</f>
        <v/>
      </c>
      <c r="S8" s="3" t="str">
        <f>IF($A8="","",IF(countif('Womens Lineup'!S$3:S1000,CONCATENATE("=",$A8))=0,"",S$2))</f>
        <v/>
      </c>
      <c r="W8" s="3" t="str">
        <f>IFERROR(__xludf.DUMMYFUNCTION("JOIN("","",FILTER(B8:S8,B8:S8&lt;&gt;""""))"),"50 Free,100 Free,200 Free,100 Fly,200 Fly,200 IM")</f>
        <v>50 Free,100 Free,200 Free,100 Fly,200 Fly,200 IM</v>
      </c>
    </row>
    <row r="9">
      <c r="A9" s="3" t="s">
        <v>324</v>
      </c>
      <c r="B9" s="3" t="str">
        <f>IF($A9="","",IF(countif('Womens Lineup'!B$3:B1000,CONCATENATE("=",$A9))=0,"",B$2))</f>
        <v>50 Free</v>
      </c>
      <c r="C9" s="3" t="str">
        <f>IF($A9="","",IF(countif('Womens Lineup'!C$3:C1000,CONCATENATE("=",$A9))=0,"",C$2))</f>
        <v>100 Free</v>
      </c>
      <c r="D9" s="3" t="str">
        <f>IF($A9="","",IF(countif('Womens Lineup'!D$3:D1000,CONCATENATE("=",$A9))=0,"",D$2))</f>
        <v>200 Free</v>
      </c>
      <c r="E9" s="3" t="str">
        <f>IF($A9="","",IF(countif('Womens Lineup'!E$3:E1000,CONCATENATE("=",$A9))=0,"",E$2))</f>
        <v>500 Free</v>
      </c>
      <c r="F9" s="3" t="str">
        <f>IF($A9="","",IF(countif('Womens Lineup'!F$3:F1000,CONCATENATE("=",$A9))=0,"",F$2))</f>
        <v/>
      </c>
      <c r="G9" s="3" t="str">
        <f>IF($A9="","",IF(countif('Womens Lineup'!G$3:G1000,CONCATENATE("=",$A9))=0,"",G$2))</f>
        <v>100 Back</v>
      </c>
      <c r="H9" s="3" t="str">
        <f>IF($A9="","",IF(countif('Womens Lineup'!H$3:H1000,CONCATENATE("=",$A9))=0,"",H$2))</f>
        <v>200 Back</v>
      </c>
      <c r="I9" s="3" t="str">
        <f>IF($A9="","",IF(countif('Womens Lineup'!I$3:I1000,CONCATENATE("=",$A9))=0,"",I$2))</f>
        <v/>
      </c>
      <c r="J9" s="3" t="str">
        <f>IF($A9="","",IF(countif('Womens Lineup'!J$3:J1000,CONCATENATE("=",$A9))=0,"",J$2))</f>
        <v/>
      </c>
      <c r="K9" s="3" t="str">
        <f>IF($A9="","",IF(countif('Womens Lineup'!K$3:K1000,CONCATENATE("=",$A9))=0,"",K$2))</f>
        <v/>
      </c>
      <c r="L9" s="3" t="str">
        <f>IF($A9="","",IF(countif('Womens Lineup'!L$3:L1000,CONCATENATE("=",$A9))=0,"",L$2))</f>
        <v/>
      </c>
      <c r="M9" s="3" t="str">
        <f>IF($A9="","",IF(countif('Womens Lineup'!M$3:M1000,CONCATENATE("=",$A9))=0,"",M$2))</f>
        <v/>
      </c>
      <c r="N9" s="3" t="str">
        <f>IF($A9="","",IF(countif('Womens Lineup'!N$3:N1000,CONCATENATE("=",$A9))=0,"",N$2))</f>
        <v/>
      </c>
      <c r="O9" s="3" t="str">
        <f>IF($A9="","",IF(countif('Womens Lineup'!O$3:O1000,CONCATENATE("=",$A9))=0,"",O$2))</f>
        <v/>
      </c>
      <c r="P9" s="3" t="str">
        <f>IF($A9="","",IF(countif('Womens Lineup'!P$3:P1000,CONCATENATE("=",$A9))=0,"",P$2))</f>
        <v/>
      </c>
      <c r="Q9" s="3" t="str">
        <f>IF($A9="","",IF(countif('Womens Lineup'!Q$3:Q1000,CONCATENATE("=",$A9))=0,"",Q$2))</f>
        <v/>
      </c>
      <c r="R9" s="3" t="str">
        <f>IF($A9="","",IF(countif('Womens Lineup'!R$3:R1000,CONCATENATE("=",$A9))=0,"",R$2))</f>
        <v/>
      </c>
      <c r="S9" s="3" t="str">
        <f>IF($A9="","",IF(countif('Womens Lineup'!S$3:S1000,CONCATENATE("=",$A9))=0,"",S$2))</f>
        <v/>
      </c>
      <c r="W9" s="3" t="str">
        <f>IFERROR(__xludf.DUMMYFUNCTION("JOIN("","",FILTER(B9:S9,B9:S9&lt;&gt;""""))"),"50 Free,100 Free,200 Free,500 Free,100 Back,200 Back")</f>
        <v>50 Free,100 Free,200 Free,500 Free,100 Back,200 Back</v>
      </c>
    </row>
    <row r="10">
      <c r="A10" s="3" t="s">
        <v>325</v>
      </c>
      <c r="B10" s="3" t="str">
        <f>IF($A10="","",IF(countif('Womens Lineup'!B$3:B1000,CONCATENATE("=",$A10))=0,"",B$2))</f>
        <v>50 Free</v>
      </c>
      <c r="C10" s="3" t="str">
        <f>IF($A10="","",IF(countif('Womens Lineup'!C$3:C1000,CONCATENATE("=",$A10))=0,"",C$2))</f>
        <v>100 Free</v>
      </c>
      <c r="D10" s="3" t="str">
        <f>IF($A10="","",IF(countif('Womens Lineup'!D$3:D1000,CONCATENATE("=",$A10))=0,"",D$2))</f>
        <v>200 Free</v>
      </c>
      <c r="E10" s="3" t="str">
        <f>IF($A10="","",IF(countif('Womens Lineup'!E$3:E1000,CONCATENATE("=",$A10))=0,"",E$2))</f>
        <v/>
      </c>
      <c r="F10" s="3" t="str">
        <f>IF($A10="","",IF(countif('Womens Lineup'!F$3:F1000,CONCATENATE("=",$A10))=0,"",F$2))</f>
        <v/>
      </c>
      <c r="G10" s="3" t="str">
        <f>IF($A10="","",IF(countif('Womens Lineup'!G$3:G1000,CONCATENATE("=",$A10))=0,"",G$2))</f>
        <v/>
      </c>
      <c r="H10" s="3" t="str">
        <f>IF($A10="","",IF(countif('Womens Lineup'!H$3:H1000,CONCATENATE("=",$A10))=0,"",H$2))</f>
        <v/>
      </c>
      <c r="I10" s="3" t="str">
        <f>IF($A10="","",IF(countif('Womens Lineup'!I$3:I1000,CONCATENATE("=",$A10))=0,"",I$2))</f>
        <v>100 Breast</v>
      </c>
      <c r="J10" s="3" t="str">
        <f>IF($A10="","",IF(countif('Womens Lineup'!J$3:J1000,CONCATENATE("=",$A10))=0,"",J$2))</f>
        <v>200 Breast</v>
      </c>
      <c r="K10" s="3" t="str">
        <f>IF($A10="","",IF(countif('Womens Lineup'!K$3:K1000,CONCATENATE("=",$A10))=0,"",K$2))</f>
        <v/>
      </c>
      <c r="L10" s="3" t="str">
        <f>IF($A10="","",IF(countif('Womens Lineup'!L$3:L1000,CONCATENATE("=",$A10))=0,"",L$2))</f>
        <v/>
      </c>
      <c r="M10" s="3" t="str">
        <f>IF($A10="","",IF(countif('Womens Lineup'!M$3:M1000,CONCATENATE("=",$A10))=0,"",M$2))</f>
        <v>200 IM</v>
      </c>
      <c r="N10" s="3" t="str">
        <f>IF($A10="","",IF(countif('Womens Lineup'!N$3:N1000,CONCATENATE("=",$A10))=0,"",N$2))</f>
        <v/>
      </c>
      <c r="O10" s="3" t="str">
        <f>IF($A10="","",IF(countif('Womens Lineup'!O$3:O1000,CONCATENATE("=",$A10))=0,"",O$2))</f>
        <v/>
      </c>
      <c r="P10" s="3" t="str">
        <f>IF($A10="","",IF(countif('Womens Lineup'!P$3:P1000,CONCATENATE("=",$A10))=0,"",P$2))</f>
        <v/>
      </c>
      <c r="Q10" s="3" t="str">
        <f>IF($A10="","",IF(countif('Womens Lineup'!Q$3:Q1000,CONCATENATE("=",$A10))=0,"",Q$2))</f>
        <v/>
      </c>
      <c r="R10" s="3" t="str">
        <f>IF($A10="","",IF(countif('Womens Lineup'!R$3:R1000,CONCATENATE("=",$A10))=0,"",R$2))</f>
        <v/>
      </c>
      <c r="S10" s="3" t="str">
        <f>IF($A10="","",IF(countif('Womens Lineup'!S$3:S1000,CONCATENATE("=",$A10))=0,"",S$2))</f>
        <v/>
      </c>
      <c r="W10" s="3" t="str">
        <f>IFERROR(__xludf.DUMMYFUNCTION("JOIN("","",FILTER(B10:S10,B10:S10&lt;&gt;""""))"),"50 Free,100 Free,200 Free,100 Breast,200 Breast,200 IM")</f>
        <v>50 Free,100 Free,200 Free,100 Breast,200 Breast,200 IM</v>
      </c>
    </row>
    <row r="11">
      <c r="A11" s="3" t="s">
        <v>326</v>
      </c>
      <c r="B11" s="3" t="str">
        <f>IF($A11="","",IF(countif('Womens Lineup'!B$3:B1000,CONCATENATE("=",$A11))=0,"",B$2))</f>
        <v>50 Free</v>
      </c>
      <c r="C11" s="3" t="str">
        <f>IF($A11="","",IF(countif('Womens Lineup'!C$3:C1000,CONCATENATE("=",$A11))=0,"",C$2))</f>
        <v>100 Free</v>
      </c>
      <c r="D11" s="3" t="str">
        <f>IF($A11="","",IF(countif('Womens Lineup'!D$3:D1000,CONCATENATE("=",$A11))=0,"",D$2))</f>
        <v>200 Free</v>
      </c>
      <c r="E11" s="3" t="str">
        <f>IF($A11="","",IF(countif('Womens Lineup'!E$3:E1000,CONCATENATE("=",$A11))=0,"",E$2))</f>
        <v>500 Free</v>
      </c>
      <c r="F11" s="3" t="str">
        <f>IF($A11="","",IF(countif('Womens Lineup'!F$3:F1000,CONCATENATE("=",$A11))=0,"",F$2))</f>
        <v/>
      </c>
      <c r="G11" s="3" t="str">
        <f>IF($A11="","",IF(countif('Womens Lineup'!G$3:G1000,CONCATENATE("=",$A11))=0,"",G$2))</f>
        <v/>
      </c>
      <c r="H11" s="3" t="str">
        <f>IF($A11="","",IF(countif('Womens Lineup'!H$3:H1000,CONCATENATE("=",$A11))=0,"",H$2))</f>
        <v>200 Back</v>
      </c>
      <c r="I11" s="3" t="str">
        <f>IF($A11="","",IF(countif('Womens Lineup'!I$3:I1000,CONCATENATE("=",$A11))=0,"",I$2))</f>
        <v/>
      </c>
      <c r="J11" s="3" t="str">
        <f>IF($A11="","",IF(countif('Womens Lineup'!J$3:J1000,CONCATENATE("=",$A11))=0,"",J$2))</f>
        <v/>
      </c>
      <c r="K11" s="3" t="str">
        <f>IF($A11="","",IF(countif('Womens Lineup'!K$3:K1000,CONCATENATE("=",$A11))=0,"",K$2))</f>
        <v>100 Fly</v>
      </c>
      <c r="L11" s="3" t="str">
        <f>IF($A11="","",IF(countif('Womens Lineup'!L$3:L1000,CONCATENATE("=",$A11))=0,"",L$2))</f>
        <v/>
      </c>
      <c r="M11" s="3" t="str">
        <f>IF($A11="","",IF(countif('Womens Lineup'!M$3:M1000,CONCATENATE("=",$A11))=0,"",M$2))</f>
        <v/>
      </c>
      <c r="N11" s="3" t="str">
        <f>IF($A11="","",IF(countif('Womens Lineup'!N$3:N1000,CONCATENATE("=",$A11))=0,"",N$2))</f>
        <v/>
      </c>
      <c r="O11" s="3" t="str">
        <f>IF($A11="","",IF(countif('Womens Lineup'!O$3:O1000,CONCATENATE("=",$A11))=0,"",O$2))</f>
        <v/>
      </c>
      <c r="P11" s="3" t="str">
        <f>IF($A11="","",IF(countif('Womens Lineup'!P$3:P1000,CONCATENATE("=",$A11))=0,"",P$2))</f>
        <v/>
      </c>
      <c r="Q11" s="3" t="str">
        <f>IF($A11="","",IF(countif('Womens Lineup'!Q$3:Q1000,CONCATENATE("=",$A11))=0,"",Q$2))</f>
        <v/>
      </c>
      <c r="R11" s="3" t="str">
        <f>IF($A11="","",IF(countif('Womens Lineup'!R$3:R1000,CONCATENATE("=",$A11))=0,"",R$2))</f>
        <v/>
      </c>
      <c r="S11" s="3" t="str">
        <f>IF($A11="","",IF(countif('Womens Lineup'!S$3:S1000,CONCATENATE("=",$A11))=0,"",S$2))</f>
        <v/>
      </c>
      <c r="W11" s="3" t="str">
        <f>IFERROR(__xludf.DUMMYFUNCTION("JOIN("","",FILTER(B11:S11,B11:S11&lt;&gt;""""))"),"50 Free,100 Free,200 Free,500 Free,200 Back,100 Fly")</f>
        <v>50 Free,100 Free,200 Free,500 Free,200 Back,100 Fly</v>
      </c>
    </row>
    <row r="12">
      <c r="A12" s="3" t="s">
        <v>327</v>
      </c>
      <c r="B12" s="3" t="str">
        <f>IF($A12="","",IF(countif('Womens Lineup'!B$3:B1000,CONCATENATE("=",$A12))=0,"",B$2))</f>
        <v>50 Free</v>
      </c>
      <c r="C12" s="3" t="str">
        <f>IF($A12="","",IF(countif('Womens Lineup'!C$3:C1000,CONCATENATE("=",$A12))=0,"",C$2))</f>
        <v>100 Free</v>
      </c>
      <c r="D12" s="3" t="str">
        <f>IF($A12="","",IF(countif('Womens Lineup'!D$3:D1000,CONCATENATE("=",$A12))=0,"",D$2))</f>
        <v/>
      </c>
      <c r="E12" s="3" t="str">
        <f>IF($A12="","",IF(countif('Womens Lineup'!E$3:E1000,CONCATENATE("=",$A12))=0,"",E$2))</f>
        <v/>
      </c>
      <c r="F12" s="3" t="str">
        <f>IF($A12="","",IF(countif('Womens Lineup'!F$3:F1000,CONCATENATE("=",$A12))=0,"",F$2))</f>
        <v/>
      </c>
      <c r="G12" s="3" t="str">
        <f>IF($A12="","",IF(countif('Womens Lineup'!G$3:G1000,CONCATENATE("=",$A12))=0,"",G$2))</f>
        <v>100 Back</v>
      </c>
      <c r="H12" s="3" t="str">
        <f>IF($A12="","",IF(countif('Womens Lineup'!H$3:H1000,CONCATENATE("=",$A12))=0,"",H$2))</f>
        <v>200 Back</v>
      </c>
      <c r="I12" s="3" t="str">
        <f>IF($A12="","",IF(countif('Womens Lineup'!I$3:I1000,CONCATENATE("=",$A12))=0,"",I$2))</f>
        <v>100 Breast</v>
      </c>
      <c r="J12" s="3" t="str">
        <f>IF($A12="","",IF(countif('Womens Lineup'!J$3:J1000,CONCATENATE("=",$A12))=0,"",J$2))</f>
        <v/>
      </c>
      <c r="K12" s="3" t="str">
        <f>IF($A12="","",IF(countif('Womens Lineup'!K$3:K1000,CONCATENATE("=",$A12))=0,"",K$2))</f>
        <v>100 Fly</v>
      </c>
      <c r="L12" s="3" t="str">
        <f>IF($A12="","",IF(countif('Womens Lineup'!L$3:L1000,CONCATENATE("=",$A12))=0,"",L$2))</f>
        <v/>
      </c>
      <c r="M12" s="3" t="str">
        <f>IF($A12="","",IF(countif('Womens Lineup'!M$3:M1000,CONCATENATE("=",$A12))=0,"",M$2))</f>
        <v/>
      </c>
      <c r="N12" s="3" t="str">
        <f>IF($A12="","",IF(countif('Womens Lineup'!N$3:N1000,CONCATENATE("=",$A12))=0,"",N$2))</f>
        <v/>
      </c>
      <c r="O12" s="3" t="str">
        <f>IF($A12="","",IF(countif('Womens Lineup'!O$3:O1000,CONCATENATE("=",$A12))=0,"",O$2))</f>
        <v/>
      </c>
      <c r="P12" s="3" t="str">
        <f>IF($A12="","",IF(countif('Womens Lineup'!P$3:P1000,CONCATENATE("=",$A12))=0,"",P$2))</f>
        <v/>
      </c>
      <c r="Q12" s="3" t="str">
        <f>IF($A12="","",IF(countif('Womens Lineup'!Q$3:Q1000,CONCATENATE("=",$A12))=0,"",Q$2))</f>
        <v/>
      </c>
      <c r="R12" s="3" t="str">
        <f>IF($A12="","",IF(countif('Womens Lineup'!R$3:R1000,CONCATENATE("=",$A12))=0,"",R$2))</f>
        <v/>
      </c>
      <c r="S12" s="3" t="str">
        <f>IF($A12="","",IF(countif('Womens Lineup'!S$3:S1000,CONCATENATE("=",$A12))=0,"",S$2))</f>
        <v/>
      </c>
      <c r="W12" s="3" t="str">
        <f>IFERROR(__xludf.DUMMYFUNCTION("JOIN("","",FILTER(B12:S12,B12:S12&lt;&gt;""""))"),"50 Free,100 Free,100 Back,200 Back,100 Breast,100 Fly")</f>
        <v>50 Free,100 Free,100 Back,200 Back,100 Breast,100 Fly</v>
      </c>
    </row>
    <row r="13">
      <c r="A13" s="3" t="s">
        <v>328</v>
      </c>
      <c r="B13" s="3" t="str">
        <f>IF($A13="","",IF(countif('Womens Lineup'!B$3:B1000,CONCATENATE("=",$A13))=0,"",B$2))</f>
        <v>50 Free</v>
      </c>
      <c r="C13" s="3" t="str">
        <f>IF($A13="","",IF(countif('Womens Lineup'!C$3:C1000,CONCATENATE("=",$A13))=0,"",C$2))</f>
        <v>100 Free</v>
      </c>
      <c r="D13" s="3" t="str">
        <f>IF($A13="","",IF(countif('Womens Lineup'!D$3:D1000,CONCATENATE("=",$A13))=0,"",D$2))</f>
        <v>200 Free</v>
      </c>
      <c r="E13" s="3" t="str">
        <f>IF($A13="","",IF(countif('Womens Lineup'!E$3:E1000,CONCATENATE("=",$A13))=0,"",E$2))</f>
        <v/>
      </c>
      <c r="F13" s="3" t="str">
        <f>IF($A13="","",IF(countif('Womens Lineup'!F$3:F1000,CONCATENATE("=",$A13))=0,"",F$2))</f>
        <v/>
      </c>
      <c r="G13" s="3" t="str">
        <f>IF($A13="","",IF(countif('Womens Lineup'!G$3:G1000,CONCATENATE("=",$A13))=0,"",G$2))</f>
        <v>100 Back</v>
      </c>
      <c r="H13" s="3" t="str">
        <f>IF($A13="","",IF(countif('Womens Lineup'!H$3:H1000,CONCATENATE("=",$A13))=0,"",H$2))</f>
        <v>200 Back</v>
      </c>
      <c r="I13" s="3" t="str">
        <f>IF($A13="","",IF(countif('Womens Lineup'!I$3:I1000,CONCATENATE("=",$A13))=0,"",I$2))</f>
        <v/>
      </c>
      <c r="J13" s="3" t="str">
        <f>IF($A13="","",IF(countif('Womens Lineup'!J$3:J1000,CONCATENATE("=",$A13))=0,"",J$2))</f>
        <v/>
      </c>
      <c r="K13" s="3" t="str">
        <f>IF($A13="","",IF(countif('Womens Lineup'!K$3:K1000,CONCATENATE("=",$A13))=0,"",K$2))</f>
        <v>100 Fly</v>
      </c>
      <c r="L13" s="3" t="str">
        <f>IF($A13="","",IF(countif('Womens Lineup'!L$3:L1000,CONCATENATE("=",$A13))=0,"",L$2))</f>
        <v/>
      </c>
      <c r="M13" s="3" t="str">
        <f>IF($A13="","",IF(countif('Womens Lineup'!M$3:M1000,CONCATENATE("=",$A13))=0,"",M$2))</f>
        <v/>
      </c>
      <c r="N13" s="3" t="str">
        <f>IF($A13="","",IF(countif('Womens Lineup'!N$3:N1000,CONCATENATE("=",$A13))=0,"",N$2))</f>
        <v/>
      </c>
      <c r="O13" s="3" t="str">
        <f>IF($A13="","",IF(countif('Womens Lineup'!O$3:O1000,CONCATENATE("=",$A13))=0,"",O$2))</f>
        <v/>
      </c>
      <c r="P13" s="3" t="str">
        <f>IF($A13="","",IF(countif('Womens Lineup'!P$3:P1000,CONCATENATE("=",$A13))=0,"",P$2))</f>
        <v/>
      </c>
      <c r="Q13" s="3" t="str">
        <f>IF($A13="","",IF(countif('Womens Lineup'!Q$3:Q1000,CONCATENATE("=",$A13))=0,"",Q$2))</f>
        <v/>
      </c>
      <c r="R13" s="3" t="str">
        <f>IF($A13="","",IF(countif('Womens Lineup'!R$3:R1000,CONCATENATE("=",$A13))=0,"",R$2))</f>
        <v/>
      </c>
      <c r="S13" s="3" t="str">
        <f>IF($A13="","",IF(countif('Womens Lineup'!S$3:S1000,CONCATENATE("=",$A13))=0,"",S$2))</f>
        <v/>
      </c>
      <c r="W13" s="3" t="str">
        <f>IFERROR(__xludf.DUMMYFUNCTION("JOIN("","",FILTER(B13:S13,B13:S13&lt;&gt;""""))"),"50 Free,100 Free,200 Free,100 Back,200 Back,100 Fly")</f>
        <v>50 Free,100 Free,200 Free,100 Back,200 Back,100 Fly</v>
      </c>
    </row>
    <row r="14">
      <c r="A14" s="3" t="s">
        <v>329</v>
      </c>
      <c r="B14" s="3" t="str">
        <f>IF($A14="","",IF(countif('Womens Lineup'!B$3:B1000,CONCATENATE("=",$A14))=0,"",B$2))</f>
        <v>50 Free</v>
      </c>
      <c r="C14" s="3" t="str">
        <f>IF($A14="","",IF(countif('Womens Lineup'!C$3:C1000,CONCATENATE("=",$A14))=0,"",C$2))</f>
        <v/>
      </c>
      <c r="D14" s="3" t="str">
        <f>IF($A14="","",IF(countif('Womens Lineup'!D$3:D1000,CONCATENATE("=",$A14))=0,"",D$2))</f>
        <v/>
      </c>
      <c r="E14" s="3" t="str">
        <f>IF($A14="","",IF(countif('Womens Lineup'!E$3:E1000,CONCATENATE("=",$A14))=0,"",E$2))</f>
        <v/>
      </c>
      <c r="F14" s="3" t="str">
        <f>IF($A14="","",IF(countif('Womens Lineup'!F$3:F1000,CONCATENATE("=",$A14))=0,"",F$2))</f>
        <v/>
      </c>
      <c r="G14" s="3" t="str">
        <f>IF($A14="","",IF(countif('Womens Lineup'!G$3:G1000,CONCATENATE("=",$A14))=0,"",G$2))</f>
        <v>100 Back</v>
      </c>
      <c r="H14" s="3" t="str">
        <f>IF($A14="","",IF(countif('Womens Lineup'!H$3:H1000,CONCATENATE("=",$A14))=0,"",H$2))</f>
        <v>200 Back</v>
      </c>
      <c r="I14" s="3" t="str">
        <f>IF($A14="","",IF(countif('Womens Lineup'!I$3:I1000,CONCATENATE("=",$A14))=0,"",I$2))</f>
        <v>100 Breast</v>
      </c>
      <c r="J14" s="3" t="str">
        <f>IF($A14="","",IF(countif('Womens Lineup'!J$3:J1000,CONCATENATE("=",$A14))=0,"",J$2))</f>
        <v/>
      </c>
      <c r="K14" s="3" t="str">
        <f>IF($A14="","",IF(countif('Womens Lineup'!K$3:K1000,CONCATENATE("=",$A14))=0,"",K$2))</f>
        <v>100 Fly</v>
      </c>
      <c r="L14" s="3" t="str">
        <f>IF($A14="","",IF(countif('Womens Lineup'!L$3:L1000,CONCATENATE("=",$A14))=0,"",L$2))</f>
        <v/>
      </c>
      <c r="M14" s="3" t="str">
        <f>IF($A14="","",IF(countif('Womens Lineup'!M$3:M1000,CONCATENATE("=",$A14))=0,"",M$2))</f>
        <v>200 IM</v>
      </c>
      <c r="N14" s="3" t="str">
        <f>IF($A14="","",IF(countif('Womens Lineup'!N$3:N1000,CONCATENATE("=",$A14))=0,"",N$2))</f>
        <v/>
      </c>
      <c r="O14" s="3" t="str">
        <f>IF($A14="","",IF(countif('Womens Lineup'!O$3:O1000,CONCATENATE("=",$A14))=0,"",O$2))</f>
        <v/>
      </c>
      <c r="P14" s="3" t="str">
        <f>IF($A14="","",IF(countif('Womens Lineup'!P$3:P1000,CONCATENATE("=",$A14))=0,"",P$2))</f>
        <v/>
      </c>
      <c r="Q14" s="3" t="str">
        <f>IF($A14="","",IF(countif('Womens Lineup'!Q$3:Q1000,CONCATENATE("=",$A14))=0,"",Q$2))</f>
        <v/>
      </c>
      <c r="R14" s="3" t="str">
        <f>IF($A14="","",IF(countif('Womens Lineup'!R$3:R1000,CONCATENATE("=",$A14))=0,"",R$2))</f>
        <v/>
      </c>
      <c r="S14" s="3" t="str">
        <f>IF($A14="","",IF(countif('Womens Lineup'!S$3:S1000,CONCATENATE("=",$A14))=0,"",S$2))</f>
        <v/>
      </c>
      <c r="W14" s="3" t="str">
        <f>IFERROR(__xludf.DUMMYFUNCTION("JOIN("","",FILTER(B14:S14,B14:S14&lt;&gt;""""))"),"50 Free,100 Back,200 Back,100 Breast,100 Fly,200 IM")</f>
        <v>50 Free,100 Back,200 Back,100 Breast,100 Fly,200 IM</v>
      </c>
    </row>
    <row r="15">
      <c r="A15" s="3" t="s">
        <v>330</v>
      </c>
      <c r="B15" s="3" t="str">
        <f>IF($A15="","",IF(countif('Womens Lineup'!B$3:B1000,CONCATENATE("=",$A15))=0,"",B$2))</f>
        <v>50 Free</v>
      </c>
      <c r="C15" s="3" t="str">
        <f>IF($A15="","",IF(countif('Womens Lineup'!C$3:C1000,CONCATENATE("=",$A15))=0,"",C$2))</f>
        <v>100 Free</v>
      </c>
      <c r="D15" s="3" t="str">
        <f>IF($A15="","",IF(countif('Womens Lineup'!D$3:D1000,CONCATENATE("=",$A15))=0,"",D$2))</f>
        <v/>
      </c>
      <c r="E15" s="3" t="str">
        <f>IF($A15="","",IF(countif('Womens Lineup'!E$3:E1000,CONCATENATE("=",$A15))=0,"",E$2))</f>
        <v/>
      </c>
      <c r="F15" s="3" t="str">
        <f>IF($A15="","",IF(countif('Womens Lineup'!F$3:F1000,CONCATENATE("=",$A15))=0,"",F$2))</f>
        <v/>
      </c>
      <c r="G15" s="3" t="str">
        <f>IF($A15="","",IF(countif('Womens Lineup'!G$3:G1000,CONCATENATE("=",$A15))=0,"",G$2))</f>
        <v/>
      </c>
      <c r="H15" s="3" t="str">
        <f>IF($A15="","",IF(countif('Womens Lineup'!H$3:H1000,CONCATENATE("=",$A15))=0,"",H$2))</f>
        <v/>
      </c>
      <c r="I15" s="3" t="str">
        <f>IF($A15="","",IF(countif('Womens Lineup'!I$3:I1000,CONCATENATE("=",$A15))=0,"",I$2))</f>
        <v/>
      </c>
      <c r="J15" s="3" t="str">
        <f>IF($A15="","",IF(countif('Womens Lineup'!J$3:J1000,CONCATENATE("=",$A15))=0,"",J$2))</f>
        <v/>
      </c>
      <c r="K15" s="3" t="str">
        <f>IF($A15="","",IF(countif('Womens Lineup'!K$3:K1000,CONCATENATE("=",$A15))=0,"",K$2))</f>
        <v>100 Fly</v>
      </c>
      <c r="L15" s="3" t="str">
        <f>IF($A15="","",IF(countif('Womens Lineup'!L$3:L1000,CONCATENATE("=",$A15))=0,"",L$2))</f>
        <v>200 Fly</v>
      </c>
      <c r="M15" s="3" t="str">
        <f>IF($A15="","",IF(countif('Womens Lineup'!M$3:M1000,CONCATENATE("=",$A15))=0,"",M$2))</f>
        <v/>
      </c>
      <c r="N15" s="3" t="str">
        <f>IF($A15="","",IF(countif('Womens Lineup'!N$3:N1000,CONCATENATE("=",$A15))=0,"",N$2))</f>
        <v/>
      </c>
      <c r="O15" s="3" t="str">
        <f>IF($A15="","",IF(countif('Womens Lineup'!O$3:O1000,CONCATENATE("=",$A15))=0,"",O$2))</f>
        <v/>
      </c>
      <c r="P15" s="3" t="str">
        <f>IF($A15="","",IF(countif('Womens Lineup'!P$3:P1000,CONCATENATE("=",$A15))=0,"",P$2))</f>
        <v/>
      </c>
      <c r="Q15" s="3" t="str">
        <f>IF($A15="","",IF(countif('Womens Lineup'!Q$3:Q1000,CONCATENATE("=",$A15))=0,"",Q$2))</f>
        <v/>
      </c>
      <c r="R15" s="3" t="str">
        <f>IF($A15="","",IF(countif('Womens Lineup'!R$3:R1000,CONCATENATE("=",$A15))=0,"",R$2))</f>
        <v/>
      </c>
      <c r="S15" s="3" t="str">
        <f>IF($A15="","",IF(countif('Womens Lineup'!S$3:S1000,CONCATENATE("=",$A15))=0,"",S$2))</f>
        <v/>
      </c>
      <c r="W15" s="3" t="str">
        <f>IFERROR(__xludf.DUMMYFUNCTION("JOIN("","",FILTER(B15:S15,B15:S15&lt;&gt;""""))"),"50 Free,100 Free,100 Fly,200 Fly")</f>
        <v>50 Free,100 Free,100 Fly,200 Fly</v>
      </c>
    </row>
    <row r="16">
      <c r="A16" s="3" t="s">
        <v>331</v>
      </c>
      <c r="B16" s="3" t="str">
        <f>IF($A16="","",IF(countif('Womens Lineup'!B$3:B1000,CONCATENATE("=",$A16))=0,"",B$2))</f>
        <v>50 Free</v>
      </c>
      <c r="C16" s="3" t="str">
        <f>IF($A16="","",IF(countif('Womens Lineup'!C$3:C1000,CONCATENATE("=",$A16))=0,"",C$2))</f>
        <v>100 Free</v>
      </c>
      <c r="D16" s="3" t="str">
        <f>IF($A16="","",IF(countif('Womens Lineup'!D$3:D1000,CONCATENATE("=",$A16))=0,"",D$2))</f>
        <v>200 Free</v>
      </c>
      <c r="E16" s="3" t="str">
        <f>IF($A16="","",IF(countif('Womens Lineup'!E$3:E1000,CONCATENATE("=",$A16))=0,"",E$2))</f>
        <v>500 Free</v>
      </c>
      <c r="F16" s="3" t="str">
        <f>IF($A16="","",IF(countif('Womens Lineup'!F$3:F1000,CONCATENATE("=",$A16))=0,"",F$2))</f>
        <v/>
      </c>
      <c r="G16" s="3" t="str">
        <f>IF($A16="","",IF(countif('Womens Lineup'!G$3:G1000,CONCATENATE("=",$A16))=0,"",G$2))</f>
        <v/>
      </c>
      <c r="H16" s="3" t="str">
        <f>IF($A16="","",IF(countif('Womens Lineup'!H$3:H1000,CONCATENATE("=",$A16))=0,"",H$2))</f>
        <v/>
      </c>
      <c r="I16" s="3" t="str">
        <f>IF($A16="","",IF(countif('Womens Lineup'!I$3:I1000,CONCATENATE("=",$A16))=0,"",I$2))</f>
        <v/>
      </c>
      <c r="J16" s="3" t="str">
        <f>IF($A16="","",IF(countif('Womens Lineup'!J$3:J1000,CONCATENATE("=",$A16))=0,"",J$2))</f>
        <v/>
      </c>
      <c r="K16" s="3" t="str">
        <f>IF($A16="","",IF(countif('Womens Lineup'!K$3:K1000,CONCATENATE("=",$A16))=0,"",K$2))</f>
        <v>100 Fly</v>
      </c>
      <c r="L16" s="3" t="str">
        <f>IF($A16="","",IF(countif('Womens Lineup'!L$3:L1000,CONCATENATE("=",$A16))=0,"",L$2))</f>
        <v/>
      </c>
      <c r="M16" s="3" t="str">
        <f>IF($A16="","",IF(countif('Womens Lineup'!M$3:M1000,CONCATENATE("=",$A16))=0,"",M$2))</f>
        <v/>
      </c>
      <c r="N16" s="3" t="str">
        <f>IF($A16="","",IF(countif('Womens Lineup'!N$3:N1000,CONCATENATE("=",$A16))=0,"",N$2))</f>
        <v/>
      </c>
      <c r="O16" s="3" t="str">
        <f>IF($A16="","",IF(countif('Womens Lineup'!O$3:O1000,CONCATENATE("=",$A16))=0,"",O$2))</f>
        <v>1000 Free</v>
      </c>
      <c r="P16" s="3" t="str">
        <f>IF($A16="","",IF(countif('Womens Lineup'!P$3:P1000,CONCATENATE("=",$A16))=0,"",P$2))</f>
        <v/>
      </c>
      <c r="Q16" s="3" t="str">
        <f>IF($A16="","",IF(countif('Womens Lineup'!Q$3:Q1000,CONCATENATE("=",$A16))=0,"",Q$2))</f>
        <v/>
      </c>
      <c r="R16" s="3" t="str">
        <f>IF($A16="","",IF(countif('Womens Lineup'!R$3:R1000,CONCATENATE("=",$A16))=0,"",R$2))</f>
        <v/>
      </c>
      <c r="S16" s="3" t="str">
        <f>IF($A16="","",IF(countif('Womens Lineup'!S$3:S1000,CONCATENATE("=",$A16))=0,"",S$2))</f>
        <v/>
      </c>
      <c r="W16" s="3" t="str">
        <f>IFERROR(__xludf.DUMMYFUNCTION("JOIN("","",FILTER(B16:S16,B16:S16&lt;&gt;""""))"),"50 Free,100 Free,200 Free,500 Free,100 Fly,1000 Free")</f>
        <v>50 Free,100 Free,200 Free,500 Free,100 Fly,1000 Free</v>
      </c>
    </row>
    <row r="17">
      <c r="A17" s="3" t="s">
        <v>332</v>
      </c>
      <c r="B17" s="3" t="str">
        <f>IF($A17="","",IF(countif('Womens Lineup'!B$3:B1000,CONCATENATE("=",$A17))=0,"",B$2))</f>
        <v>50 Free</v>
      </c>
      <c r="C17" s="3" t="str">
        <f>IF($A17="","",IF(countif('Womens Lineup'!C$3:C1000,CONCATENATE("=",$A17))=0,"",C$2))</f>
        <v>100 Free</v>
      </c>
      <c r="D17" s="3" t="str">
        <f>IF($A17="","",IF(countif('Womens Lineup'!D$3:D1000,CONCATENATE("=",$A17))=0,"",D$2))</f>
        <v>200 Free</v>
      </c>
      <c r="E17" s="3" t="str">
        <f>IF($A17="","",IF(countif('Womens Lineup'!E$3:E1000,CONCATENATE("=",$A17))=0,"",E$2))</f>
        <v/>
      </c>
      <c r="F17" s="3" t="str">
        <f>IF($A17="","",IF(countif('Womens Lineup'!F$3:F1000,CONCATENATE("=",$A17))=0,"",F$2))</f>
        <v/>
      </c>
      <c r="G17" s="3" t="str">
        <f>IF($A17="","",IF(countif('Womens Lineup'!G$3:G1000,CONCATENATE("=",$A17))=0,"",G$2))</f>
        <v>100 Back</v>
      </c>
      <c r="H17" s="3" t="str">
        <f>IF($A17="","",IF(countif('Womens Lineup'!H$3:H1000,CONCATENATE("=",$A17))=0,"",H$2))</f>
        <v/>
      </c>
      <c r="I17" s="3" t="str">
        <f>IF($A17="","",IF(countif('Womens Lineup'!I$3:I1000,CONCATENATE("=",$A17))=0,"",I$2))</f>
        <v/>
      </c>
      <c r="J17" s="3" t="str">
        <f>IF($A17="","",IF(countif('Womens Lineup'!J$3:J1000,CONCATENATE("=",$A17))=0,"",J$2))</f>
        <v/>
      </c>
      <c r="K17" s="3" t="str">
        <f>IF($A17="","",IF(countif('Womens Lineup'!K$3:K1000,CONCATENATE("=",$A17))=0,"",K$2))</f>
        <v>100 Fly</v>
      </c>
      <c r="L17" s="3" t="str">
        <f>IF($A17="","",IF(countif('Womens Lineup'!L$3:L1000,CONCATENATE("=",$A17))=0,"",L$2))</f>
        <v>200 Fly</v>
      </c>
      <c r="M17" s="3" t="str">
        <f>IF($A17="","",IF(countif('Womens Lineup'!M$3:M1000,CONCATENATE("=",$A17))=0,"",M$2))</f>
        <v/>
      </c>
      <c r="N17" s="3" t="str">
        <f>IF($A17="","",IF(countif('Womens Lineup'!N$3:N1000,CONCATENATE("=",$A17))=0,"",N$2))</f>
        <v/>
      </c>
      <c r="O17" s="3" t="str">
        <f>IF($A17="","",IF(countif('Womens Lineup'!O$3:O1000,CONCATENATE("=",$A17))=0,"",O$2))</f>
        <v/>
      </c>
      <c r="P17" s="3" t="str">
        <f>IF($A17="","",IF(countif('Womens Lineup'!P$3:P1000,CONCATENATE("=",$A17))=0,"",P$2))</f>
        <v/>
      </c>
      <c r="Q17" s="3" t="str">
        <f>IF($A17="","",IF(countif('Womens Lineup'!Q$3:Q1000,CONCATENATE("=",$A17))=0,"",Q$2))</f>
        <v/>
      </c>
      <c r="R17" s="3" t="str">
        <f>IF($A17="","",IF(countif('Womens Lineup'!R$3:R1000,CONCATENATE("=",$A17))=0,"",R$2))</f>
        <v/>
      </c>
      <c r="S17" s="3" t="str">
        <f>IF($A17="","",IF(countif('Womens Lineup'!S$3:S1000,CONCATENATE("=",$A17))=0,"",S$2))</f>
        <v/>
      </c>
      <c r="W17" s="3" t="str">
        <f>IFERROR(__xludf.DUMMYFUNCTION("JOIN("","",FILTER(B17:S17,B17:S17&lt;&gt;""""))"),"50 Free,100 Free,200 Free,100 Back,100 Fly,200 Fly")</f>
        <v>50 Free,100 Free,200 Free,100 Back,100 Fly,200 Fly</v>
      </c>
    </row>
    <row r="18">
      <c r="A18" s="3" t="s">
        <v>333</v>
      </c>
      <c r="B18" s="3" t="str">
        <f>IF($A18="","",IF(countif('Womens Lineup'!B$3:B1000,CONCATENATE("=",$A18))=0,"",B$2))</f>
        <v>50 Free</v>
      </c>
      <c r="C18" s="3" t="str">
        <f>IF($A18="","",IF(countif('Womens Lineup'!C$3:C1000,CONCATENATE("=",$A18))=0,"",C$2))</f>
        <v>100 Free</v>
      </c>
      <c r="D18" s="3" t="str">
        <f>IF($A18="","",IF(countif('Womens Lineup'!D$3:D1000,CONCATENATE("=",$A18))=0,"",D$2))</f>
        <v>200 Free</v>
      </c>
      <c r="E18" s="3" t="str">
        <f>IF($A18="","",IF(countif('Womens Lineup'!E$3:E1000,CONCATENATE("=",$A18))=0,"",E$2))</f>
        <v/>
      </c>
      <c r="F18" s="3" t="str">
        <f>IF($A18="","",IF(countif('Womens Lineup'!F$3:F1000,CONCATENATE("=",$A18))=0,"",F$2))</f>
        <v/>
      </c>
      <c r="G18" s="3" t="str">
        <f>IF($A18="","",IF(countif('Womens Lineup'!G$3:G1000,CONCATENATE("=",$A18))=0,"",G$2))</f>
        <v/>
      </c>
      <c r="H18" s="3" t="str">
        <f>IF($A18="","",IF(countif('Womens Lineup'!H$3:H1000,CONCATENATE("=",$A18))=0,"",H$2))</f>
        <v/>
      </c>
      <c r="I18" s="3" t="str">
        <f>IF($A18="","",IF(countif('Womens Lineup'!I$3:I1000,CONCATENATE("=",$A18))=0,"",I$2))</f>
        <v>100 Breast</v>
      </c>
      <c r="J18" s="3" t="str">
        <f>IF($A18="","",IF(countif('Womens Lineup'!J$3:J1000,CONCATENATE("=",$A18))=0,"",J$2))</f>
        <v>200 Breast</v>
      </c>
      <c r="K18" s="3" t="str">
        <f>IF($A18="","",IF(countif('Womens Lineup'!K$3:K1000,CONCATENATE("=",$A18))=0,"",K$2))</f>
        <v/>
      </c>
      <c r="L18" s="3" t="str">
        <f>IF($A18="","",IF(countif('Womens Lineup'!L$3:L1000,CONCATENATE("=",$A18))=0,"",L$2))</f>
        <v/>
      </c>
      <c r="M18" s="3" t="str">
        <f>IF($A18="","",IF(countif('Womens Lineup'!M$3:M1000,CONCATENATE("=",$A18))=0,"",M$2))</f>
        <v>200 IM</v>
      </c>
      <c r="N18" s="3" t="str">
        <f>IF($A18="","",IF(countif('Womens Lineup'!N$3:N1000,CONCATENATE("=",$A18))=0,"",N$2))</f>
        <v/>
      </c>
      <c r="O18" s="3" t="str">
        <f>IF($A18="","",IF(countif('Womens Lineup'!O$3:O1000,CONCATENATE("=",$A18))=0,"",O$2))</f>
        <v/>
      </c>
      <c r="P18" s="3" t="str">
        <f>IF($A18="","",IF(countif('Womens Lineup'!P$3:P1000,CONCATENATE("=",$A18))=0,"",P$2))</f>
        <v/>
      </c>
      <c r="Q18" s="3" t="str">
        <f>IF($A18="","",IF(countif('Womens Lineup'!Q$3:Q1000,CONCATENATE("=",$A18))=0,"",Q$2))</f>
        <v/>
      </c>
      <c r="R18" s="3" t="str">
        <f>IF($A18="","",IF(countif('Womens Lineup'!R$3:R1000,CONCATENATE("=",$A18))=0,"",R$2))</f>
        <v/>
      </c>
      <c r="S18" s="3" t="str">
        <f>IF($A18="","",IF(countif('Womens Lineup'!S$3:S1000,CONCATENATE("=",$A18))=0,"",S$2))</f>
        <v/>
      </c>
      <c r="W18" s="3" t="str">
        <f>IFERROR(__xludf.DUMMYFUNCTION("JOIN("","",FILTER(B18:S18,B18:S18&lt;&gt;""""))"),"50 Free,100 Free,200 Free,100 Breast,200 Breast,200 IM")</f>
        <v>50 Free,100 Free,200 Free,100 Breast,200 Breast,200 IM</v>
      </c>
    </row>
    <row r="19">
      <c r="A19" s="3" t="s">
        <v>334</v>
      </c>
      <c r="B19" s="3" t="str">
        <f>IF($A19="","",IF(countif('Womens Lineup'!B$3:B1000,CONCATENATE("=",$A19))=0,"",B$2))</f>
        <v>50 Free</v>
      </c>
      <c r="C19" s="3" t="str">
        <f>IF($A19="","",IF(countif('Womens Lineup'!C$3:C1000,CONCATENATE("=",$A19))=0,"",C$2))</f>
        <v>100 Free</v>
      </c>
      <c r="D19" s="3" t="str">
        <f>IF($A19="","",IF(countif('Womens Lineup'!D$3:D1000,CONCATENATE("=",$A19))=0,"",D$2))</f>
        <v/>
      </c>
      <c r="E19" s="3" t="str">
        <f>IF($A19="","",IF(countif('Womens Lineup'!E$3:E1000,CONCATENATE("=",$A19))=0,"",E$2))</f>
        <v/>
      </c>
      <c r="F19" s="3" t="str">
        <f>IF($A19="","",IF(countif('Womens Lineup'!F$3:F1000,CONCATENATE("=",$A19))=0,"",F$2))</f>
        <v/>
      </c>
      <c r="G19" s="3" t="str">
        <f>IF($A19="","",IF(countif('Womens Lineup'!G$3:G1000,CONCATENATE("=",$A19))=0,"",G$2))</f>
        <v/>
      </c>
      <c r="H19" s="3" t="str">
        <f>IF($A19="","",IF(countif('Womens Lineup'!H$3:H1000,CONCATENATE("=",$A19))=0,"",H$2))</f>
        <v/>
      </c>
      <c r="I19" s="3" t="str">
        <f>IF($A19="","",IF(countif('Womens Lineup'!I$3:I1000,CONCATENATE("=",$A19))=0,"",I$2))</f>
        <v>100 Breast</v>
      </c>
      <c r="J19" s="3" t="str">
        <f>IF($A19="","",IF(countif('Womens Lineup'!J$3:J1000,CONCATENATE("=",$A19))=0,"",J$2))</f>
        <v>200 Breast</v>
      </c>
      <c r="K19" s="3" t="str">
        <f>IF($A19="","",IF(countif('Womens Lineup'!K$3:K1000,CONCATENATE("=",$A19))=0,"",K$2))</f>
        <v/>
      </c>
      <c r="L19" s="3" t="str">
        <f>IF($A19="","",IF(countif('Womens Lineup'!L$3:L1000,CONCATENATE("=",$A19))=0,"",L$2))</f>
        <v/>
      </c>
      <c r="M19" s="3" t="str">
        <f>IF($A19="","",IF(countif('Womens Lineup'!M$3:M1000,CONCATENATE("=",$A19))=0,"",M$2))</f>
        <v>200 IM</v>
      </c>
      <c r="N19" s="3" t="str">
        <f>IF($A19="","",IF(countif('Womens Lineup'!N$3:N1000,CONCATENATE("=",$A19))=0,"",N$2))</f>
        <v/>
      </c>
      <c r="O19" s="3" t="str">
        <f>IF($A19="","",IF(countif('Womens Lineup'!O$3:O1000,CONCATENATE("=",$A19))=0,"",O$2))</f>
        <v/>
      </c>
      <c r="P19" s="3" t="str">
        <f>IF($A19="","",IF(countif('Womens Lineup'!P$3:P1000,CONCATENATE("=",$A19))=0,"",P$2))</f>
        <v/>
      </c>
      <c r="Q19" s="3" t="str">
        <f>IF($A19="","",IF(countif('Womens Lineup'!Q$3:Q1000,CONCATENATE("=",$A19))=0,"",Q$2))</f>
        <v/>
      </c>
      <c r="R19" s="3" t="str">
        <f>IF($A19="","",IF(countif('Womens Lineup'!R$3:R1000,CONCATENATE("=",$A19))=0,"",R$2))</f>
        <v/>
      </c>
      <c r="S19" s="3" t="str">
        <f>IF($A19="","",IF(countif('Womens Lineup'!S$3:S1000,CONCATENATE("=",$A19))=0,"",S$2))</f>
        <v/>
      </c>
      <c r="W19" s="3" t="str">
        <f>IFERROR(__xludf.DUMMYFUNCTION("JOIN("","",FILTER(B19:S19,B19:S19&lt;&gt;""""))"),"50 Free,100 Free,100 Breast,200 Breast,200 IM")</f>
        <v>50 Free,100 Free,100 Breast,200 Breast,200 IM</v>
      </c>
    </row>
    <row r="20">
      <c r="A20" s="3" t="s">
        <v>335</v>
      </c>
      <c r="B20" s="3" t="str">
        <f>IF($A20="","",IF(countif('Womens Lineup'!B$3:B1000,CONCATENATE("=",$A20))=0,"",B$2))</f>
        <v>50 Free</v>
      </c>
      <c r="C20" s="3" t="str">
        <f>IF($A20="","",IF(countif('Womens Lineup'!C$3:C1000,CONCATENATE("=",$A20))=0,"",C$2))</f>
        <v/>
      </c>
      <c r="D20" s="3" t="str">
        <f>IF($A20="","",IF(countif('Womens Lineup'!D$3:D1000,CONCATENATE("=",$A20))=0,"",D$2))</f>
        <v/>
      </c>
      <c r="E20" s="3" t="str">
        <f>IF($A20="","",IF(countif('Womens Lineup'!E$3:E1000,CONCATENATE("=",$A20))=0,"",E$2))</f>
        <v/>
      </c>
      <c r="F20" s="3" t="str">
        <f>IF($A20="","",IF(countif('Womens Lineup'!F$3:F1000,CONCATENATE("=",$A20))=0,"",F$2))</f>
        <v/>
      </c>
      <c r="G20" s="3" t="str">
        <f>IF($A20="","",IF(countif('Womens Lineup'!G$3:G1000,CONCATENATE("=",$A20))=0,"",G$2))</f>
        <v>100 Back</v>
      </c>
      <c r="H20" s="3" t="str">
        <f>IF($A20="","",IF(countif('Womens Lineup'!H$3:H1000,CONCATENATE("=",$A20))=0,"",H$2))</f>
        <v/>
      </c>
      <c r="I20" s="3" t="str">
        <f>IF($A20="","",IF(countif('Womens Lineup'!I$3:I1000,CONCATENATE("=",$A20))=0,"",I$2))</f>
        <v/>
      </c>
      <c r="J20" s="3" t="str">
        <f>IF($A20="","",IF(countif('Womens Lineup'!J$3:J1000,CONCATENATE("=",$A20))=0,"",J$2))</f>
        <v>200 Breast</v>
      </c>
      <c r="K20" s="3" t="str">
        <f>IF($A20="","",IF(countif('Womens Lineup'!K$3:K1000,CONCATENATE("=",$A20))=0,"",K$2))</f>
        <v/>
      </c>
      <c r="L20" s="3" t="str">
        <f>IF($A20="","",IF(countif('Womens Lineup'!L$3:L1000,CONCATENATE("=",$A20))=0,"",L$2))</f>
        <v/>
      </c>
      <c r="M20" s="3" t="str">
        <f>IF($A20="","",IF(countif('Womens Lineup'!M$3:M1000,CONCATENATE("=",$A20))=0,"",M$2))</f>
        <v/>
      </c>
      <c r="N20" s="3" t="str">
        <f>IF($A20="","",IF(countif('Womens Lineup'!N$3:N1000,CONCATENATE("=",$A20))=0,"",N$2))</f>
        <v/>
      </c>
      <c r="O20" s="3" t="str">
        <f>IF($A20="","",IF(countif('Womens Lineup'!O$3:O1000,CONCATENATE("=",$A20))=0,"",O$2))</f>
        <v/>
      </c>
      <c r="P20" s="3" t="str">
        <f>IF($A20="","",IF(countif('Womens Lineup'!P$3:P1000,CONCATENATE("=",$A20))=0,"",P$2))</f>
        <v/>
      </c>
      <c r="Q20" s="3" t="str">
        <f>IF($A20="","",IF(countif('Womens Lineup'!Q$3:Q1000,CONCATENATE("=",$A20))=0,"",Q$2))</f>
        <v/>
      </c>
      <c r="R20" s="3" t="str">
        <f>IF($A20="","",IF(countif('Womens Lineup'!R$3:R1000,CONCATENATE("=",$A20))=0,"",R$2))</f>
        <v/>
      </c>
      <c r="S20" s="3" t="str">
        <f>IF($A20="","",IF(countif('Womens Lineup'!S$3:S1000,CONCATENATE("=",$A20))=0,"",S$2))</f>
        <v/>
      </c>
      <c r="W20" s="3" t="str">
        <f>IFERROR(__xludf.DUMMYFUNCTION("JOIN("","",FILTER(B20:S20,B20:S20&lt;&gt;""""))"),"50 Free,100 Back,200 Breast")</f>
        <v>50 Free,100 Back,200 Breast</v>
      </c>
    </row>
    <row r="21">
      <c r="A21" s="3" t="s">
        <v>336</v>
      </c>
      <c r="B21" s="3" t="str">
        <f>IF($A21="","",IF(countif('Womens Lineup'!B$3:B1000,CONCATENATE("=",$A21))=0,"",B$2))</f>
        <v>50 Free</v>
      </c>
      <c r="C21" s="3" t="str">
        <f>IF($A21="","",IF(countif('Womens Lineup'!C$3:C1000,CONCATENATE("=",$A21))=0,"",C$2))</f>
        <v>100 Free</v>
      </c>
      <c r="D21" s="3" t="str">
        <f>IF($A21="","",IF(countif('Womens Lineup'!D$3:D1000,CONCATENATE("=",$A21))=0,"",D$2))</f>
        <v>200 Free</v>
      </c>
      <c r="E21" s="3" t="str">
        <f>IF($A21="","",IF(countif('Womens Lineup'!E$3:E1000,CONCATENATE("=",$A21))=0,"",E$2))</f>
        <v/>
      </c>
      <c r="F21" s="3" t="str">
        <f>IF($A21="","",IF(countif('Womens Lineup'!F$3:F1000,CONCATENATE("=",$A21))=0,"",F$2))</f>
        <v/>
      </c>
      <c r="G21" s="3" t="str">
        <f>IF($A21="","",IF(countif('Womens Lineup'!G$3:G1000,CONCATENATE("=",$A21))=0,"",G$2))</f>
        <v/>
      </c>
      <c r="H21" s="3" t="str">
        <f>IF($A21="","",IF(countif('Womens Lineup'!H$3:H1000,CONCATENATE("=",$A21))=0,"",H$2))</f>
        <v/>
      </c>
      <c r="I21" s="3" t="str">
        <f>IF($A21="","",IF(countif('Womens Lineup'!I$3:I1000,CONCATENATE("=",$A21))=0,"",I$2))</f>
        <v/>
      </c>
      <c r="J21" s="3" t="str">
        <f>IF($A21="","",IF(countif('Womens Lineup'!J$3:J1000,CONCATENATE("=",$A21))=0,"",J$2))</f>
        <v/>
      </c>
      <c r="K21" s="3" t="str">
        <f>IF($A21="","",IF(countif('Womens Lineup'!K$3:K1000,CONCATENATE("=",$A21))=0,"",K$2))</f>
        <v>100 Fly</v>
      </c>
      <c r="L21" s="3" t="str">
        <f>IF($A21="","",IF(countif('Womens Lineup'!L$3:L1000,CONCATENATE("=",$A21))=0,"",L$2))</f>
        <v/>
      </c>
      <c r="M21" s="3" t="str">
        <f>IF($A21="","",IF(countif('Womens Lineup'!M$3:M1000,CONCATENATE("=",$A21))=0,"",M$2))</f>
        <v/>
      </c>
      <c r="N21" s="3" t="str">
        <f>IF($A21="","",IF(countif('Womens Lineup'!N$3:N1000,CONCATENATE("=",$A21))=0,"",N$2))</f>
        <v/>
      </c>
      <c r="O21" s="3" t="str">
        <f>IF($A21="","",IF(countif('Womens Lineup'!O$3:O1000,CONCATENATE("=",$A21))=0,"",O$2))</f>
        <v/>
      </c>
      <c r="P21" s="3" t="str">
        <f>IF($A21="","",IF(countif('Womens Lineup'!P$3:P1000,CONCATENATE("=",$A21))=0,"",P$2))</f>
        <v/>
      </c>
      <c r="Q21" s="3" t="str">
        <f>IF($A21="","",IF(countif('Womens Lineup'!Q$3:Q1000,CONCATENATE("=",$A21))=0,"",Q$2))</f>
        <v/>
      </c>
      <c r="R21" s="3" t="str">
        <f>IF($A21="","",IF(countif('Womens Lineup'!R$3:R1000,CONCATENATE("=",$A21))=0,"",R$2))</f>
        <v/>
      </c>
      <c r="S21" s="3" t="str">
        <f>IF($A21="","",IF(countif('Womens Lineup'!S$3:S1000,CONCATENATE("=",$A21))=0,"",S$2))</f>
        <v/>
      </c>
      <c r="W21" s="3" t="str">
        <f>IFERROR(__xludf.DUMMYFUNCTION("JOIN("","",FILTER(B21:S21,B21:S21&lt;&gt;""""))"),"50 Free,100 Free,200 Free,100 Fly")</f>
        <v>50 Free,100 Free,200 Free,100 Fly</v>
      </c>
    </row>
    <row r="22">
      <c r="A22" s="3" t="s">
        <v>337</v>
      </c>
      <c r="B22" s="3" t="str">
        <f>IF($A22="","",IF(countif('Womens Lineup'!B$3:B1000,CONCATENATE("=",$A22))=0,"",B$2))</f>
        <v>50 Free</v>
      </c>
      <c r="C22" s="3" t="str">
        <f>IF($A22="","",IF(countif('Womens Lineup'!C$3:C1000,CONCATENATE("=",$A22))=0,"",C$2))</f>
        <v>100 Free</v>
      </c>
      <c r="D22" s="3" t="str">
        <f>IF($A22="","",IF(countif('Womens Lineup'!D$3:D1000,CONCATENATE("=",$A22))=0,"",D$2))</f>
        <v>200 Free</v>
      </c>
      <c r="E22" s="3" t="str">
        <f>IF($A22="","",IF(countif('Womens Lineup'!E$3:E1000,CONCATENATE("=",$A22))=0,"",E$2))</f>
        <v/>
      </c>
      <c r="F22" s="3" t="str">
        <f>IF($A22="","",IF(countif('Womens Lineup'!F$3:F1000,CONCATENATE("=",$A22))=0,"",F$2))</f>
        <v/>
      </c>
      <c r="G22" s="3" t="str">
        <f>IF($A22="","",IF(countif('Womens Lineup'!G$3:G1000,CONCATENATE("=",$A22))=0,"",G$2))</f>
        <v/>
      </c>
      <c r="H22" s="3" t="str">
        <f>IF($A22="","",IF(countif('Womens Lineup'!H$3:H1000,CONCATENATE("=",$A22))=0,"",H$2))</f>
        <v/>
      </c>
      <c r="I22" s="3" t="str">
        <f>IF($A22="","",IF(countif('Womens Lineup'!I$3:I1000,CONCATENATE("=",$A22))=0,"",I$2))</f>
        <v>100 Breast</v>
      </c>
      <c r="J22" s="3" t="str">
        <f>IF($A22="","",IF(countif('Womens Lineup'!J$3:J1000,CONCATENATE("=",$A22))=0,"",J$2))</f>
        <v>200 Breast</v>
      </c>
      <c r="K22" s="3" t="str">
        <f>IF($A22="","",IF(countif('Womens Lineup'!K$3:K1000,CONCATENATE("=",$A22))=0,"",K$2))</f>
        <v/>
      </c>
      <c r="L22" s="3" t="str">
        <f>IF($A22="","",IF(countif('Womens Lineup'!L$3:L1000,CONCATENATE("=",$A22))=0,"",L$2))</f>
        <v/>
      </c>
      <c r="M22" s="3" t="str">
        <f>IF($A22="","",IF(countif('Womens Lineup'!M$3:M1000,CONCATENATE("=",$A22))=0,"",M$2))</f>
        <v>200 IM</v>
      </c>
      <c r="N22" s="3" t="str">
        <f>IF($A22="","",IF(countif('Womens Lineup'!N$3:N1000,CONCATENATE("=",$A22))=0,"",N$2))</f>
        <v/>
      </c>
      <c r="O22" s="3" t="str">
        <f>IF($A22="","",IF(countif('Womens Lineup'!O$3:O1000,CONCATENATE("=",$A22))=0,"",O$2))</f>
        <v/>
      </c>
      <c r="P22" s="3" t="str">
        <f>IF($A22="","",IF(countif('Womens Lineup'!P$3:P1000,CONCATENATE("=",$A22))=0,"",P$2))</f>
        <v/>
      </c>
      <c r="Q22" s="3" t="str">
        <f>IF($A22="","",IF(countif('Womens Lineup'!Q$3:Q1000,CONCATENATE("=",$A22))=0,"",Q$2))</f>
        <v/>
      </c>
      <c r="R22" s="3" t="str">
        <f>IF($A22="","",IF(countif('Womens Lineup'!R$3:R1000,CONCATENATE("=",$A22))=0,"",R$2))</f>
        <v/>
      </c>
      <c r="S22" s="3" t="str">
        <f>IF($A22="","",IF(countif('Womens Lineup'!S$3:S1000,CONCATENATE("=",$A22))=0,"",S$2))</f>
        <v/>
      </c>
      <c r="W22" s="3" t="str">
        <f>IFERROR(__xludf.DUMMYFUNCTION("JOIN("","",FILTER(B22:S22,B22:S22&lt;&gt;""""))"),"50 Free,100 Free,200 Free,100 Breast,200 Breast,200 IM")</f>
        <v>50 Free,100 Free,200 Free,100 Breast,200 Breast,200 IM</v>
      </c>
    </row>
    <row r="23">
      <c r="A23" s="3" t="s">
        <v>338</v>
      </c>
      <c r="B23" s="3" t="str">
        <f>IF($A23="","",IF(countif('Womens Lineup'!B$3:B1000,CONCATENATE("=",$A23))=0,"",B$2))</f>
        <v>50 Free</v>
      </c>
      <c r="C23" s="3" t="str">
        <f>IF($A23="","",IF(countif('Womens Lineup'!C$3:C1000,CONCATENATE("=",$A23))=0,"",C$2))</f>
        <v/>
      </c>
      <c r="D23" s="3" t="str">
        <f>IF($A23="","",IF(countif('Womens Lineup'!D$3:D1000,CONCATENATE("=",$A23))=0,"",D$2))</f>
        <v/>
      </c>
      <c r="E23" s="3" t="str">
        <f>IF($A23="","",IF(countif('Womens Lineup'!E$3:E1000,CONCATENATE("=",$A23))=0,"",E$2))</f>
        <v>500 Free</v>
      </c>
      <c r="F23" s="3" t="str">
        <f>IF($A23="","",IF(countif('Womens Lineup'!F$3:F1000,CONCATENATE("=",$A23))=0,"",F$2))</f>
        <v/>
      </c>
      <c r="G23" s="3" t="str">
        <f>IF($A23="","",IF(countif('Womens Lineup'!G$3:G1000,CONCATENATE("=",$A23))=0,"",G$2))</f>
        <v/>
      </c>
      <c r="H23" s="3" t="str">
        <f>IF($A23="","",IF(countif('Womens Lineup'!H$3:H1000,CONCATENATE("=",$A23))=0,"",H$2))</f>
        <v>200 Back</v>
      </c>
      <c r="I23" s="3" t="str">
        <f>IF($A23="","",IF(countif('Womens Lineup'!I$3:I1000,CONCATENATE("=",$A23))=0,"",I$2))</f>
        <v>100 Breast</v>
      </c>
      <c r="J23" s="3" t="str">
        <f>IF($A23="","",IF(countif('Womens Lineup'!J$3:J1000,CONCATENATE("=",$A23))=0,"",J$2))</f>
        <v/>
      </c>
      <c r="K23" s="3" t="str">
        <f>IF($A23="","",IF(countif('Womens Lineup'!K$3:K1000,CONCATENATE("=",$A23))=0,"",K$2))</f>
        <v/>
      </c>
      <c r="L23" s="3" t="str">
        <f>IF($A23="","",IF(countif('Womens Lineup'!L$3:L1000,CONCATENATE("=",$A23))=0,"",L$2))</f>
        <v/>
      </c>
      <c r="M23" s="3" t="str">
        <f>IF($A23="","",IF(countif('Womens Lineup'!M$3:M1000,CONCATENATE("=",$A23))=0,"",M$2))</f>
        <v>200 IM</v>
      </c>
      <c r="N23" s="3" t="str">
        <f>IF($A23="","",IF(countif('Womens Lineup'!N$3:N1000,CONCATENATE("=",$A23))=0,"",N$2))</f>
        <v/>
      </c>
      <c r="O23" s="3" t="str">
        <f>IF($A23="","",IF(countif('Womens Lineup'!O$3:O1000,CONCATENATE("=",$A23))=0,"",O$2))</f>
        <v/>
      </c>
      <c r="P23" s="3" t="str">
        <f>IF($A23="","",IF(countif('Womens Lineup'!P$3:P1000,CONCATENATE("=",$A23))=0,"",P$2))</f>
        <v/>
      </c>
      <c r="Q23" s="3" t="str">
        <f>IF($A23="","",IF(countif('Womens Lineup'!Q$3:Q1000,CONCATENATE("=",$A23))=0,"",Q$2))</f>
        <v/>
      </c>
      <c r="R23" s="3" t="str">
        <f>IF($A23="","",IF(countif('Womens Lineup'!R$3:R1000,CONCATENATE("=",$A23))=0,"",R$2))</f>
        <v/>
      </c>
      <c r="S23" s="3" t="str">
        <f>IF($A23="","",IF(countif('Womens Lineup'!S$3:S1000,CONCATENATE("=",$A23))=0,"",S$2))</f>
        <v/>
      </c>
      <c r="W23" s="3" t="str">
        <f>IFERROR(__xludf.DUMMYFUNCTION("JOIN("","",FILTER(B23:S23,B23:S23&lt;&gt;""""))"),"50 Free,500 Free,200 Back,100 Breast,200 IM")</f>
        <v>50 Free,500 Free,200 Back,100 Breast,200 IM</v>
      </c>
    </row>
    <row r="24">
      <c r="A24" s="3" t="s">
        <v>339</v>
      </c>
      <c r="B24" s="3" t="str">
        <f>IF($A24="","",IF(countif('Womens Lineup'!B$3:B1000,CONCATENATE("=",$A24))=0,"",B$2))</f>
        <v>50 Free</v>
      </c>
      <c r="C24" s="3" t="str">
        <f>IF($A24="","",IF(countif('Womens Lineup'!C$3:C1000,CONCATENATE("=",$A24))=0,"",C$2))</f>
        <v>100 Free</v>
      </c>
      <c r="D24" s="3" t="str">
        <f>IF($A24="","",IF(countif('Womens Lineup'!D$3:D1000,CONCATENATE("=",$A24))=0,"",D$2))</f>
        <v>200 Free</v>
      </c>
      <c r="E24" s="3" t="str">
        <f>IF($A24="","",IF(countif('Womens Lineup'!E$3:E1000,CONCATENATE("=",$A24))=0,"",E$2))</f>
        <v/>
      </c>
      <c r="F24" s="3" t="str">
        <f>IF($A24="","",IF(countif('Womens Lineup'!F$3:F1000,CONCATENATE("=",$A24))=0,"",F$2))</f>
        <v/>
      </c>
      <c r="G24" s="3" t="str">
        <f>IF($A24="","",IF(countif('Womens Lineup'!G$3:G1000,CONCATENATE("=",$A24))=0,"",G$2))</f>
        <v>100 Back</v>
      </c>
      <c r="H24" s="3" t="str">
        <f>IF($A24="","",IF(countif('Womens Lineup'!H$3:H1000,CONCATENATE("=",$A24))=0,"",H$2))</f>
        <v/>
      </c>
      <c r="I24" s="3" t="str">
        <f>IF($A24="","",IF(countif('Womens Lineup'!I$3:I1000,CONCATENATE("=",$A24))=0,"",I$2))</f>
        <v/>
      </c>
      <c r="J24" s="3" t="str">
        <f>IF($A24="","",IF(countif('Womens Lineup'!J$3:J1000,CONCATENATE("=",$A24))=0,"",J$2))</f>
        <v/>
      </c>
      <c r="K24" s="3" t="str">
        <f>IF($A24="","",IF(countif('Womens Lineup'!K$3:K1000,CONCATENATE("=",$A24))=0,"",K$2))</f>
        <v>100 Fly</v>
      </c>
      <c r="L24" s="3" t="str">
        <f>IF($A24="","",IF(countif('Womens Lineup'!L$3:L1000,CONCATENATE("=",$A24))=0,"",L$2))</f>
        <v/>
      </c>
      <c r="M24" s="3" t="str">
        <f>IF($A24="","",IF(countif('Womens Lineup'!M$3:M1000,CONCATENATE("=",$A24))=0,"",M$2))</f>
        <v>200 IM</v>
      </c>
      <c r="N24" s="3" t="str">
        <f>IF($A24="","",IF(countif('Womens Lineup'!N$3:N1000,CONCATENATE("=",$A24))=0,"",N$2))</f>
        <v/>
      </c>
      <c r="O24" s="3" t="str">
        <f>IF($A24="","",IF(countif('Womens Lineup'!O$3:O1000,CONCATENATE("=",$A24))=0,"",O$2))</f>
        <v/>
      </c>
      <c r="P24" s="3" t="str">
        <f>IF($A24="","",IF(countif('Womens Lineup'!P$3:P1000,CONCATENATE("=",$A24))=0,"",P$2))</f>
        <v/>
      </c>
      <c r="Q24" s="3" t="str">
        <f>IF($A24="","",IF(countif('Womens Lineup'!Q$3:Q1000,CONCATENATE("=",$A24))=0,"",Q$2))</f>
        <v/>
      </c>
      <c r="R24" s="3" t="str">
        <f>IF($A24="","",IF(countif('Womens Lineup'!R$3:R1000,CONCATENATE("=",$A24))=0,"",R$2))</f>
        <v/>
      </c>
      <c r="S24" s="3" t="str">
        <f>IF($A24="","",IF(countif('Womens Lineup'!S$3:S1000,CONCATENATE("=",$A24))=0,"",S$2))</f>
        <v/>
      </c>
      <c r="W24" s="3" t="str">
        <f>IFERROR(__xludf.DUMMYFUNCTION("JOIN("","",FILTER(B24:S24,B24:S24&lt;&gt;""""))"),"50 Free,100 Free,200 Free,100 Back,100 Fly,200 IM")</f>
        <v>50 Free,100 Free,200 Free,100 Back,100 Fly,200 IM</v>
      </c>
    </row>
    <row r="25">
      <c r="A25" s="3" t="s">
        <v>340</v>
      </c>
      <c r="B25" s="3" t="str">
        <f>IF($A25="","",IF(countif('Womens Lineup'!B$3:B1000,CONCATENATE("=",$A25))=0,"",B$2))</f>
        <v>50 Free</v>
      </c>
      <c r="C25" s="3" t="str">
        <f>IF($A25="","",IF(countif('Womens Lineup'!C$3:C1000,CONCATENATE("=",$A25))=0,"",C$2))</f>
        <v>100 Free</v>
      </c>
      <c r="D25" s="3" t="str">
        <f>IF($A25="","",IF(countif('Womens Lineup'!D$3:D1000,CONCATENATE("=",$A25))=0,"",D$2))</f>
        <v/>
      </c>
      <c r="E25" s="3" t="str">
        <f>IF($A25="","",IF(countif('Womens Lineup'!E$3:E1000,CONCATENATE("=",$A25))=0,"",E$2))</f>
        <v/>
      </c>
      <c r="F25" s="3" t="str">
        <f>IF($A25="","",IF(countif('Womens Lineup'!F$3:F1000,CONCATENATE("=",$A25))=0,"",F$2))</f>
        <v/>
      </c>
      <c r="G25" s="3" t="str">
        <f>IF($A25="","",IF(countif('Womens Lineup'!G$3:G1000,CONCATENATE("=",$A25))=0,"",G$2))</f>
        <v>100 Back</v>
      </c>
      <c r="H25" s="3" t="str">
        <f>IF($A25="","",IF(countif('Womens Lineup'!H$3:H1000,CONCATENATE("=",$A25))=0,"",H$2))</f>
        <v>200 Back</v>
      </c>
      <c r="I25" s="3" t="str">
        <f>IF($A25="","",IF(countif('Womens Lineup'!I$3:I1000,CONCATENATE("=",$A25))=0,"",I$2))</f>
        <v>100 Breast</v>
      </c>
      <c r="J25" s="3" t="str">
        <f>IF($A25="","",IF(countif('Womens Lineup'!J$3:J1000,CONCATENATE("=",$A25))=0,"",J$2))</f>
        <v/>
      </c>
      <c r="K25" s="3" t="str">
        <f>IF($A25="","",IF(countif('Womens Lineup'!K$3:K1000,CONCATENATE("=",$A25))=0,"",K$2))</f>
        <v>100 Fly</v>
      </c>
      <c r="L25" s="3" t="str">
        <f>IF($A25="","",IF(countif('Womens Lineup'!L$3:L1000,CONCATENATE("=",$A25))=0,"",L$2))</f>
        <v/>
      </c>
      <c r="M25" s="3" t="str">
        <f>IF($A25="","",IF(countif('Womens Lineup'!M$3:M1000,CONCATENATE("=",$A25))=0,"",M$2))</f>
        <v/>
      </c>
      <c r="N25" s="3" t="str">
        <f>IF($A25="","",IF(countif('Womens Lineup'!N$3:N1000,CONCATENATE("=",$A25))=0,"",N$2))</f>
        <v/>
      </c>
      <c r="O25" s="3" t="str">
        <f>IF($A25="","",IF(countif('Womens Lineup'!O$3:O1000,CONCATENATE("=",$A25))=0,"",O$2))</f>
        <v/>
      </c>
      <c r="P25" s="3" t="str">
        <f>IF($A25="","",IF(countif('Womens Lineup'!P$3:P1000,CONCATENATE("=",$A25))=0,"",P$2))</f>
        <v/>
      </c>
      <c r="Q25" s="3" t="str">
        <f>IF($A25="","",IF(countif('Womens Lineup'!Q$3:Q1000,CONCATENATE("=",$A25))=0,"",Q$2))</f>
        <v/>
      </c>
      <c r="R25" s="3" t="str">
        <f>IF($A25="","",IF(countif('Womens Lineup'!R$3:R1000,CONCATENATE("=",$A25))=0,"",R$2))</f>
        <v/>
      </c>
      <c r="S25" s="3" t="str">
        <f>IF($A25="","",IF(countif('Womens Lineup'!S$3:S1000,CONCATENATE("=",$A25))=0,"",S$2))</f>
        <v/>
      </c>
      <c r="W25" s="3" t="str">
        <f>IFERROR(__xludf.DUMMYFUNCTION("JOIN("","",FILTER(B25:S25,B25:S25&lt;&gt;""""))"),"50 Free,100 Free,100 Back,200 Back,100 Breast,100 Fly")</f>
        <v>50 Free,100 Free,100 Back,200 Back,100 Breast,100 Fly</v>
      </c>
    </row>
    <row r="26">
      <c r="A26" s="3" t="s">
        <v>341</v>
      </c>
      <c r="B26" s="3" t="str">
        <f>IF($A26="","",IF(countif('Womens Lineup'!B$3:B1000,CONCATENATE("=",$A26))=0,"",B$2))</f>
        <v>50 Free</v>
      </c>
      <c r="C26" s="3" t="str">
        <f>IF($A26="","",IF(countif('Womens Lineup'!C$3:C1000,CONCATENATE("=",$A26))=0,"",C$2))</f>
        <v>100 Free</v>
      </c>
      <c r="D26" s="3" t="str">
        <f>IF($A26="","",IF(countif('Womens Lineup'!D$3:D1000,CONCATENATE("=",$A26))=0,"",D$2))</f>
        <v>200 Free</v>
      </c>
      <c r="E26" s="3" t="str">
        <f>IF($A26="","",IF(countif('Womens Lineup'!E$3:E1000,CONCATENATE("=",$A26))=0,"",E$2))</f>
        <v/>
      </c>
      <c r="F26" s="3" t="str">
        <f>IF($A26="","",IF(countif('Womens Lineup'!F$3:F1000,CONCATENATE("=",$A26))=0,"",F$2))</f>
        <v/>
      </c>
      <c r="G26" s="3" t="str">
        <f>IF($A26="","",IF(countif('Womens Lineup'!G$3:G1000,CONCATENATE("=",$A26))=0,"",G$2))</f>
        <v>100 Back</v>
      </c>
      <c r="H26" s="3" t="str">
        <f>IF($A26="","",IF(countif('Womens Lineup'!H$3:H1000,CONCATENATE("=",$A26))=0,"",H$2))</f>
        <v/>
      </c>
      <c r="I26" s="3" t="str">
        <f>IF($A26="","",IF(countif('Womens Lineup'!I$3:I1000,CONCATENATE("=",$A26))=0,"",I$2))</f>
        <v/>
      </c>
      <c r="J26" s="3" t="str">
        <f>IF($A26="","",IF(countif('Womens Lineup'!J$3:J1000,CONCATENATE("=",$A26))=0,"",J$2))</f>
        <v/>
      </c>
      <c r="K26" s="3" t="str">
        <f>IF($A26="","",IF(countif('Womens Lineup'!K$3:K1000,CONCATENATE("=",$A26))=0,"",K$2))</f>
        <v>100 Fly</v>
      </c>
      <c r="L26" s="3" t="str">
        <f>IF($A26="","",IF(countif('Womens Lineup'!L$3:L1000,CONCATENATE("=",$A26))=0,"",L$2))</f>
        <v/>
      </c>
      <c r="M26" s="3" t="str">
        <f>IF($A26="","",IF(countif('Womens Lineup'!M$3:M1000,CONCATENATE("=",$A26))=0,"",M$2))</f>
        <v>200 IM</v>
      </c>
      <c r="N26" s="3" t="str">
        <f>IF($A26="","",IF(countif('Womens Lineup'!N$3:N1000,CONCATENATE("=",$A26))=0,"",N$2))</f>
        <v/>
      </c>
      <c r="O26" s="3" t="str">
        <f>IF($A26="","",IF(countif('Womens Lineup'!O$3:O1000,CONCATENATE("=",$A26))=0,"",O$2))</f>
        <v/>
      </c>
      <c r="P26" s="3" t="str">
        <f>IF($A26="","",IF(countif('Womens Lineup'!P$3:P1000,CONCATENATE("=",$A26))=0,"",P$2))</f>
        <v/>
      </c>
      <c r="Q26" s="3" t="str">
        <f>IF($A26="","",IF(countif('Womens Lineup'!Q$3:Q1000,CONCATENATE("=",$A26))=0,"",Q$2))</f>
        <v/>
      </c>
      <c r="R26" s="3" t="str">
        <f>IF($A26="","",IF(countif('Womens Lineup'!R$3:R1000,CONCATENATE("=",$A26))=0,"",R$2))</f>
        <v/>
      </c>
      <c r="S26" s="3" t="str">
        <f>IF($A26="","",IF(countif('Womens Lineup'!S$3:S1000,CONCATENATE("=",$A26))=0,"",S$2))</f>
        <v/>
      </c>
      <c r="W26" s="3" t="str">
        <f>IFERROR(__xludf.DUMMYFUNCTION("JOIN("","",FILTER(B26:S26,B26:S26&lt;&gt;""""))"),"50 Free,100 Free,200 Free,100 Back,100 Fly,200 IM")</f>
        <v>50 Free,100 Free,200 Free,100 Back,100 Fly,200 IM</v>
      </c>
    </row>
    <row r="27">
      <c r="A27" s="3" t="s">
        <v>342</v>
      </c>
      <c r="B27" s="3" t="str">
        <f>IF($A27="","",IF(countif('Womens Lineup'!B$3:B1000,CONCATENATE("=",$A27))=0,"",B$2))</f>
        <v>50 Free</v>
      </c>
      <c r="C27" s="3" t="str">
        <f>IF($A27="","",IF(countif('Womens Lineup'!C$3:C1000,CONCATENATE("=",$A27))=0,"",C$2))</f>
        <v>100 Free</v>
      </c>
      <c r="D27" s="3" t="str">
        <f>IF($A27="","",IF(countif('Womens Lineup'!D$3:D1000,CONCATENATE("=",$A27))=0,"",D$2))</f>
        <v/>
      </c>
      <c r="E27" s="3" t="str">
        <f>IF($A27="","",IF(countif('Womens Lineup'!E$3:E1000,CONCATENATE("=",$A27))=0,"",E$2))</f>
        <v/>
      </c>
      <c r="F27" s="3" t="str">
        <f>IF($A27="","",IF(countif('Womens Lineup'!F$3:F1000,CONCATENATE("=",$A27))=0,"",F$2))</f>
        <v/>
      </c>
      <c r="G27" s="3" t="str">
        <f>IF($A27="","",IF(countif('Womens Lineup'!G$3:G1000,CONCATENATE("=",$A27))=0,"",G$2))</f>
        <v/>
      </c>
      <c r="H27" s="3" t="str">
        <f>IF($A27="","",IF(countif('Womens Lineup'!H$3:H1000,CONCATENATE("=",$A27))=0,"",H$2))</f>
        <v/>
      </c>
      <c r="I27" s="3" t="str">
        <f>IF($A27="","",IF(countif('Womens Lineup'!I$3:I1000,CONCATENATE("=",$A27))=0,"",I$2))</f>
        <v>100 Breast</v>
      </c>
      <c r="J27" s="3" t="str">
        <f>IF($A27="","",IF(countif('Womens Lineup'!J$3:J1000,CONCATENATE("=",$A27))=0,"",J$2))</f>
        <v>200 Breast</v>
      </c>
      <c r="K27" s="3" t="str">
        <f>IF($A27="","",IF(countif('Womens Lineup'!K$3:K1000,CONCATENATE("=",$A27))=0,"",K$2))</f>
        <v>100 Fly</v>
      </c>
      <c r="L27" s="3" t="str">
        <f>IF($A27="","",IF(countif('Womens Lineup'!L$3:L1000,CONCATENATE("=",$A27))=0,"",L$2))</f>
        <v/>
      </c>
      <c r="M27" s="3" t="str">
        <f>IF($A27="","",IF(countif('Womens Lineup'!M$3:M1000,CONCATENATE("=",$A27))=0,"",M$2))</f>
        <v>200 IM</v>
      </c>
      <c r="N27" s="3" t="str">
        <f>IF($A27="","",IF(countif('Womens Lineup'!N$3:N1000,CONCATENATE("=",$A27))=0,"",N$2))</f>
        <v/>
      </c>
      <c r="O27" s="3" t="str">
        <f>IF($A27="","",IF(countif('Womens Lineup'!O$3:O1000,CONCATENATE("=",$A27))=0,"",O$2))</f>
        <v/>
      </c>
      <c r="P27" s="3" t="str">
        <f>IF($A27="","",IF(countif('Womens Lineup'!P$3:P1000,CONCATENATE("=",$A27))=0,"",P$2))</f>
        <v/>
      </c>
      <c r="Q27" s="3" t="str">
        <f>IF($A27="","",IF(countif('Womens Lineup'!Q$3:Q1000,CONCATENATE("=",$A27))=0,"",Q$2))</f>
        <v/>
      </c>
      <c r="R27" s="3" t="str">
        <f>IF($A27="","",IF(countif('Womens Lineup'!R$3:R1000,CONCATENATE("=",$A27))=0,"",R$2))</f>
        <v/>
      </c>
      <c r="S27" s="3" t="str">
        <f>IF($A27="","",IF(countif('Womens Lineup'!S$3:S1000,CONCATENATE("=",$A27))=0,"",S$2))</f>
        <v/>
      </c>
      <c r="W27" s="3" t="str">
        <f>IFERROR(__xludf.DUMMYFUNCTION("JOIN("","",FILTER(B27:S27,B27:S27&lt;&gt;""""))"),"50 Free,100 Free,100 Breast,200 Breast,100 Fly,200 IM")</f>
        <v>50 Free,100 Free,100 Breast,200 Breast,100 Fly,200 IM</v>
      </c>
    </row>
    <row r="28">
      <c r="A28" s="3" t="s">
        <v>343</v>
      </c>
      <c r="B28" s="3" t="str">
        <f>IF($A28="","",IF(countif('Womens Lineup'!B$3:B1000,CONCATENATE("=",$A28))=0,"",B$2))</f>
        <v>50 Free</v>
      </c>
      <c r="C28" s="3" t="str">
        <f>IF($A28="","",IF(countif('Womens Lineup'!C$3:C1000,CONCATENATE("=",$A28))=0,"",C$2))</f>
        <v>100 Free</v>
      </c>
      <c r="D28" s="3" t="str">
        <f>IF($A28="","",IF(countif('Womens Lineup'!D$3:D1000,CONCATENATE("=",$A28))=0,"",D$2))</f>
        <v>200 Free</v>
      </c>
      <c r="E28" s="3" t="str">
        <f>IF($A28="","",IF(countif('Womens Lineup'!E$3:E1000,CONCATENATE("=",$A28))=0,"",E$2))</f>
        <v/>
      </c>
      <c r="F28" s="3" t="str">
        <f>IF($A28="","",IF(countif('Womens Lineup'!F$3:F1000,CONCATENATE("=",$A28))=0,"",F$2))</f>
        <v/>
      </c>
      <c r="G28" s="3" t="str">
        <f>IF($A28="","",IF(countif('Womens Lineup'!G$3:G1000,CONCATENATE("=",$A28))=0,"",G$2))</f>
        <v/>
      </c>
      <c r="H28" s="3" t="str">
        <f>IF($A28="","",IF(countif('Womens Lineup'!H$3:H1000,CONCATENATE("=",$A28))=0,"",H$2))</f>
        <v>200 Back</v>
      </c>
      <c r="I28" s="3" t="str">
        <f>IF($A28="","",IF(countif('Womens Lineup'!I$3:I1000,CONCATENATE("=",$A28))=0,"",I$2))</f>
        <v/>
      </c>
      <c r="J28" s="3" t="str">
        <f>IF($A28="","",IF(countif('Womens Lineup'!J$3:J1000,CONCATENATE("=",$A28))=0,"",J$2))</f>
        <v/>
      </c>
      <c r="K28" s="3" t="str">
        <f>IF($A28="","",IF(countif('Womens Lineup'!K$3:K1000,CONCATENATE("=",$A28))=0,"",K$2))</f>
        <v>100 Fly</v>
      </c>
      <c r="L28" s="3" t="str">
        <f>IF($A28="","",IF(countif('Womens Lineup'!L$3:L1000,CONCATENATE("=",$A28))=0,"",L$2))</f>
        <v>200 Fly</v>
      </c>
      <c r="M28" s="3" t="str">
        <f>IF($A28="","",IF(countif('Womens Lineup'!M$3:M1000,CONCATENATE("=",$A28))=0,"",M$2))</f>
        <v/>
      </c>
      <c r="N28" s="3" t="str">
        <f>IF($A28="","",IF(countif('Womens Lineup'!N$3:N1000,CONCATENATE("=",$A28))=0,"",N$2))</f>
        <v/>
      </c>
      <c r="O28" s="3" t="str">
        <f>IF($A28="","",IF(countif('Womens Lineup'!O$3:O1000,CONCATENATE("=",$A28))=0,"",O$2))</f>
        <v/>
      </c>
      <c r="P28" s="3" t="str">
        <f>IF($A28="","",IF(countif('Womens Lineup'!P$3:P1000,CONCATENATE("=",$A28))=0,"",P$2))</f>
        <v/>
      </c>
      <c r="Q28" s="3" t="str">
        <f>IF($A28="","",IF(countif('Womens Lineup'!Q$3:Q1000,CONCATENATE("=",$A28))=0,"",Q$2))</f>
        <v/>
      </c>
      <c r="R28" s="3" t="str">
        <f>IF($A28="","",IF(countif('Womens Lineup'!R$3:R1000,CONCATENATE("=",$A28))=0,"",R$2))</f>
        <v/>
      </c>
      <c r="S28" s="3" t="str">
        <f>IF($A28="","",IF(countif('Womens Lineup'!S$3:S1000,CONCATENATE("=",$A28))=0,"",S$2))</f>
        <v/>
      </c>
      <c r="W28" s="3" t="str">
        <f>IFERROR(__xludf.DUMMYFUNCTION("JOIN("","",FILTER(B28:S28,B28:S28&lt;&gt;""""))"),"50 Free,100 Free,200 Free,200 Back,100 Fly,200 Fly")</f>
        <v>50 Free,100 Free,200 Free,200 Back,100 Fly,200 Fly</v>
      </c>
    </row>
    <row r="29">
      <c r="A29" s="3" t="s">
        <v>344</v>
      </c>
      <c r="B29" s="3" t="str">
        <f>IF($A29="","",IF(countif('Womens Lineup'!B$3:B1000,CONCATENATE("=",$A29))=0,"",B$2))</f>
        <v>50 Free</v>
      </c>
      <c r="C29" s="3" t="str">
        <f>IF($A29="","",IF(countif('Womens Lineup'!C$3:C1000,CONCATENATE("=",$A29))=0,"",C$2))</f>
        <v>100 Free</v>
      </c>
      <c r="D29" s="3" t="str">
        <f>IF($A29="","",IF(countif('Womens Lineup'!D$3:D1000,CONCATENATE("=",$A29))=0,"",D$2))</f>
        <v>200 Free</v>
      </c>
      <c r="E29" s="3" t="str">
        <f>IF($A29="","",IF(countif('Womens Lineup'!E$3:E1000,CONCATENATE("=",$A29))=0,"",E$2))</f>
        <v/>
      </c>
      <c r="F29" s="3" t="str">
        <f>IF($A29="","",IF(countif('Womens Lineup'!F$3:F1000,CONCATENATE("=",$A29))=0,"",F$2))</f>
        <v/>
      </c>
      <c r="G29" s="3" t="str">
        <f>IF($A29="","",IF(countif('Womens Lineup'!G$3:G1000,CONCATENATE("=",$A29))=0,"",G$2))</f>
        <v>100 Back</v>
      </c>
      <c r="H29" s="3" t="str">
        <f>IF($A29="","",IF(countif('Womens Lineup'!H$3:H1000,CONCATENATE("=",$A29))=0,"",H$2))</f>
        <v/>
      </c>
      <c r="I29" s="3" t="str">
        <f>IF($A29="","",IF(countif('Womens Lineup'!I$3:I1000,CONCATENATE("=",$A29))=0,"",I$2))</f>
        <v>100 Breast</v>
      </c>
      <c r="J29" s="3" t="str">
        <f>IF($A29="","",IF(countif('Womens Lineup'!J$3:J1000,CONCATENATE("=",$A29))=0,"",J$2))</f>
        <v/>
      </c>
      <c r="K29" s="3" t="str">
        <f>IF($A29="","",IF(countif('Womens Lineup'!K$3:K1000,CONCATENATE("=",$A29))=0,"",K$2))</f>
        <v/>
      </c>
      <c r="L29" s="3" t="str">
        <f>IF($A29="","",IF(countif('Womens Lineup'!L$3:L1000,CONCATENATE("=",$A29))=0,"",L$2))</f>
        <v/>
      </c>
      <c r="M29" s="3" t="str">
        <f>IF($A29="","",IF(countif('Womens Lineup'!M$3:M1000,CONCATENATE("=",$A29))=0,"",M$2))</f>
        <v>200 IM</v>
      </c>
      <c r="N29" s="3" t="str">
        <f>IF($A29="","",IF(countif('Womens Lineup'!N$3:N1000,CONCATENATE("=",$A29))=0,"",N$2))</f>
        <v/>
      </c>
      <c r="O29" s="3" t="str">
        <f>IF($A29="","",IF(countif('Womens Lineup'!O$3:O1000,CONCATENATE("=",$A29))=0,"",O$2))</f>
        <v/>
      </c>
      <c r="P29" s="3" t="str">
        <f>IF($A29="","",IF(countif('Womens Lineup'!P$3:P1000,CONCATENATE("=",$A29))=0,"",P$2))</f>
        <v/>
      </c>
      <c r="Q29" s="3" t="str">
        <f>IF($A29="","",IF(countif('Womens Lineup'!Q$3:Q1000,CONCATENATE("=",$A29))=0,"",Q$2))</f>
        <v/>
      </c>
      <c r="R29" s="3" t="str">
        <f>IF($A29="","",IF(countif('Womens Lineup'!R$3:R1000,CONCATENATE("=",$A29))=0,"",R$2))</f>
        <v/>
      </c>
      <c r="S29" s="3" t="str">
        <f>IF($A29="","",IF(countif('Womens Lineup'!S$3:S1000,CONCATENATE("=",$A29))=0,"",S$2))</f>
        <v/>
      </c>
      <c r="W29" s="3" t="str">
        <f>IFERROR(__xludf.DUMMYFUNCTION("JOIN("","",FILTER(B29:S29,B29:S29&lt;&gt;""""))"),"50 Free,100 Free,200 Free,100 Back,100 Breast,200 IM")</f>
        <v>50 Free,100 Free,200 Free,100 Back,100 Breast,200 IM</v>
      </c>
    </row>
    <row r="30">
      <c r="A30" s="3" t="s">
        <v>345</v>
      </c>
      <c r="B30" s="3" t="str">
        <f>IF($A30="","",IF(countif('Womens Lineup'!B$3:B1000,CONCATENATE("=",$A30))=0,"",B$2))</f>
        <v>50 Free</v>
      </c>
      <c r="C30" s="3" t="str">
        <f>IF($A30="","",IF(countif('Womens Lineup'!C$3:C1000,CONCATENATE("=",$A30))=0,"",C$2))</f>
        <v>100 Free</v>
      </c>
      <c r="D30" s="3" t="str">
        <f>IF($A30="","",IF(countif('Womens Lineup'!D$3:D1000,CONCATENATE("=",$A30))=0,"",D$2))</f>
        <v>200 Free</v>
      </c>
      <c r="E30" s="3" t="str">
        <f>IF($A30="","",IF(countif('Womens Lineup'!E$3:E1000,CONCATENATE("=",$A30))=0,"",E$2))</f>
        <v/>
      </c>
      <c r="F30" s="3" t="str">
        <f>IF($A30="","",IF(countif('Womens Lineup'!F$3:F1000,CONCATENATE("=",$A30))=0,"",F$2))</f>
        <v/>
      </c>
      <c r="G30" s="3" t="str">
        <f>IF($A30="","",IF(countif('Womens Lineup'!G$3:G1000,CONCATENATE("=",$A30))=0,"",G$2))</f>
        <v>100 Back</v>
      </c>
      <c r="H30" s="3" t="str">
        <f>IF($A30="","",IF(countif('Womens Lineup'!H$3:H1000,CONCATENATE("=",$A30))=0,"",H$2))</f>
        <v/>
      </c>
      <c r="I30" s="3" t="str">
        <f>IF($A30="","",IF(countif('Womens Lineup'!I$3:I1000,CONCATENATE("=",$A30))=0,"",I$2))</f>
        <v>100 Breast</v>
      </c>
      <c r="J30" s="3" t="str">
        <f>IF($A30="","",IF(countif('Womens Lineup'!J$3:J1000,CONCATENATE("=",$A30))=0,"",J$2))</f>
        <v/>
      </c>
      <c r="K30" s="3" t="str">
        <f>IF($A30="","",IF(countif('Womens Lineup'!K$3:K1000,CONCATENATE("=",$A30))=0,"",K$2))</f>
        <v/>
      </c>
      <c r="L30" s="3" t="str">
        <f>IF($A30="","",IF(countif('Womens Lineup'!L$3:L1000,CONCATENATE("=",$A30))=0,"",L$2))</f>
        <v/>
      </c>
      <c r="M30" s="3" t="str">
        <f>IF($A30="","",IF(countif('Womens Lineup'!M$3:M1000,CONCATENATE("=",$A30))=0,"",M$2))</f>
        <v>200 IM</v>
      </c>
      <c r="N30" s="3" t="str">
        <f>IF($A30="","",IF(countif('Womens Lineup'!N$3:N1000,CONCATENATE("=",$A30))=0,"",N$2))</f>
        <v/>
      </c>
      <c r="O30" s="3" t="str">
        <f>IF($A30="","",IF(countif('Womens Lineup'!O$3:O1000,CONCATENATE("=",$A30))=0,"",O$2))</f>
        <v/>
      </c>
      <c r="P30" s="3" t="str">
        <f>IF($A30="","",IF(countif('Womens Lineup'!P$3:P1000,CONCATENATE("=",$A30))=0,"",P$2))</f>
        <v/>
      </c>
      <c r="Q30" s="3" t="str">
        <f>IF($A30="","",IF(countif('Womens Lineup'!Q$3:Q1000,CONCATENATE("=",$A30))=0,"",Q$2))</f>
        <v/>
      </c>
      <c r="R30" s="3" t="str">
        <f>IF($A30="","",IF(countif('Womens Lineup'!R$3:R1000,CONCATENATE("=",$A30))=0,"",R$2))</f>
        <v/>
      </c>
      <c r="S30" s="3" t="str">
        <f>IF($A30="","",IF(countif('Womens Lineup'!S$3:S1000,CONCATENATE("=",$A30))=0,"",S$2))</f>
        <v/>
      </c>
      <c r="W30" s="3" t="str">
        <f>IFERROR(__xludf.DUMMYFUNCTION("JOIN("","",FILTER(B30:S30,B30:S30&lt;&gt;""""))"),"50 Free,100 Free,200 Free,100 Back,100 Breast,200 IM")</f>
        <v>50 Free,100 Free,200 Free,100 Back,100 Breast,200 IM</v>
      </c>
    </row>
    <row r="31">
      <c r="A31" s="3" t="s">
        <v>346</v>
      </c>
      <c r="B31" s="3" t="str">
        <f>IF($A31="","",IF(countif('Womens Lineup'!B$3:B1000,CONCATENATE("=",$A31))=0,"",B$2))</f>
        <v>50 Free</v>
      </c>
      <c r="C31" s="3" t="str">
        <f>IF($A31="","",IF(countif('Womens Lineup'!C$3:C1000,CONCATENATE("=",$A31))=0,"",C$2))</f>
        <v>100 Free</v>
      </c>
      <c r="D31" s="3" t="str">
        <f>IF($A31="","",IF(countif('Womens Lineup'!D$3:D1000,CONCATENATE("=",$A31))=0,"",D$2))</f>
        <v/>
      </c>
      <c r="E31" s="3" t="str">
        <f>IF($A31="","",IF(countif('Womens Lineup'!E$3:E1000,CONCATENATE("=",$A31))=0,"",E$2))</f>
        <v/>
      </c>
      <c r="F31" s="3" t="str">
        <f>IF($A31="","",IF(countif('Womens Lineup'!F$3:F1000,CONCATENATE("=",$A31))=0,"",F$2))</f>
        <v/>
      </c>
      <c r="G31" s="3" t="str">
        <f>IF($A31="","",IF(countif('Womens Lineup'!G$3:G1000,CONCATENATE("=",$A31))=0,"",G$2))</f>
        <v>100 Back</v>
      </c>
      <c r="H31" s="3" t="str">
        <f>IF($A31="","",IF(countif('Womens Lineup'!H$3:H1000,CONCATENATE("=",$A31))=0,"",H$2))</f>
        <v>200 Back</v>
      </c>
      <c r="I31" s="3" t="str">
        <f>IF($A31="","",IF(countif('Womens Lineup'!I$3:I1000,CONCATENATE("=",$A31))=0,"",I$2))</f>
        <v>100 Breast</v>
      </c>
      <c r="J31" s="3" t="str">
        <f>IF($A31="","",IF(countif('Womens Lineup'!J$3:J1000,CONCATENATE("=",$A31))=0,"",J$2))</f>
        <v>200 Breast</v>
      </c>
      <c r="K31" s="3" t="str">
        <f>IF($A31="","",IF(countif('Womens Lineup'!K$3:K1000,CONCATENATE("=",$A31))=0,"",K$2))</f>
        <v/>
      </c>
      <c r="L31" s="3" t="str">
        <f>IF($A31="","",IF(countif('Womens Lineup'!L$3:L1000,CONCATENATE("=",$A31))=0,"",L$2))</f>
        <v/>
      </c>
      <c r="M31" s="3" t="str">
        <f>IF($A31="","",IF(countif('Womens Lineup'!M$3:M1000,CONCATENATE("=",$A31))=0,"",M$2))</f>
        <v/>
      </c>
      <c r="N31" s="3" t="str">
        <f>IF($A31="","",IF(countif('Womens Lineup'!N$3:N1000,CONCATENATE("=",$A31))=0,"",N$2))</f>
        <v/>
      </c>
      <c r="O31" s="3" t="str">
        <f>IF($A31="","",IF(countif('Womens Lineup'!O$3:O1000,CONCATENATE("=",$A31))=0,"",O$2))</f>
        <v/>
      </c>
      <c r="P31" s="3" t="str">
        <f>IF($A31="","",IF(countif('Womens Lineup'!P$3:P1000,CONCATENATE("=",$A31))=0,"",P$2))</f>
        <v/>
      </c>
      <c r="Q31" s="3" t="str">
        <f>IF($A31="","",IF(countif('Womens Lineup'!Q$3:Q1000,CONCATENATE("=",$A31))=0,"",Q$2))</f>
        <v/>
      </c>
      <c r="R31" s="3" t="str">
        <f>IF($A31="","",IF(countif('Womens Lineup'!R$3:R1000,CONCATENATE("=",$A31))=0,"",R$2))</f>
        <v/>
      </c>
      <c r="S31" s="3" t="str">
        <f>IF($A31="","",IF(countif('Womens Lineup'!S$3:S1000,CONCATENATE("=",$A31))=0,"",S$2))</f>
        <v/>
      </c>
      <c r="W31" s="3" t="str">
        <f>IFERROR(__xludf.DUMMYFUNCTION("JOIN("","",FILTER(B31:S31,B31:S31&lt;&gt;""""))"),"50 Free,100 Free,100 Back,200 Back,100 Breast,200 Breast")</f>
        <v>50 Free,100 Free,100 Back,200 Back,100 Breast,200 Breast</v>
      </c>
    </row>
    <row r="32">
      <c r="A32" s="3" t="s">
        <v>347</v>
      </c>
      <c r="B32" s="3" t="str">
        <f>IF($A32="","",IF(countif('Womens Lineup'!B$3:B1000,CONCATENATE("=",$A32))=0,"",B$2))</f>
        <v>50 Free</v>
      </c>
      <c r="C32" s="3" t="str">
        <f>IF($A32="","",IF(countif('Womens Lineup'!C$3:C1000,CONCATENATE("=",$A32))=0,"",C$2))</f>
        <v>100 Free</v>
      </c>
      <c r="D32" s="3" t="str">
        <f>IF($A32="","",IF(countif('Womens Lineup'!D$3:D1000,CONCATENATE("=",$A32))=0,"",D$2))</f>
        <v/>
      </c>
      <c r="E32" s="3" t="str">
        <f>IF($A32="","",IF(countif('Womens Lineup'!E$3:E1000,CONCATENATE("=",$A32))=0,"",E$2))</f>
        <v/>
      </c>
      <c r="F32" s="3" t="str">
        <f>IF($A32="","",IF(countif('Womens Lineup'!F$3:F1000,CONCATENATE("=",$A32))=0,"",F$2))</f>
        <v/>
      </c>
      <c r="G32" s="3" t="str">
        <f>IF($A32="","",IF(countif('Womens Lineup'!G$3:G1000,CONCATENATE("=",$A32))=0,"",G$2))</f>
        <v/>
      </c>
      <c r="H32" s="3" t="str">
        <f>IF($A32="","",IF(countif('Womens Lineup'!H$3:H1000,CONCATENATE("=",$A32))=0,"",H$2))</f>
        <v/>
      </c>
      <c r="I32" s="3" t="str">
        <f>IF($A32="","",IF(countif('Womens Lineup'!I$3:I1000,CONCATENATE("=",$A32))=0,"",I$2))</f>
        <v>100 Breast</v>
      </c>
      <c r="J32" s="3" t="str">
        <f>IF($A32="","",IF(countif('Womens Lineup'!J$3:J1000,CONCATENATE("=",$A32))=0,"",J$2))</f>
        <v>200 Breast</v>
      </c>
      <c r="K32" s="3" t="str">
        <f>IF($A32="","",IF(countif('Womens Lineup'!K$3:K1000,CONCATENATE("=",$A32))=0,"",K$2))</f>
        <v/>
      </c>
      <c r="L32" s="3" t="str">
        <f>IF($A32="","",IF(countif('Womens Lineup'!L$3:L1000,CONCATENATE("=",$A32))=0,"",L$2))</f>
        <v/>
      </c>
      <c r="M32" s="3" t="str">
        <f>IF($A32="","",IF(countif('Womens Lineup'!M$3:M1000,CONCATENATE("=",$A32))=0,"",M$2))</f>
        <v>200 IM</v>
      </c>
      <c r="N32" s="3" t="str">
        <f>IF($A32="","",IF(countif('Womens Lineup'!N$3:N1000,CONCATENATE("=",$A32))=0,"",N$2))</f>
        <v/>
      </c>
      <c r="O32" s="3" t="str">
        <f>IF($A32="","",IF(countif('Womens Lineup'!O$3:O1000,CONCATENATE("=",$A32))=0,"",O$2))</f>
        <v/>
      </c>
      <c r="P32" s="3" t="str">
        <f>IF($A32="","",IF(countif('Womens Lineup'!P$3:P1000,CONCATENATE("=",$A32))=0,"",P$2))</f>
        <v/>
      </c>
      <c r="Q32" s="3" t="str">
        <f>IF($A32="","",IF(countif('Womens Lineup'!Q$3:Q1000,CONCATENATE("=",$A32))=0,"",Q$2))</f>
        <v/>
      </c>
      <c r="R32" s="3" t="str">
        <f>IF($A32="","",IF(countif('Womens Lineup'!R$3:R1000,CONCATENATE("=",$A32))=0,"",R$2))</f>
        <v/>
      </c>
      <c r="S32" s="3" t="str">
        <f>IF($A32="","",IF(countif('Womens Lineup'!S$3:S1000,CONCATENATE("=",$A32))=0,"",S$2))</f>
        <v/>
      </c>
      <c r="W32" s="3" t="str">
        <f>IFERROR(__xludf.DUMMYFUNCTION("JOIN("","",FILTER(B32:S32,B32:S32&lt;&gt;""""))"),"50 Free,100 Free,100 Breast,200 Breast,200 IM")</f>
        <v>50 Free,100 Free,100 Breast,200 Breast,200 IM</v>
      </c>
    </row>
    <row r="33">
      <c r="A33" s="3" t="s">
        <v>348</v>
      </c>
      <c r="B33" s="3" t="str">
        <f>IF($A33="","",IF(countif('Womens Lineup'!B$3:B1000,CONCATENATE("=",$A33))=0,"",B$2))</f>
        <v>50 Free</v>
      </c>
      <c r="C33" s="3" t="str">
        <f>IF($A33="","",IF(countif('Womens Lineup'!C$3:C1000,CONCATENATE("=",$A33))=0,"",C$2))</f>
        <v>100 Free</v>
      </c>
      <c r="D33" s="3" t="str">
        <f>IF($A33="","",IF(countif('Womens Lineup'!D$3:D1000,CONCATENATE("=",$A33))=0,"",D$2))</f>
        <v>200 Free</v>
      </c>
      <c r="E33" s="3" t="str">
        <f>IF($A33="","",IF(countif('Womens Lineup'!E$3:E1000,CONCATENATE("=",$A33))=0,"",E$2))</f>
        <v/>
      </c>
      <c r="F33" s="3" t="str">
        <f>IF($A33="","",IF(countif('Womens Lineup'!F$3:F1000,CONCATENATE("=",$A33))=0,"",F$2))</f>
        <v/>
      </c>
      <c r="G33" s="3" t="str">
        <f>IF($A33="","",IF(countif('Womens Lineup'!G$3:G1000,CONCATENATE("=",$A33))=0,"",G$2))</f>
        <v/>
      </c>
      <c r="H33" s="3" t="str">
        <f>IF($A33="","",IF(countif('Womens Lineup'!H$3:H1000,CONCATENATE("=",$A33))=0,"",H$2))</f>
        <v/>
      </c>
      <c r="I33" s="3" t="str">
        <f>IF($A33="","",IF(countif('Womens Lineup'!I$3:I1000,CONCATENATE("=",$A33))=0,"",I$2))</f>
        <v>100 Breast</v>
      </c>
      <c r="J33" s="3" t="str">
        <f>IF($A33="","",IF(countif('Womens Lineup'!J$3:J1000,CONCATENATE("=",$A33))=0,"",J$2))</f>
        <v/>
      </c>
      <c r="K33" s="3" t="str">
        <f>IF($A33="","",IF(countif('Womens Lineup'!K$3:K1000,CONCATENATE("=",$A33))=0,"",K$2))</f>
        <v/>
      </c>
      <c r="L33" s="3" t="str">
        <f>IF($A33="","",IF(countif('Womens Lineup'!L$3:L1000,CONCATENATE("=",$A33))=0,"",L$2))</f>
        <v/>
      </c>
      <c r="M33" s="3" t="str">
        <f>IF($A33="","",IF(countif('Womens Lineup'!M$3:M1000,CONCATENATE("=",$A33))=0,"",M$2))</f>
        <v/>
      </c>
      <c r="N33" s="3" t="str">
        <f>IF($A33="","",IF(countif('Womens Lineup'!N$3:N1000,CONCATENATE("=",$A33))=0,"",N$2))</f>
        <v/>
      </c>
      <c r="O33" s="3" t="str">
        <f>IF($A33="","",IF(countif('Womens Lineup'!O$3:O1000,CONCATENATE("=",$A33))=0,"",O$2))</f>
        <v/>
      </c>
      <c r="P33" s="3" t="str">
        <f>IF($A33="","",IF(countif('Womens Lineup'!P$3:P1000,CONCATENATE("=",$A33))=0,"",P$2))</f>
        <v/>
      </c>
      <c r="Q33" s="3" t="str">
        <f>IF($A33="","",IF(countif('Womens Lineup'!Q$3:Q1000,CONCATENATE("=",$A33))=0,"",Q$2))</f>
        <v/>
      </c>
      <c r="R33" s="3" t="str">
        <f>IF($A33="","",IF(countif('Womens Lineup'!R$3:R1000,CONCATENATE("=",$A33))=0,"",R$2))</f>
        <v/>
      </c>
      <c r="S33" s="3" t="str">
        <f>IF($A33="","",IF(countif('Womens Lineup'!S$3:S1000,CONCATENATE("=",$A33))=0,"",S$2))</f>
        <v/>
      </c>
      <c r="W33" s="3" t="str">
        <f>IFERROR(__xludf.DUMMYFUNCTION("JOIN("","",FILTER(B33:S33,B33:S33&lt;&gt;""""))"),"50 Free,100 Free,200 Free,100 Breast")</f>
        <v>50 Free,100 Free,200 Free,100 Breast</v>
      </c>
    </row>
    <row r="34">
      <c r="A34" s="3" t="s">
        <v>349</v>
      </c>
      <c r="B34" s="3" t="str">
        <f>IF($A34="","",IF(countif('Womens Lineup'!B$3:B1000,CONCATENATE("=",$A34))=0,"",B$2))</f>
        <v>50 Free</v>
      </c>
      <c r="C34" s="3" t="str">
        <f>IF($A34="","",IF(countif('Womens Lineup'!C$3:C1000,CONCATENATE("=",$A34))=0,"",C$2))</f>
        <v>100 Free</v>
      </c>
      <c r="D34" s="3" t="str">
        <f>IF($A34="","",IF(countif('Womens Lineup'!D$3:D1000,CONCATENATE("=",$A34))=0,"",D$2))</f>
        <v>200 Free</v>
      </c>
      <c r="E34" s="3" t="str">
        <f>IF($A34="","",IF(countif('Womens Lineup'!E$3:E1000,CONCATENATE("=",$A34))=0,"",E$2))</f>
        <v/>
      </c>
      <c r="F34" s="3" t="str">
        <f>IF($A34="","",IF(countif('Womens Lineup'!F$3:F1000,CONCATENATE("=",$A34))=0,"",F$2))</f>
        <v/>
      </c>
      <c r="G34" s="3" t="str">
        <f>IF($A34="","",IF(countif('Womens Lineup'!G$3:G1000,CONCATENATE("=",$A34))=0,"",G$2))</f>
        <v>100 Back</v>
      </c>
      <c r="H34" s="3" t="str">
        <f>IF($A34="","",IF(countif('Womens Lineup'!H$3:H1000,CONCATENATE("=",$A34))=0,"",H$2))</f>
        <v>200 Back</v>
      </c>
      <c r="I34" s="3" t="str">
        <f>IF($A34="","",IF(countif('Womens Lineup'!I$3:I1000,CONCATENATE("=",$A34))=0,"",I$2))</f>
        <v/>
      </c>
      <c r="J34" s="3" t="str">
        <f>IF($A34="","",IF(countif('Womens Lineup'!J$3:J1000,CONCATENATE("=",$A34))=0,"",J$2))</f>
        <v/>
      </c>
      <c r="K34" s="3" t="str">
        <f>IF($A34="","",IF(countif('Womens Lineup'!K$3:K1000,CONCATENATE("=",$A34))=0,"",K$2))</f>
        <v>100 Fly</v>
      </c>
      <c r="L34" s="3" t="str">
        <f>IF($A34="","",IF(countif('Womens Lineup'!L$3:L1000,CONCATENATE("=",$A34))=0,"",L$2))</f>
        <v/>
      </c>
      <c r="M34" s="3" t="str">
        <f>IF($A34="","",IF(countif('Womens Lineup'!M$3:M1000,CONCATENATE("=",$A34))=0,"",M$2))</f>
        <v/>
      </c>
      <c r="N34" s="3" t="str">
        <f>IF($A34="","",IF(countif('Womens Lineup'!N$3:N1000,CONCATENATE("=",$A34))=0,"",N$2))</f>
        <v/>
      </c>
      <c r="O34" s="3" t="str">
        <f>IF($A34="","",IF(countif('Womens Lineup'!O$3:O1000,CONCATENATE("=",$A34))=0,"",O$2))</f>
        <v/>
      </c>
      <c r="P34" s="3" t="str">
        <f>IF($A34="","",IF(countif('Womens Lineup'!P$3:P1000,CONCATENATE("=",$A34))=0,"",P$2))</f>
        <v/>
      </c>
      <c r="Q34" s="3" t="str">
        <f>IF($A34="","",IF(countif('Womens Lineup'!Q$3:Q1000,CONCATENATE("=",$A34))=0,"",Q$2))</f>
        <v/>
      </c>
      <c r="R34" s="3" t="str">
        <f>IF($A34="","",IF(countif('Womens Lineup'!R$3:R1000,CONCATENATE("=",$A34))=0,"",R$2))</f>
        <v/>
      </c>
      <c r="S34" s="3" t="str">
        <f>IF($A34="","",IF(countif('Womens Lineup'!S$3:S1000,CONCATENATE("=",$A34))=0,"",S$2))</f>
        <v/>
      </c>
      <c r="W34" s="3" t="str">
        <f>IFERROR(__xludf.DUMMYFUNCTION("JOIN("","",FILTER(B34:S34,B34:S34&lt;&gt;""""))"),"50 Free,100 Free,200 Free,100 Back,200 Back,100 Fly")</f>
        <v>50 Free,100 Free,200 Free,100 Back,200 Back,100 Fly</v>
      </c>
    </row>
    <row r="35">
      <c r="A35" s="3" t="s">
        <v>350</v>
      </c>
      <c r="B35" s="3" t="str">
        <f>IF($A35="","",IF(countif('Womens Lineup'!B$3:B1000,CONCATENATE("=",$A35))=0,"",B$2))</f>
        <v>50 Free</v>
      </c>
      <c r="C35" s="3" t="str">
        <f>IF($A35="","",IF(countif('Womens Lineup'!C$3:C1000,CONCATENATE("=",$A35))=0,"",C$2))</f>
        <v>100 Free</v>
      </c>
      <c r="D35" s="3" t="str">
        <f>IF($A35="","",IF(countif('Womens Lineup'!D$3:D1000,CONCATENATE("=",$A35))=0,"",D$2))</f>
        <v>200 Free</v>
      </c>
      <c r="E35" s="3" t="str">
        <f>IF($A35="","",IF(countif('Womens Lineup'!E$3:E1000,CONCATENATE("=",$A35))=0,"",E$2))</f>
        <v/>
      </c>
      <c r="F35" s="3" t="str">
        <f>IF($A35="","",IF(countif('Womens Lineup'!F$3:F1000,CONCATENATE("=",$A35))=0,"",F$2))</f>
        <v/>
      </c>
      <c r="G35" s="3" t="str">
        <f>IF($A35="","",IF(countif('Womens Lineup'!G$3:G1000,CONCATENATE("=",$A35))=0,"",G$2))</f>
        <v/>
      </c>
      <c r="H35" s="3" t="str">
        <f>IF($A35="","",IF(countif('Womens Lineup'!H$3:H1000,CONCATENATE("=",$A35))=0,"",H$2))</f>
        <v/>
      </c>
      <c r="I35" s="3" t="str">
        <f>IF($A35="","",IF(countif('Womens Lineup'!I$3:I1000,CONCATENATE("=",$A35))=0,"",I$2))</f>
        <v>100 Breast</v>
      </c>
      <c r="J35" s="3" t="str">
        <f>IF($A35="","",IF(countif('Womens Lineup'!J$3:J1000,CONCATENATE("=",$A35))=0,"",J$2))</f>
        <v>200 Breast</v>
      </c>
      <c r="K35" s="3" t="str">
        <f>IF($A35="","",IF(countif('Womens Lineup'!K$3:K1000,CONCATENATE("=",$A35))=0,"",K$2))</f>
        <v/>
      </c>
      <c r="L35" s="3" t="str">
        <f>IF($A35="","",IF(countif('Womens Lineup'!L$3:L1000,CONCATENATE("=",$A35))=0,"",L$2))</f>
        <v/>
      </c>
      <c r="M35" s="3" t="str">
        <f>IF($A35="","",IF(countif('Womens Lineup'!M$3:M1000,CONCATENATE("=",$A35))=0,"",M$2))</f>
        <v>200 IM</v>
      </c>
      <c r="N35" s="3" t="str">
        <f>IF($A35="","",IF(countif('Womens Lineup'!N$3:N1000,CONCATENATE("=",$A35))=0,"",N$2))</f>
        <v/>
      </c>
      <c r="O35" s="3" t="str">
        <f>IF($A35="","",IF(countif('Womens Lineup'!O$3:O1000,CONCATENATE("=",$A35))=0,"",O$2))</f>
        <v/>
      </c>
      <c r="P35" s="3" t="str">
        <f>IF($A35="","",IF(countif('Womens Lineup'!P$3:P1000,CONCATENATE("=",$A35))=0,"",P$2))</f>
        <v/>
      </c>
      <c r="Q35" s="3" t="str">
        <f>IF($A35="","",IF(countif('Womens Lineup'!Q$3:Q1000,CONCATENATE("=",$A35))=0,"",Q$2))</f>
        <v/>
      </c>
      <c r="R35" s="3" t="str">
        <f>IF($A35="","",IF(countif('Womens Lineup'!R$3:R1000,CONCATENATE("=",$A35))=0,"",R$2))</f>
        <v/>
      </c>
      <c r="S35" s="3" t="str">
        <f>IF($A35="","",IF(countif('Womens Lineup'!S$3:S1000,CONCATENATE("=",$A35))=0,"",S$2))</f>
        <v/>
      </c>
      <c r="W35" s="3" t="str">
        <f>IFERROR(__xludf.DUMMYFUNCTION("JOIN("","",FILTER(B35:S35,B35:S35&lt;&gt;""""))"),"50 Free,100 Free,200 Free,100 Breast,200 Breast,200 IM")</f>
        <v>50 Free,100 Free,200 Free,100 Breast,200 Breast,200 IM</v>
      </c>
    </row>
    <row r="36">
      <c r="A36" s="3" t="s">
        <v>351</v>
      </c>
      <c r="B36" s="3" t="str">
        <f>IF($A36="","",IF(countif('Womens Lineup'!B$3:B1000,CONCATENATE("=",$A36))=0,"",B$2))</f>
        <v>50 Free</v>
      </c>
      <c r="C36" s="3" t="str">
        <f>IF($A36="","",IF(countif('Womens Lineup'!C$3:C1000,CONCATENATE("=",$A36))=0,"",C$2))</f>
        <v>100 Free</v>
      </c>
      <c r="D36" s="3" t="str">
        <f>IF($A36="","",IF(countif('Womens Lineup'!D$3:D1000,CONCATENATE("=",$A36))=0,"",D$2))</f>
        <v/>
      </c>
      <c r="E36" s="3" t="str">
        <f>IF($A36="","",IF(countif('Womens Lineup'!E$3:E1000,CONCATENATE("=",$A36))=0,"",E$2))</f>
        <v/>
      </c>
      <c r="F36" s="3" t="str">
        <f>IF($A36="","",IF(countif('Womens Lineup'!F$3:F1000,CONCATENATE("=",$A36))=0,"",F$2))</f>
        <v/>
      </c>
      <c r="G36" s="3" t="str">
        <f>IF($A36="","",IF(countif('Womens Lineup'!G$3:G1000,CONCATENATE("=",$A36))=0,"",G$2))</f>
        <v/>
      </c>
      <c r="H36" s="3" t="str">
        <f>IF($A36="","",IF(countif('Womens Lineup'!H$3:H1000,CONCATENATE("=",$A36))=0,"",H$2))</f>
        <v/>
      </c>
      <c r="I36" s="3" t="str">
        <f>IF($A36="","",IF(countif('Womens Lineup'!I$3:I1000,CONCATENATE("=",$A36))=0,"",I$2))</f>
        <v>100 Breast</v>
      </c>
      <c r="J36" s="3" t="str">
        <f>IF($A36="","",IF(countif('Womens Lineup'!J$3:J1000,CONCATENATE("=",$A36))=0,"",J$2))</f>
        <v>200 Breast</v>
      </c>
      <c r="K36" s="3" t="str">
        <f>IF($A36="","",IF(countif('Womens Lineup'!K$3:K1000,CONCATENATE("=",$A36))=0,"",K$2))</f>
        <v/>
      </c>
      <c r="L36" s="3" t="str">
        <f>IF($A36="","",IF(countif('Womens Lineup'!L$3:L1000,CONCATENATE("=",$A36))=0,"",L$2))</f>
        <v/>
      </c>
      <c r="M36" s="3" t="str">
        <f>IF($A36="","",IF(countif('Womens Lineup'!M$3:M1000,CONCATENATE("=",$A36))=0,"",M$2))</f>
        <v>200 IM</v>
      </c>
      <c r="N36" s="3" t="str">
        <f>IF($A36="","",IF(countif('Womens Lineup'!N$3:N1000,CONCATENATE("=",$A36))=0,"",N$2))</f>
        <v>400 IM</v>
      </c>
      <c r="O36" s="3" t="str">
        <f>IF($A36="","",IF(countif('Womens Lineup'!O$3:O1000,CONCATENATE("=",$A36))=0,"",O$2))</f>
        <v/>
      </c>
      <c r="P36" s="3" t="str">
        <f>IF($A36="","",IF(countif('Womens Lineup'!P$3:P1000,CONCATENATE("=",$A36))=0,"",P$2))</f>
        <v/>
      </c>
      <c r="Q36" s="3" t="str">
        <f>IF($A36="","",IF(countif('Womens Lineup'!Q$3:Q1000,CONCATENATE("=",$A36))=0,"",Q$2))</f>
        <v/>
      </c>
      <c r="R36" s="3" t="str">
        <f>IF($A36="","",IF(countif('Womens Lineup'!R$3:R1000,CONCATENATE("=",$A36))=0,"",R$2))</f>
        <v/>
      </c>
      <c r="S36" s="3" t="str">
        <f>IF($A36="","",IF(countif('Womens Lineup'!S$3:S1000,CONCATENATE("=",$A36))=0,"",S$2))</f>
        <v/>
      </c>
      <c r="W36" s="3" t="str">
        <f>IFERROR(__xludf.DUMMYFUNCTION("JOIN("","",FILTER(B36:S36,B36:S36&lt;&gt;""""))"),"50 Free,100 Free,100 Breast,200 Breast,200 IM,400 IM")</f>
        <v>50 Free,100 Free,100 Breast,200 Breast,200 IM,400 IM</v>
      </c>
    </row>
    <row r="37">
      <c r="A37" s="3" t="s">
        <v>352</v>
      </c>
      <c r="B37" s="3" t="str">
        <f>IF($A37="","",IF(countif('Womens Lineup'!B$3:B1000,CONCATENATE("=",$A37))=0,"",B$2))</f>
        <v>50 Free</v>
      </c>
      <c r="C37" s="3" t="str">
        <f>IF($A37="","",IF(countif('Womens Lineup'!C$3:C1000,CONCATENATE("=",$A37))=0,"",C$2))</f>
        <v>100 Free</v>
      </c>
      <c r="D37" s="3" t="str">
        <f>IF($A37="","",IF(countif('Womens Lineup'!D$3:D1000,CONCATENATE("=",$A37))=0,"",D$2))</f>
        <v>200 Free</v>
      </c>
      <c r="E37" s="3" t="str">
        <f>IF($A37="","",IF(countif('Womens Lineup'!E$3:E1000,CONCATENATE("=",$A37))=0,"",E$2))</f>
        <v/>
      </c>
      <c r="F37" s="3" t="str">
        <f>IF($A37="","",IF(countif('Womens Lineup'!F$3:F1000,CONCATENATE("=",$A37))=0,"",F$2))</f>
        <v/>
      </c>
      <c r="G37" s="3" t="str">
        <f>IF($A37="","",IF(countif('Womens Lineup'!G$3:G1000,CONCATENATE("=",$A37))=0,"",G$2))</f>
        <v/>
      </c>
      <c r="H37" s="3" t="str">
        <f>IF($A37="","",IF(countif('Womens Lineup'!H$3:H1000,CONCATENATE("=",$A37))=0,"",H$2))</f>
        <v/>
      </c>
      <c r="I37" s="3" t="str">
        <f>IF($A37="","",IF(countif('Womens Lineup'!I$3:I1000,CONCATENATE("=",$A37))=0,"",I$2))</f>
        <v/>
      </c>
      <c r="J37" s="3" t="str">
        <f>IF($A37="","",IF(countif('Womens Lineup'!J$3:J1000,CONCATENATE("=",$A37))=0,"",J$2))</f>
        <v/>
      </c>
      <c r="K37" s="3" t="str">
        <f>IF($A37="","",IF(countif('Womens Lineup'!K$3:K1000,CONCATENATE("=",$A37))=0,"",K$2))</f>
        <v/>
      </c>
      <c r="L37" s="3" t="str">
        <f>IF($A37="","",IF(countif('Womens Lineup'!L$3:L1000,CONCATENATE("=",$A37))=0,"",L$2))</f>
        <v>200 Fly</v>
      </c>
      <c r="M37" s="3" t="str">
        <f>IF($A37="","",IF(countif('Womens Lineup'!M$3:M1000,CONCATENATE("=",$A37))=0,"",M$2))</f>
        <v>200 IM</v>
      </c>
      <c r="N37" s="3" t="str">
        <f>IF($A37="","",IF(countif('Womens Lineup'!N$3:N1000,CONCATENATE("=",$A37))=0,"",N$2))</f>
        <v>400 IM</v>
      </c>
      <c r="O37" s="3" t="str">
        <f>IF($A37="","",IF(countif('Womens Lineup'!O$3:O1000,CONCATENATE("=",$A37))=0,"",O$2))</f>
        <v/>
      </c>
      <c r="P37" s="3" t="str">
        <f>IF($A37="","",IF(countif('Womens Lineup'!P$3:P1000,CONCATENATE("=",$A37))=0,"",P$2))</f>
        <v/>
      </c>
      <c r="Q37" s="3" t="str">
        <f>IF($A37="","",IF(countif('Womens Lineup'!Q$3:Q1000,CONCATENATE("=",$A37))=0,"",Q$2))</f>
        <v/>
      </c>
      <c r="R37" s="3" t="str">
        <f>IF($A37="","",IF(countif('Womens Lineup'!R$3:R1000,CONCATENATE("=",$A37))=0,"",R$2))</f>
        <v/>
      </c>
      <c r="S37" s="3" t="str">
        <f>IF($A37="","",IF(countif('Womens Lineup'!S$3:S1000,CONCATENATE("=",$A37))=0,"",S$2))</f>
        <v/>
      </c>
      <c r="W37" s="3" t="str">
        <f>IFERROR(__xludf.DUMMYFUNCTION("JOIN("","",FILTER(B37:S37,B37:S37&lt;&gt;""""))"),"50 Free,100 Free,200 Free,200 Fly,200 IM,400 IM")</f>
        <v>50 Free,100 Free,200 Free,200 Fly,200 IM,400 IM</v>
      </c>
    </row>
    <row r="38">
      <c r="A38" s="3" t="s">
        <v>353</v>
      </c>
      <c r="B38" s="3" t="str">
        <f>IF($A38="","",IF(countif('Womens Lineup'!B$3:B1000,CONCATENATE("=",$A38))=0,"",B$2))</f>
        <v>50 Free</v>
      </c>
      <c r="C38" s="3" t="str">
        <f>IF($A38="","",IF(countif('Womens Lineup'!C$3:C1000,CONCATENATE("=",$A38))=0,"",C$2))</f>
        <v>100 Free</v>
      </c>
      <c r="D38" s="3" t="str">
        <f>IF($A38="","",IF(countif('Womens Lineup'!D$3:D1000,CONCATENATE("=",$A38))=0,"",D$2))</f>
        <v>200 Free</v>
      </c>
      <c r="E38" s="3" t="str">
        <f>IF($A38="","",IF(countif('Womens Lineup'!E$3:E1000,CONCATENATE("=",$A38))=0,"",E$2))</f>
        <v/>
      </c>
      <c r="F38" s="3" t="str">
        <f>IF($A38="","",IF(countif('Womens Lineup'!F$3:F1000,CONCATENATE("=",$A38))=0,"",F$2))</f>
        <v/>
      </c>
      <c r="G38" s="3" t="str">
        <f>IF($A38="","",IF(countif('Womens Lineup'!G$3:G1000,CONCATENATE("=",$A38))=0,"",G$2))</f>
        <v>100 Back</v>
      </c>
      <c r="H38" s="3" t="str">
        <f>IF($A38="","",IF(countif('Womens Lineup'!H$3:H1000,CONCATENATE("=",$A38))=0,"",H$2))</f>
        <v/>
      </c>
      <c r="I38" s="3" t="str">
        <f>IF($A38="","",IF(countif('Womens Lineup'!I$3:I1000,CONCATENATE("=",$A38))=0,"",I$2))</f>
        <v/>
      </c>
      <c r="J38" s="3" t="str">
        <f>IF($A38="","",IF(countif('Womens Lineup'!J$3:J1000,CONCATENATE("=",$A38))=0,"",J$2))</f>
        <v/>
      </c>
      <c r="K38" s="3" t="str">
        <f>IF($A38="","",IF(countif('Womens Lineup'!K$3:K1000,CONCATENATE("=",$A38))=0,"",K$2))</f>
        <v>100 Fly</v>
      </c>
      <c r="L38" s="3" t="str">
        <f>IF($A38="","",IF(countif('Womens Lineup'!L$3:L1000,CONCATENATE("=",$A38))=0,"",L$2))</f>
        <v/>
      </c>
      <c r="M38" s="3" t="str">
        <f>IF($A38="","",IF(countif('Womens Lineup'!M$3:M1000,CONCATENATE("=",$A38))=0,"",M$2))</f>
        <v>200 IM</v>
      </c>
      <c r="N38" s="3" t="str">
        <f>IF($A38="","",IF(countif('Womens Lineup'!N$3:N1000,CONCATENATE("=",$A38))=0,"",N$2))</f>
        <v/>
      </c>
      <c r="O38" s="3" t="str">
        <f>IF($A38="","",IF(countif('Womens Lineup'!O$3:O1000,CONCATENATE("=",$A38))=0,"",O$2))</f>
        <v/>
      </c>
      <c r="P38" s="3" t="str">
        <f>IF($A38="","",IF(countif('Womens Lineup'!P$3:P1000,CONCATENATE("=",$A38))=0,"",P$2))</f>
        <v/>
      </c>
      <c r="Q38" s="3" t="str">
        <f>IF($A38="","",IF(countif('Womens Lineup'!Q$3:Q1000,CONCATENATE("=",$A38))=0,"",Q$2))</f>
        <v/>
      </c>
      <c r="R38" s="3" t="str">
        <f>IF($A38="","",IF(countif('Womens Lineup'!R$3:R1000,CONCATENATE("=",$A38))=0,"",R$2))</f>
        <v/>
      </c>
      <c r="S38" s="3" t="str">
        <f>IF($A38="","",IF(countif('Womens Lineup'!S$3:S1000,CONCATENATE("=",$A38))=0,"",S$2))</f>
        <v/>
      </c>
      <c r="W38" s="3" t="str">
        <f>IFERROR(__xludf.DUMMYFUNCTION("JOIN("","",FILTER(B38:S38,B38:S38&lt;&gt;""""))"),"50 Free,100 Free,200 Free,100 Back,100 Fly,200 IM")</f>
        <v>50 Free,100 Free,200 Free,100 Back,100 Fly,200 IM</v>
      </c>
    </row>
    <row r="39">
      <c r="A39" s="3" t="s">
        <v>354</v>
      </c>
      <c r="B39" s="3" t="str">
        <f>IF($A39="","",IF(countif('Womens Lineup'!B$3:B1000,CONCATENATE("=",$A39))=0,"",B$2))</f>
        <v>50 Free</v>
      </c>
      <c r="C39" s="3" t="str">
        <f>IF($A39="","",IF(countif('Womens Lineup'!C$3:C1000,CONCATENATE("=",$A39))=0,"",C$2))</f>
        <v>100 Free</v>
      </c>
      <c r="D39" s="3" t="str">
        <f>IF($A39="","",IF(countif('Womens Lineup'!D$3:D1000,CONCATENATE("=",$A39))=0,"",D$2))</f>
        <v>200 Free</v>
      </c>
      <c r="E39" s="3" t="str">
        <f>IF($A39="","",IF(countif('Womens Lineup'!E$3:E1000,CONCATENATE("=",$A39))=0,"",E$2))</f>
        <v/>
      </c>
      <c r="F39" s="3" t="str">
        <f>IF($A39="","",IF(countif('Womens Lineup'!F$3:F1000,CONCATENATE("=",$A39))=0,"",F$2))</f>
        <v/>
      </c>
      <c r="G39" s="3" t="str">
        <f>IF($A39="","",IF(countif('Womens Lineup'!G$3:G1000,CONCATENATE("=",$A39))=0,"",G$2))</f>
        <v/>
      </c>
      <c r="H39" s="3" t="str">
        <f>IF($A39="","",IF(countif('Womens Lineup'!H$3:H1000,CONCATENATE("=",$A39))=0,"",H$2))</f>
        <v/>
      </c>
      <c r="I39" s="3" t="str">
        <f>IF($A39="","",IF(countif('Womens Lineup'!I$3:I1000,CONCATENATE("=",$A39))=0,"",I$2))</f>
        <v/>
      </c>
      <c r="J39" s="3" t="str">
        <f>IF($A39="","",IF(countif('Womens Lineup'!J$3:J1000,CONCATENATE("=",$A39))=0,"",J$2))</f>
        <v>200 Breast</v>
      </c>
      <c r="K39" s="3" t="str">
        <f>IF($A39="","",IF(countif('Womens Lineup'!K$3:K1000,CONCATENATE("=",$A39))=0,"",K$2))</f>
        <v/>
      </c>
      <c r="L39" s="3" t="str">
        <f>IF($A39="","",IF(countif('Womens Lineup'!L$3:L1000,CONCATENATE("=",$A39))=0,"",L$2))</f>
        <v/>
      </c>
      <c r="M39" s="3" t="str">
        <f>IF($A39="","",IF(countif('Womens Lineup'!M$3:M1000,CONCATENATE("=",$A39))=0,"",M$2))</f>
        <v/>
      </c>
      <c r="N39" s="3" t="str">
        <f>IF($A39="","",IF(countif('Womens Lineup'!N$3:N1000,CONCATENATE("=",$A39))=0,"",N$2))</f>
        <v>400 IM</v>
      </c>
      <c r="O39" s="3" t="str">
        <f>IF($A39="","",IF(countif('Womens Lineup'!O$3:O1000,CONCATENATE("=",$A39))=0,"",O$2))</f>
        <v/>
      </c>
      <c r="P39" s="3" t="str">
        <f>IF($A39="","",IF(countif('Womens Lineup'!P$3:P1000,CONCATENATE("=",$A39))=0,"",P$2))</f>
        <v/>
      </c>
      <c r="Q39" s="3" t="str">
        <f>IF($A39="","",IF(countif('Womens Lineup'!Q$3:Q1000,CONCATENATE("=",$A39))=0,"",Q$2))</f>
        <v/>
      </c>
      <c r="R39" s="3" t="str">
        <f>IF($A39="","",IF(countif('Womens Lineup'!R$3:R1000,CONCATENATE("=",$A39))=0,"",R$2))</f>
        <v/>
      </c>
      <c r="S39" s="3" t="str">
        <f>IF($A39="","",IF(countif('Womens Lineup'!S$3:S1000,CONCATENATE("=",$A39))=0,"",S$2))</f>
        <v/>
      </c>
      <c r="W39" s="3" t="str">
        <f>IFERROR(__xludf.DUMMYFUNCTION("JOIN("","",FILTER(B39:S39,B39:S39&lt;&gt;""""))"),"50 Free,100 Free,200 Free,200 Breast,400 IM")</f>
        <v>50 Free,100 Free,200 Free,200 Breast,400 IM</v>
      </c>
    </row>
    <row r="40">
      <c r="A40" s="3" t="s">
        <v>355</v>
      </c>
      <c r="B40" s="3" t="str">
        <f>IF($A40="","",IF(countif('Womens Lineup'!B$3:B1000,CONCATENATE("=",$A40))=0,"",B$2))</f>
        <v>50 Free</v>
      </c>
      <c r="C40" s="3" t="str">
        <f>IF($A40="","",IF(countif('Womens Lineup'!C$3:C1000,CONCATENATE("=",$A40))=0,"",C$2))</f>
        <v/>
      </c>
      <c r="D40" s="3" t="str">
        <f>IF($A40="","",IF(countif('Womens Lineup'!D$3:D1000,CONCATENATE("=",$A40))=0,"",D$2))</f>
        <v>200 Free</v>
      </c>
      <c r="E40" s="3" t="str">
        <f>IF($A40="","",IF(countif('Womens Lineup'!E$3:E1000,CONCATENATE("=",$A40))=0,"",E$2))</f>
        <v/>
      </c>
      <c r="F40" s="3" t="str">
        <f>IF($A40="","",IF(countif('Womens Lineup'!F$3:F1000,CONCATENATE("=",$A40))=0,"",F$2))</f>
        <v/>
      </c>
      <c r="G40" s="3" t="str">
        <f>IF($A40="","",IF(countif('Womens Lineup'!G$3:G1000,CONCATENATE("=",$A40))=0,"",G$2))</f>
        <v>100 Back</v>
      </c>
      <c r="H40" s="3" t="str">
        <f>IF($A40="","",IF(countif('Womens Lineup'!H$3:H1000,CONCATENATE("=",$A40))=0,"",H$2))</f>
        <v>200 Back</v>
      </c>
      <c r="I40" s="3" t="str">
        <f>IF($A40="","",IF(countif('Womens Lineup'!I$3:I1000,CONCATENATE("=",$A40))=0,"",I$2))</f>
        <v/>
      </c>
      <c r="J40" s="3" t="str">
        <f>IF($A40="","",IF(countif('Womens Lineup'!J$3:J1000,CONCATENATE("=",$A40))=0,"",J$2))</f>
        <v/>
      </c>
      <c r="K40" s="3" t="str">
        <f>IF($A40="","",IF(countif('Womens Lineup'!K$3:K1000,CONCATENATE("=",$A40))=0,"",K$2))</f>
        <v>100 Fly</v>
      </c>
      <c r="L40" s="3" t="str">
        <f>IF($A40="","",IF(countif('Womens Lineup'!L$3:L1000,CONCATENATE("=",$A40))=0,"",L$2))</f>
        <v/>
      </c>
      <c r="M40" s="3" t="str">
        <f>IF($A40="","",IF(countif('Womens Lineup'!M$3:M1000,CONCATENATE("=",$A40))=0,"",M$2))</f>
        <v>200 IM</v>
      </c>
      <c r="N40" s="3" t="str">
        <f>IF($A40="","",IF(countif('Womens Lineup'!N$3:N1000,CONCATENATE("=",$A40))=0,"",N$2))</f>
        <v/>
      </c>
      <c r="O40" s="3" t="str">
        <f>IF($A40="","",IF(countif('Womens Lineup'!O$3:O1000,CONCATENATE("=",$A40))=0,"",O$2))</f>
        <v/>
      </c>
      <c r="P40" s="3" t="str">
        <f>IF($A40="","",IF(countif('Womens Lineup'!P$3:P1000,CONCATENATE("=",$A40))=0,"",P$2))</f>
        <v/>
      </c>
      <c r="Q40" s="3" t="str">
        <f>IF($A40="","",IF(countif('Womens Lineup'!Q$3:Q1000,CONCATENATE("=",$A40))=0,"",Q$2))</f>
        <v/>
      </c>
      <c r="R40" s="3" t="str">
        <f>IF($A40="","",IF(countif('Womens Lineup'!R$3:R1000,CONCATENATE("=",$A40))=0,"",R$2))</f>
        <v/>
      </c>
      <c r="S40" s="3" t="str">
        <f>IF($A40="","",IF(countif('Womens Lineup'!S$3:S1000,CONCATENATE("=",$A40))=0,"",S$2))</f>
        <v/>
      </c>
      <c r="W40" s="3" t="str">
        <f>IFERROR(__xludf.DUMMYFUNCTION("JOIN("","",FILTER(B40:S40,B40:S40&lt;&gt;""""))"),"50 Free,200 Free,100 Back,200 Back,100 Fly,200 IM")</f>
        <v>50 Free,200 Free,100 Back,200 Back,100 Fly,200 IM</v>
      </c>
    </row>
    <row r="41">
      <c r="A41" s="3" t="s">
        <v>356</v>
      </c>
      <c r="B41" s="3" t="str">
        <f>IF($A41="","",IF(countif('Womens Lineup'!B$3:B1000,CONCATENATE("=",$A41))=0,"",B$2))</f>
        <v>50 Free</v>
      </c>
      <c r="C41" s="3" t="str">
        <f>IF($A41="","",IF(countif('Womens Lineup'!C$3:C1000,CONCATENATE("=",$A41))=0,"",C$2))</f>
        <v/>
      </c>
      <c r="D41" s="3" t="str">
        <f>IF($A41="","",IF(countif('Womens Lineup'!D$3:D1000,CONCATENATE("=",$A41))=0,"",D$2))</f>
        <v/>
      </c>
      <c r="E41" s="3" t="str">
        <f>IF($A41="","",IF(countif('Womens Lineup'!E$3:E1000,CONCATENATE("=",$A41))=0,"",E$2))</f>
        <v/>
      </c>
      <c r="F41" s="3" t="str">
        <f>IF($A41="","",IF(countif('Womens Lineup'!F$3:F1000,CONCATENATE("=",$A41))=0,"",F$2))</f>
        <v/>
      </c>
      <c r="G41" s="3" t="str">
        <f>IF($A41="","",IF(countif('Womens Lineup'!G$3:G1000,CONCATENATE("=",$A41))=0,"",G$2))</f>
        <v/>
      </c>
      <c r="H41" s="3" t="str">
        <f>IF($A41="","",IF(countif('Womens Lineup'!H$3:H1000,CONCATENATE("=",$A41))=0,"",H$2))</f>
        <v/>
      </c>
      <c r="I41" s="3" t="str">
        <f>IF($A41="","",IF(countif('Womens Lineup'!I$3:I1000,CONCATENATE("=",$A41))=0,"",I$2))</f>
        <v>100 Breast</v>
      </c>
      <c r="J41" s="3" t="str">
        <f>IF($A41="","",IF(countif('Womens Lineup'!J$3:J1000,CONCATENATE("=",$A41))=0,"",J$2))</f>
        <v/>
      </c>
      <c r="K41" s="3" t="str">
        <f>IF($A41="","",IF(countif('Womens Lineup'!K$3:K1000,CONCATENATE("=",$A41))=0,"",K$2))</f>
        <v/>
      </c>
      <c r="L41" s="3" t="str">
        <f>IF($A41="","",IF(countif('Womens Lineup'!L$3:L1000,CONCATENATE("=",$A41))=0,"",L$2))</f>
        <v/>
      </c>
      <c r="M41" s="3" t="str">
        <f>IF($A41="","",IF(countif('Womens Lineup'!M$3:M1000,CONCATENATE("=",$A41))=0,"",M$2))</f>
        <v/>
      </c>
      <c r="N41" s="3" t="str">
        <f>IF($A41="","",IF(countif('Womens Lineup'!N$3:N1000,CONCATENATE("=",$A41))=0,"",N$2))</f>
        <v/>
      </c>
      <c r="O41" s="3" t="str">
        <f>IF($A41="","",IF(countif('Womens Lineup'!O$3:O1000,CONCATENATE("=",$A41))=0,"",O$2))</f>
        <v/>
      </c>
      <c r="P41" s="3" t="str">
        <f>IF($A41="","",IF(countif('Womens Lineup'!P$3:P1000,CONCATENATE("=",$A41))=0,"",P$2))</f>
        <v/>
      </c>
      <c r="Q41" s="3" t="str">
        <f>IF($A41="","",IF(countif('Womens Lineup'!Q$3:Q1000,CONCATENATE("=",$A41))=0,"",Q$2))</f>
        <v/>
      </c>
      <c r="R41" s="3" t="str">
        <f>IF($A41="","",IF(countif('Womens Lineup'!R$3:R1000,CONCATENATE("=",$A41))=0,"",R$2))</f>
        <v/>
      </c>
      <c r="S41" s="3" t="str">
        <f>IF($A41="","",IF(countif('Womens Lineup'!S$3:S1000,CONCATENATE("=",$A41))=0,"",S$2))</f>
        <v/>
      </c>
      <c r="W41" s="3" t="str">
        <f>IFERROR(__xludf.DUMMYFUNCTION("JOIN("","",FILTER(B41:S41,B41:S41&lt;&gt;""""))"),"50 Free,100 Breast")</f>
        <v>50 Free,100 Breast</v>
      </c>
    </row>
    <row r="42">
      <c r="A42" s="3" t="s">
        <v>357</v>
      </c>
      <c r="B42" s="3" t="str">
        <f>IF($A42="","",IF(countif('Womens Lineup'!B$3:B1000,CONCATENATE("=",$A42))=0,"",B$2))</f>
        <v>50 Free</v>
      </c>
      <c r="C42" s="3" t="str">
        <f>IF($A42="","",IF(countif('Womens Lineup'!C$3:C1000,CONCATENATE("=",$A42))=0,"",C$2))</f>
        <v>100 Free</v>
      </c>
      <c r="D42" s="3" t="str">
        <f>IF($A42="","",IF(countif('Womens Lineup'!D$3:D1000,CONCATENATE("=",$A42))=0,"",D$2))</f>
        <v>200 Free</v>
      </c>
      <c r="E42" s="3" t="str">
        <f>IF($A42="","",IF(countif('Womens Lineup'!E$3:E1000,CONCATENATE("=",$A42))=0,"",E$2))</f>
        <v/>
      </c>
      <c r="F42" s="3" t="str">
        <f>IF($A42="","",IF(countif('Womens Lineup'!F$3:F1000,CONCATENATE("=",$A42))=0,"",F$2))</f>
        <v/>
      </c>
      <c r="G42" s="3" t="str">
        <f>IF($A42="","",IF(countif('Womens Lineup'!G$3:G1000,CONCATENATE("=",$A42))=0,"",G$2))</f>
        <v/>
      </c>
      <c r="H42" s="3" t="str">
        <f>IF($A42="","",IF(countif('Womens Lineup'!H$3:H1000,CONCATENATE("=",$A42))=0,"",H$2))</f>
        <v/>
      </c>
      <c r="I42" s="3" t="str">
        <f>IF($A42="","",IF(countif('Womens Lineup'!I$3:I1000,CONCATENATE("=",$A42))=0,"",I$2))</f>
        <v/>
      </c>
      <c r="J42" s="3" t="str">
        <f>IF($A42="","",IF(countif('Womens Lineup'!J$3:J1000,CONCATENATE("=",$A42))=0,"",J$2))</f>
        <v/>
      </c>
      <c r="K42" s="3" t="str">
        <f>IF($A42="","",IF(countif('Womens Lineup'!K$3:K1000,CONCATENATE("=",$A42))=0,"",K$2))</f>
        <v>100 Fly</v>
      </c>
      <c r="L42" s="3" t="str">
        <f>IF($A42="","",IF(countif('Womens Lineup'!L$3:L1000,CONCATENATE("=",$A42))=0,"",L$2))</f>
        <v>200 Fly</v>
      </c>
      <c r="M42" s="3" t="str">
        <f>IF($A42="","",IF(countif('Womens Lineup'!M$3:M1000,CONCATENATE("=",$A42))=0,"",M$2))</f>
        <v/>
      </c>
      <c r="N42" s="3" t="str">
        <f>IF($A42="","",IF(countif('Womens Lineup'!N$3:N1000,CONCATENATE("=",$A42))=0,"",N$2))</f>
        <v/>
      </c>
      <c r="O42" s="3" t="str">
        <f>IF($A42="","",IF(countif('Womens Lineup'!O$3:O1000,CONCATENATE("=",$A42))=0,"",O$2))</f>
        <v/>
      </c>
      <c r="P42" s="3" t="str">
        <f>IF($A42="","",IF(countif('Womens Lineup'!P$3:P1000,CONCATENATE("=",$A42))=0,"",P$2))</f>
        <v/>
      </c>
      <c r="Q42" s="3" t="str">
        <f>IF($A42="","",IF(countif('Womens Lineup'!Q$3:Q1000,CONCATENATE("=",$A42))=0,"",Q$2))</f>
        <v/>
      </c>
      <c r="R42" s="3" t="str">
        <f>IF($A42="","",IF(countif('Womens Lineup'!R$3:R1000,CONCATENATE("=",$A42))=0,"",R$2))</f>
        <v/>
      </c>
      <c r="S42" s="3" t="str">
        <f>IF($A42="","",IF(countif('Womens Lineup'!S$3:S1000,CONCATENATE("=",$A42))=0,"",S$2))</f>
        <v/>
      </c>
      <c r="W42" s="3" t="str">
        <f>IFERROR(__xludf.DUMMYFUNCTION("JOIN("","",FILTER(B42:S42,B42:S42&lt;&gt;""""))"),"50 Free,100 Free,200 Free,100 Fly,200 Fly")</f>
        <v>50 Free,100 Free,200 Free,100 Fly,200 Fly</v>
      </c>
    </row>
    <row r="43">
      <c r="A43" s="3" t="s">
        <v>358</v>
      </c>
      <c r="B43" s="3" t="str">
        <f>IF($A43="","",IF(countif('Womens Lineup'!B$3:B1000,CONCATENATE("=",$A43))=0,"",B$2))</f>
        <v>50 Free</v>
      </c>
      <c r="C43" s="3" t="str">
        <f>IF($A43="","",IF(countif('Womens Lineup'!C$3:C1000,CONCATENATE("=",$A43))=0,"",C$2))</f>
        <v/>
      </c>
      <c r="D43" s="3" t="str">
        <f>IF($A43="","",IF(countif('Womens Lineup'!D$3:D1000,CONCATENATE("=",$A43))=0,"",D$2))</f>
        <v>200 Free</v>
      </c>
      <c r="E43" s="3" t="str">
        <f>IF($A43="","",IF(countif('Womens Lineup'!E$3:E1000,CONCATENATE("=",$A43))=0,"",E$2))</f>
        <v/>
      </c>
      <c r="F43" s="3" t="str">
        <f>IF($A43="","",IF(countif('Womens Lineup'!F$3:F1000,CONCATENATE("=",$A43))=0,"",F$2))</f>
        <v/>
      </c>
      <c r="G43" s="3" t="str">
        <f>IF($A43="","",IF(countif('Womens Lineup'!G$3:G1000,CONCATENATE("=",$A43))=0,"",G$2))</f>
        <v>100 Back</v>
      </c>
      <c r="H43" s="3" t="str">
        <f>IF($A43="","",IF(countif('Womens Lineup'!H$3:H1000,CONCATENATE("=",$A43))=0,"",H$2))</f>
        <v>200 Back</v>
      </c>
      <c r="I43" s="3" t="str">
        <f>IF($A43="","",IF(countif('Womens Lineup'!I$3:I1000,CONCATENATE("=",$A43))=0,"",I$2))</f>
        <v/>
      </c>
      <c r="J43" s="3" t="str">
        <f>IF($A43="","",IF(countif('Womens Lineup'!J$3:J1000,CONCATENATE("=",$A43))=0,"",J$2))</f>
        <v/>
      </c>
      <c r="K43" s="3" t="str">
        <f>IF($A43="","",IF(countif('Womens Lineup'!K$3:K1000,CONCATENATE("=",$A43))=0,"",K$2))</f>
        <v>100 Fly</v>
      </c>
      <c r="L43" s="3" t="str">
        <f>IF($A43="","",IF(countif('Womens Lineup'!L$3:L1000,CONCATENATE("=",$A43))=0,"",L$2))</f>
        <v>200 Fly</v>
      </c>
      <c r="M43" s="3" t="str">
        <f>IF($A43="","",IF(countif('Womens Lineup'!M$3:M1000,CONCATENATE("=",$A43))=0,"",M$2))</f>
        <v/>
      </c>
      <c r="N43" s="3" t="str">
        <f>IF($A43="","",IF(countif('Womens Lineup'!N$3:N1000,CONCATENATE("=",$A43))=0,"",N$2))</f>
        <v/>
      </c>
      <c r="O43" s="3" t="str">
        <f>IF($A43="","",IF(countif('Womens Lineup'!O$3:O1000,CONCATENATE("=",$A43))=0,"",O$2))</f>
        <v/>
      </c>
      <c r="P43" s="3" t="str">
        <f>IF($A43="","",IF(countif('Womens Lineup'!P$3:P1000,CONCATENATE("=",$A43))=0,"",P$2))</f>
        <v/>
      </c>
      <c r="Q43" s="3" t="str">
        <f>IF($A43="","",IF(countif('Womens Lineup'!Q$3:Q1000,CONCATENATE("=",$A43))=0,"",Q$2))</f>
        <v/>
      </c>
      <c r="R43" s="3" t="str">
        <f>IF($A43="","",IF(countif('Womens Lineup'!R$3:R1000,CONCATENATE("=",$A43))=0,"",R$2))</f>
        <v/>
      </c>
      <c r="S43" s="3" t="str">
        <f>IF($A43="","",IF(countif('Womens Lineup'!S$3:S1000,CONCATENATE("=",$A43))=0,"",S$2))</f>
        <v/>
      </c>
      <c r="W43" s="3" t="str">
        <f>IFERROR(__xludf.DUMMYFUNCTION("JOIN("","",FILTER(B43:S43,B43:S43&lt;&gt;""""))"),"50 Free,200 Free,100 Back,200 Back,100 Fly,200 Fly")</f>
        <v>50 Free,200 Free,100 Back,200 Back,100 Fly,200 Fly</v>
      </c>
    </row>
    <row r="44">
      <c r="A44" s="3" t="s">
        <v>359</v>
      </c>
      <c r="B44" s="3" t="str">
        <f>IF($A44="","",IF(countif('Womens Lineup'!B$3:B1000,CONCATENATE("=",$A44))=0,"",B$2))</f>
        <v>50 Free</v>
      </c>
      <c r="C44" s="3" t="str">
        <f>IF($A44="","",IF(countif('Womens Lineup'!C$3:C1000,CONCATENATE("=",$A44))=0,"",C$2))</f>
        <v>100 Free</v>
      </c>
      <c r="D44" s="3" t="str">
        <f>IF($A44="","",IF(countif('Womens Lineup'!D$3:D1000,CONCATENATE("=",$A44))=0,"",D$2))</f>
        <v/>
      </c>
      <c r="E44" s="3" t="str">
        <f>IF($A44="","",IF(countif('Womens Lineup'!E$3:E1000,CONCATENATE("=",$A44))=0,"",E$2))</f>
        <v/>
      </c>
      <c r="F44" s="3" t="str">
        <f>IF($A44="","",IF(countif('Womens Lineup'!F$3:F1000,CONCATENATE("=",$A44))=0,"",F$2))</f>
        <v/>
      </c>
      <c r="G44" s="3" t="str">
        <f>IF($A44="","",IF(countif('Womens Lineup'!G$3:G1000,CONCATENATE("=",$A44))=0,"",G$2))</f>
        <v>100 Back</v>
      </c>
      <c r="H44" s="3" t="str">
        <f>IF($A44="","",IF(countif('Womens Lineup'!H$3:H1000,CONCATENATE("=",$A44))=0,"",H$2))</f>
        <v/>
      </c>
      <c r="I44" s="3" t="str">
        <f>IF($A44="","",IF(countif('Womens Lineup'!I$3:I1000,CONCATENATE("=",$A44))=0,"",I$2))</f>
        <v/>
      </c>
      <c r="J44" s="3" t="str">
        <f>IF($A44="","",IF(countif('Womens Lineup'!J$3:J1000,CONCATENATE("=",$A44))=0,"",J$2))</f>
        <v/>
      </c>
      <c r="K44" s="3" t="str">
        <f>IF($A44="","",IF(countif('Womens Lineup'!K$3:K1000,CONCATENATE("=",$A44))=0,"",K$2))</f>
        <v>100 Fly</v>
      </c>
      <c r="L44" s="3" t="str">
        <f>IF($A44="","",IF(countif('Womens Lineup'!L$3:L1000,CONCATENATE("=",$A44))=0,"",L$2))</f>
        <v>200 Fly</v>
      </c>
      <c r="M44" s="3" t="str">
        <f>IF($A44="","",IF(countif('Womens Lineup'!M$3:M1000,CONCATENATE("=",$A44))=0,"",M$2))</f>
        <v>200 IM</v>
      </c>
      <c r="N44" s="3" t="str">
        <f>IF($A44="","",IF(countif('Womens Lineup'!N$3:N1000,CONCATENATE("=",$A44))=0,"",N$2))</f>
        <v/>
      </c>
      <c r="O44" s="3" t="str">
        <f>IF($A44="","",IF(countif('Womens Lineup'!O$3:O1000,CONCATENATE("=",$A44))=0,"",O$2))</f>
        <v/>
      </c>
      <c r="P44" s="3" t="str">
        <f>IF($A44="","",IF(countif('Womens Lineup'!P$3:P1000,CONCATENATE("=",$A44))=0,"",P$2))</f>
        <v/>
      </c>
      <c r="Q44" s="3" t="str">
        <f>IF($A44="","",IF(countif('Womens Lineup'!Q$3:Q1000,CONCATENATE("=",$A44))=0,"",Q$2))</f>
        <v/>
      </c>
      <c r="R44" s="3" t="str">
        <f>IF($A44="","",IF(countif('Womens Lineup'!R$3:R1000,CONCATENATE("=",$A44))=0,"",R$2))</f>
        <v/>
      </c>
      <c r="S44" s="3" t="str">
        <f>IF($A44="","",IF(countif('Womens Lineup'!S$3:S1000,CONCATENATE("=",$A44))=0,"",S$2))</f>
        <v/>
      </c>
      <c r="W44" s="3" t="str">
        <f>IFERROR(__xludf.DUMMYFUNCTION("JOIN("","",FILTER(B44:S44,B44:S44&lt;&gt;""""))"),"50 Free,100 Free,100 Back,100 Fly,200 Fly,200 IM")</f>
        <v>50 Free,100 Free,100 Back,100 Fly,200 Fly,200 IM</v>
      </c>
    </row>
    <row r="45">
      <c r="A45" s="3" t="s">
        <v>360</v>
      </c>
      <c r="B45" s="3" t="str">
        <f>IF($A45="","",IF(countif('Womens Lineup'!B$3:B1000,CONCATENATE("=",$A45))=0,"",B$2))</f>
        <v>50 Free</v>
      </c>
      <c r="C45" s="3" t="str">
        <f>IF($A45="","",IF(countif('Womens Lineup'!C$3:C1000,CONCATENATE("=",$A45))=0,"",C$2))</f>
        <v>100 Free</v>
      </c>
      <c r="D45" s="3" t="str">
        <f>IF($A45="","",IF(countif('Womens Lineup'!D$3:D1000,CONCATENATE("=",$A45))=0,"",D$2))</f>
        <v/>
      </c>
      <c r="E45" s="3" t="str">
        <f>IF($A45="","",IF(countif('Womens Lineup'!E$3:E1000,CONCATENATE("=",$A45))=0,"",E$2))</f>
        <v/>
      </c>
      <c r="F45" s="3" t="str">
        <f>IF($A45="","",IF(countif('Womens Lineup'!F$3:F1000,CONCATENATE("=",$A45))=0,"",F$2))</f>
        <v/>
      </c>
      <c r="G45" s="3" t="str">
        <f>IF($A45="","",IF(countif('Womens Lineup'!G$3:G1000,CONCATENATE("=",$A45))=0,"",G$2))</f>
        <v>100 Back</v>
      </c>
      <c r="H45" s="3" t="str">
        <f>IF($A45="","",IF(countif('Womens Lineup'!H$3:H1000,CONCATENATE("=",$A45))=0,"",H$2))</f>
        <v/>
      </c>
      <c r="I45" s="3" t="str">
        <f>IF($A45="","",IF(countif('Womens Lineup'!I$3:I1000,CONCATENATE("=",$A45))=0,"",I$2))</f>
        <v/>
      </c>
      <c r="J45" s="3" t="str">
        <f>IF($A45="","",IF(countif('Womens Lineup'!J$3:J1000,CONCATENATE("=",$A45))=0,"",J$2))</f>
        <v/>
      </c>
      <c r="K45" s="3" t="str">
        <f>IF($A45="","",IF(countif('Womens Lineup'!K$3:K1000,CONCATENATE("=",$A45))=0,"",K$2))</f>
        <v>100 Fly</v>
      </c>
      <c r="L45" s="3" t="str">
        <f>IF($A45="","",IF(countif('Womens Lineup'!L$3:L1000,CONCATENATE("=",$A45))=0,"",L$2))</f>
        <v/>
      </c>
      <c r="M45" s="3" t="str">
        <f>IF($A45="","",IF(countif('Womens Lineup'!M$3:M1000,CONCATENATE("=",$A45))=0,"",M$2))</f>
        <v>200 IM</v>
      </c>
      <c r="N45" s="3" t="str">
        <f>IF($A45="","",IF(countif('Womens Lineup'!N$3:N1000,CONCATENATE("=",$A45))=0,"",N$2))</f>
        <v/>
      </c>
      <c r="O45" s="3" t="str">
        <f>IF($A45="","",IF(countif('Womens Lineup'!O$3:O1000,CONCATENATE("=",$A45))=0,"",O$2))</f>
        <v/>
      </c>
      <c r="P45" s="3" t="str">
        <f>IF($A45="","",IF(countif('Womens Lineup'!P$3:P1000,CONCATENATE("=",$A45))=0,"",P$2))</f>
        <v/>
      </c>
      <c r="Q45" s="3" t="str">
        <f>IF($A45="","",IF(countif('Womens Lineup'!Q$3:Q1000,CONCATENATE("=",$A45))=0,"",Q$2))</f>
        <v/>
      </c>
      <c r="R45" s="3" t="str">
        <f>IF($A45="","",IF(countif('Womens Lineup'!R$3:R1000,CONCATENATE("=",$A45))=0,"",R$2))</f>
        <v/>
      </c>
      <c r="S45" s="3" t="str">
        <f>IF($A45="","",IF(countif('Womens Lineup'!S$3:S1000,CONCATENATE("=",$A45))=0,"",S$2))</f>
        <v/>
      </c>
      <c r="W45" s="3" t="str">
        <f>IFERROR(__xludf.DUMMYFUNCTION("JOIN("","",FILTER(B45:S45,B45:S45&lt;&gt;""""))"),"50 Free,100 Free,100 Back,100 Fly,200 IM")</f>
        <v>50 Free,100 Free,100 Back,100 Fly,200 IM</v>
      </c>
    </row>
    <row r="46">
      <c r="A46" s="3" t="s">
        <v>361</v>
      </c>
      <c r="B46" s="3" t="str">
        <f>IF($A46="","",IF(countif('Womens Lineup'!B$3:B1000,CONCATENATE("=",$A46))=0,"",B$2))</f>
        <v>50 Free</v>
      </c>
      <c r="C46" s="3" t="str">
        <f>IF($A46="","",IF(countif('Womens Lineup'!C$3:C1000,CONCATENATE("=",$A46))=0,"",C$2))</f>
        <v/>
      </c>
      <c r="D46" s="3" t="str">
        <f>IF($A46="","",IF(countif('Womens Lineup'!D$3:D1000,CONCATENATE("=",$A46))=0,"",D$2))</f>
        <v/>
      </c>
      <c r="E46" s="3" t="str">
        <f>IF($A46="","",IF(countif('Womens Lineup'!E$3:E1000,CONCATENATE("=",$A46))=0,"",E$2))</f>
        <v/>
      </c>
      <c r="F46" s="3" t="str">
        <f>IF($A46="","",IF(countif('Womens Lineup'!F$3:F1000,CONCATENATE("=",$A46))=0,"",F$2))</f>
        <v/>
      </c>
      <c r="G46" s="3" t="str">
        <f>IF($A46="","",IF(countif('Womens Lineup'!G$3:G1000,CONCATENATE("=",$A46))=0,"",G$2))</f>
        <v>100 Back</v>
      </c>
      <c r="H46" s="3" t="str">
        <f>IF($A46="","",IF(countif('Womens Lineup'!H$3:H1000,CONCATENATE("=",$A46))=0,"",H$2))</f>
        <v/>
      </c>
      <c r="I46" s="3" t="str">
        <f>IF($A46="","",IF(countif('Womens Lineup'!I$3:I1000,CONCATENATE("=",$A46))=0,"",I$2))</f>
        <v>100 Breast</v>
      </c>
      <c r="J46" s="3" t="str">
        <f>IF($A46="","",IF(countif('Womens Lineup'!J$3:J1000,CONCATENATE("=",$A46))=0,"",J$2))</f>
        <v>200 Breast</v>
      </c>
      <c r="K46" s="3" t="str">
        <f>IF($A46="","",IF(countif('Womens Lineup'!K$3:K1000,CONCATENATE("=",$A46))=0,"",K$2))</f>
        <v/>
      </c>
      <c r="L46" s="3" t="str">
        <f>IF($A46="","",IF(countif('Womens Lineup'!L$3:L1000,CONCATENATE("=",$A46))=0,"",L$2))</f>
        <v/>
      </c>
      <c r="M46" s="3" t="str">
        <f>IF($A46="","",IF(countif('Womens Lineup'!M$3:M1000,CONCATENATE("=",$A46))=0,"",M$2))</f>
        <v>200 IM</v>
      </c>
      <c r="N46" s="3" t="str">
        <f>IF($A46="","",IF(countif('Womens Lineup'!N$3:N1000,CONCATENATE("=",$A46))=0,"",N$2))</f>
        <v>400 IM</v>
      </c>
      <c r="O46" s="3" t="str">
        <f>IF($A46="","",IF(countif('Womens Lineup'!O$3:O1000,CONCATENATE("=",$A46))=0,"",O$2))</f>
        <v/>
      </c>
      <c r="P46" s="3" t="str">
        <f>IF($A46="","",IF(countif('Womens Lineup'!P$3:P1000,CONCATENATE("=",$A46))=0,"",P$2))</f>
        <v/>
      </c>
      <c r="Q46" s="3" t="str">
        <f>IF($A46="","",IF(countif('Womens Lineup'!Q$3:Q1000,CONCATENATE("=",$A46))=0,"",Q$2))</f>
        <v/>
      </c>
      <c r="R46" s="3" t="str">
        <f>IF($A46="","",IF(countif('Womens Lineup'!R$3:R1000,CONCATENATE("=",$A46))=0,"",R$2))</f>
        <v/>
      </c>
      <c r="S46" s="3" t="str">
        <f>IF($A46="","",IF(countif('Womens Lineup'!S$3:S1000,CONCATENATE("=",$A46))=0,"",S$2))</f>
        <v/>
      </c>
      <c r="W46" s="3" t="str">
        <f>IFERROR(__xludf.DUMMYFUNCTION("JOIN("","",FILTER(B46:S46,B46:S46&lt;&gt;""""))"),"50 Free,100 Back,100 Breast,200 Breast,200 IM,400 IM")</f>
        <v>50 Free,100 Back,100 Breast,200 Breast,200 IM,400 IM</v>
      </c>
    </row>
    <row r="47">
      <c r="A47" s="3" t="s">
        <v>362</v>
      </c>
      <c r="B47" s="3" t="str">
        <f>IF($A47="","",IF(countif('Womens Lineup'!B$3:B1000,CONCATENATE("=",$A47))=0,"",B$2))</f>
        <v>50 Free</v>
      </c>
      <c r="C47" s="3" t="str">
        <f>IF($A47="","",IF(countif('Womens Lineup'!C$3:C1000,CONCATENATE("=",$A47))=0,"",C$2))</f>
        <v>100 Free</v>
      </c>
      <c r="D47" s="3" t="str">
        <f>IF($A47="","",IF(countif('Womens Lineup'!D$3:D1000,CONCATENATE("=",$A47))=0,"",D$2))</f>
        <v>200 Free</v>
      </c>
      <c r="E47" s="3" t="str">
        <f>IF($A47="","",IF(countif('Womens Lineup'!E$3:E1000,CONCATENATE("=",$A47))=0,"",E$2))</f>
        <v/>
      </c>
      <c r="F47" s="3" t="str">
        <f>IF($A47="","",IF(countif('Womens Lineup'!F$3:F1000,CONCATENATE("=",$A47))=0,"",F$2))</f>
        <v/>
      </c>
      <c r="G47" s="3" t="str">
        <f>IF($A47="","",IF(countif('Womens Lineup'!G$3:G1000,CONCATENATE("=",$A47))=0,"",G$2))</f>
        <v/>
      </c>
      <c r="H47" s="3" t="str">
        <f>IF($A47="","",IF(countif('Womens Lineup'!H$3:H1000,CONCATENATE("=",$A47))=0,"",H$2))</f>
        <v/>
      </c>
      <c r="I47" s="3" t="str">
        <f>IF($A47="","",IF(countif('Womens Lineup'!I$3:I1000,CONCATENATE("=",$A47))=0,"",I$2))</f>
        <v/>
      </c>
      <c r="J47" s="3" t="str">
        <f>IF($A47="","",IF(countif('Womens Lineup'!J$3:J1000,CONCATENATE("=",$A47))=0,"",J$2))</f>
        <v>200 Breast</v>
      </c>
      <c r="K47" s="3" t="str">
        <f>IF($A47="","",IF(countif('Womens Lineup'!K$3:K1000,CONCATENATE("=",$A47))=0,"",K$2))</f>
        <v>100 Fly</v>
      </c>
      <c r="L47" s="3" t="str">
        <f>IF($A47="","",IF(countif('Womens Lineup'!L$3:L1000,CONCATENATE("=",$A47))=0,"",L$2))</f>
        <v/>
      </c>
      <c r="M47" s="3" t="str">
        <f>IF($A47="","",IF(countif('Womens Lineup'!M$3:M1000,CONCATENATE("=",$A47))=0,"",M$2))</f>
        <v>200 IM</v>
      </c>
      <c r="N47" s="3" t="str">
        <f>IF($A47="","",IF(countif('Womens Lineup'!N$3:N1000,CONCATENATE("=",$A47))=0,"",N$2))</f>
        <v/>
      </c>
      <c r="O47" s="3" t="str">
        <f>IF($A47="","",IF(countif('Womens Lineup'!O$3:O1000,CONCATENATE("=",$A47))=0,"",O$2))</f>
        <v/>
      </c>
      <c r="P47" s="3" t="str">
        <f>IF($A47="","",IF(countif('Womens Lineup'!P$3:P1000,CONCATENATE("=",$A47))=0,"",P$2))</f>
        <v/>
      </c>
      <c r="Q47" s="3" t="str">
        <f>IF($A47="","",IF(countif('Womens Lineup'!Q$3:Q1000,CONCATENATE("=",$A47))=0,"",Q$2))</f>
        <v/>
      </c>
      <c r="R47" s="3" t="str">
        <f>IF($A47="","",IF(countif('Womens Lineup'!R$3:R1000,CONCATENATE("=",$A47))=0,"",R$2))</f>
        <v/>
      </c>
      <c r="S47" s="3" t="str">
        <f>IF($A47="","",IF(countif('Womens Lineup'!S$3:S1000,CONCATENATE("=",$A47))=0,"",S$2))</f>
        <v/>
      </c>
      <c r="W47" s="3" t="str">
        <f>IFERROR(__xludf.DUMMYFUNCTION("JOIN("","",FILTER(B47:S47,B47:S47&lt;&gt;""""))"),"50 Free,100 Free,200 Free,200 Breast,100 Fly,200 IM")</f>
        <v>50 Free,100 Free,200 Free,200 Breast,100 Fly,200 IM</v>
      </c>
    </row>
    <row r="48">
      <c r="A48" s="3" t="s">
        <v>363</v>
      </c>
      <c r="B48" s="3" t="str">
        <f>IF($A48="","",IF(countif('Womens Lineup'!B$3:B1000,CONCATENATE("=",$A48))=0,"",B$2))</f>
        <v>50 Free</v>
      </c>
      <c r="C48" s="3" t="str">
        <f>IF($A48="","",IF(countif('Womens Lineup'!C$3:C1000,CONCATENATE("=",$A48))=0,"",C$2))</f>
        <v>100 Free</v>
      </c>
      <c r="D48" s="3" t="str">
        <f>IF($A48="","",IF(countif('Womens Lineup'!D$3:D1000,CONCATENATE("=",$A48))=0,"",D$2))</f>
        <v/>
      </c>
      <c r="E48" s="3" t="str">
        <f>IF($A48="","",IF(countif('Womens Lineup'!E$3:E1000,CONCATENATE("=",$A48))=0,"",E$2))</f>
        <v/>
      </c>
      <c r="F48" s="3" t="str">
        <f>IF($A48="","",IF(countif('Womens Lineup'!F$3:F1000,CONCATENATE("=",$A48))=0,"",F$2))</f>
        <v/>
      </c>
      <c r="G48" s="3" t="str">
        <f>IF($A48="","",IF(countif('Womens Lineup'!G$3:G1000,CONCATENATE("=",$A48))=0,"",G$2))</f>
        <v>100 Back</v>
      </c>
      <c r="H48" s="3" t="str">
        <f>IF($A48="","",IF(countif('Womens Lineup'!H$3:H1000,CONCATENATE("=",$A48))=0,"",H$2))</f>
        <v>200 Back</v>
      </c>
      <c r="I48" s="3" t="str">
        <f>IF($A48="","",IF(countif('Womens Lineup'!I$3:I1000,CONCATENATE("=",$A48))=0,"",I$2))</f>
        <v/>
      </c>
      <c r="J48" s="3" t="str">
        <f>IF($A48="","",IF(countif('Womens Lineup'!J$3:J1000,CONCATENATE("=",$A48))=0,"",J$2))</f>
        <v/>
      </c>
      <c r="K48" s="3" t="str">
        <f>IF($A48="","",IF(countif('Womens Lineup'!K$3:K1000,CONCATENATE("=",$A48))=0,"",K$2))</f>
        <v>100 Fly</v>
      </c>
      <c r="L48" s="3" t="str">
        <f>IF($A48="","",IF(countif('Womens Lineup'!L$3:L1000,CONCATENATE("=",$A48))=0,"",L$2))</f>
        <v/>
      </c>
      <c r="M48" s="3" t="str">
        <f>IF($A48="","",IF(countif('Womens Lineup'!M$3:M1000,CONCATENATE("=",$A48))=0,"",M$2))</f>
        <v/>
      </c>
      <c r="N48" s="3" t="str">
        <f>IF($A48="","",IF(countif('Womens Lineup'!N$3:N1000,CONCATENATE("=",$A48))=0,"",N$2))</f>
        <v/>
      </c>
      <c r="O48" s="3" t="str">
        <f>IF($A48="","",IF(countif('Womens Lineup'!O$3:O1000,CONCATENATE("=",$A48))=0,"",O$2))</f>
        <v/>
      </c>
      <c r="P48" s="3" t="str">
        <f>IF($A48="","",IF(countif('Womens Lineup'!P$3:P1000,CONCATENATE("=",$A48))=0,"",P$2))</f>
        <v/>
      </c>
      <c r="Q48" s="3" t="str">
        <f>IF($A48="","",IF(countif('Womens Lineup'!Q$3:Q1000,CONCATENATE("=",$A48))=0,"",Q$2))</f>
        <v/>
      </c>
      <c r="R48" s="3" t="str">
        <f>IF($A48="","",IF(countif('Womens Lineup'!R$3:R1000,CONCATENATE("=",$A48))=0,"",R$2))</f>
        <v/>
      </c>
      <c r="S48" s="3" t="str">
        <f>IF($A48="","",IF(countif('Womens Lineup'!S$3:S1000,CONCATENATE("=",$A48))=0,"",S$2))</f>
        <v/>
      </c>
      <c r="W48" s="3" t="str">
        <f>IFERROR(__xludf.DUMMYFUNCTION("JOIN("","",FILTER(B48:S48,B48:S48&lt;&gt;""""))"),"50 Free,100 Free,100 Back,200 Back,100 Fly")</f>
        <v>50 Free,100 Free,100 Back,200 Back,100 Fly</v>
      </c>
    </row>
    <row r="49">
      <c r="A49" s="3" t="s">
        <v>364</v>
      </c>
      <c r="B49" s="3" t="str">
        <f>IF($A49="","",IF(countif('Womens Lineup'!B$3:B1000,CONCATENATE("=",$A49))=0,"",B$2))</f>
        <v>50 Free</v>
      </c>
      <c r="C49" s="3" t="str">
        <f>IF($A49="","",IF(countif('Womens Lineup'!C$3:C1000,CONCATENATE("=",$A49))=0,"",C$2))</f>
        <v>100 Free</v>
      </c>
      <c r="D49" s="3" t="str">
        <f>IF($A49="","",IF(countif('Womens Lineup'!D$3:D1000,CONCATENATE("=",$A49))=0,"",D$2))</f>
        <v/>
      </c>
      <c r="E49" s="3" t="str">
        <f>IF($A49="","",IF(countif('Womens Lineup'!E$3:E1000,CONCATENATE("=",$A49))=0,"",E$2))</f>
        <v/>
      </c>
      <c r="F49" s="3" t="str">
        <f>IF($A49="","",IF(countif('Womens Lineup'!F$3:F1000,CONCATENATE("=",$A49))=0,"",F$2))</f>
        <v/>
      </c>
      <c r="G49" s="3" t="str">
        <f>IF($A49="","",IF(countif('Womens Lineup'!G$3:G1000,CONCATENATE("=",$A49))=0,"",G$2))</f>
        <v>100 Back</v>
      </c>
      <c r="H49" s="3" t="str">
        <f>IF($A49="","",IF(countif('Womens Lineup'!H$3:H1000,CONCATENATE("=",$A49))=0,"",H$2))</f>
        <v>200 Back</v>
      </c>
      <c r="I49" s="3" t="str">
        <f>IF($A49="","",IF(countif('Womens Lineup'!I$3:I1000,CONCATENATE("=",$A49))=0,"",I$2))</f>
        <v/>
      </c>
      <c r="J49" s="3" t="str">
        <f>IF($A49="","",IF(countif('Womens Lineup'!J$3:J1000,CONCATENATE("=",$A49))=0,"",J$2))</f>
        <v/>
      </c>
      <c r="K49" s="3" t="str">
        <f>IF($A49="","",IF(countif('Womens Lineup'!K$3:K1000,CONCATENATE("=",$A49))=0,"",K$2))</f>
        <v/>
      </c>
      <c r="L49" s="3" t="str">
        <f>IF($A49="","",IF(countif('Womens Lineup'!L$3:L1000,CONCATENATE("=",$A49))=0,"",L$2))</f>
        <v/>
      </c>
      <c r="M49" s="3" t="str">
        <f>IF($A49="","",IF(countif('Womens Lineup'!M$3:M1000,CONCATENATE("=",$A49))=0,"",M$2))</f>
        <v>200 IM</v>
      </c>
      <c r="N49" s="3" t="str">
        <f>IF($A49="","",IF(countif('Womens Lineup'!N$3:N1000,CONCATENATE("=",$A49))=0,"",N$2))</f>
        <v/>
      </c>
      <c r="O49" s="3" t="str">
        <f>IF($A49="","",IF(countif('Womens Lineup'!O$3:O1000,CONCATENATE("=",$A49))=0,"",O$2))</f>
        <v/>
      </c>
      <c r="P49" s="3" t="str">
        <f>IF($A49="","",IF(countif('Womens Lineup'!P$3:P1000,CONCATENATE("=",$A49))=0,"",P$2))</f>
        <v/>
      </c>
      <c r="Q49" s="3" t="str">
        <f>IF($A49="","",IF(countif('Womens Lineup'!Q$3:Q1000,CONCATENATE("=",$A49))=0,"",Q$2))</f>
        <v/>
      </c>
      <c r="R49" s="3" t="str">
        <f>IF($A49="","",IF(countif('Womens Lineup'!R$3:R1000,CONCATENATE("=",$A49))=0,"",R$2))</f>
        <v/>
      </c>
      <c r="S49" s="3" t="str">
        <f>IF($A49="","",IF(countif('Womens Lineup'!S$3:S1000,CONCATENATE("=",$A49))=0,"",S$2))</f>
        <v/>
      </c>
      <c r="W49" s="3" t="str">
        <f>IFERROR(__xludf.DUMMYFUNCTION("JOIN("","",FILTER(B49:S49,B49:S49&lt;&gt;""""))"),"50 Free,100 Free,100 Back,200 Back,200 IM")</f>
        <v>50 Free,100 Free,100 Back,200 Back,200 IM</v>
      </c>
    </row>
    <row r="50">
      <c r="A50" s="3" t="s">
        <v>365</v>
      </c>
      <c r="B50" s="3" t="str">
        <f>IF($A50="","",IF(countif('Womens Lineup'!B$3:B1000,CONCATENATE("=",$A50))=0,"",B$2))</f>
        <v>50 Free</v>
      </c>
      <c r="C50" s="3" t="str">
        <f>IF($A50="","",IF(countif('Womens Lineup'!C$3:C1000,CONCATENATE("=",$A50))=0,"",C$2))</f>
        <v>100 Free</v>
      </c>
      <c r="D50" s="3" t="str">
        <f>IF($A50="","",IF(countif('Womens Lineup'!D$3:D1000,CONCATENATE("=",$A50))=0,"",D$2))</f>
        <v/>
      </c>
      <c r="E50" s="3" t="str">
        <f>IF($A50="","",IF(countif('Womens Lineup'!E$3:E1000,CONCATENATE("=",$A50))=0,"",E$2))</f>
        <v/>
      </c>
      <c r="F50" s="3" t="str">
        <f>IF($A50="","",IF(countif('Womens Lineup'!F$3:F1000,CONCATENATE("=",$A50))=0,"",F$2))</f>
        <v/>
      </c>
      <c r="G50" s="3" t="str">
        <f>IF($A50="","",IF(countif('Womens Lineup'!G$3:G1000,CONCATENATE("=",$A50))=0,"",G$2))</f>
        <v>100 Back</v>
      </c>
      <c r="H50" s="3" t="str">
        <f>IF($A50="","",IF(countif('Womens Lineup'!H$3:H1000,CONCATENATE("=",$A50))=0,"",H$2))</f>
        <v>200 Back</v>
      </c>
      <c r="I50" s="3" t="str">
        <f>IF($A50="","",IF(countif('Womens Lineup'!I$3:I1000,CONCATENATE("=",$A50))=0,"",I$2))</f>
        <v/>
      </c>
      <c r="J50" s="3" t="str">
        <f>IF($A50="","",IF(countif('Womens Lineup'!J$3:J1000,CONCATENATE("=",$A50))=0,"",J$2))</f>
        <v/>
      </c>
      <c r="K50" s="3" t="str">
        <f>IF($A50="","",IF(countif('Womens Lineup'!K$3:K1000,CONCATENATE("=",$A50))=0,"",K$2))</f>
        <v/>
      </c>
      <c r="L50" s="3" t="str">
        <f>IF($A50="","",IF(countif('Womens Lineup'!L$3:L1000,CONCATENATE("=",$A50))=0,"",L$2))</f>
        <v/>
      </c>
      <c r="M50" s="3" t="str">
        <f>IF($A50="","",IF(countif('Womens Lineup'!M$3:M1000,CONCATENATE("=",$A50))=0,"",M$2))</f>
        <v/>
      </c>
      <c r="N50" s="3" t="str">
        <f>IF($A50="","",IF(countif('Womens Lineup'!N$3:N1000,CONCATENATE("=",$A50))=0,"",N$2))</f>
        <v/>
      </c>
      <c r="O50" s="3" t="str">
        <f>IF($A50="","",IF(countif('Womens Lineup'!O$3:O1000,CONCATENATE("=",$A50))=0,"",O$2))</f>
        <v/>
      </c>
      <c r="P50" s="3" t="str">
        <f>IF($A50="","",IF(countif('Womens Lineup'!P$3:P1000,CONCATENATE("=",$A50))=0,"",P$2))</f>
        <v/>
      </c>
      <c r="Q50" s="3" t="str">
        <f>IF($A50="","",IF(countif('Womens Lineup'!Q$3:Q1000,CONCATENATE("=",$A50))=0,"",Q$2))</f>
        <v/>
      </c>
      <c r="R50" s="3" t="str">
        <f>IF($A50="","",IF(countif('Womens Lineup'!R$3:R1000,CONCATENATE("=",$A50))=0,"",R$2))</f>
        <v/>
      </c>
      <c r="S50" s="3" t="str">
        <f>IF($A50="","",IF(countif('Womens Lineup'!S$3:S1000,CONCATENATE("=",$A50))=0,"",S$2))</f>
        <v/>
      </c>
      <c r="W50" s="3" t="str">
        <f>IFERROR(__xludf.DUMMYFUNCTION("JOIN("","",FILTER(B50:S50,B50:S50&lt;&gt;""""))"),"50 Free,100 Free,100 Back,200 Back")</f>
        <v>50 Free,100 Free,100 Back,200 Back</v>
      </c>
    </row>
    <row r="51">
      <c r="A51" s="3" t="s">
        <v>366</v>
      </c>
      <c r="B51" s="3" t="str">
        <f>IF($A51="","",IF(countif('Womens Lineup'!B$3:B1000,CONCATENATE("=",$A51))=0,"",B$2))</f>
        <v>50 Free</v>
      </c>
      <c r="C51" s="3" t="str">
        <f>IF($A51="","",IF(countif('Womens Lineup'!C$3:C1000,CONCATENATE("=",$A51))=0,"",C$2))</f>
        <v/>
      </c>
      <c r="D51" s="3" t="str">
        <f>IF($A51="","",IF(countif('Womens Lineup'!D$3:D1000,CONCATENATE("=",$A51))=0,"",D$2))</f>
        <v/>
      </c>
      <c r="E51" s="3" t="str">
        <f>IF($A51="","",IF(countif('Womens Lineup'!E$3:E1000,CONCATENATE("=",$A51))=0,"",E$2))</f>
        <v/>
      </c>
      <c r="F51" s="3" t="str">
        <f>IF($A51="","",IF(countif('Womens Lineup'!F$3:F1000,CONCATENATE("=",$A51))=0,"",F$2))</f>
        <v/>
      </c>
      <c r="G51" s="3" t="str">
        <f>IF($A51="","",IF(countif('Womens Lineup'!G$3:G1000,CONCATENATE("=",$A51))=0,"",G$2))</f>
        <v>100 Back</v>
      </c>
      <c r="H51" s="3" t="str">
        <f>IF($A51="","",IF(countif('Womens Lineup'!H$3:H1000,CONCATENATE("=",$A51))=0,"",H$2))</f>
        <v>200 Back</v>
      </c>
      <c r="I51" s="3" t="str">
        <f>IF($A51="","",IF(countif('Womens Lineup'!I$3:I1000,CONCATENATE("=",$A51))=0,"",I$2))</f>
        <v>100 Breast</v>
      </c>
      <c r="J51" s="3" t="str">
        <f>IF($A51="","",IF(countif('Womens Lineup'!J$3:J1000,CONCATENATE("=",$A51))=0,"",J$2))</f>
        <v/>
      </c>
      <c r="K51" s="3" t="str">
        <f>IF($A51="","",IF(countif('Womens Lineup'!K$3:K1000,CONCATENATE("=",$A51))=0,"",K$2))</f>
        <v/>
      </c>
      <c r="L51" s="3" t="str">
        <f>IF($A51="","",IF(countif('Womens Lineup'!L$3:L1000,CONCATENATE("=",$A51))=0,"",L$2))</f>
        <v/>
      </c>
      <c r="M51" s="3" t="str">
        <f>IF($A51="","",IF(countif('Womens Lineup'!M$3:M1000,CONCATENATE("=",$A51))=0,"",M$2))</f>
        <v>200 IM</v>
      </c>
      <c r="N51" s="3" t="str">
        <f>IF($A51="","",IF(countif('Womens Lineup'!N$3:N1000,CONCATENATE("=",$A51))=0,"",N$2))</f>
        <v>400 IM</v>
      </c>
      <c r="O51" s="3" t="str">
        <f>IF($A51="","",IF(countif('Womens Lineup'!O$3:O1000,CONCATENATE("=",$A51))=0,"",O$2))</f>
        <v/>
      </c>
      <c r="P51" s="3" t="str">
        <f>IF($A51="","",IF(countif('Womens Lineup'!P$3:P1000,CONCATENATE("=",$A51))=0,"",P$2))</f>
        <v/>
      </c>
      <c r="Q51" s="3" t="str">
        <f>IF($A51="","",IF(countif('Womens Lineup'!Q$3:Q1000,CONCATENATE("=",$A51))=0,"",Q$2))</f>
        <v/>
      </c>
      <c r="R51" s="3" t="str">
        <f>IF($A51="","",IF(countif('Womens Lineup'!R$3:R1000,CONCATENATE("=",$A51))=0,"",R$2))</f>
        <v/>
      </c>
      <c r="S51" s="3" t="str">
        <f>IF($A51="","",IF(countif('Womens Lineup'!S$3:S1000,CONCATENATE("=",$A51))=0,"",S$2))</f>
        <v/>
      </c>
      <c r="W51" s="3" t="str">
        <f>IFERROR(__xludf.DUMMYFUNCTION("JOIN("","",FILTER(B51:S51,B51:S51&lt;&gt;""""))"),"50 Free,100 Back,200 Back,100 Breast,200 IM,400 IM")</f>
        <v>50 Free,100 Back,200 Back,100 Breast,200 IM,400 IM</v>
      </c>
    </row>
    <row r="52">
      <c r="A52" s="3" t="s">
        <v>367</v>
      </c>
      <c r="B52" s="3" t="str">
        <f>IF($A52="","",IF(countif('Womens Lineup'!B$3:B1000,CONCATENATE("=",$A52))=0,"",B$2))</f>
        <v>50 Free</v>
      </c>
      <c r="C52" s="3" t="str">
        <f>IF($A52="","",IF(countif('Womens Lineup'!C$3:C1000,CONCATENATE("=",$A52))=0,"",C$2))</f>
        <v/>
      </c>
      <c r="D52" s="3" t="str">
        <f>IF($A52="","",IF(countif('Womens Lineup'!D$3:D1000,CONCATENATE("=",$A52))=0,"",D$2))</f>
        <v/>
      </c>
      <c r="E52" s="3" t="str">
        <f>IF($A52="","",IF(countif('Womens Lineup'!E$3:E1000,CONCATENATE("=",$A52))=0,"",E$2))</f>
        <v/>
      </c>
      <c r="F52" s="3" t="str">
        <f>IF($A52="","",IF(countif('Womens Lineup'!F$3:F1000,CONCATENATE("=",$A52))=0,"",F$2))</f>
        <v/>
      </c>
      <c r="G52" s="3" t="str">
        <f>IF($A52="","",IF(countif('Womens Lineup'!G$3:G1000,CONCATENATE("=",$A52))=0,"",G$2))</f>
        <v>100 Back</v>
      </c>
      <c r="H52" s="3" t="str">
        <f>IF($A52="","",IF(countif('Womens Lineup'!H$3:H1000,CONCATENATE("=",$A52))=0,"",H$2))</f>
        <v/>
      </c>
      <c r="I52" s="3" t="str">
        <f>IF($A52="","",IF(countif('Womens Lineup'!I$3:I1000,CONCATENATE("=",$A52))=0,"",I$2))</f>
        <v/>
      </c>
      <c r="J52" s="3" t="str">
        <f>IF($A52="","",IF(countif('Womens Lineup'!J$3:J1000,CONCATENATE("=",$A52))=0,"",J$2))</f>
        <v/>
      </c>
      <c r="K52" s="3" t="str">
        <f>IF($A52="","",IF(countif('Womens Lineup'!K$3:K1000,CONCATENATE("=",$A52))=0,"",K$2))</f>
        <v/>
      </c>
      <c r="L52" s="3" t="str">
        <f>IF($A52="","",IF(countif('Womens Lineup'!L$3:L1000,CONCATENATE("=",$A52))=0,"",L$2))</f>
        <v/>
      </c>
      <c r="M52" s="3" t="str">
        <f>IF($A52="","",IF(countif('Womens Lineup'!M$3:M1000,CONCATENATE("=",$A52))=0,"",M$2))</f>
        <v/>
      </c>
      <c r="N52" s="3" t="str">
        <f>IF($A52="","",IF(countif('Womens Lineup'!N$3:N1000,CONCATENATE("=",$A52))=0,"",N$2))</f>
        <v/>
      </c>
      <c r="O52" s="3" t="str">
        <f>IF($A52="","",IF(countif('Womens Lineup'!O$3:O1000,CONCATENATE("=",$A52))=0,"",O$2))</f>
        <v/>
      </c>
      <c r="P52" s="3" t="str">
        <f>IF($A52="","",IF(countif('Womens Lineup'!P$3:P1000,CONCATENATE("=",$A52))=0,"",P$2))</f>
        <v/>
      </c>
      <c r="Q52" s="3" t="str">
        <f>IF($A52="","",IF(countif('Womens Lineup'!Q$3:Q1000,CONCATENATE("=",$A52))=0,"",Q$2))</f>
        <v/>
      </c>
      <c r="R52" s="3" t="str">
        <f>IF($A52="","",IF(countif('Womens Lineup'!R$3:R1000,CONCATENATE("=",$A52))=0,"",R$2))</f>
        <v/>
      </c>
      <c r="S52" s="3" t="str">
        <f>IF($A52="","",IF(countif('Womens Lineup'!S$3:S1000,CONCATENATE("=",$A52))=0,"",S$2))</f>
        <v/>
      </c>
      <c r="W52" s="3" t="str">
        <f>IFERROR(__xludf.DUMMYFUNCTION("JOIN("","",FILTER(B52:S52,B52:S52&lt;&gt;""""))"),"50 Free,100 Back")</f>
        <v>50 Free,100 Back</v>
      </c>
    </row>
    <row r="53">
      <c r="A53" s="3" t="s">
        <v>368</v>
      </c>
      <c r="B53" s="3" t="str">
        <f>IF($A53="","",IF(countif('Womens Lineup'!B$3:B1000,CONCATENATE("=",$A53))=0,"",B$2))</f>
        <v>50 Free</v>
      </c>
      <c r="C53" s="3" t="str">
        <f>IF($A53="","",IF(countif('Womens Lineup'!C$3:C1000,CONCATENATE("=",$A53))=0,"",C$2))</f>
        <v>100 Free</v>
      </c>
      <c r="D53" s="3" t="str">
        <f>IF($A53="","",IF(countif('Womens Lineup'!D$3:D1000,CONCATENATE("=",$A53))=0,"",D$2))</f>
        <v>200 Free</v>
      </c>
      <c r="E53" s="3" t="str">
        <f>IF($A53="","",IF(countif('Womens Lineup'!E$3:E1000,CONCATENATE("=",$A53))=0,"",E$2))</f>
        <v/>
      </c>
      <c r="F53" s="3" t="str">
        <f>IF($A53="","",IF(countif('Womens Lineup'!F$3:F1000,CONCATENATE("=",$A53))=0,"",F$2))</f>
        <v/>
      </c>
      <c r="G53" s="3" t="str">
        <f>IF($A53="","",IF(countif('Womens Lineup'!G$3:G1000,CONCATENATE("=",$A53))=0,"",G$2))</f>
        <v>100 Back</v>
      </c>
      <c r="H53" s="3" t="str">
        <f>IF($A53="","",IF(countif('Womens Lineup'!H$3:H1000,CONCATENATE("=",$A53))=0,"",H$2))</f>
        <v>200 Back</v>
      </c>
      <c r="I53" s="3" t="str">
        <f>IF($A53="","",IF(countif('Womens Lineup'!I$3:I1000,CONCATENATE("=",$A53))=0,"",I$2))</f>
        <v/>
      </c>
      <c r="J53" s="3" t="str">
        <f>IF($A53="","",IF(countif('Womens Lineup'!J$3:J1000,CONCATENATE("=",$A53))=0,"",J$2))</f>
        <v/>
      </c>
      <c r="K53" s="3" t="str">
        <f>IF($A53="","",IF(countif('Womens Lineup'!K$3:K1000,CONCATENATE("=",$A53))=0,"",K$2))</f>
        <v>100 Fly</v>
      </c>
      <c r="L53" s="3" t="str">
        <f>IF($A53="","",IF(countif('Womens Lineup'!L$3:L1000,CONCATENATE("=",$A53))=0,"",L$2))</f>
        <v/>
      </c>
      <c r="M53" s="3" t="str">
        <f>IF($A53="","",IF(countif('Womens Lineup'!M$3:M1000,CONCATENATE("=",$A53))=0,"",M$2))</f>
        <v/>
      </c>
      <c r="N53" s="3" t="str">
        <f>IF($A53="","",IF(countif('Womens Lineup'!N$3:N1000,CONCATENATE("=",$A53))=0,"",N$2))</f>
        <v/>
      </c>
      <c r="O53" s="3" t="str">
        <f>IF($A53="","",IF(countif('Womens Lineup'!O$3:O1000,CONCATENATE("=",$A53))=0,"",O$2))</f>
        <v/>
      </c>
      <c r="P53" s="3" t="str">
        <f>IF($A53="","",IF(countif('Womens Lineup'!P$3:P1000,CONCATENATE("=",$A53))=0,"",P$2))</f>
        <v/>
      </c>
      <c r="Q53" s="3" t="str">
        <f>IF($A53="","",IF(countif('Womens Lineup'!Q$3:Q1000,CONCATENATE("=",$A53))=0,"",Q$2))</f>
        <v/>
      </c>
      <c r="R53" s="3" t="str">
        <f>IF($A53="","",IF(countif('Womens Lineup'!R$3:R1000,CONCATENATE("=",$A53))=0,"",R$2))</f>
        <v/>
      </c>
      <c r="S53" s="3" t="str">
        <f>IF($A53="","",IF(countif('Womens Lineup'!S$3:S1000,CONCATENATE("=",$A53))=0,"",S$2))</f>
        <v/>
      </c>
      <c r="W53" s="3" t="str">
        <f>IFERROR(__xludf.DUMMYFUNCTION("JOIN("","",FILTER(B53:S53,B53:S53&lt;&gt;""""))"),"50 Free,100 Free,200 Free,100 Back,200 Back,100 Fly")</f>
        <v>50 Free,100 Free,200 Free,100 Back,200 Back,100 Fly</v>
      </c>
    </row>
    <row r="54">
      <c r="A54" s="3" t="s">
        <v>369</v>
      </c>
      <c r="B54" s="3" t="str">
        <f>IF($A54="","",IF(countif('Womens Lineup'!B$3:B1000,CONCATENATE("=",$A54))=0,"",B$2))</f>
        <v>50 Free</v>
      </c>
      <c r="C54" s="3" t="str">
        <f>IF($A54="","",IF(countif('Womens Lineup'!C$3:C1000,CONCATENATE("=",$A54))=0,"",C$2))</f>
        <v>100 Free</v>
      </c>
      <c r="D54" s="3" t="str">
        <f>IF($A54="","",IF(countif('Womens Lineup'!D$3:D1000,CONCATENATE("=",$A54))=0,"",D$2))</f>
        <v>200 Free</v>
      </c>
      <c r="E54" s="3" t="str">
        <f>IF($A54="","",IF(countif('Womens Lineup'!E$3:E1000,CONCATENATE("=",$A54))=0,"",E$2))</f>
        <v/>
      </c>
      <c r="F54" s="3" t="str">
        <f>IF($A54="","",IF(countif('Womens Lineup'!F$3:F1000,CONCATENATE("=",$A54))=0,"",F$2))</f>
        <v/>
      </c>
      <c r="G54" s="3" t="str">
        <f>IF($A54="","",IF(countif('Womens Lineup'!G$3:G1000,CONCATENATE("=",$A54))=0,"",G$2))</f>
        <v>100 Back</v>
      </c>
      <c r="H54" s="3" t="str">
        <f>IF($A54="","",IF(countif('Womens Lineup'!H$3:H1000,CONCATENATE("=",$A54))=0,"",H$2))</f>
        <v>200 Back</v>
      </c>
      <c r="I54" s="3" t="str">
        <f>IF($A54="","",IF(countif('Womens Lineup'!I$3:I1000,CONCATENATE("=",$A54))=0,"",I$2))</f>
        <v/>
      </c>
      <c r="J54" s="3" t="str">
        <f>IF($A54="","",IF(countif('Womens Lineup'!J$3:J1000,CONCATENATE("=",$A54))=0,"",J$2))</f>
        <v/>
      </c>
      <c r="K54" s="3" t="str">
        <f>IF($A54="","",IF(countif('Womens Lineup'!K$3:K1000,CONCATENATE("=",$A54))=0,"",K$2))</f>
        <v>100 Fly</v>
      </c>
      <c r="L54" s="3" t="str">
        <f>IF($A54="","",IF(countif('Womens Lineup'!L$3:L1000,CONCATENATE("=",$A54))=0,"",L$2))</f>
        <v/>
      </c>
      <c r="M54" s="3" t="str">
        <f>IF($A54="","",IF(countif('Womens Lineup'!M$3:M1000,CONCATENATE("=",$A54))=0,"",M$2))</f>
        <v/>
      </c>
      <c r="N54" s="3" t="str">
        <f>IF($A54="","",IF(countif('Womens Lineup'!N$3:N1000,CONCATENATE("=",$A54))=0,"",N$2))</f>
        <v/>
      </c>
      <c r="O54" s="3" t="str">
        <f>IF($A54="","",IF(countif('Womens Lineup'!O$3:O1000,CONCATENATE("=",$A54))=0,"",O$2))</f>
        <v/>
      </c>
      <c r="P54" s="3" t="str">
        <f>IF($A54="","",IF(countif('Womens Lineup'!P$3:P1000,CONCATENATE("=",$A54))=0,"",P$2))</f>
        <v/>
      </c>
      <c r="Q54" s="3" t="str">
        <f>IF($A54="","",IF(countif('Womens Lineup'!Q$3:Q1000,CONCATENATE("=",$A54))=0,"",Q$2))</f>
        <v/>
      </c>
      <c r="R54" s="3" t="str">
        <f>IF($A54="","",IF(countif('Womens Lineup'!R$3:R1000,CONCATENATE("=",$A54))=0,"",R$2))</f>
        <v/>
      </c>
      <c r="S54" s="3" t="str">
        <f>IF($A54="","",IF(countif('Womens Lineup'!S$3:S1000,CONCATENATE("=",$A54))=0,"",S$2))</f>
        <v/>
      </c>
      <c r="W54" s="3" t="str">
        <f>IFERROR(__xludf.DUMMYFUNCTION("JOIN("","",FILTER(B54:S54,B54:S54&lt;&gt;""""))"),"50 Free,100 Free,200 Free,100 Back,200 Back,100 Fly")</f>
        <v>50 Free,100 Free,200 Free,100 Back,200 Back,100 Fly</v>
      </c>
    </row>
    <row r="55">
      <c r="A55" s="3" t="s">
        <v>370</v>
      </c>
      <c r="B55" s="3" t="str">
        <f>IF($A55="","",IF(countif('Womens Lineup'!B$3:B1000,CONCATENATE("=",$A55))=0,"",B$2))</f>
        <v>50 Free</v>
      </c>
      <c r="C55" s="3" t="str">
        <f>IF($A55="","",IF(countif('Womens Lineup'!C$3:C1000,CONCATENATE("=",$A55))=0,"",C$2))</f>
        <v>100 Free</v>
      </c>
      <c r="D55" s="3" t="str">
        <f>IF($A55="","",IF(countif('Womens Lineup'!D$3:D1000,CONCATENATE("=",$A55))=0,"",D$2))</f>
        <v>200 Free</v>
      </c>
      <c r="E55" s="3" t="str">
        <f>IF($A55="","",IF(countif('Womens Lineup'!E$3:E1000,CONCATENATE("=",$A55))=0,"",E$2))</f>
        <v>500 Free</v>
      </c>
      <c r="F55" s="3" t="str">
        <f>IF($A55="","",IF(countif('Womens Lineup'!F$3:F1000,CONCATENATE("=",$A55))=0,"",F$2))</f>
        <v/>
      </c>
      <c r="G55" s="3" t="str">
        <f>IF($A55="","",IF(countif('Womens Lineup'!G$3:G1000,CONCATENATE("=",$A55))=0,"",G$2))</f>
        <v>100 Back</v>
      </c>
      <c r="H55" s="3" t="str">
        <f>IF($A55="","",IF(countif('Womens Lineup'!H$3:H1000,CONCATENATE("=",$A55))=0,"",H$2))</f>
        <v>200 Back</v>
      </c>
      <c r="I55" s="3" t="str">
        <f>IF($A55="","",IF(countif('Womens Lineup'!I$3:I1000,CONCATENATE("=",$A55))=0,"",I$2))</f>
        <v/>
      </c>
      <c r="J55" s="3" t="str">
        <f>IF($A55="","",IF(countif('Womens Lineup'!J$3:J1000,CONCATENATE("=",$A55))=0,"",J$2))</f>
        <v/>
      </c>
      <c r="K55" s="3" t="str">
        <f>IF($A55="","",IF(countif('Womens Lineup'!K$3:K1000,CONCATENATE("=",$A55))=0,"",K$2))</f>
        <v/>
      </c>
      <c r="L55" s="3" t="str">
        <f>IF($A55="","",IF(countif('Womens Lineup'!L$3:L1000,CONCATENATE("=",$A55))=0,"",L$2))</f>
        <v/>
      </c>
      <c r="M55" s="3" t="str">
        <f>IF($A55="","",IF(countif('Womens Lineup'!M$3:M1000,CONCATENATE("=",$A55))=0,"",M$2))</f>
        <v/>
      </c>
      <c r="N55" s="3" t="str">
        <f>IF($A55="","",IF(countif('Womens Lineup'!N$3:N1000,CONCATENATE("=",$A55))=0,"",N$2))</f>
        <v/>
      </c>
      <c r="O55" s="3" t="str">
        <f>IF($A55="","",IF(countif('Womens Lineup'!O$3:O1000,CONCATENATE("=",$A55))=0,"",O$2))</f>
        <v/>
      </c>
      <c r="P55" s="3" t="str">
        <f>IF($A55="","",IF(countif('Womens Lineup'!P$3:P1000,CONCATENATE("=",$A55))=0,"",P$2))</f>
        <v/>
      </c>
      <c r="Q55" s="3" t="str">
        <f>IF($A55="","",IF(countif('Womens Lineup'!Q$3:Q1000,CONCATENATE("=",$A55))=0,"",Q$2))</f>
        <v/>
      </c>
      <c r="R55" s="3" t="str">
        <f>IF($A55="","",IF(countif('Womens Lineup'!R$3:R1000,CONCATENATE("=",$A55))=0,"",R$2))</f>
        <v/>
      </c>
      <c r="S55" s="3" t="str">
        <f>IF($A55="","",IF(countif('Womens Lineup'!S$3:S1000,CONCATENATE("=",$A55))=0,"",S$2))</f>
        <v/>
      </c>
      <c r="W55" s="3" t="str">
        <f>IFERROR(__xludf.DUMMYFUNCTION("JOIN("","",FILTER(B55:S55,B55:S55&lt;&gt;""""))"),"50 Free,100 Free,200 Free,500 Free,100 Back,200 Back")</f>
        <v>50 Free,100 Free,200 Free,500 Free,100 Back,200 Back</v>
      </c>
    </row>
    <row r="56">
      <c r="A56" s="3" t="s">
        <v>371</v>
      </c>
      <c r="B56" s="3" t="str">
        <f>IF($A56="","",IF(countif('Womens Lineup'!B$3:B1000,CONCATENATE("=",$A56))=0,"",B$2))</f>
        <v>50 Free</v>
      </c>
      <c r="C56" s="3" t="str">
        <f>IF($A56="","",IF(countif('Womens Lineup'!C$3:C1000,CONCATENATE("=",$A56))=0,"",C$2))</f>
        <v>100 Free</v>
      </c>
      <c r="D56" s="3" t="str">
        <f>IF($A56="","",IF(countif('Womens Lineup'!D$3:D1000,CONCATENATE("=",$A56))=0,"",D$2))</f>
        <v>200 Free</v>
      </c>
      <c r="E56" s="3" t="str">
        <f>IF($A56="","",IF(countif('Womens Lineup'!E$3:E1000,CONCATENATE("=",$A56))=0,"",E$2))</f>
        <v/>
      </c>
      <c r="F56" s="3" t="str">
        <f>IF($A56="","",IF(countif('Womens Lineup'!F$3:F1000,CONCATENATE("=",$A56))=0,"",F$2))</f>
        <v/>
      </c>
      <c r="G56" s="3" t="str">
        <f>IF($A56="","",IF(countif('Womens Lineup'!G$3:G1000,CONCATENATE("=",$A56))=0,"",G$2))</f>
        <v>100 Back</v>
      </c>
      <c r="H56" s="3" t="str">
        <f>IF($A56="","",IF(countif('Womens Lineup'!H$3:H1000,CONCATENATE("=",$A56))=0,"",H$2))</f>
        <v>200 Back</v>
      </c>
      <c r="I56" s="3" t="str">
        <f>IF($A56="","",IF(countif('Womens Lineup'!I$3:I1000,CONCATENATE("=",$A56))=0,"",I$2))</f>
        <v/>
      </c>
      <c r="J56" s="3" t="str">
        <f>IF($A56="","",IF(countif('Womens Lineup'!J$3:J1000,CONCATENATE("=",$A56))=0,"",J$2))</f>
        <v/>
      </c>
      <c r="K56" s="3" t="str">
        <f>IF($A56="","",IF(countif('Womens Lineup'!K$3:K1000,CONCATENATE("=",$A56))=0,"",K$2))</f>
        <v/>
      </c>
      <c r="L56" s="3" t="str">
        <f>IF($A56="","",IF(countif('Womens Lineup'!L$3:L1000,CONCATENATE("=",$A56))=0,"",L$2))</f>
        <v/>
      </c>
      <c r="M56" s="3" t="str">
        <f>IF($A56="","",IF(countif('Womens Lineup'!M$3:M1000,CONCATENATE("=",$A56))=0,"",M$2))</f>
        <v/>
      </c>
      <c r="N56" s="3" t="str">
        <f>IF($A56="","",IF(countif('Womens Lineup'!N$3:N1000,CONCATENATE("=",$A56))=0,"",N$2))</f>
        <v/>
      </c>
      <c r="O56" s="3" t="str">
        <f>IF($A56="","",IF(countif('Womens Lineup'!O$3:O1000,CONCATENATE("=",$A56))=0,"",O$2))</f>
        <v/>
      </c>
      <c r="P56" s="3" t="str">
        <f>IF($A56="","",IF(countif('Womens Lineup'!P$3:P1000,CONCATENATE("=",$A56))=0,"",P$2))</f>
        <v/>
      </c>
      <c r="Q56" s="3" t="str">
        <f>IF($A56="","",IF(countif('Womens Lineup'!Q$3:Q1000,CONCATENATE("=",$A56))=0,"",Q$2))</f>
        <v/>
      </c>
      <c r="R56" s="3" t="str">
        <f>IF($A56="","",IF(countif('Womens Lineup'!R$3:R1000,CONCATENATE("=",$A56))=0,"",R$2))</f>
        <v/>
      </c>
      <c r="S56" s="3" t="str">
        <f>IF($A56="","",IF(countif('Womens Lineup'!S$3:S1000,CONCATENATE("=",$A56))=0,"",S$2))</f>
        <v/>
      </c>
      <c r="W56" s="3" t="str">
        <f>IFERROR(__xludf.DUMMYFUNCTION("JOIN("","",FILTER(B56:S56,B56:S56&lt;&gt;""""))"),"50 Free,100 Free,200 Free,100 Back,200 Back")</f>
        <v>50 Free,100 Free,200 Free,100 Back,200 Back</v>
      </c>
    </row>
    <row r="57">
      <c r="A57" s="3" t="s">
        <v>372</v>
      </c>
      <c r="B57" s="3" t="str">
        <f>IF($A57="","",IF(countif('Womens Lineup'!B$3:B1000,CONCATENATE("=",$A57))=0,"",B$2))</f>
        <v>50 Free</v>
      </c>
      <c r="C57" s="3" t="str">
        <f>IF($A57="","",IF(countif('Womens Lineup'!C$3:C1000,CONCATENATE("=",$A57))=0,"",C$2))</f>
        <v>100 Free</v>
      </c>
      <c r="D57" s="3" t="str">
        <f>IF($A57="","",IF(countif('Womens Lineup'!D$3:D1000,CONCATENATE("=",$A57))=0,"",D$2))</f>
        <v>200 Free</v>
      </c>
      <c r="E57" s="3" t="str">
        <f>IF($A57="","",IF(countif('Womens Lineup'!E$3:E1000,CONCATENATE("=",$A57))=0,"",E$2))</f>
        <v/>
      </c>
      <c r="F57" s="3" t="str">
        <f>IF($A57="","",IF(countif('Womens Lineup'!F$3:F1000,CONCATENATE("=",$A57))=0,"",F$2))</f>
        <v/>
      </c>
      <c r="G57" s="3" t="str">
        <f>IF($A57="","",IF(countif('Womens Lineup'!G$3:G1000,CONCATENATE("=",$A57))=0,"",G$2))</f>
        <v/>
      </c>
      <c r="H57" s="3" t="str">
        <f>IF($A57="","",IF(countif('Womens Lineup'!H$3:H1000,CONCATENATE("=",$A57))=0,"",H$2))</f>
        <v/>
      </c>
      <c r="I57" s="3" t="str">
        <f>IF($A57="","",IF(countif('Womens Lineup'!I$3:I1000,CONCATENATE("=",$A57))=0,"",I$2))</f>
        <v>100 Breast</v>
      </c>
      <c r="J57" s="3" t="str">
        <f>IF($A57="","",IF(countif('Womens Lineup'!J$3:J1000,CONCATENATE("=",$A57))=0,"",J$2))</f>
        <v>200 Breast</v>
      </c>
      <c r="K57" s="3" t="str">
        <f>IF($A57="","",IF(countif('Womens Lineup'!K$3:K1000,CONCATENATE("=",$A57))=0,"",K$2))</f>
        <v/>
      </c>
      <c r="L57" s="3" t="str">
        <f>IF($A57="","",IF(countif('Womens Lineup'!L$3:L1000,CONCATENATE("=",$A57))=0,"",L$2))</f>
        <v/>
      </c>
      <c r="M57" s="3" t="str">
        <f>IF($A57="","",IF(countif('Womens Lineup'!M$3:M1000,CONCATENATE("=",$A57))=0,"",M$2))</f>
        <v>200 IM</v>
      </c>
      <c r="N57" s="3" t="str">
        <f>IF($A57="","",IF(countif('Womens Lineup'!N$3:N1000,CONCATENATE("=",$A57))=0,"",N$2))</f>
        <v/>
      </c>
      <c r="O57" s="3" t="str">
        <f>IF($A57="","",IF(countif('Womens Lineup'!O$3:O1000,CONCATENATE("=",$A57))=0,"",O$2))</f>
        <v/>
      </c>
      <c r="P57" s="3" t="str">
        <f>IF($A57="","",IF(countif('Womens Lineup'!P$3:P1000,CONCATENATE("=",$A57))=0,"",P$2))</f>
        <v/>
      </c>
      <c r="Q57" s="3" t="str">
        <f>IF($A57="","",IF(countif('Womens Lineup'!Q$3:Q1000,CONCATENATE("=",$A57))=0,"",Q$2))</f>
        <v/>
      </c>
      <c r="R57" s="3" t="str">
        <f>IF($A57="","",IF(countif('Womens Lineup'!R$3:R1000,CONCATENATE("=",$A57))=0,"",R$2))</f>
        <v/>
      </c>
      <c r="S57" s="3" t="str">
        <f>IF($A57="","",IF(countif('Womens Lineup'!S$3:S1000,CONCATENATE("=",$A57))=0,"",S$2))</f>
        <v/>
      </c>
      <c r="W57" s="3" t="str">
        <f>IFERROR(__xludf.DUMMYFUNCTION("JOIN("","",FILTER(B57:S57,B57:S57&lt;&gt;""""))"),"50 Free,100 Free,200 Free,100 Breast,200 Breast,200 IM")</f>
        <v>50 Free,100 Free,200 Free,100 Breast,200 Breast,200 IM</v>
      </c>
    </row>
    <row r="58">
      <c r="A58" s="3" t="s">
        <v>373</v>
      </c>
      <c r="B58" s="3" t="str">
        <f>IF($A58="","",IF(countif('Womens Lineup'!B$3:B1000,CONCATENATE("=",$A58))=0,"",B$2))</f>
        <v>50 Free</v>
      </c>
      <c r="C58" s="3" t="str">
        <f>IF($A58="","",IF(countif('Womens Lineup'!C$3:C1000,CONCATENATE("=",$A58))=0,"",C$2))</f>
        <v>100 Free</v>
      </c>
      <c r="D58" s="3" t="str">
        <f>IF($A58="","",IF(countif('Womens Lineup'!D$3:D1000,CONCATENATE("=",$A58))=0,"",D$2))</f>
        <v>200 Free</v>
      </c>
      <c r="E58" s="3" t="str">
        <f>IF($A58="","",IF(countif('Womens Lineup'!E$3:E1000,CONCATENATE("=",$A58))=0,"",E$2))</f>
        <v/>
      </c>
      <c r="F58" s="3" t="str">
        <f>IF($A58="","",IF(countif('Womens Lineup'!F$3:F1000,CONCATENATE("=",$A58))=0,"",F$2))</f>
        <v/>
      </c>
      <c r="G58" s="3" t="str">
        <f>IF($A58="","",IF(countif('Womens Lineup'!G$3:G1000,CONCATENATE("=",$A58))=0,"",G$2))</f>
        <v>100 Back</v>
      </c>
      <c r="H58" s="3" t="str">
        <f>IF($A58="","",IF(countif('Womens Lineup'!H$3:H1000,CONCATENATE("=",$A58))=0,"",H$2))</f>
        <v>200 Back</v>
      </c>
      <c r="I58" s="3" t="str">
        <f>IF($A58="","",IF(countif('Womens Lineup'!I$3:I1000,CONCATENATE("=",$A58))=0,"",I$2))</f>
        <v/>
      </c>
      <c r="J58" s="3" t="str">
        <f>IF($A58="","",IF(countif('Womens Lineup'!J$3:J1000,CONCATENATE("=",$A58))=0,"",J$2))</f>
        <v/>
      </c>
      <c r="K58" s="3" t="str">
        <f>IF($A58="","",IF(countif('Womens Lineup'!K$3:K1000,CONCATENATE("=",$A58))=0,"",K$2))</f>
        <v>100 Fly</v>
      </c>
      <c r="L58" s="3" t="str">
        <f>IF($A58="","",IF(countif('Womens Lineup'!L$3:L1000,CONCATENATE("=",$A58))=0,"",L$2))</f>
        <v/>
      </c>
      <c r="M58" s="3" t="str">
        <f>IF($A58="","",IF(countif('Womens Lineup'!M$3:M1000,CONCATENATE("=",$A58))=0,"",M$2))</f>
        <v/>
      </c>
      <c r="N58" s="3" t="str">
        <f>IF($A58="","",IF(countif('Womens Lineup'!N$3:N1000,CONCATENATE("=",$A58))=0,"",N$2))</f>
        <v/>
      </c>
      <c r="O58" s="3" t="str">
        <f>IF($A58="","",IF(countif('Womens Lineup'!O$3:O1000,CONCATENATE("=",$A58))=0,"",O$2))</f>
        <v/>
      </c>
      <c r="P58" s="3" t="str">
        <f>IF($A58="","",IF(countif('Womens Lineup'!P$3:P1000,CONCATENATE("=",$A58))=0,"",P$2))</f>
        <v/>
      </c>
      <c r="Q58" s="3" t="str">
        <f>IF($A58="","",IF(countif('Womens Lineup'!Q$3:Q1000,CONCATENATE("=",$A58))=0,"",Q$2))</f>
        <v/>
      </c>
      <c r="R58" s="3" t="str">
        <f>IF($A58="","",IF(countif('Womens Lineup'!R$3:R1000,CONCATENATE("=",$A58))=0,"",R$2))</f>
        <v/>
      </c>
      <c r="S58" s="3" t="str">
        <f>IF($A58="","",IF(countif('Womens Lineup'!S$3:S1000,CONCATENATE("=",$A58))=0,"",S$2))</f>
        <v/>
      </c>
      <c r="W58" s="3" t="str">
        <f>IFERROR(__xludf.DUMMYFUNCTION("JOIN("","",FILTER(B58:S58,B58:S58&lt;&gt;""""))"),"50 Free,100 Free,200 Free,100 Back,200 Back,100 Fly")</f>
        <v>50 Free,100 Free,200 Free,100 Back,200 Back,100 Fly</v>
      </c>
    </row>
    <row r="59">
      <c r="A59" s="3" t="s">
        <v>374</v>
      </c>
      <c r="B59" s="3" t="str">
        <f>IF($A59="","",IF(countif('Womens Lineup'!B$3:B1000,CONCATENATE("=",$A59))=0,"",B$2))</f>
        <v>50 Free</v>
      </c>
      <c r="C59" s="3" t="str">
        <f>IF($A59="","",IF(countif('Womens Lineup'!C$3:C1000,CONCATENATE("=",$A59))=0,"",C$2))</f>
        <v>100 Free</v>
      </c>
      <c r="D59" s="3" t="str">
        <f>IF($A59="","",IF(countif('Womens Lineup'!D$3:D1000,CONCATENATE("=",$A59))=0,"",D$2))</f>
        <v>200 Free</v>
      </c>
      <c r="E59" s="3" t="str">
        <f>IF($A59="","",IF(countif('Womens Lineup'!E$3:E1000,CONCATENATE("=",$A59))=0,"",E$2))</f>
        <v/>
      </c>
      <c r="F59" s="3" t="str">
        <f>IF($A59="","",IF(countif('Womens Lineup'!F$3:F1000,CONCATENATE("=",$A59))=0,"",F$2))</f>
        <v/>
      </c>
      <c r="G59" s="3" t="str">
        <f>IF($A59="","",IF(countif('Womens Lineup'!G$3:G1000,CONCATENATE("=",$A59))=0,"",G$2))</f>
        <v/>
      </c>
      <c r="H59" s="3" t="str">
        <f>IF($A59="","",IF(countif('Womens Lineup'!H$3:H1000,CONCATENATE("=",$A59))=0,"",H$2))</f>
        <v/>
      </c>
      <c r="I59" s="3" t="str">
        <f>IF($A59="","",IF(countif('Womens Lineup'!I$3:I1000,CONCATENATE("=",$A59))=0,"",I$2))</f>
        <v/>
      </c>
      <c r="J59" s="3" t="str">
        <f>IF($A59="","",IF(countif('Womens Lineup'!J$3:J1000,CONCATENATE("=",$A59))=0,"",J$2))</f>
        <v/>
      </c>
      <c r="K59" s="3" t="str">
        <f>IF($A59="","",IF(countif('Womens Lineup'!K$3:K1000,CONCATENATE("=",$A59))=0,"",K$2))</f>
        <v>100 Fly</v>
      </c>
      <c r="L59" s="3" t="str">
        <f>IF($A59="","",IF(countif('Womens Lineup'!L$3:L1000,CONCATENATE("=",$A59))=0,"",L$2))</f>
        <v>200 Fly</v>
      </c>
      <c r="M59" s="3" t="str">
        <f>IF($A59="","",IF(countif('Womens Lineup'!M$3:M1000,CONCATENATE("=",$A59))=0,"",M$2))</f>
        <v>200 IM</v>
      </c>
      <c r="N59" s="3" t="str">
        <f>IF($A59="","",IF(countif('Womens Lineup'!N$3:N1000,CONCATENATE("=",$A59))=0,"",N$2))</f>
        <v/>
      </c>
      <c r="O59" s="3" t="str">
        <f>IF($A59="","",IF(countif('Womens Lineup'!O$3:O1000,CONCATENATE("=",$A59))=0,"",O$2))</f>
        <v/>
      </c>
      <c r="P59" s="3" t="str">
        <f>IF($A59="","",IF(countif('Womens Lineup'!P$3:P1000,CONCATENATE("=",$A59))=0,"",P$2))</f>
        <v/>
      </c>
      <c r="Q59" s="3" t="str">
        <f>IF($A59="","",IF(countif('Womens Lineup'!Q$3:Q1000,CONCATENATE("=",$A59))=0,"",Q$2))</f>
        <v/>
      </c>
      <c r="R59" s="3" t="str">
        <f>IF($A59="","",IF(countif('Womens Lineup'!R$3:R1000,CONCATENATE("=",$A59))=0,"",R$2))</f>
        <v/>
      </c>
      <c r="S59" s="3" t="str">
        <f>IF($A59="","",IF(countif('Womens Lineup'!S$3:S1000,CONCATENATE("=",$A59))=0,"",S$2))</f>
        <v/>
      </c>
      <c r="W59" s="3" t="str">
        <f>IFERROR(__xludf.DUMMYFUNCTION("JOIN("","",FILTER(B59:S59,B59:S59&lt;&gt;""""))"),"50 Free,100 Free,200 Free,100 Fly,200 Fly,200 IM")</f>
        <v>50 Free,100 Free,200 Free,100 Fly,200 Fly,200 IM</v>
      </c>
    </row>
    <row r="60">
      <c r="A60" s="3" t="s">
        <v>375</v>
      </c>
      <c r="B60" s="3" t="str">
        <f>IF($A60="","",IF(countif('Womens Lineup'!B$3:B1000,CONCATENATE("=",$A60))=0,"",B$2))</f>
        <v>50 Free</v>
      </c>
      <c r="C60" s="3" t="str">
        <f>IF($A60="","",IF(countif('Womens Lineup'!C$3:C1000,CONCATENATE("=",$A60))=0,"",C$2))</f>
        <v>100 Free</v>
      </c>
      <c r="D60" s="3" t="str">
        <f>IF($A60="","",IF(countif('Womens Lineup'!D$3:D1000,CONCATENATE("=",$A60))=0,"",D$2))</f>
        <v>200 Free</v>
      </c>
      <c r="E60" s="3" t="str">
        <f>IF($A60="","",IF(countif('Womens Lineup'!E$3:E1000,CONCATENATE("=",$A60))=0,"",E$2))</f>
        <v/>
      </c>
      <c r="F60" s="3" t="str">
        <f>IF($A60="","",IF(countif('Womens Lineup'!F$3:F1000,CONCATENATE("=",$A60))=0,"",F$2))</f>
        <v/>
      </c>
      <c r="G60" s="3" t="str">
        <f>IF($A60="","",IF(countif('Womens Lineup'!G$3:G1000,CONCATENATE("=",$A60))=0,"",G$2))</f>
        <v>100 Back</v>
      </c>
      <c r="H60" s="3" t="str">
        <f>IF($A60="","",IF(countif('Womens Lineup'!H$3:H1000,CONCATENATE("=",$A60))=0,"",H$2))</f>
        <v>200 Back</v>
      </c>
      <c r="I60" s="3" t="str">
        <f>IF($A60="","",IF(countif('Womens Lineup'!I$3:I1000,CONCATENATE("=",$A60))=0,"",I$2))</f>
        <v/>
      </c>
      <c r="J60" s="3" t="str">
        <f>IF($A60="","",IF(countif('Womens Lineup'!J$3:J1000,CONCATENATE("=",$A60))=0,"",J$2))</f>
        <v/>
      </c>
      <c r="K60" s="3" t="str">
        <f>IF($A60="","",IF(countif('Womens Lineup'!K$3:K1000,CONCATENATE("=",$A60))=0,"",K$2))</f>
        <v>100 Fly</v>
      </c>
      <c r="L60" s="3" t="str">
        <f>IF($A60="","",IF(countif('Womens Lineup'!L$3:L1000,CONCATENATE("=",$A60))=0,"",L$2))</f>
        <v/>
      </c>
      <c r="M60" s="3" t="str">
        <f>IF($A60="","",IF(countif('Womens Lineup'!M$3:M1000,CONCATENATE("=",$A60))=0,"",M$2))</f>
        <v/>
      </c>
      <c r="N60" s="3" t="str">
        <f>IF($A60="","",IF(countif('Womens Lineup'!N$3:N1000,CONCATENATE("=",$A60))=0,"",N$2))</f>
        <v/>
      </c>
      <c r="O60" s="3" t="str">
        <f>IF($A60="","",IF(countif('Womens Lineup'!O$3:O1000,CONCATENATE("=",$A60))=0,"",O$2))</f>
        <v/>
      </c>
      <c r="P60" s="3" t="str">
        <f>IF($A60="","",IF(countif('Womens Lineup'!P$3:P1000,CONCATENATE("=",$A60))=0,"",P$2))</f>
        <v/>
      </c>
      <c r="Q60" s="3" t="str">
        <f>IF($A60="","",IF(countif('Womens Lineup'!Q$3:Q1000,CONCATENATE("=",$A60))=0,"",Q$2))</f>
        <v/>
      </c>
      <c r="R60" s="3" t="str">
        <f>IF($A60="","",IF(countif('Womens Lineup'!R$3:R1000,CONCATENATE("=",$A60))=0,"",R$2))</f>
        <v/>
      </c>
      <c r="S60" s="3" t="str">
        <f>IF($A60="","",IF(countif('Womens Lineup'!S$3:S1000,CONCATENATE("=",$A60))=0,"",S$2))</f>
        <v/>
      </c>
      <c r="W60" s="3" t="str">
        <f>IFERROR(__xludf.DUMMYFUNCTION("JOIN("","",FILTER(B60:S60,B60:S60&lt;&gt;""""))"),"50 Free,100 Free,200 Free,100 Back,200 Back,100 Fly")</f>
        <v>50 Free,100 Free,200 Free,100 Back,200 Back,100 Fly</v>
      </c>
    </row>
    <row r="61">
      <c r="A61" s="3" t="s">
        <v>376</v>
      </c>
      <c r="B61" s="3" t="str">
        <f>IF($A61="","",IF(countif('Womens Lineup'!B$3:B1000,CONCATENATE("=",$A61))=0,"",B$2))</f>
        <v>50 Free</v>
      </c>
      <c r="C61" s="3" t="str">
        <f>IF($A61="","",IF(countif('Womens Lineup'!C$3:C1000,CONCATENATE("=",$A61))=0,"",C$2))</f>
        <v/>
      </c>
      <c r="D61" s="3" t="str">
        <f>IF($A61="","",IF(countif('Womens Lineup'!D$3:D1000,CONCATENATE("=",$A61))=0,"",D$2))</f>
        <v/>
      </c>
      <c r="E61" s="3" t="str">
        <f>IF($A61="","",IF(countif('Womens Lineup'!E$3:E1000,CONCATENATE("=",$A61))=0,"",E$2))</f>
        <v/>
      </c>
      <c r="F61" s="3" t="str">
        <f>IF($A61="","",IF(countif('Womens Lineup'!F$3:F1000,CONCATENATE("=",$A61))=0,"",F$2))</f>
        <v/>
      </c>
      <c r="G61" s="3" t="str">
        <f>IF($A61="","",IF(countif('Womens Lineup'!G$3:G1000,CONCATENATE("=",$A61))=0,"",G$2))</f>
        <v/>
      </c>
      <c r="H61" s="3" t="str">
        <f>IF($A61="","",IF(countif('Womens Lineup'!H$3:H1000,CONCATENATE("=",$A61))=0,"",H$2))</f>
        <v/>
      </c>
      <c r="I61" s="3" t="str">
        <f>IF($A61="","",IF(countif('Womens Lineup'!I$3:I1000,CONCATENATE("=",$A61))=0,"",I$2))</f>
        <v>100 Breast</v>
      </c>
      <c r="J61" s="3" t="str">
        <f>IF($A61="","",IF(countif('Womens Lineup'!J$3:J1000,CONCATENATE("=",$A61))=0,"",J$2))</f>
        <v>200 Breast</v>
      </c>
      <c r="K61" s="3" t="str">
        <f>IF($A61="","",IF(countif('Womens Lineup'!K$3:K1000,CONCATENATE("=",$A61))=0,"",K$2))</f>
        <v/>
      </c>
      <c r="L61" s="3" t="str">
        <f>IF($A61="","",IF(countif('Womens Lineup'!L$3:L1000,CONCATENATE("=",$A61))=0,"",L$2))</f>
        <v/>
      </c>
      <c r="M61" s="3" t="str">
        <f>IF($A61="","",IF(countif('Womens Lineup'!M$3:M1000,CONCATENATE("=",$A61))=0,"",M$2))</f>
        <v/>
      </c>
      <c r="N61" s="3" t="str">
        <f>IF($A61="","",IF(countif('Womens Lineup'!N$3:N1000,CONCATENATE("=",$A61))=0,"",N$2))</f>
        <v/>
      </c>
      <c r="O61" s="3" t="str">
        <f>IF($A61="","",IF(countif('Womens Lineup'!O$3:O1000,CONCATENATE("=",$A61))=0,"",O$2))</f>
        <v/>
      </c>
      <c r="P61" s="3" t="str">
        <f>IF($A61="","",IF(countif('Womens Lineup'!P$3:P1000,CONCATENATE("=",$A61))=0,"",P$2))</f>
        <v/>
      </c>
      <c r="Q61" s="3" t="str">
        <f>IF($A61="","",IF(countif('Womens Lineup'!Q$3:Q1000,CONCATENATE("=",$A61))=0,"",Q$2))</f>
        <v/>
      </c>
      <c r="R61" s="3" t="str">
        <f>IF($A61="","",IF(countif('Womens Lineup'!R$3:R1000,CONCATENATE("=",$A61))=0,"",R$2))</f>
        <v/>
      </c>
      <c r="S61" s="3" t="str">
        <f>IF($A61="","",IF(countif('Womens Lineup'!S$3:S1000,CONCATENATE("=",$A61))=0,"",S$2))</f>
        <v/>
      </c>
      <c r="W61" s="3" t="str">
        <f>IFERROR(__xludf.DUMMYFUNCTION("JOIN("","",FILTER(B61:S61,B61:S61&lt;&gt;""""))"),"50 Free,100 Breast,200 Breast")</f>
        <v>50 Free,100 Breast,200 Breast</v>
      </c>
    </row>
    <row r="62">
      <c r="A62" s="3" t="s">
        <v>377</v>
      </c>
      <c r="B62" s="3" t="str">
        <f>IF($A62="","",IF(countif('Womens Lineup'!B$3:B1000,CONCATENATE("=",$A62))=0,"",B$2))</f>
        <v>50 Free</v>
      </c>
      <c r="C62" s="3" t="str">
        <f>IF($A62="","",IF(countif('Womens Lineup'!C$3:C1000,CONCATENATE("=",$A62))=0,"",C$2))</f>
        <v>100 Free</v>
      </c>
      <c r="D62" s="3" t="str">
        <f>IF($A62="","",IF(countif('Womens Lineup'!D$3:D1000,CONCATENATE("=",$A62))=0,"",D$2))</f>
        <v/>
      </c>
      <c r="E62" s="3" t="str">
        <f>IF($A62="","",IF(countif('Womens Lineup'!E$3:E1000,CONCATENATE("=",$A62))=0,"",E$2))</f>
        <v/>
      </c>
      <c r="F62" s="3" t="str">
        <f>IF($A62="","",IF(countif('Womens Lineup'!F$3:F1000,CONCATENATE("=",$A62))=0,"",F$2))</f>
        <v/>
      </c>
      <c r="G62" s="3" t="str">
        <f>IF($A62="","",IF(countif('Womens Lineup'!G$3:G1000,CONCATENATE("=",$A62))=0,"",G$2))</f>
        <v>100 Back</v>
      </c>
      <c r="H62" s="3" t="str">
        <f>IF($A62="","",IF(countif('Womens Lineup'!H$3:H1000,CONCATENATE("=",$A62))=0,"",H$2))</f>
        <v>200 Back</v>
      </c>
      <c r="I62" s="3" t="str">
        <f>IF($A62="","",IF(countif('Womens Lineup'!I$3:I1000,CONCATENATE("=",$A62))=0,"",I$2))</f>
        <v/>
      </c>
      <c r="J62" s="3" t="str">
        <f>IF($A62="","",IF(countif('Womens Lineup'!J$3:J1000,CONCATENATE("=",$A62))=0,"",J$2))</f>
        <v/>
      </c>
      <c r="K62" s="3" t="str">
        <f>IF($A62="","",IF(countif('Womens Lineup'!K$3:K1000,CONCATENATE("=",$A62))=0,"",K$2))</f>
        <v/>
      </c>
      <c r="L62" s="3" t="str">
        <f>IF($A62="","",IF(countif('Womens Lineup'!L$3:L1000,CONCATENATE("=",$A62))=0,"",L$2))</f>
        <v/>
      </c>
      <c r="M62" s="3" t="str">
        <f>IF($A62="","",IF(countif('Womens Lineup'!M$3:M1000,CONCATENATE("=",$A62))=0,"",M$2))</f>
        <v/>
      </c>
      <c r="N62" s="3" t="str">
        <f>IF($A62="","",IF(countif('Womens Lineup'!N$3:N1000,CONCATENATE("=",$A62))=0,"",N$2))</f>
        <v/>
      </c>
      <c r="O62" s="3" t="str">
        <f>IF($A62="","",IF(countif('Womens Lineup'!O$3:O1000,CONCATENATE("=",$A62))=0,"",O$2))</f>
        <v/>
      </c>
      <c r="P62" s="3" t="str">
        <f>IF($A62="","",IF(countif('Womens Lineup'!P$3:P1000,CONCATENATE("=",$A62))=0,"",P$2))</f>
        <v/>
      </c>
      <c r="Q62" s="3" t="str">
        <f>IF($A62="","",IF(countif('Womens Lineup'!Q$3:Q1000,CONCATENATE("=",$A62))=0,"",Q$2))</f>
        <v/>
      </c>
      <c r="R62" s="3" t="str">
        <f>IF($A62="","",IF(countif('Womens Lineup'!R$3:R1000,CONCATENATE("=",$A62))=0,"",R$2))</f>
        <v/>
      </c>
      <c r="S62" s="3" t="str">
        <f>IF($A62="","",IF(countif('Womens Lineup'!S$3:S1000,CONCATENATE("=",$A62))=0,"",S$2))</f>
        <v/>
      </c>
      <c r="W62" s="3" t="str">
        <f>IFERROR(__xludf.DUMMYFUNCTION("JOIN("","",FILTER(B62:S62,B62:S62&lt;&gt;""""))"),"50 Free,100 Free,100 Back,200 Back")</f>
        <v>50 Free,100 Free,100 Back,200 Back</v>
      </c>
    </row>
    <row r="63">
      <c r="A63" s="3" t="s">
        <v>378</v>
      </c>
      <c r="B63" s="3" t="str">
        <f>IF($A63="","",IF(countif('Womens Lineup'!B$3:B1000,CONCATENATE("=",$A63))=0,"",B$2))</f>
        <v>50 Free</v>
      </c>
      <c r="C63" s="3" t="str">
        <f>IF($A63="","",IF(countif('Womens Lineup'!C$3:C1000,CONCATENATE("=",$A63))=0,"",C$2))</f>
        <v>100 Free</v>
      </c>
      <c r="D63" s="3" t="str">
        <f>IF($A63="","",IF(countif('Womens Lineup'!D$3:D1000,CONCATENATE("=",$A63))=0,"",D$2))</f>
        <v/>
      </c>
      <c r="E63" s="3" t="str">
        <f>IF($A63="","",IF(countif('Womens Lineup'!E$3:E1000,CONCATENATE("=",$A63))=0,"",E$2))</f>
        <v/>
      </c>
      <c r="F63" s="3" t="str">
        <f>IF($A63="","",IF(countif('Womens Lineup'!F$3:F1000,CONCATENATE("=",$A63))=0,"",F$2))</f>
        <v/>
      </c>
      <c r="G63" s="3" t="str">
        <f>IF($A63="","",IF(countif('Womens Lineup'!G$3:G1000,CONCATENATE("=",$A63))=0,"",G$2))</f>
        <v>100 Back</v>
      </c>
      <c r="H63" s="3" t="str">
        <f>IF($A63="","",IF(countif('Womens Lineup'!H$3:H1000,CONCATENATE("=",$A63))=0,"",H$2))</f>
        <v>200 Back</v>
      </c>
      <c r="I63" s="3" t="str">
        <f>IF($A63="","",IF(countif('Womens Lineup'!I$3:I1000,CONCATENATE("=",$A63))=0,"",I$2))</f>
        <v/>
      </c>
      <c r="J63" s="3" t="str">
        <f>IF($A63="","",IF(countif('Womens Lineup'!J$3:J1000,CONCATENATE("=",$A63))=0,"",J$2))</f>
        <v/>
      </c>
      <c r="K63" s="3" t="str">
        <f>IF($A63="","",IF(countif('Womens Lineup'!K$3:K1000,CONCATENATE("=",$A63))=0,"",K$2))</f>
        <v/>
      </c>
      <c r="L63" s="3" t="str">
        <f>IF($A63="","",IF(countif('Womens Lineup'!L$3:L1000,CONCATENATE("=",$A63))=0,"",L$2))</f>
        <v/>
      </c>
      <c r="M63" s="3" t="str">
        <f>IF($A63="","",IF(countif('Womens Lineup'!M$3:M1000,CONCATENATE("=",$A63))=0,"",M$2))</f>
        <v/>
      </c>
      <c r="N63" s="3" t="str">
        <f>IF($A63="","",IF(countif('Womens Lineup'!N$3:N1000,CONCATENATE("=",$A63))=0,"",N$2))</f>
        <v/>
      </c>
      <c r="O63" s="3" t="str">
        <f>IF($A63="","",IF(countif('Womens Lineup'!O$3:O1000,CONCATENATE("=",$A63))=0,"",O$2))</f>
        <v/>
      </c>
      <c r="P63" s="3" t="str">
        <f>IF($A63="","",IF(countif('Womens Lineup'!P$3:P1000,CONCATENATE("=",$A63))=0,"",P$2))</f>
        <v/>
      </c>
      <c r="Q63" s="3" t="str">
        <f>IF($A63="","",IF(countif('Womens Lineup'!Q$3:Q1000,CONCATENATE("=",$A63))=0,"",Q$2))</f>
        <v/>
      </c>
      <c r="R63" s="3" t="str">
        <f>IF($A63="","",IF(countif('Womens Lineup'!R$3:R1000,CONCATENATE("=",$A63))=0,"",R$2))</f>
        <v/>
      </c>
      <c r="S63" s="3" t="str">
        <f>IF($A63="","",IF(countif('Womens Lineup'!S$3:S1000,CONCATENATE("=",$A63))=0,"",S$2))</f>
        <v/>
      </c>
      <c r="W63" s="3" t="str">
        <f>IFERROR(__xludf.DUMMYFUNCTION("JOIN("","",FILTER(B63:S63,B63:S63&lt;&gt;""""))"),"50 Free,100 Free,100 Back,200 Back")</f>
        <v>50 Free,100 Free,100 Back,200 Back</v>
      </c>
    </row>
    <row r="64">
      <c r="A64" s="3" t="s">
        <v>379</v>
      </c>
      <c r="B64" s="3" t="str">
        <f>IF($A64="","",IF(countif('Womens Lineup'!B$3:B1000,CONCATENATE("=",$A64))=0,"",B$2))</f>
        <v>50 Free</v>
      </c>
      <c r="C64" s="3" t="str">
        <f>IF($A64="","",IF(countif('Womens Lineup'!C$3:C1000,CONCATENATE("=",$A64))=0,"",C$2))</f>
        <v>100 Free</v>
      </c>
      <c r="D64" s="3" t="str">
        <f>IF($A64="","",IF(countif('Womens Lineup'!D$3:D1000,CONCATENATE("=",$A64))=0,"",D$2))</f>
        <v>200 Free</v>
      </c>
      <c r="E64" s="3" t="str">
        <f>IF($A64="","",IF(countif('Womens Lineup'!E$3:E1000,CONCATENATE("=",$A64))=0,"",E$2))</f>
        <v/>
      </c>
      <c r="F64" s="3" t="str">
        <f>IF($A64="","",IF(countif('Womens Lineup'!F$3:F1000,CONCATENATE("=",$A64))=0,"",F$2))</f>
        <v/>
      </c>
      <c r="G64" s="3" t="str">
        <f>IF($A64="","",IF(countif('Womens Lineup'!G$3:G1000,CONCATENATE("=",$A64))=0,"",G$2))</f>
        <v>100 Back</v>
      </c>
      <c r="H64" s="3" t="str">
        <f>IF($A64="","",IF(countif('Womens Lineup'!H$3:H1000,CONCATENATE("=",$A64))=0,"",H$2))</f>
        <v>200 Back</v>
      </c>
      <c r="I64" s="3" t="str">
        <f>IF($A64="","",IF(countif('Womens Lineup'!I$3:I1000,CONCATENATE("=",$A64))=0,"",I$2))</f>
        <v>100 Breast</v>
      </c>
      <c r="J64" s="3" t="str">
        <f>IF($A64="","",IF(countif('Womens Lineup'!J$3:J1000,CONCATENATE("=",$A64))=0,"",J$2))</f>
        <v/>
      </c>
      <c r="K64" s="3" t="str">
        <f>IF($A64="","",IF(countif('Womens Lineup'!K$3:K1000,CONCATENATE("=",$A64))=0,"",K$2))</f>
        <v/>
      </c>
      <c r="L64" s="3" t="str">
        <f>IF($A64="","",IF(countif('Womens Lineup'!L$3:L1000,CONCATENATE("=",$A64))=0,"",L$2))</f>
        <v/>
      </c>
      <c r="M64" s="3" t="str">
        <f>IF($A64="","",IF(countif('Womens Lineup'!M$3:M1000,CONCATENATE("=",$A64))=0,"",M$2))</f>
        <v/>
      </c>
      <c r="N64" s="3" t="str">
        <f>IF($A64="","",IF(countif('Womens Lineup'!N$3:N1000,CONCATENATE("=",$A64))=0,"",N$2))</f>
        <v/>
      </c>
      <c r="O64" s="3" t="str">
        <f>IF($A64="","",IF(countif('Womens Lineup'!O$3:O1000,CONCATENATE("=",$A64))=0,"",O$2))</f>
        <v/>
      </c>
      <c r="P64" s="3" t="str">
        <f>IF($A64="","",IF(countif('Womens Lineup'!P$3:P1000,CONCATENATE("=",$A64))=0,"",P$2))</f>
        <v/>
      </c>
      <c r="Q64" s="3" t="str">
        <f>IF($A64="","",IF(countif('Womens Lineup'!Q$3:Q1000,CONCATENATE("=",$A64))=0,"",Q$2))</f>
        <v/>
      </c>
      <c r="R64" s="3" t="str">
        <f>IF($A64="","",IF(countif('Womens Lineup'!R$3:R1000,CONCATENATE("=",$A64))=0,"",R$2))</f>
        <v/>
      </c>
      <c r="S64" s="3" t="str">
        <f>IF($A64="","",IF(countif('Womens Lineup'!S$3:S1000,CONCATENATE("=",$A64))=0,"",S$2))</f>
        <v/>
      </c>
      <c r="W64" s="3" t="str">
        <f>IFERROR(__xludf.DUMMYFUNCTION("JOIN("","",FILTER(B64:S64,B64:S64&lt;&gt;""""))"),"50 Free,100 Free,200 Free,100 Back,200 Back,100 Breast")</f>
        <v>50 Free,100 Free,200 Free,100 Back,200 Back,100 Breast</v>
      </c>
    </row>
    <row r="65">
      <c r="A65" s="3" t="s">
        <v>380</v>
      </c>
      <c r="B65" s="3" t="str">
        <f>IF($A65="","",IF(countif('Womens Lineup'!B$3:B1000,CONCATENATE("=",$A65))=0,"",B$2))</f>
        <v>50 Free</v>
      </c>
      <c r="C65" s="3" t="str">
        <f>IF($A65="","",IF(countif('Womens Lineup'!C$3:C1000,CONCATENATE("=",$A65))=0,"",C$2))</f>
        <v>100 Free</v>
      </c>
      <c r="D65" s="3" t="str">
        <f>IF($A65="","",IF(countif('Womens Lineup'!D$3:D1000,CONCATENATE("=",$A65))=0,"",D$2))</f>
        <v>200 Free</v>
      </c>
      <c r="E65" s="3" t="str">
        <f>IF($A65="","",IF(countif('Womens Lineup'!E$3:E1000,CONCATENATE("=",$A65))=0,"",E$2))</f>
        <v>500 Free</v>
      </c>
      <c r="F65" s="3" t="str">
        <f>IF($A65="","",IF(countif('Womens Lineup'!F$3:F1000,CONCATENATE("=",$A65))=0,"",F$2))</f>
        <v/>
      </c>
      <c r="G65" s="3" t="str">
        <f>IF($A65="","",IF(countif('Womens Lineup'!G$3:G1000,CONCATENATE("=",$A65))=0,"",G$2))</f>
        <v>100 Back</v>
      </c>
      <c r="H65" s="3" t="str">
        <f>IF($A65="","",IF(countif('Womens Lineup'!H$3:H1000,CONCATENATE("=",$A65))=0,"",H$2))</f>
        <v/>
      </c>
      <c r="I65" s="3" t="str">
        <f>IF($A65="","",IF(countif('Womens Lineup'!I$3:I1000,CONCATENATE("=",$A65))=0,"",I$2))</f>
        <v/>
      </c>
      <c r="J65" s="3" t="str">
        <f>IF($A65="","",IF(countif('Womens Lineup'!J$3:J1000,CONCATENATE("=",$A65))=0,"",J$2))</f>
        <v/>
      </c>
      <c r="K65" s="3" t="str">
        <f>IF($A65="","",IF(countif('Womens Lineup'!K$3:K1000,CONCATENATE("=",$A65))=0,"",K$2))</f>
        <v>100 Fly</v>
      </c>
      <c r="L65" s="3" t="str">
        <f>IF($A65="","",IF(countif('Womens Lineup'!L$3:L1000,CONCATENATE("=",$A65))=0,"",L$2))</f>
        <v/>
      </c>
      <c r="M65" s="3" t="str">
        <f>IF($A65="","",IF(countif('Womens Lineup'!M$3:M1000,CONCATENATE("=",$A65))=0,"",M$2))</f>
        <v/>
      </c>
      <c r="N65" s="3" t="str">
        <f>IF($A65="","",IF(countif('Womens Lineup'!N$3:N1000,CONCATENATE("=",$A65))=0,"",N$2))</f>
        <v/>
      </c>
      <c r="O65" s="3" t="str">
        <f>IF($A65="","",IF(countif('Womens Lineup'!O$3:O1000,CONCATENATE("=",$A65))=0,"",O$2))</f>
        <v/>
      </c>
      <c r="P65" s="3" t="str">
        <f>IF($A65="","",IF(countif('Womens Lineup'!P$3:P1000,CONCATENATE("=",$A65))=0,"",P$2))</f>
        <v/>
      </c>
      <c r="Q65" s="3" t="str">
        <f>IF($A65="","",IF(countif('Womens Lineup'!Q$3:Q1000,CONCATENATE("=",$A65))=0,"",Q$2))</f>
        <v/>
      </c>
      <c r="R65" s="3" t="str">
        <f>IF($A65="","",IF(countif('Womens Lineup'!R$3:R1000,CONCATENATE("=",$A65))=0,"",R$2))</f>
        <v/>
      </c>
      <c r="S65" s="3" t="str">
        <f>IF($A65="","",IF(countif('Womens Lineup'!S$3:S1000,CONCATENATE("=",$A65))=0,"",S$2))</f>
        <v/>
      </c>
      <c r="W65" s="3" t="str">
        <f>IFERROR(__xludf.DUMMYFUNCTION("JOIN("","",FILTER(B65:S65,B65:S65&lt;&gt;""""))"),"50 Free,100 Free,200 Free,500 Free,100 Back,100 Fly")</f>
        <v>50 Free,100 Free,200 Free,500 Free,100 Back,100 Fly</v>
      </c>
    </row>
    <row r="66">
      <c r="A66" s="3" t="s">
        <v>381</v>
      </c>
      <c r="B66" s="3" t="str">
        <f>IF($A66="","",IF(countif('Womens Lineup'!B$3:B1000,CONCATENATE("=",$A66))=0,"",B$2))</f>
        <v>50 Free</v>
      </c>
      <c r="C66" s="3" t="str">
        <f>IF($A66="","",IF(countif('Womens Lineup'!C$3:C1000,CONCATENATE("=",$A66))=0,"",C$2))</f>
        <v/>
      </c>
      <c r="D66" s="3" t="str">
        <f>IF($A66="","",IF(countif('Womens Lineup'!D$3:D1000,CONCATENATE("=",$A66))=0,"",D$2))</f>
        <v>200 Free</v>
      </c>
      <c r="E66" s="3" t="str">
        <f>IF($A66="","",IF(countif('Womens Lineup'!E$3:E1000,CONCATENATE("=",$A66))=0,"",E$2))</f>
        <v>500 Free</v>
      </c>
      <c r="F66" s="3" t="str">
        <f>IF($A66="","",IF(countif('Womens Lineup'!F$3:F1000,CONCATENATE("=",$A66))=0,"",F$2))</f>
        <v/>
      </c>
      <c r="G66" s="3" t="str">
        <f>IF($A66="","",IF(countif('Womens Lineup'!G$3:G1000,CONCATENATE("=",$A66))=0,"",G$2))</f>
        <v>100 Back</v>
      </c>
      <c r="H66" s="3" t="str">
        <f>IF($A66="","",IF(countif('Womens Lineup'!H$3:H1000,CONCATENATE("=",$A66))=0,"",H$2))</f>
        <v/>
      </c>
      <c r="I66" s="3" t="str">
        <f>IF($A66="","",IF(countif('Womens Lineup'!I$3:I1000,CONCATENATE("=",$A66))=0,"",I$2))</f>
        <v/>
      </c>
      <c r="J66" s="3" t="str">
        <f>IF($A66="","",IF(countif('Womens Lineup'!J$3:J1000,CONCATENATE("=",$A66))=0,"",J$2))</f>
        <v/>
      </c>
      <c r="K66" s="3" t="str">
        <f>IF($A66="","",IF(countif('Womens Lineup'!K$3:K1000,CONCATENATE("=",$A66))=0,"",K$2))</f>
        <v/>
      </c>
      <c r="L66" s="3" t="str">
        <f>IF($A66="","",IF(countif('Womens Lineup'!L$3:L1000,CONCATENATE("=",$A66))=0,"",L$2))</f>
        <v/>
      </c>
      <c r="M66" s="3" t="str">
        <f>IF($A66="","",IF(countif('Womens Lineup'!M$3:M1000,CONCATENATE("=",$A66))=0,"",M$2))</f>
        <v>200 IM</v>
      </c>
      <c r="N66" s="3" t="str">
        <f>IF($A66="","",IF(countif('Womens Lineup'!N$3:N1000,CONCATENATE("=",$A66))=0,"",N$2))</f>
        <v>400 IM</v>
      </c>
      <c r="O66" s="3" t="str">
        <f>IF($A66="","",IF(countif('Womens Lineup'!O$3:O1000,CONCATENATE("=",$A66))=0,"",O$2))</f>
        <v/>
      </c>
      <c r="P66" s="3" t="str">
        <f>IF($A66="","",IF(countif('Womens Lineup'!P$3:P1000,CONCATENATE("=",$A66))=0,"",P$2))</f>
        <v/>
      </c>
      <c r="Q66" s="3" t="str">
        <f>IF($A66="","",IF(countif('Womens Lineup'!Q$3:Q1000,CONCATENATE("=",$A66))=0,"",Q$2))</f>
        <v/>
      </c>
      <c r="R66" s="3" t="str">
        <f>IF($A66="","",IF(countif('Womens Lineup'!R$3:R1000,CONCATENATE("=",$A66))=0,"",R$2))</f>
        <v/>
      </c>
      <c r="S66" s="3" t="str">
        <f>IF($A66="","",IF(countif('Womens Lineup'!S$3:S1000,CONCATENATE("=",$A66))=0,"",S$2))</f>
        <v/>
      </c>
      <c r="W66" s="3" t="str">
        <f>IFERROR(__xludf.DUMMYFUNCTION("JOIN("","",FILTER(B66:S66,B66:S66&lt;&gt;""""))"),"50 Free,200 Free,500 Free,100 Back,200 IM,400 IM")</f>
        <v>50 Free,200 Free,500 Free,100 Back,200 IM,400 IM</v>
      </c>
    </row>
    <row r="67">
      <c r="A67" s="3" t="s">
        <v>382</v>
      </c>
      <c r="B67" s="3" t="str">
        <f>IF($A67="","",IF(countif('Womens Lineup'!B$3:B1000,CONCATENATE("=",$A67))=0,"",B$2))</f>
        <v>50 Free</v>
      </c>
      <c r="C67" s="3" t="str">
        <f>IF($A67="","",IF(countif('Womens Lineup'!C$3:C1000,CONCATENATE("=",$A67))=0,"",C$2))</f>
        <v>100 Free</v>
      </c>
      <c r="D67" s="3" t="str">
        <f>IF($A67="","",IF(countif('Womens Lineup'!D$3:D1000,CONCATENATE("=",$A67))=0,"",D$2))</f>
        <v/>
      </c>
      <c r="E67" s="3" t="str">
        <f>IF($A67="","",IF(countif('Womens Lineup'!E$3:E1000,CONCATENATE("=",$A67))=0,"",E$2))</f>
        <v/>
      </c>
      <c r="F67" s="3" t="str">
        <f>IF($A67="","",IF(countif('Womens Lineup'!F$3:F1000,CONCATENATE("=",$A67))=0,"",F$2))</f>
        <v/>
      </c>
      <c r="G67" s="3" t="str">
        <f>IF($A67="","",IF(countif('Womens Lineup'!G$3:G1000,CONCATENATE("=",$A67))=0,"",G$2))</f>
        <v/>
      </c>
      <c r="H67" s="3" t="str">
        <f>IF($A67="","",IF(countif('Womens Lineup'!H$3:H1000,CONCATENATE("=",$A67))=0,"",H$2))</f>
        <v/>
      </c>
      <c r="I67" s="3" t="str">
        <f>IF($A67="","",IF(countif('Womens Lineup'!I$3:I1000,CONCATENATE("=",$A67))=0,"",I$2))</f>
        <v>100 Breast</v>
      </c>
      <c r="J67" s="3" t="str">
        <f>IF($A67="","",IF(countif('Womens Lineup'!J$3:J1000,CONCATENATE("=",$A67))=0,"",J$2))</f>
        <v>200 Breast</v>
      </c>
      <c r="K67" s="3" t="str">
        <f>IF($A67="","",IF(countif('Womens Lineup'!K$3:K1000,CONCATENATE("=",$A67))=0,"",K$2))</f>
        <v/>
      </c>
      <c r="L67" s="3" t="str">
        <f>IF($A67="","",IF(countif('Womens Lineup'!L$3:L1000,CONCATENATE("=",$A67))=0,"",L$2))</f>
        <v/>
      </c>
      <c r="M67" s="3" t="str">
        <f>IF($A67="","",IF(countif('Womens Lineup'!M$3:M1000,CONCATENATE("=",$A67))=0,"",M$2))</f>
        <v/>
      </c>
      <c r="N67" s="3" t="str">
        <f>IF($A67="","",IF(countif('Womens Lineup'!N$3:N1000,CONCATENATE("=",$A67))=0,"",N$2))</f>
        <v/>
      </c>
      <c r="O67" s="3" t="str">
        <f>IF($A67="","",IF(countif('Womens Lineup'!O$3:O1000,CONCATENATE("=",$A67))=0,"",O$2))</f>
        <v/>
      </c>
      <c r="P67" s="3" t="str">
        <f>IF($A67="","",IF(countif('Womens Lineup'!P$3:P1000,CONCATENATE("=",$A67))=0,"",P$2))</f>
        <v/>
      </c>
      <c r="Q67" s="3" t="str">
        <f>IF($A67="","",IF(countif('Womens Lineup'!Q$3:Q1000,CONCATENATE("=",$A67))=0,"",Q$2))</f>
        <v/>
      </c>
      <c r="R67" s="3" t="str">
        <f>IF($A67="","",IF(countif('Womens Lineup'!R$3:R1000,CONCATENATE("=",$A67))=0,"",R$2))</f>
        <v/>
      </c>
      <c r="S67" s="3" t="str">
        <f>IF($A67="","",IF(countif('Womens Lineup'!S$3:S1000,CONCATENATE("=",$A67))=0,"",S$2))</f>
        <v/>
      </c>
      <c r="W67" s="3" t="str">
        <f>IFERROR(__xludf.DUMMYFUNCTION("JOIN("","",FILTER(B67:S67,B67:S67&lt;&gt;""""))"),"50 Free,100 Free,100 Breast,200 Breast")</f>
        <v>50 Free,100 Free,100 Breast,200 Breast</v>
      </c>
    </row>
    <row r="68">
      <c r="A68" s="3" t="s">
        <v>383</v>
      </c>
      <c r="B68" s="3" t="str">
        <f>IF($A68="","",IF(countif('Womens Lineup'!B$3:B1000,CONCATENATE("=",$A68))=0,"",B$2))</f>
        <v>50 Free</v>
      </c>
      <c r="C68" s="3" t="str">
        <f>IF($A68="","",IF(countif('Womens Lineup'!C$3:C1000,CONCATENATE("=",$A68))=0,"",C$2))</f>
        <v>100 Free</v>
      </c>
      <c r="D68" s="3" t="str">
        <f>IF($A68="","",IF(countif('Womens Lineup'!D$3:D1000,CONCATENATE("=",$A68))=0,"",D$2))</f>
        <v>200 Free</v>
      </c>
      <c r="E68" s="3" t="str">
        <f>IF($A68="","",IF(countif('Womens Lineup'!E$3:E1000,CONCATENATE("=",$A68))=0,"",E$2))</f>
        <v/>
      </c>
      <c r="F68" s="3" t="str">
        <f>IF($A68="","",IF(countif('Womens Lineup'!F$3:F1000,CONCATENATE("=",$A68))=0,"",F$2))</f>
        <v/>
      </c>
      <c r="G68" s="3" t="str">
        <f>IF($A68="","",IF(countif('Womens Lineup'!G$3:G1000,CONCATENATE("=",$A68))=0,"",G$2))</f>
        <v>100 Back</v>
      </c>
      <c r="H68" s="3" t="str">
        <f>IF($A68="","",IF(countif('Womens Lineup'!H$3:H1000,CONCATENATE("=",$A68))=0,"",H$2))</f>
        <v>200 Back</v>
      </c>
      <c r="I68" s="3" t="str">
        <f>IF($A68="","",IF(countif('Womens Lineup'!I$3:I1000,CONCATENATE("=",$A68))=0,"",I$2))</f>
        <v/>
      </c>
      <c r="J68" s="3" t="str">
        <f>IF($A68="","",IF(countif('Womens Lineup'!J$3:J1000,CONCATENATE("=",$A68))=0,"",J$2))</f>
        <v/>
      </c>
      <c r="K68" s="3" t="str">
        <f>IF($A68="","",IF(countif('Womens Lineup'!K$3:K1000,CONCATENATE("=",$A68))=0,"",K$2))</f>
        <v>100 Fly</v>
      </c>
      <c r="L68" s="3" t="str">
        <f>IF($A68="","",IF(countif('Womens Lineup'!L$3:L1000,CONCATENATE("=",$A68))=0,"",L$2))</f>
        <v/>
      </c>
      <c r="M68" s="3" t="str">
        <f>IF($A68="","",IF(countif('Womens Lineup'!M$3:M1000,CONCATENATE("=",$A68))=0,"",M$2))</f>
        <v/>
      </c>
      <c r="N68" s="3" t="str">
        <f>IF($A68="","",IF(countif('Womens Lineup'!N$3:N1000,CONCATENATE("=",$A68))=0,"",N$2))</f>
        <v/>
      </c>
      <c r="O68" s="3" t="str">
        <f>IF($A68="","",IF(countif('Womens Lineup'!O$3:O1000,CONCATENATE("=",$A68))=0,"",O$2))</f>
        <v/>
      </c>
      <c r="P68" s="3" t="str">
        <f>IF($A68="","",IF(countif('Womens Lineup'!P$3:P1000,CONCATENATE("=",$A68))=0,"",P$2))</f>
        <v/>
      </c>
      <c r="Q68" s="3" t="str">
        <f>IF($A68="","",IF(countif('Womens Lineup'!Q$3:Q1000,CONCATENATE("=",$A68))=0,"",Q$2))</f>
        <v/>
      </c>
      <c r="R68" s="3" t="str">
        <f>IF($A68="","",IF(countif('Womens Lineup'!R$3:R1000,CONCATENATE("=",$A68))=0,"",R$2))</f>
        <v/>
      </c>
      <c r="S68" s="3" t="str">
        <f>IF($A68="","",IF(countif('Womens Lineup'!S$3:S1000,CONCATENATE("=",$A68))=0,"",S$2))</f>
        <v/>
      </c>
      <c r="W68" s="3" t="str">
        <f>IFERROR(__xludf.DUMMYFUNCTION("JOIN("","",FILTER(B68:S68,B68:S68&lt;&gt;""""))"),"50 Free,100 Free,200 Free,100 Back,200 Back,100 Fly")</f>
        <v>50 Free,100 Free,200 Free,100 Back,200 Back,100 Fly</v>
      </c>
    </row>
    <row r="69">
      <c r="A69" s="3" t="s">
        <v>384</v>
      </c>
      <c r="B69" s="3" t="str">
        <f>IF($A69="","",IF(countif('Womens Lineup'!B$3:B1000,CONCATENATE("=",$A69))=0,"",B$2))</f>
        <v>50 Free</v>
      </c>
      <c r="C69" s="3" t="str">
        <f>IF($A69="","",IF(countif('Womens Lineup'!C$3:C1000,CONCATENATE("=",$A69))=0,"",C$2))</f>
        <v/>
      </c>
      <c r="D69" s="3" t="str">
        <f>IF($A69="","",IF(countif('Womens Lineup'!D$3:D1000,CONCATENATE("=",$A69))=0,"",D$2))</f>
        <v>200 Free</v>
      </c>
      <c r="E69" s="3" t="str">
        <f>IF($A69="","",IF(countif('Womens Lineup'!E$3:E1000,CONCATENATE("=",$A69))=0,"",E$2))</f>
        <v>500 Free</v>
      </c>
      <c r="F69" s="3" t="str">
        <f>IF($A69="","",IF(countif('Womens Lineup'!F$3:F1000,CONCATENATE("=",$A69))=0,"",F$2))</f>
        <v>1650 Free</v>
      </c>
      <c r="G69" s="3" t="str">
        <f>IF($A69="","",IF(countif('Womens Lineup'!G$3:G1000,CONCATENATE("=",$A69))=0,"",G$2))</f>
        <v/>
      </c>
      <c r="H69" s="3" t="str">
        <f>IF($A69="","",IF(countif('Womens Lineup'!H$3:H1000,CONCATENATE("=",$A69))=0,"",H$2))</f>
        <v/>
      </c>
      <c r="I69" s="3" t="str">
        <f>IF($A69="","",IF(countif('Womens Lineup'!I$3:I1000,CONCATENATE("=",$A69))=0,"",I$2))</f>
        <v/>
      </c>
      <c r="J69" s="3" t="str">
        <f>IF($A69="","",IF(countif('Womens Lineup'!J$3:J1000,CONCATENATE("=",$A69))=0,"",J$2))</f>
        <v/>
      </c>
      <c r="K69" s="3" t="str">
        <f>IF($A69="","",IF(countif('Womens Lineup'!K$3:K1000,CONCATENATE("=",$A69))=0,"",K$2))</f>
        <v/>
      </c>
      <c r="L69" s="3" t="str">
        <f>IF($A69="","",IF(countif('Womens Lineup'!L$3:L1000,CONCATENATE("=",$A69))=0,"",L$2))</f>
        <v/>
      </c>
      <c r="M69" s="3" t="str">
        <f>IF($A69="","",IF(countif('Womens Lineup'!M$3:M1000,CONCATENATE("=",$A69))=0,"",M$2))</f>
        <v>200 IM</v>
      </c>
      <c r="N69" s="3" t="str">
        <f>IF($A69="","",IF(countif('Womens Lineup'!N$3:N1000,CONCATENATE("=",$A69))=0,"",N$2))</f>
        <v>400 IM</v>
      </c>
      <c r="O69" s="3" t="str">
        <f>IF($A69="","",IF(countif('Womens Lineup'!O$3:O1000,CONCATENATE("=",$A69))=0,"",O$2))</f>
        <v/>
      </c>
      <c r="P69" s="3" t="str">
        <f>IF($A69="","",IF(countif('Womens Lineup'!P$3:P1000,CONCATENATE("=",$A69))=0,"",P$2))</f>
        <v/>
      </c>
      <c r="Q69" s="3" t="str">
        <f>IF($A69="","",IF(countif('Womens Lineup'!Q$3:Q1000,CONCATENATE("=",$A69))=0,"",Q$2))</f>
        <v/>
      </c>
      <c r="R69" s="3" t="str">
        <f>IF($A69="","",IF(countif('Womens Lineup'!R$3:R1000,CONCATENATE("=",$A69))=0,"",R$2))</f>
        <v/>
      </c>
      <c r="S69" s="3" t="str">
        <f>IF($A69="","",IF(countif('Womens Lineup'!S$3:S1000,CONCATENATE("=",$A69))=0,"",S$2))</f>
        <v/>
      </c>
      <c r="W69" s="3" t="str">
        <f>IFERROR(__xludf.DUMMYFUNCTION("JOIN("","",FILTER(B69:S69,B69:S69&lt;&gt;""""))"),"50 Free,200 Free,500 Free,1650 Free,200 IM,400 IM")</f>
        <v>50 Free,200 Free,500 Free,1650 Free,200 IM,400 IM</v>
      </c>
    </row>
    <row r="70">
      <c r="A70" s="3" t="s">
        <v>385</v>
      </c>
      <c r="B70" s="3" t="str">
        <f>IF($A70="","",IF(countif('Womens Lineup'!B$3:B1000,CONCATENATE("=",$A70))=0,"",B$2))</f>
        <v>50 Free</v>
      </c>
      <c r="C70" s="3" t="str">
        <f>IF($A70="","",IF(countif('Womens Lineup'!C$3:C1000,CONCATENATE("=",$A70))=0,"",C$2))</f>
        <v>100 Free</v>
      </c>
      <c r="D70" s="3" t="str">
        <f>IF($A70="","",IF(countif('Womens Lineup'!D$3:D1000,CONCATENATE("=",$A70))=0,"",D$2))</f>
        <v>200 Free</v>
      </c>
      <c r="E70" s="3" t="str">
        <f>IF($A70="","",IF(countif('Womens Lineup'!E$3:E1000,CONCATENATE("=",$A70))=0,"",E$2))</f>
        <v/>
      </c>
      <c r="F70" s="3" t="str">
        <f>IF($A70="","",IF(countif('Womens Lineup'!F$3:F1000,CONCATENATE("=",$A70))=0,"",F$2))</f>
        <v/>
      </c>
      <c r="G70" s="3" t="str">
        <f>IF($A70="","",IF(countif('Womens Lineup'!G$3:G1000,CONCATENATE("=",$A70))=0,"",G$2))</f>
        <v>100 Back</v>
      </c>
      <c r="H70" s="3" t="str">
        <f>IF($A70="","",IF(countif('Womens Lineup'!H$3:H1000,CONCATENATE("=",$A70))=0,"",H$2))</f>
        <v>200 Back</v>
      </c>
      <c r="I70" s="3" t="str">
        <f>IF($A70="","",IF(countif('Womens Lineup'!I$3:I1000,CONCATENATE("=",$A70))=0,"",I$2))</f>
        <v/>
      </c>
      <c r="J70" s="3" t="str">
        <f>IF($A70="","",IF(countif('Womens Lineup'!J$3:J1000,CONCATENATE("=",$A70))=0,"",J$2))</f>
        <v/>
      </c>
      <c r="K70" s="3" t="str">
        <f>IF($A70="","",IF(countif('Womens Lineup'!K$3:K1000,CONCATENATE("=",$A70))=0,"",K$2))</f>
        <v/>
      </c>
      <c r="L70" s="3" t="str">
        <f>IF($A70="","",IF(countif('Womens Lineup'!L$3:L1000,CONCATENATE("=",$A70))=0,"",L$2))</f>
        <v/>
      </c>
      <c r="M70" s="3" t="str">
        <f>IF($A70="","",IF(countif('Womens Lineup'!M$3:M1000,CONCATENATE("=",$A70))=0,"",M$2))</f>
        <v/>
      </c>
      <c r="N70" s="3" t="str">
        <f>IF($A70="","",IF(countif('Womens Lineup'!N$3:N1000,CONCATENATE("=",$A70))=0,"",N$2))</f>
        <v/>
      </c>
      <c r="O70" s="3" t="str">
        <f>IF($A70="","",IF(countif('Womens Lineup'!O$3:O1000,CONCATENATE("=",$A70))=0,"",O$2))</f>
        <v/>
      </c>
      <c r="P70" s="3" t="str">
        <f>IF($A70="","",IF(countif('Womens Lineup'!P$3:P1000,CONCATENATE("=",$A70))=0,"",P$2))</f>
        <v/>
      </c>
      <c r="Q70" s="3" t="str">
        <f>IF($A70="","",IF(countif('Womens Lineup'!Q$3:Q1000,CONCATENATE("=",$A70))=0,"",Q$2))</f>
        <v/>
      </c>
      <c r="R70" s="3" t="str">
        <f>IF($A70="","",IF(countif('Womens Lineup'!R$3:R1000,CONCATENATE("=",$A70))=0,"",R$2))</f>
        <v/>
      </c>
      <c r="S70" s="3" t="str">
        <f>IF($A70="","",IF(countif('Womens Lineup'!S$3:S1000,CONCATENATE("=",$A70))=0,"",S$2))</f>
        <v/>
      </c>
      <c r="W70" s="3" t="str">
        <f>IFERROR(__xludf.DUMMYFUNCTION("JOIN("","",FILTER(B70:S70,B70:S70&lt;&gt;""""))"),"50 Free,100 Free,200 Free,100 Back,200 Back")</f>
        <v>50 Free,100 Free,200 Free,100 Back,200 Back</v>
      </c>
    </row>
    <row r="71">
      <c r="A71" s="3" t="s">
        <v>386</v>
      </c>
      <c r="B71" s="3" t="str">
        <f>IF($A71="","",IF(countif('Womens Lineup'!B$3:B1000,CONCATENATE("=",$A71))=0,"",B$2))</f>
        <v>50 Free</v>
      </c>
      <c r="C71" s="3" t="str">
        <f>IF($A71="","",IF(countif('Womens Lineup'!C$3:C1000,CONCATENATE("=",$A71))=0,"",C$2))</f>
        <v>100 Free</v>
      </c>
      <c r="D71" s="3" t="str">
        <f>IF($A71="","",IF(countif('Womens Lineup'!D$3:D1000,CONCATENATE("=",$A71))=0,"",D$2))</f>
        <v>200 Free</v>
      </c>
      <c r="E71" s="3" t="str">
        <f>IF($A71="","",IF(countif('Womens Lineup'!E$3:E1000,CONCATENATE("=",$A71))=0,"",E$2))</f>
        <v/>
      </c>
      <c r="F71" s="3" t="str">
        <f>IF($A71="","",IF(countif('Womens Lineup'!F$3:F1000,CONCATENATE("=",$A71))=0,"",F$2))</f>
        <v>1650 Free</v>
      </c>
      <c r="G71" s="3" t="str">
        <f>IF($A71="","",IF(countif('Womens Lineup'!G$3:G1000,CONCATENATE("=",$A71))=0,"",G$2))</f>
        <v/>
      </c>
      <c r="H71" s="3" t="str">
        <f>IF($A71="","",IF(countif('Womens Lineup'!H$3:H1000,CONCATENATE("=",$A71))=0,"",H$2))</f>
        <v/>
      </c>
      <c r="I71" s="3" t="str">
        <f>IF($A71="","",IF(countif('Womens Lineup'!I$3:I1000,CONCATENATE("=",$A71))=0,"",I$2))</f>
        <v>100 Breast</v>
      </c>
      <c r="J71" s="3" t="str">
        <f>IF($A71="","",IF(countif('Womens Lineup'!J$3:J1000,CONCATENATE("=",$A71))=0,"",J$2))</f>
        <v>200 Breast</v>
      </c>
      <c r="K71" s="3" t="str">
        <f>IF($A71="","",IF(countif('Womens Lineup'!K$3:K1000,CONCATENATE("=",$A71))=0,"",K$2))</f>
        <v/>
      </c>
      <c r="L71" s="3" t="str">
        <f>IF($A71="","",IF(countif('Womens Lineup'!L$3:L1000,CONCATENATE("=",$A71))=0,"",L$2))</f>
        <v/>
      </c>
      <c r="M71" s="3" t="str">
        <f>IF($A71="","",IF(countif('Womens Lineup'!M$3:M1000,CONCATENATE("=",$A71))=0,"",M$2))</f>
        <v/>
      </c>
      <c r="N71" s="3" t="str">
        <f>IF($A71="","",IF(countif('Womens Lineup'!N$3:N1000,CONCATENATE("=",$A71))=0,"",N$2))</f>
        <v/>
      </c>
      <c r="O71" s="3" t="str">
        <f>IF($A71="","",IF(countif('Womens Lineup'!O$3:O1000,CONCATENATE("=",$A71))=0,"",O$2))</f>
        <v/>
      </c>
      <c r="P71" s="3" t="str">
        <f>IF($A71="","",IF(countif('Womens Lineup'!P$3:P1000,CONCATENATE("=",$A71))=0,"",P$2))</f>
        <v/>
      </c>
      <c r="Q71" s="3" t="str">
        <f>IF($A71="","",IF(countif('Womens Lineup'!Q$3:Q1000,CONCATENATE("=",$A71))=0,"",Q$2))</f>
        <v/>
      </c>
      <c r="R71" s="3" t="str">
        <f>IF($A71="","",IF(countif('Womens Lineup'!R$3:R1000,CONCATENATE("=",$A71))=0,"",R$2))</f>
        <v/>
      </c>
      <c r="S71" s="3" t="str">
        <f>IF($A71="","",IF(countif('Womens Lineup'!S$3:S1000,CONCATENATE("=",$A71))=0,"",S$2))</f>
        <v/>
      </c>
      <c r="W71" s="3" t="str">
        <f>IFERROR(__xludf.DUMMYFUNCTION("JOIN("","",FILTER(B71:S71,B71:S71&lt;&gt;""""))"),"50 Free,100 Free,200 Free,1650 Free,100 Breast,200 Breast")</f>
        <v>50 Free,100 Free,200 Free,1650 Free,100 Breast,200 Breast</v>
      </c>
    </row>
    <row r="72">
      <c r="A72" s="3" t="s">
        <v>387</v>
      </c>
      <c r="B72" s="3" t="str">
        <f>IF($A72="","",IF(countif('Womens Lineup'!B$3:B1000,CONCATENATE("=",$A72))=0,"",B$2))</f>
        <v>50 Free</v>
      </c>
      <c r="C72" s="3" t="str">
        <f>IF($A72="","",IF(countif('Womens Lineup'!C$3:C1000,CONCATENATE("=",$A72))=0,"",C$2))</f>
        <v>100 Free</v>
      </c>
      <c r="D72" s="3" t="str">
        <f>IF($A72="","",IF(countif('Womens Lineup'!D$3:D1000,CONCATENATE("=",$A72))=0,"",D$2))</f>
        <v/>
      </c>
      <c r="E72" s="3" t="str">
        <f>IF($A72="","",IF(countif('Womens Lineup'!E$3:E1000,CONCATENATE("=",$A72))=0,"",E$2))</f>
        <v/>
      </c>
      <c r="F72" s="3" t="str">
        <f>IF($A72="","",IF(countif('Womens Lineup'!F$3:F1000,CONCATENATE("=",$A72))=0,"",F$2))</f>
        <v/>
      </c>
      <c r="G72" s="3" t="str">
        <f>IF($A72="","",IF(countif('Womens Lineup'!G$3:G1000,CONCATENATE("=",$A72))=0,"",G$2))</f>
        <v/>
      </c>
      <c r="H72" s="3" t="str">
        <f>IF($A72="","",IF(countif('Womens Lineup'!H$3:H1000,CONCATENATE("=",$A72))=0,"",H$2))</f>
        <v/>
      </c>
      <c r="I72" s="3" t="str">
        <f>IF($A72="","",IF(countif('Womens Lineup'!I$3:I1000,CONCATENATE("=",$A72))=0,"",I$2))</f>
        <v/>
      </c>
      <c r="J72" s="3" t="str">
        <f>IF($A72="","",IF(countif('Womens Lineup'!J$3:J1000,CONCATENATE("=",$A72))=0,"",J$2))</f>
        <v/>
      </c>
      <c r="K72" s="3" t="str">
        <f>IF($A72="","",IF(countif('Womens Lineup'!K$3:K1000,CONCATENATE("=",$A72))=0,"",K$2))</f>
        <v>100 Fly</v>
      </c>
      <c r="L72" s="3" t="str">
        <f>IF($A72="","",IF(countif('Womens Lineup'!L$3:L1000,CONCATENATE("=",$A72))=0,"",L$2))</f>
        <v>200 Fly</v>
      </c>
      <c r="M72" s="3" t="str">
        <f>IF($A72="","",IF(countif('Womens Lineup'!M$3:M1000,CONCATENATE("=",$A72))=0,"",M$2))</f>
        <v/>
      </c>
      <c r="N72" s="3" t="str">
        <f>IF($A72="","",IF(countif('Womens Lineup'!N$3:N1000,CONCATENATE("=",$A72))=0,"",N$2))</f>
        <v/>
      </c>
      <c r="O72" s="3" t="str">
        <f>IF($A72="","",IF(countif('Womens Lineup'!O$3:O1000,CONCATENATE("=",$A72))=0,"",O$2))</f>
        <v/>
      </c>
      <c r="P72" s="3" t="str">
        <f>IF($A72="","",IF(countif('Womens Lineup'!P$3:P1000,CONCATENATE("=",$A72))=0,"",P$2))</f>
        <v/>
      </c>
      <c r="Q72" s="3" t="str">
        <f>IF($A72="","",IF(countif('Womens Lineup'!Q$3:Q1000,CONCATENATE("=",$A72))=0,"",Q$2))</f>
        <v/>
      </c>
      <c r="R72" s="3" t="str">
        <f>IF($A72="","",IF(countif('Womens Lineup'!R$3:R1000,CONCATENATE("=",$A72))=0,"",R$2))</f>
        <v/>
      </c>
      <c r="S72" s="3" t="str">
        <f>IF($A72="","",IF(countif('Womens Lineup'!S$3:S1000,CONCATENATE("=",$A72))=0,"",S$2))</f>
        <v/>
      </c>
      <c r="W72" s="3" t="str">
        <f>IFERROR(__xludf.DUMMYFUNCTION("JOIN("","",FILTER(B72:S72,B72:S72&lt;&gt;""""))"),"50 Free,100 Free,100 Fly,200 Fly")</f>
        <v>50 Free,100 Free,100 Fly,200 Fly</v>
      </c>
    </row>
    <row r="73">
      <c r="A73" s="3" t="s">
        <v>388</v>
      </c>
      <c r="B73" s="3" t="str">
        <f>IF($A73="","",IF(countif('Womens Lineup'!B$3:B1000,CONCATENATE("=",$A73))=0,"",B$2))</f>
        <v>50 Free</v>
      </c>
      <c r="C73" s="3" t="str">
        <f>IF($A73="","",IF(countif('Womens Lineup'!C$3:C1000,CONCATENATE("=",$A73))=0,"",C$2))</f>
        <v>100 Free</v>
      </c>
      <c r="D73" s="3" t="str">
        <f>IF($A73="","",IF(countif('Womens Lineup'!D$3:D1000,CONCATENATE("=",$A73))=0,"",D$2))</f>
        <v/>
      </c>
      <c r="E73" s="3" t="str">
        <f>IF($A73="","",IF(countif('Womens Lineup'!E$3:E1000,CONCATENATE("=",$A73))=0,"",E$2))</f>
        <v/>
      </c>
      <c r="F73" s="3" t="str">
        <f>IF($A73="","",IF(countif('Womens Lineup'!F$3:F1000,CONCATENATE("=",$A73))=0,"",F$2))</f>
        <v/>
      </c>
      <c r="G73" s="3" t="str">
        <f>IF($A73="","",IF(countif('Womens Lineup'!G$3:G1000,CONCATENATE("=",$A73))=0,"",G$2))</f>
        <v/>
      </c>
      <c r="H73" s="3" t="str">
        <f>IF($A73="","",IF(countif('Womens Lineup'!H$3:H1000,CONCATENATE("=",$A73))=0,"",H$2))</f>
        <v/>
      </c>
      <c r="I73" s="3" t="str">
        <f>IF($A73="","",IF(countif('Womens Lineup'!I$3:I1000,CONCATENATE("=",$A73))=0,"",I$2))</f>
        <v/>
      </c>
      <c r="J73" s="3" t="str">
        <f>IF($A73="","",IF(countif('Womens Lineup'!J$3:J1000,CONCATENATE("=",$A73))=0,"",J$2))</f>
        <v/>
      </c>
      <c r="K73" s="3" t="str">
        <f>IF($A73="","",IF(countif('Womens Lineup'!K$3:K1000,CONCATENATE("=",$A73))=0,"",K$2))</f>
        <v>100 Fly</v>
      </c>
      <c r="L73" s="3" t="str">
        <f>IF($A73="","",IF(countif('Womens Lineup'!L$3:L1000,CONCATENATE("=",$A73))=0,"",L$2))</f>
        <v>200 Fly</v>
      </c>
      <c r="M73" s="3" t="str">
        <f>IF($A73="","",IF(countif('Womens Lineup'!M$3:M1000,CONCATENATE("=",$A73))=0,"",M$2))</f>
        <v>200 IM</v>
      </c>
      <c r="N73" s="3" t="str">
        <f>IF($A73="","",IF(countif('Womens Lineup'!N$3:N1000,CONCATENATE("=",$A73))=0,"",N$2))</f>
        <v>400 IM</v>
      </c>
      <c r="O73" s="3" t="str">
        <f>IF($A73="","",IF(countif('Womens Lineup'!O$3:O1000,CONCATENATE("=",$A73))=0,"",O$2))</f>
        <v/>
      </c>
      <c r="P73" s="3" t="str">
        <f>IF($A73="","",IF(countif('Womens Lineup'!P$3:P1000,CONCATENATE("=",$A73))=0,"",P$2))</f>
        <v/>
      </c>
      <c r="Q73" s="3" t="str">
        <f>IF($A73="","",IF(countif('Womens Lineup'!Q$3:Q1000,CONCATENATE("=",$A73))=0,"",Q$2))</f>
        <v/>
      </c>
      <c r="R73" s="3" t="str">
        <f>IF($A73="","",IF(countif('Womens Lineup'!R$3:R1000,CONCATENATE("=",$A73))=0,"",R$2))</f>
        <v/>
      </c>
      <c r="S73" s="3" t="str">
        <f>IF($A73="","",IF(countif('Womens Lineup'!S$3:S1000,CONCATENATE("=",$A73))=0,"",S$2))</f>
        <v/>
      </c>
      <c r="W73" s="3" t="str">
        <f>IFERROR(__xludf.DUMMYFUNCTION("JOIN("","",FILTER(B73:S73,B73:S73&lt;&gt;""""))"),"50 Free,100 Free,100 Fly,200 Fly,200 IM,400 IM")</f>
        <v>50 Free,100 Free,100 Fly,200 Fly,200 IM,400 IM</v>
      </c>
    </row>
    <row r="74">
      <c r="A74" s="3" t="s">
        <v>389</v>
      </c>
      <c r="B74" s="3" t="str">
        <f>IF($A74="","",IF(countif('Womens Lineup'!B$3:B1000,CONCATENATE("=",$A74))=0,"",B$2))</f>
        <v>50 Free</v>
      </c>
      <c r="C74" s="3" t="str">
        <f>IF($A74="","",IF(countif('Womens Lineup'!C$3:C1000,CONCATENATE("=",$A74))=0,"",C$2))</f>
        <v>100 Free</v>
      </c>
      <c r="D74" s="3" t="str">
        <f>IF($A74="","",IF(countif('Womens Lineup'!D$3:D1000,CONCATENATE("=",$A74))=0,"",D$2))</f>
        <v>200 Free</v>
      </c>
      <c r="E74" s="3" t="str">
        <f>IF($A74="","",IF(countif('Womens Lineup'!E$3:E1000,CONCATENATE("=",$A74))=0,"",E$2))</f>
        <v/>
      </c>
      <c r="F74" s="3" t="str">
        <f>IF($A74="","",IF(countif('Womens Lineup'!F$3:F1000,CONCATENATE("=",$A74))=0,"",F$2))</f>
        <v/>
      </c>
      <c r="G74" s="3" t="str">
        <f>IF($A74="","",IF(countif('Womens Lineup'!G$3:G1000,CONCATENATE("=",$A74))=0,"",G$2))</f>
        <v>100 Back</v>
      </c>
      <c r="H74" s="3" t="str">
        <f>IF($A74="","",IF(countif('Womens Lineup'!H$3:H1000,CONCATENATE("=",$A74))=0,"",H$2))</f>
        <v>200 Back</v>
      </c>
      <c r="I74" s="3" t="str">
        <f>IF($A74="","",IF(countif('Womens Lineup'!I$3:I1000,CONCATENATE("=",$A74))=0,"",I$2))</f>
        <v/>
      </c>
      <c r="J74" s="3" t="str">
        <f>IF($A74="","",IF(countif('Womens Lineup'!J$3:J1000,CONCATENATE("=",$A74))=0,"",J$2))</f>
        <v/>
      </c>
      <c r="K74" s="3" t="str">
        <f>IF($A74="","",IF(countif('Womens Lineup'!K$3:K1000,CONCATENATE("=",$A74))=0,"",K$2))</f>
        <v/>
      </c>
      <c r="L74" s="3" t="str">
        <f>IF($A74="","",IF(countif('Womens Lineup'!L$3:L1000,CONCATENATE("=",$A74))=0,"",L$2))</f>
        <v/>
      </c>
      <c r="M74" s="3" t="str">
        <f>IF($A74="","",IF(countif('Womens Lineup'!M$3:M1000,CONCATENATE("=",$A74))=0,"",M$2))</f>
        <v>200 IM</v>
      </c>
      <c r="N74" s="3" t="str">
        <f>IF($A74="","",IF(countif('Womens Lineup'!N$3:N1000,CONCATENATE("=",$A74))=0,"",N$2))</f>
        <v/>
      </c>
      <c r="O74" s="3" t="str">
        <f>IF($A74="","",IF(countif('Womens Lineup'!O$3:O1000,CONCATENATE("=",$A74))=0,"",O$2))</f>
        <v/>
      </c>
      <c r="P74" s="3" t="str">
        <f>IF($A74="","",IF(countif('Womens Lineup'!P$3:P1000,CONCATENATE("=",$A74))=0,"",P$2))</f>
        <v/>
      </c>
      <c r="Q74" s="3" t="str">
        <f>IF($A74="","",IF(countif('Womens Lineup'!Q$3:Q1000,CONCATENATE("=",$A74))=0,"",Q$2))</f>
        <v/>
      </c>
      <c r="R74" s="3" t="str">
        <f>IF($A74="","",IF(countif('Womens Lineup'!R$3:R1000,CONCATENATE("=",$A74))=0,"",R$2))</f>
        <v/>
      </c>
      <c r="S74" s="3" t="str">
        <f>IF($A74="","",IF(countif('Womens Lineup'!S$3:S1000,CONCATENATE("=",$A74))=0,"",S$2))</f>
        <v/>
      </c>
      <c r="W74" s="3" t="str">
        <f>IFERROR(__xludf.DUMMYFUNCTION("JOIN("","",FILTER(B74:S74,B74:S74&lt;&gt;""""))"),"50 Free,100 Free,200 Free,100 Back,200 Back,200 IM")</f>
        <v>50 Free,100 Free,200 Free,100 Back,200 Back,200 IM</v>
      </c>
    </row>
    <row r="75">
      <c r="A75" s="3" t="s">
        <v>390</v>
      </c>
      <c r="B75" s="3" t="str">
        <f>IF($A75="","",IF(countif('Womens Lineup'!B$3:B1000,CONCATENATE("=",$A75))=0,"",B$2))</f>
        <v>50 Free</v>
      </c>
      <c r="C75" s="3" t="str">
        <f>IF($A75="","",IF(countif('Womens Lineup'!C$3:C1000,CONCATENATE("=",$A75))=0,"",C$2))</f>
        <v>100 Free</v>
      </c>
      <c r="D75" s="3" t="str">
        <f>IF($A75="","",IF(countif('Womens Lineup'!D$3:D1000,CONCATENATE("=",$A75))=0,"",D$2))</f>
        <v>200 Free</v>
      </c>
      <c r="E75" s="3" t="str">
        <f>IF($A75="","",IF(countif('Womens Lineup'!E$3:E1000,CONCATENATE("=",$A75))=0,"",E$2))</f>
        <v/>
      </c>
      <c r="F75" s="3" t="str">
        <f>IF($A75="","",IF(countif('Womens Lineup'!F$3:F1000,CONCATENATE("=",$A75))=0,"",F$2))</f>
        <v/>
      </c>
      <c r="G75" s="3" t="str">
        <f>IF($A75="","",IF(countif('Womens Lineup'!G$3:G1000,CONCATENATE("=",$A75))=0,"",G$2))</f>
        <v>100 Back</v>
      </c>
      <c r="H75" s="3" t="str">
        <f>IF($A75="","",IF(countif('Womens Lineup'!H$3:H1000,CONCATENATE("=",$A75))=0,"",H$2))</f>
        <v/>
      </c>
      <c r="I75" s="3" t="str">
        <f>IF($A75="","",IF(countif('Womens Lineup'!I$3:I1000,CONCATENATE("=",$A75))=0,"",I$2))</f>
        <v/>
      </c>
      <c r="J75" s="3" t="str">
        <f>IF($A75="","",IF(countif('Womens Lineup'!J$3:J1000,CONCATENATE("=",$A75))=0,"",J$2))</f>
        <v/>
      </c>
      <c r="K75" s="3" t="str">
        <f>IF($A75="","",IF(countif('Womens Lineup'!K$3:K1000,CONCATENATE("=",$A75))=0,"",K$2))</f>
        <v/>
      </c>
      <c r="L75" s="3" t="str">
        <f>IF($A75="","",IF(countif('Womens Lineup'!L$3:L1000,CONCATENATE("=",$A75))=0,"",L$2))</f>
        <v/>
      </c>
      <c r="M75" s="3" t="str">
        <f>IF($A75="","",IF(countif('Womens Lineup'!M$3:M1000,CONCATENATE("=",$A75))=0,"",M$2))</f>
        <v/>
      </c>
      <c r="N75" s="3" t="str">
        <f>IF($A75="","",IF(countif('Womens Lineup'!N$3:N1000,CONCATENATE("=",$A75))=0,"",N$2))</f>
        <v/>
      </c>
      <c r="O75" s="3" t="str">
        <f>IF($A75="","",IF(countif('Womens Lineup'!O$3:O1000,CONCATENATE("=",$A75))=0,"",O$2))</f>
        <v/>
      </c>
      <c r="P75" s="3" t="str">
        <f>IF($A75="","",IF(countif('Womens Lineup'!P$3:P1000,CONCATENATE("=",$A75))=0,"",P$2))</f>
        <v/>
      </c>
      <c r="Q75" s="3" t="str">
        <f>IF($A75="","",IF(countif('Womens Lineup'!Q$3:Q1000,CONCATENATE("=",$A75))=0,"",Q$2))</f>
        <v/>
      </c>
      <c r="R75" s="3" t="str">
        <f>IF($A75="","",IF(countif('Womens Lineup'!R$3:R1000,CONCATENATE("=",$A75))=0,"",R$2))</f>
        <v/>
      </c>
      <c r="S75" s="3" t="str">
        <f>IF($A75="","",IF(countif('Womens Lineup'!S$3:S1000,CONCATENATE("=",$A75))=0,"",S$2))</f>
        <v/>
      </c>
      <c r="W75" s="3" t="str">
        <f>IFERROR(__xludf.DUMMYFUNCTION("JOIN("","",FILTER(B75:S75,B75:S75&lt;&gt;""""))"),"50 Free,100 Free,200 Free,100 Back")</f>
        <v>50 Free,100 Free,200 Free,100 Back</v>
      </c>
    </row>
    <row r="76">
      <c r="A76" s="3" t="s">
        <v>391</v>
      </c>
      <c r="B76" s="3" t="str">
        <f>IF($A76="","",IF(countif('Womens Lineup'!B$3:B1000,CONCATENATE("=",$A76))=0,"",B$2))</f>
        <v>50 Free</v>
      </c>
      <c r="C76" s="3" t="str">
        <f>IF($A76="","",IF(countif('Womens Lineup'!C$3:C1000,CONCATENATE("=",$A76))=0,"",C$2))</f>
        <v>100 Free</v>
      </c>
      <c r="D76" s="3" t="str">
        <f>IF($A76="","",IF(countif('Womens Lineup'!D$3:D1000,CONCATENATE("=",$A76))=0,"",D$2))</f>
        <v/>
      </c>
      <c r="E76" s="3" t="str">
        <f>IF($A76="","",IF(countif('Womens Lineup'!E$3:E1000,CONCATENATE("=",$A76))=0,"",E$2))</f>
        <v/>
      </c>
      <c r="F76" s="3" t="str">
        <f>IF($A76="","",IF(countif('Womens Lineup'!F$3:F1000,CONCATENATE("=",$A76))=0,"",F$2))</f>
        <v/>
      </c>
      <c r="G76" s="3" t="str">
        <f>IF($A76="","",IF(countif('Womens Lineup'!G$3:G1000,CONCATENATE("=",$A76))=0,"",G$2))</f>
        <v/>
      </c>
      <c r="H76" s="3" t="str">
        <f>IF($A76="","",IF(countif('Womens Lineup'!H$3:H1000,CONCATENATE("=",$A76))=0,"",H$2))</f>
        <v/>
      </c>
      <c r="I76" s="3" t="str">
        <f>IF($A76="","",IF(countif('Womens Lineup'!I$3:I1000,CONCATENATE("=",$A76))=0,"",I$2))</f>
        <v>100 Breast</v>
      </c>
      <c r="J76" s="3" t="str">
        <f>IF($A76="","",IF(countif('Womens Lineup'!J$3:J1000,CONCATENATE("=",$A76))=0,"",J$2))</f>
        <v>200 Breast</v>
      </c>
      <c r="K76" s="3" t="str">
        <f>IF($A76="","",IF(countif('Womens Lineup'!K$3:K1000,CONCATENATE("=",$A76))=0,"",K$2))</f>
        <v>100 Fly</v>
      </c>
      <c r="L76" s="3" t="str">
        <f>IF($A76="","",IF(countif('Womens Lineup'!L$3:L1000,CONCATENATE("=",$A76))=0,"",L$2))</f>
        <v/>
      </c>
      <c r="M76" s="3" t="str">
        <f>IF($A76="","",IF(countif('Womens Lineup'!M$3:M1000,CONCATENATE("=",$A76))=0,"",M$2))</f>
        <v>200 IM</v>
      </c>
      <c r="N76" s="3" t="str">
        <f>IF($A76="","",IF(countif('Womens Lineup'!N$3:N1000,CONCATENATE("=",$A76))=0,"",N$2))</f>
        <v/>
      </c>
      <c r="O76" s="3" t="str">
        <f>IF($A76="","",IF(countif('Womens Lineup'!O$3:O1000,CONCATENATE("=",$A76))=0,"",O$2))</f>
        <v/>
      </c>
      <c r="P76" s="3" t="str">
        <f>IF($A76="","",IF(countif('Womens Lineup'!P$3:P1000,CONCATENATE("=",$A76))=0,"",P$2))</f>
        <v/>
      </c>
      <c r="Q76" s="3" t="str">
        <f>IF($A76="","",IF(countif('Womens Lineup'!Q$3:Q1000,CONCATENATE("=",$A76))=0,"",Q$2))</f>
        <v/>
      </c>
      <c r="R76" s="3" t="str">
        <f>IF($A76="","",IF(countif('Womens Lineup'!R$3:R1000,CONCATENATE("=",$A76))=0,"",R$2))</f>
        <v/>
      </c>
      <c r="S76" s="3" t="str">
        <f>IF($A76="","",IF(countif('Womens Lineup'!S$3:S1000,CONCATENATE("=",$A76))=0,"",S$2))</f>
        <v/>
      </c>
      <c r="W76" s="3" t="str">
        <f>IFERROR(__xludf.DUMMYFUNCTION("JOIN("","",FILTER(B76:S76,B76:S76&lt;&gt;""""))"),"50 Free,100 Free,100 Breast,200 Breast,100 Fly,200 IM")</f>
        <v>50 Free,100 Free,100 Breast,200 Breast,100 Fly,200 IM</v>
      </c>
    </row>
    <row r="77">
      <c r="A77" s="3" t="s">
        <v>392</v>
      </c>
      <c r="B77" s="3" t="str">
        <f>IF($A77="","",IF(countif('Womens Lineup'!B$3:B1000,CONCATENATE("=",$A77))=0,"",B$2))</f>
        <v>50 Free</v>
      </c>
      <c r="C77" s="3" t="str">
        <f>IF($A77="","",IF(countif('Womens Lineup'!C$3:C1000,CONCATENATE("=",$A77))=0,"",C$2))</f>
        <v>100 Free</v>
      </c>
      <c r="D77" s="3" t="str">
        <f>IF($A77="","",IF(countif('Womens Lineup'!D$3:D1000,CONCATENATE("=",$A77))=0,"",D$2))</f>
        <v>200 Free</v>
      </c>
      <c r="E77" s="3" t="str">
        <f>IF($A77="","",IF(countif('Womens Lineup'!E$3:E1000,CONCATENATE("=",$A77))=0,"",E$2))</f>
        <v>500 Free</v>
      </c>
      <c r="F77" s="3" t="str">
        <f>IF($A77="","",IF(countif('Womens Lineup'!F$3:F1000,CONCATENATE("=",$A77))=0,"",F$2))</f>
        <v/>
      </c>
      <c r="G77" s="3" t="str">
        <f>IF($A77="","",IF(countif('Womens Lineup'!G$3:G1000,CONCATENATE("=",$A77))=0,"",G$2))</f>
        <v/>
      </c>
      <c r="H77" s="3" t="str">
        <f>IF($A77="","",IF(countif('Womens Lineup'!H$3:H1000,CONCATENATE("=",$A77))=0,"",H$2))</f>
        <v>200 Back</v>
      </c>
      <c r="I77" s="3" t="str">
        <f>IF($A77="","",IF(countif('Womens Lineup'!I$3:I1000,CONCATENATE("=",$A77))=0,"",I$2))</f>
        <v/>
      </c>
      <c r="J77" s="3" t="str">
        <f>IF($A77="","",IF(countif('Womens Lineup'!J$3:J1000,CONCATENATE("=",$A77))=0,"",J$2))</f>
        <v/>
      </c>
      <c r="K77" s="3" t="str">
        <f>IF($A77="","",IF(countif('Womens Lineup'!K$3:K1000,CONCATENATE("=",$A77))=0,"",K$2))</f>
        <v/>
      </c>
      <c r="L77" s="3" t="str">
        <f>IF($A77="","",IF(countif('Womens Lineup'!L$3:L1000,CONCATENATE("=",$A77))=0,"",L$2))</f>
        <v/>
      </c>
      <c r="M77" s="3" t="str">
        <f>IF($A77="","",IF(countif('Womens Lineup'!M$3:M1000,CONCATENATE("=",$A77))=0,"",M$2))</f>
        <v/>
      </c>
      <c r="N77" s="3" t="str">
        <f>IF($A77="","",IF(countif('Womens Lineup'!N$3:N1000,CONCATENATE("=",$A77))=0,"",N$2))</f>
        <v/>
      </c>
      <c r="O77" s="3" t="str">
        <f>IF($A77="","",IF(countif('Womens Lineup'!O$3:O1000,CONCATENATE("=",$A77))=0,"",O$2))</f>
        <v>1000 Free</v>
      </c>
      <c r="P77" s="3" t="str">
        <f>IF($A77="","",IF(countif('Womens Lineup'!P$3:P1000,CONCATENATE("=",$A77))=0,"",P$2))</f>
        <v/>
      </c>
      <c r="Q77" s="3" t="str">
        <f>IF($A77="","",IF(countif('Womens Lineup'!Q$3:Q1000,CONCATENATE("=",$A77))=0,"",Q$2))</f>
        <v/>
      </c>
      <c r="R77" s="3" t="str">
        <f>IF($A77="","",IF(countif('Womens Lineup'!R$3:R1000,CONCATENATE("=",$A77))=0,"",R$2))</f>
        <v/>
      </c>
      <c r="S77" s="3" t="str">
        <f>IF($A77="","",IF(countif('Womens Lineup'!S$3:S1000,CONCATENATE("=",$A77))=0,"",S$2))</f>
        <v/>
      </c>
      <c r="W77" s="3" t="str">
        <f>IFERROR(__xludf.DUMMYFUNCTION("JOIN("","",FILTER(B77:S77,B77:S77&lt;&gt;""""))"),"50 Free,100 Free,200 Free,500 Free,200 Back,1000 Free")</f>
        <v>50 Free,100 Free,200 Free,500 Free,200 Back,1000 Free</v>
      </c>
    </row>
    <row r="78">
      <c r="A78" s="3" t="s">
        <v>393</v>
      </c>
      <c r="B78" s="3" t="str">
        <f>IF($A78="","",IF(countif('Womens Lineup'!B$3:B1000,CONCATENATE("=",$A78))=0,"",B$2))</f>
        <v>50 Free</v>
      </c>
      <c r="C78" s="3" t="str">
        <f>IF($A78="","",IF(countif('Womens Lineup'!C$3:C1000,CONCATENATE("=",$A78))=0,"",C$2))</f>
        <v>100 Free</v>
      </c>
      <c r="D78" s="3" t="str">
        <f>IF($A78="","",IF(countif('Womens Lineup'!D$3:D1000,CONCATENATE("=",$A78))=0,"",D$2))</f>
        <v/>
      </c>
      <c r="E78" s="3" t="str">
        <f>IF($A78="","",IF(countif('Womens Lineup'!E$3:E1000,CONCATENATE("=",$A78))=0,"",E$2))</f>
        <v/>
      </c>
      <c r="F78" s="3" t="str">
        <f>IF($A78="","",IF(countif('Womens Lineup'!F$3:F1000,CONCATENATE("=",$A78))=0,"",F$2))</f>
        <v/>
      </c>
      <c r="G78" s="3" t="str">
        <f>IF($A78="","",IF(countif('Womens Lineup'!G$3:G1000,CONCATENATE("=",$A78))=0,"",G$2))</f>
        <v/>
      </c>
      <c r="H78" s="3" t="str">
        <f>IF($A78="","",IF(countif('Womens Lineup'!H$3:H1000,CONCATENATE("=",$A78))=0,"",H$2))</f>
        <v/>
      </c>
      <c r="I78" s="3" t="str">
        <f>IF($A78="","",IF(countif('Womens Lineup'!I$3:I1000,CONCATENATE("=",$A78))=0,"",I$2))</f>
        <v/>
      </c>
      <c r="J78" s="3" t="str">
        <f>IF($A78="","",IF(countif('Womens Lineup'!J$3:J1000,CONCATENATE("=",$A78))=0,"",J$2))</f>
        <v/>
      </c>
      <c r="K78" s="3" t="str">
        <f>IF($A78="","",IF(countif('Womens Lineup'!K$3:K1000,CONCATENATE("=",$A78))=0,"",K$2))</f>
        <v/>
      </c>
      <c r="L78" s="3" t="str">
        <f>IF($A78="","",IF(countif('Womens Lineup'!L$3:L1000,CONCATENATE("=",$A78))=0,"",L$2))</f>
        <v/>
      </c>
      <c r="M78" s="3" t="str">
        <f>IF($A78="","",IF(countif('Womens Lineup'!M$3:M1000,CONCATENATE("=",$A78))=0,"",M$2))</f>
        <v/>
      </c>
      <c r="N78" s="3" t="str">
        <f>IF($A78="","",IF(countif('Womens Lineup'!N$3:N1000,CONCATENATE("=",$A78))=0,"",N$2))</f>
        <v/>
      </c>
      <c r="O78" s="3" t="str">
        <f>IF($A78="","",IF(countif('Womens Lineup'!O$3:O1000,CONCATENATE("=",$A78))=0,"",O$2))</f>
        <v/>
      </c>
      <c r="P78" s="3" t="str">
        <f>IF($A78="","",IF(countif('Womens Lineup'!P$3:P1000,CONCATENATE("=",$A78))=0,"",P$2))</f>
        <v/>
      </c>
      <c r="Q78" s="3" t="str">
        <f>IF($A78="","",IF(countif('Womens Lineup'!Q$3:Q1000,CONCATENATE("=",$A78))=0,"",Q$2))</f>
        <v/>
      </c>
      <c r="R78" s="3" t="str">
        <f>IF($A78="","",IF(countif('Womens Lineup'!R$3:R1000,CONCATENATE("=",$A78))=0,"",R$2))</f>
        <v/>
      </c>
      <c r="S78" s="3" t="str">
        <f>IF($A78="","",IF(countif('Womens Lineup'!S$3:S1000,CONCATENATE("=",$A78))=0,"",S$2))</f>
        <v/>
      </c>
      <c r="W78" s="3" t="str">
        <f>IFERROR(__xludf.DUMMYFUNCTION("JOIN("","",FILTER(B78:S78,B78:S78&lt;&gt;""""))"),"50 Free,100 Free")</f>
        <v>50 Free,100 Free</v>
      </c>
    </row>
    <row r="79">
      <c r="A79" s="3" t="s">
        <v>394</v>
      </c>
      <c r="B79" s="3" t="str">
        <f>IF($A79="","",IF(countif('Womens Lineup'!B$3:B1000,CONCATENATE("=",$A79))=0,"",B$2))</f>
        <v>50 Free</v>
      </c>
      <c r="C79" s="3" t="str">
        <f>IF($A79="","",IF(countif('Womens Lineup'!C$3:C1000,CONCATENATE("=",$A79))=0,"",C$2))</f>
        <v>100 Free</v>
      </c>
      <c r="D79" s="3" t="str">
        <f>IF($A79="","",IF(countif('Womens Lineup'!D$3:D1000,CONCATENATE("=",$A79))=0,"",D$2))</f>
        <v/>
      </c>
      <c r="E79" s="3" t="str">
        <f>IF($A79="","",IF(countif('Womens Lineup'!E$3:E1000,CONCATENATE("=",$A79))=0,"",E$2))</f>
        <v/>
      </c>
      <c r="F79" s="3" t="str">
        <f>IF($A79="","",IF(countif('Womens Lineup'!F$3:F1000,CONCATENATE("=",$A79))=0,"",F$2))</f>
        <v/>
      </c>
      <c r="G79" s="3" t="str">
        <f>IF($A79="","",IF(countif('Womens Lineup'!G$3:G1000,CONCATENATE("=",$A79))=0,"",G$2))</f>
        <v>100 Back</v>
      </c>
      <c r="H79" s="3" t="str">
        <f>IF($A79="","",IF(countif('Womens Lineup'!H$3:H1000,CONCATENATE("=",$A79))=0,"",H$2))</f>
        <v>200 Back</v>
      </c>
      <c r="I79" s="3" t="str">
        <f>IF($A79="","",IF(countif('Womens Lineup'!I$3:I1000,CONCATENATE("=",$A79))=0,"",I$2))</f>
        <v/>
      </c>
      <c r="J79" s="3" t="str">
        <f>IF($A79="","",IF(countif('Womens Lineup'!J$3:J1000,CONCATENATE("=",$A79))=0,"",J$2))</f>
        <v/>
      </c>
      <c r="K79" s="3" t="str">
        <f>IF($A79="","",IF(countif('Womens Lineup'!K$3:K1000,CONCATENATE("=",$A79))=0,"",K$2))</f>
        <v>100 Fly</v>
      </c>
      <c r="L79" s="3" t="str">
        <f>IF($A79="","",IF(countif('Womens Lineup'!L$3:L1000,CONCATENATE("=",$A79))=0,"",L$2))</f>
        <v/>
      </c>
      <c r="M79" s="3" t="str">
        <f>IF($A79="","",IF(countif('Womens Lineup'!M$3:M1000,CONCATENATE("=",$A79))=0,"",M$2))</f>
        <v/>
      </c>
      <c r="N79" s="3" t="str">
        <f>IF($A79="","",IF(countif('Womens Lineup'!N$3:N1000,CONCATENATE("=",$A79))=0,"",N$2))</f>
        <v/>
      </c>
      <c r="O79" s="3" t="str">
        <f>IF($A79="","",IF(countif('Womens Lineup'!O$3:O1000,CONCATENATE("=",$A79))=0,"",O$2))</f>
        <v/>
      </c>
      <c r="P79" s="3" t="str">
        <f>IF($A79="","",IF(countif('Womens Lineup'!P$3:P1000,CONCATENATE("=",$A79))=0,"",P$2))</f>
        <v/>
      </c>
      <c r="Q79" s="3" t="str">
        <f>IF($A79="","",IF(countif('Womens Lineup'!Q$3:Q1000,CONCATENATE("=",$A79))=0,"",Q$2))</f>
        <v/>
      </c>
      <c r="R79" s="3" t="str">
        <f>IF($A79="","",IF(countif('Womens Lineup'!R$3:R1000,CONCATENATE("=",$A79))=0,"",R$2))</f>
        <v/>
      </c>
      <c r="S79" s="3" t="str">
        <f>IF($A79="","",IF(countif('Womens Lineup'!S$3:S1000,CONCATENATE("=",$A79))=0,"",S$2))</f>
        <v/>
      </c>
      <c r="W79" s="3" t="str">
        <f>IFERROR(__xludf.DUMMYFUNCTION("JOIN("","",FILTER(B79:S79,B79:S79&lt;&gt;""""))"),"50 Free,100 Free,100 Back,200 Back,100 Fly")</f>
        <v>50 Free,100 Free,100 Back,200 Back,100 Fly</v>
      </c>
    </row>
    <row r="80">
      <c r="A80" s="3" t="s">
        <v>395</v>
      </c>
      <c r="B80" s="3" t="str">
        <f>IF($A80="","",IF(countif('Womens Lineup'!B$3:B1000,CONCATENATE("=",$A80))=0,"",B$2))</f>
        <v>50 Free</v>
      </c>
      <c r="C80" s="3" t="str">
        <f>IF($A80="","",IF(countif('Womens Lineup'!C$3:C1000,CONCATENATE("=",$A80))=0,"",C$2))</f>
        <v>100 Free</v>
      </c>
      <c r="D80" s="3" t="str">
        <f>IF($A80="","",IF(countif('Womens Lineup'!D$3:D1000,CONCATENATE("=",$A80))=0,"",D$2))</f>
        <v/>
      </c>
      <c r="E80" s="3" t="str">
        <f>IF($A80="","",IF(countif('Womens Lineup'!E$3:E1000,CONCATENATE("=",$A80))=0,"",E$2))</f>
        <v/>
      </c>
      <c r="F80" s="3" t="str">
        <f>IF($A80="","",IF(countif('Womens Lineup'!F$3:F1000,CONCATENATE("=",$A80))=0,"",F$2))</f>
        <v/>
      </c>
      <c r="G80" s="3" t="str">
        <f>IF($A80="","",IF(countif('Womens Lineup'!G$3:G1000,CONCATENATE("=",$A80))=0,"",G$2))</f>
        <v>100 Back</v>
      </c>
      <c r="H80" s="3" t="str">
        <f>IF($A80="","",IF(countif('Womens Lineup'!H$3:H1000,CONCATENATE("=",$A80))=0,"",H$2))</f>
        <v>200 Back</v>
      </c>
      <c r="I80" s="3" t="str">
        <f>IF($A80="","",IF(countif('Womens Lineup'!I$3:I1000,CONCATENATE("=",$A80))=0,"",I$2))</f>
        <v>100 Breast</v>
      </c>
      <c r="J80" s="3" t="str">
        <f>IF($A80="","",IF(countif('Womens Lineup'!J$3:J1000,CONCATENATE("=",$A80))=0,"",J$2))</f>
        <v/>
      </c>
      <c r="K80" s="3" t="str">
        <f>IF($A80="","",IF(countif('Womens Lineup'!K$3:K1000,CONCATENATE("=",$A80))=0,"",K$2))</f>
        <v/>
      </c>
      <c r="L80" s="3" t="str">
        <f>IF($A80="","",IF(countif('Womens Lineup'!L$3:L1000,CONCATENATE("=",$A80))=0,"",L$2))</f>
        <v/>
      </c>
      <c r="M80" s="3" t="str">
        <f>IF($A80="","",IF(countif('Womens Lineup'!M$3:M1000,CONCATENATE("=",$A80))=0,"",M$2))</f>
        <v/>
      </c>
      <c r="N80" s="3" t="str">
        <f>IF($A80="","",IF(countif('Womens Lineup'!N$3:N1000,CONCATENATE("=",$A80))=0,"",N$2))</f>
        <v/>
      </c>
      <c r="O80" s="3" t="str">
        <f>IF($A80="","",IF(countif('Womens Lineup'!O$3:O1000,CONCATENATE("=",$A80))=0,"",O$2))</f>
        <v/>
      </c>
      <c r="P80" s="3" t="str">
        <f>IF($A80="","",IF(countif('Womens Lineup'!P$3:P1000,CONCATENATE("=",$A80))=0,"",P$2))</f>
        <v/>
      </c>
      <c r="Q80" s="3" t="str">
        <f>IF($A80="","",IF(countif('Womens Lineup'!Q$3:Q1000,CONCATENATE("=",$A80))=0,"",Q$2))</f>
        <v/>
      </c>
      <c r="R80" s="3" t="str">
        <f>IF($A80="","",IF(countif('Womens Lineup'!R$3:R1000,CONCATENATE("=",$A80))=0,"",R$2))</f>
        <v/>
      </c>
      <c r="S80" s="3" t="str">
        <f>IF($A80="","",IF(countif('Womens Lineup'!S$3:S1000,CONCATENATE("=",$A80))=0,"",S$2))</f>
        <v/>
      </c>
      <c r="W80" s="3" t="str">
        <f>IFERROR(__xludf.DUMMYFUNCTION("JOIN("","",FILTER(B80:S80,B80:S80&lt;&gt;""""))"),"50 Free,100 Free,100 Back,200 Back,100 Breast")</f>
        <v>50 Free,100 Free,100 Back,200 Back,100 Breast</v>
      </c>
    </row>
    <row r="81">
      <c r="A81" s="3" t="s">
        <v>396</v>
      </c>
      <c r="B81" s="3" t="str">
        <f>IF($A81="","",IF(countif('Womens Lineup'!B$3:B1000,CONCATENATE("=",$A81))=0,"",B$2))</f>
        <v>50 Free</v>
      </c>
      <c r="C81" s="3" t="str">
        <f>IF($A81="","",IF(countif('Womens Lineup'!C$3:C1000,CONCATENATE("=",$A81))=0,"",C$2))</f>
        <v/>
      </c>
      <c r="D81" s="3" t="str">
        <f>IF($A81="","",IF(countif('Womens Lineup'!D$3:D1000,CONCATENATE("=",$A81))=0,"",D$2))</f>
        <v/>
      </c>
      <c r="E81" s="3" t="str">
        <f>IF($A81="","",IF(countif('Womens Lineup'!E$3:E1000,CONCATENATE("=",$A81))=0,"",E$2))</f>
        <v/>
      </c>
      <c r="F81" s="3" t="str">
        <f>IF($A81="","",IF(countif('Womens Lineup'!F$3:F1000,CONCATENATE("=",$A81))=0,"",F$2))</f>
        <v/>
      </c>
      <c r="G81" s="3" t="str">
        <f>IF($A81="","",IF(countif('Womens Lineup'!G$3:G1000,CONCATENATE("=",$A81))=0,"",G$2))</f>
        <v>100 Back</v>
      </c>
      <c r="H81" s="3" t="str">
        <f>IF($A81="","",IF(countif('Womens Lineup'!H$3:H1000,CONCATENATE("=",$A81))=0,"",H$2))</f>
        <v/>
      </c>
      <c r="I81" s="3" t="str">
        <f>IF($A81="","",IF(countif('Womens Lineup'!I$3:I1000,CONCATENATE("=",$A81))=0,"",I$2))</f>
        <v/>
      </c>
      <c r="J81" s="3" t="str">
        <f>IF($A81="","",IF(countif('Womens Lineup'!J$3:J1000,CONCATENATE("=",$A81))=0,"",J$2))</f>
        <v/>
      </c>
      <c r="K81" s="3" t="str">
        <f>IF($A81="","",IF(countif('Womens Lineup'!K$3:K1000,CONCATENATE("=",$A81))=0,"",K$2))</f>
        <v/>
      </c>
      <c r="L81" s="3" t="str">
        <f>IF($A81="","",IF(countif('Womens Lineup'!L$3:L1000,CONCATENATE("=",$A81))=0,"",L$2))</f>
        <v/>
      </c>
      <c r="M81" s="3" t="str">
        <f>IF($A81="","",IF(countif('Womens Lineup'!M$3:M1000,CONCATENATE("=",$A81))=0,"",M$2))</f>
        <v/>
      </c>
      <c r="N81" s="3" t="str">
        <f>IF($A81="","",IF(countif('Womens Lineup'!N$3:N1000,CONCATENATE("=",$A81))=0,"",N$2))</f>
        <v/>
      </c>
      <c r="O81" s="3" t="str">
        <f>IF($A81="","",IF(countif('Womens Lineup'!O$3:O1000,CONCATENATE("=",$A81))=0,"",O$2))</f>
        <v/>
      </c>
      <c r="P81" s="3" t="str">
        <f>IF($A81="","",IF(countif('Womens Lineup'!P$3:P1000,CONCATENATE("=",$A81))=0,"",P$2))</f>
        <v/>
      </c>
      <c r="Q81" s="3" t="str">
        <f>IF($A81="","",IF(countif('Womens Lineup'!Q$3:Q1000,CONCATENATE("=",$A81))=0,"",Q$2))</f>
        <v/>
      </c>
      <c r="R81" s="3" t="str">
        <f>IF($A81="","",IF(countif('Womens Lineup'!R$3:R1000,CONCATENATE("=",$A81))=0,"",R$2))</f>
        <v/>
      </c>
      <c r="S81" s="3" t="str">
        <f>IF($A81="","",IF(countif('Womens Lineup'!S$3:S1000,CONCATENATE("=",$A81))=0,"",S$2))</f>
        <v/>
      </c>
      <c r="W81" s="3" t="str">
        <f>IFERROR(__xludf.DUMMYFUNCTION("JOIN("","",FILTER(B81:S81,B81:S81&lt;&gt;""""))"),"50 Free,100 Back")</f>
        <v>50 Free,100 Back</v>
      </c>
    </row>
    <row r="82">
      <c r="A82" s="3" t="s">
        <v>397</v>
      </c>
      <c r="B82" s="3" t="str">
        <f>IF($A82="","",IF(countif('Womens Lineup'!B$3:B1000,CONCATENATE("=",$A82))=0,"",B$2))</f>
        <v>50 Free</v>
      </c>
      <c r="C82" s="3" t="str">
        <f>IF($A82="","",IF(countif('Womens Lineup'!C$3:C1000,CONCATENATE("=",$A82))=0,"",C$2))</f>
        <v>100 Free</v>
      </c>
      <c r="D82" s="3" t="str">
        <f>IF($A82="","",IF(countif('Womens Lineup'!D$3:D1000,CONCATENATE("=",$A82))=0,"",D$2))</f>
        <v>200 Free</v>
      </c>
      <c r="E82" s="3" t="str">
        <f>IF($A82="","",IF(countif('Womens Lineup'!E$3:E1000,CONCATENATE("=",$A82))=0,"",E$2))</f>
        <v/>
      </c>
      <c r="F82" s="3" t="str">
        <f>IF($A82="","",IF(countif('Womens Lineup'!F$3:F1000,CONCATENATE("=",$A82))=0,"",F$2))</f>
        <v/>
      </c>
      <c r="G82" s="3" t="str">
        <f>IF($A82="","",IF(countif('Womens Lineup'!G$3:G1000,CONCATENATE("=",$A82))=0,"",G$2))</f>
        <v>100 Back</v>
      </c>
      <c r="H82" s="3" t="str">
        <f>IF($A82="","",IF(countif('Womens Lineup'!H$3:H1000,CONCATENATE("=",$A82))=0,"",H$2))</f>
        <v>200 Back</v>
      </c>
      <c r="I82" s="3" t="str">
        <f>IF($A82="","",IF(countif('Womens Lineup'!I$3:I1000,CONCATENATE("=",$A82))=0,"",I$2))</f>
        <v/>
      </c>
      <c r="J82" s="3" t="str">
        <f>IF($A82="","",IF(countif('Womens Lineup'!J$3:J1000,CONCATENATE("=",$A82))=0,"",J$2))</f>
        <v/>
      </c>
      <c r="K82" s="3" t="str">
        <f>IF($A82="","",IF(countif('Womens Lineup'!K$3:K1000,CONCATENATE("=",$A82))=0,"",K$2))</f>
        <v/>
      </c>
      <c r="L82" s="3" t="str">
        <f>IF($A82="","",IF(countif('Womens Lineup'!L$3:L1000,CONCATENATE("=",$A82))=0,"",L$2))</f>
        <v/>
      </c>
      <c r="M82" s="3" t="str">
        <f>IF($A82="","",IF(countif('Womens Lineup'!M$3:M1000,CONCATENATE("=",$A82))=0,"",M$2))</f>
        <v/>
      </c>
      <c r="N82" s="3" t="str">
        <f>IF($A82="","",IF(countif('Womens Lineup'!N$3:N1000,CONCATENATE("=",$A82))=0,"",N$2))</f>
        <v/>
      </c>
      <c r="O82" s="3" t="str">
        <f>IF($A82="","",IF(countif('Womens Lineup'!O$3:O1000,CONCATENATE("=",$A82))=0,"",O$2))</f>
        <v/>
      </c>
      <c r="P82" s="3" t="str">
        <f>IF($A82="","",IF(countif('Womens Lineup'!P$3:P1000,CONCATENATE("=",$A82))=0,"",P$2))</f>
        <v/>
      </c>
      <c r="Q82" s="3" t="str">
        <f>IF($A82="","",IF(countif('Womens Lineup'!Q$3:Q1000,CONCATENATE("=",$A82))=0,"",Q$2))</f>
        <v/>
      </c>
      <c r="R82" s="3" t="str">
        <f>IF($A82="","",IF(countif('Womens Lineup'!R$3:R1000,CONCATENATE("=",$A82))=0,"",R$2))</f>
        <v/>
      </c>
      <c r="S82" s="3" t="str">
        <f>IF($A82="","",IF(countif('Womens Lineup'!S$3:S1000,CONCATENATE("=",$A82))=0,"",S$2))</f>
        <v/>
      </c>
      <c r="W82" s="3" t="str">
        <f>IFERROR(__xludf.DUMMYFUNCTION("JOIN("","",FILTER(B82:S82,B82:S82&lt;&gt;""""))"),"50 Free,100 Free,200 Free,100 Back,200 Back")</f>
        <v>50 Free,100 Free,200 Free,100 Back,200 Back</v>
      </c>
    </row>
    <row r="83">
      <c r="A83" s="3" t="s">
        <v>398</v>
      </c>
      <c r="B83" s="3" t="str">
        <f>IF($A83="","",IF(countif('Womens Lineup'!B$3:B1000,CONCATENATE("=",$A83))=0,"",B$2))</f>
        <v>50 Free</v>
      </c>
      <c r="C83" s="3" t="str">
        <f>IF($A83="","",IF(countif('Womens Lineup'!C$3:C1000,CONCATENATE("=",$A83))=0,"",C$2))</f>
        <v/>
      </c>
      <c r="D83" s="3" t="str">
        <f>IF($A83="","",IF(countif('Womens Lineup'!D$3:D1000,CONCATENATE("=",$A83))=0,"",D$2))</f>
        <v/>
      </c>
      <c r="E83" s="3" t="str">
        <f>IF($A83="","",IF(countif('Womens Lineup'!E$3:E1000,CONCATENATE("=",$A83))=0,"",E$2))</f>
        <v/>
      </c>
      <c r="F83" s="3" t="str">
        <f>IF($A83="","",IF(countif('Womens Lineup'!F$3:F1000,CONCATENATE("=",$A83))=0,"",F$2))</f>
        <v/>
      </c>
      <c r="G83" s="3" t="str">
        <f>IF($A83="","",IF(countif('Womens Lineup'!G$3:G1000,CONCATENATE("=",$A83))=0,"",G$2))</f>
        <v>100 Back</v>
      </c>
      <c r="H83" s="3" t="str">
        <f>IF($A83="","",IF(countif('Womens Lineup'!H$3:H1000,CONCATENATE("=",$A83))=0,"",H$2))</f>
        <v>200 Back</v>
      </c>
      <c r="I83" s="3" t="str">
        <f>IF($A83="","",IF(countif('Womens Lineup'!I$3:I1000,CONCATENATE("=",$A83))=0,"",I$2))</f>
        <v/>
      </c>
      <c r="J83" s="3" t="str">
        <f>IF($A83="","",IF(countif('Womens Lineup'!J$3:J1000,CONCATENATE("=",$A83))=0,"",J$2))</f>
        <v/>
      </c>
      <c r="K83" s="3" t="str">
        <f>IF($A83="","",IF(countif('Womens Lineup'!K$3:K1000,CONCATENATE("=",$A83))=0,"",K$2))</f>
        <v/>
      </c>
      <c r="L83" s="3" t="str">
        <f>IF($A83="","",IF(countif('Womens Lineup'!L$3:L1000,CONCATENATE("=",$A83))=0,"",L$2))</f>
        <v/>
      </c>
      <c r="M83" s="3" t="str">
        <f>IF($A83="","",IF(countif('Womens Lineup'!M$3:M1000,CONCATENATE("=",$A83))=0,"",M$2))</f>
        <v/>
      </c>
      <c r="N83" s="3" t="str">
        <f>IF($A83="","",IF(countif('Womens Lineup'!N$3:N1000,CONCATENATE("=",$A83))=0,"",N$2))</f>
        <v/>
      </c>
      <c r="O83" s="3" t="str">
        <f>IF($A83="","",IF(countif('Womens Lineup'!O$3:O1000,CONCATENATE("=",$A83))=0,"",O$2))</f>
        <v/>
      </c>
      <c r="P83" s="3" t="str">
        <f>IF($A83="","",IF(countif('Womens Lineup'!P$3:P1000,CONCATENATE("=",$A83))=0,"",P$2))</f>
        <v/>
      </c>
      <c r="Q83" s="3" t="str">
        <f>IF($A83="","",IF(countif('Womens Lineup'!Q$3:Q1000,CONCATENATE("=",$A83))=0,"",Q$2))</f>
        <v/>
      </c>
      <c r="R83" s="3" t="str">
        <f>IF($A83="","",IF(countif('Womens Lineup'!R$3:R1000,CONCATENATE("=",$A83))=0,"",R$2))</f>
        <v/>
      </c>
      <c r="S83" s="3" t="str">
        <f>IF($A83="","",IF(countif('Womens Lineup'!S$3:S1000,CONCATENATE("=",$A83))=0,"",S$2))</f>
        <v/>
      </c>
      <c r="W83" s="3" t="str">
        <f>IFERROR(__xludf.DUMMYFUNCTION("JOIN("","",FILTER(B83:S83,B83:S83&lt;&gt;""""))"),"50 Free,100 Back,200 Back")</f>
        <v>50 Free,100 Back,200 Back</v>
      </c>
    </row>
    <row r="84">
      <c r="A84" s="3" t="s">
        <v>399</v>
      </c>
      <c r="B84" s="3" t="str">
        <f>IF($A84="","",IF(countif('Womens Lineup'!B$3:B1000,CONCATENATE("=",$A84))=0,"",B$2))</f>
        <v>50 Free</v>
      </c>
      <c r="C84" s="3" t="str">
        <f>IF($A84="","",IF(countif('Womens Lineup'!C$3:C1000,CONCATENATE("=",$A84))=0,"",C$2))</f>
        <v/>
      </c>
      <c r="D84" s="3" t="str">
        <f>IF($A84="","",IF(countif('Womens Lineup'!D$3:D1000,CONCATENATE("=",$A84))=0,"",D$2))</f>
        <v/>
      </c>
      <c r="E84" s="3" t="str">
        <f>IF($A84="","",IF(countif('Womens Lineup'!E$3:E1000,CONCATENATE("=",$A84))=0,"",E$2))</f>
        <v/>
      </c>
      <c r="F84" s="3" t="str">
        <f>IF($A84="","",IF(countif('Womens Lineup'!F$3:F1000,CONCATENATE("=",$A84))=0,"",F$2))</f>
        <v/>
      </c>
      <c r="G84" s="3" t="str">
        <f>IF($A84="","",IF(countif('Womens Lineup'!G$3:G1000,CONCATENATE("=",$A84))=0,"",G$2))</f>
        <v>100 Back</v>
      </c>
      <c r="H84" s="3" t="str">
        <f>IF($A84="","",IF(countif('Womens Lineup'!H$3:H1000,CONCATENATE("=",$A84))=0,"",H$2))</f>
        <v/>
      </c>
      <c r="I84" s="3" t="str">
        <f>IF($A84="","",IF(countif('Womens Lineup'!I$3:I1000,CONCATENATE("=",$A84))=0,"",I$2))</f>
        <v/>
      </c>
      <c r="J84" s="3" t="str">
        <f>IF($A84="","",IF(countif('Womens Lineup'!J$3:J1000,CONCATENATE("=",$A84))=0,"",J$2))</f>
        <v/>
      </c>
      <c r="K84" s="3" t="str">
        <f>IF($A84="","",IF(countif('Womens Lineup'!K$3:K1000,CONCATENATE("=",$A84))=0,"",K$2))</f>
        <v>100 Fly</v>
      </c>
      <c r="L84" s="3" t="str">
        <f>IF($A84="","",IF(countif('Womens Lineup'!L$3:L1000,CONCATENATE("=",$A84))=0,"",L$2))</f>
        <v/>
      </c>
      <c r="M84" s="3" t="str">
        <f>IF($A84="","",IF(countif('Womens Lineup'!M$3:M1000,CONCATENATE("=",$A84))=0,"",M$2))</f>
        <v/>
      </c>
      <c r="N84" s="3" t="str">
        <f>IF($A84="","",IF(countif('Womens Lineup'!N$3:N1000,CONCATENATE("=",$A84))=0,"",N$2))</f>
        <v/>
      </c>
      <c r="O84" s="3" t="str">
        <f>IF($A84="","",IF(countif('Womens Lineup'!O$3:O1000,CONCATENATE("=",$A84))=0,"",O$2))</f>
        <v/>
      </c>
      <c r="P84" s="3" t="str">
        <f>IF($A84="","",IF(countif('Womens Lineup'!P$3:P1000,CONCATENATE("=",$A84))=0,"",P$2))</f>
        <v/>
      </c>
      <c r="Q84" s="3" t="str">
        <f>IF($A84="","",IF(countif('Womens Lineup'!Q$3:Q1000,CONCATENATE("=",$A84))=0,"",Q$2))</f>
        <v/>
      </c>
      <c r="R84" s="3" t="str">
        <f>IF($A84="","",IF(countif('Womens Lineup'!R$3:R1000,CONCATENATE("=",$A84))=0,"",R$2))</f>
        <v/>
      </c>
      <c r="S84" s="3" t="str">
        <f>IF($A84="","",IF(countif('Womens Lineup'!S$3:S1000,CONCATENATE("=",$A84))=0,"",S$2))</f>
        <v/>
      </c>
      <c r="W84" s="3" t="str">
        <f>IFERROR(__xludf.DUMMYFUNCTION("JOIN("","",FILTER(B84:S84,B84:S84&lt;&gt;""""))"),"50 Free,100 Back,100 Fly")</f>
        <v>50 Free,100 Back,100 Fly</v>
      </c>
    </row>
    <row r="85">
      <c r="A85" s="3" t="s">
        <v>400</v>
      </c>
      <c r="B85" s="3" t="str">
        <f>IF($A85="","",IF(countif('Womens Lineup'!B$3:B1000,CONCATENATE("=",$A85))=0,"",B$2))</f>
        <v>50 Free</v>
      </c>
      <c r="C85" s="3" t="str">
        <f>IF($A85="","",IF(countif('Womens Lineup'!C$3:C1000,CONCATENATE("=",$A85))=0,"",C$2))</f>
        <v>100 Free</v>
      </c>
      <c r="D85" s="3" t="str">
        <f>IF($A85="","",IF(countif('Womens Lineup'!D$3:D1000,CONCATENATE("=",$A85))=0,"",D$2))</f>
        <v/>
      </c>
      <c r="E85" s="3" t="str">
        <f>IF($A85="","",IF(countif('Womens Lineup'!E$3:E1000,CONCATENATE("=",$A85))=0,"",E$2))</f>
        <v/>
      </c>
      <c r="F85" s="3" t="str">
        <f>IF($A85="","",IF(countif('Womens Lineup'!F$3:F1000,CONCATENATE("=",$A85))=0,"",F$2))</f>
        <v/>
      </c>
      <c r="G85" s="3" t="str">
        <f>IF($A85="","",IF(countif('Womens Lineup'!G$3:G1000,CONCATENATE("=",$A85))=0,"",G$2))</f>
        <v>100 Back</v>
      </c>
      <c r="H85" s="3" t="str">
        <f>IF($A85="","",IF(countif('Womens Lineup'!H$3:H1000,CONCATENATE("=",$A85))=0,"",H$2))</f>
        <v/>
      </c>
      <c r="I85" s="3" t="str">
        <f>IF($A85="","",IF(countif('Womens Lineup'!I$3:I1000,CONCATENATE("=",$A85))=0,"",I$2))</f>
        <v/>
      </c>
      <c r="J85" s="3" t="str">
        <f>IF($A85="","",IF(countif('Womens Lineup'!J$3:J1000,CONCATENATE("=",$A85))=0,"",J$2))</f>
        <v/>
      </c>
      <c r="K85" s="3" t="str">
        <f>IF($A85="","",IF(countif('Womens Lineup'!K$3:K1000,CONCATENATE("=",$A85))=0,"",K$2))</f>
        <v/>
      </c>
      <c r="L85" s="3" t="str">
        <f>IF($A85="","",IF(countif('Womens Lineup'!L$3:L1000,CONCATENATE("=",$A85))=0,"",L$2))</f>
        <v/>
      </c>
      <c r="M85" s="3" t="str">
        <f>IF($A85="","",IF(countif('Womens Lineup'!M$3:M1000,CONCATENATE("=",$A85))=0,"",M$2))</f>
        <v/>
      </c>
      <c r="N85" s="3" t="str">
        <f>IF($A85="","",IF(countif('Womens Lineup'!N$3:N1000,CONCATENATE("=",$A85))=0,"",N$2))</f>
        <v/>
      </c>
      <c r="O85" s="3" t="str">
        <f>IF($A85="","",IF(countif('Womens Lineup'!O$3:O1000,CONCATENATE("=",$A85))=0,"",O$2))</f>
        <v/>
      </c>
      <c r="P85" s="3" t="str">
        <f>IF($A85="","",IF(countif('Womens Lineup'!P$3:P1000,CONCATENATE("=",$A85))=0,"",P$2))</f>
        <v/>
      </c>
      <c r="Q85" s="3" t="str">
        <f>IF($A85="","",IF(countif('Womens Lineup'!Q$3:Q1000,CONCATENATE("=",$A85))=0,"",Q$2))</f>
        <v/>
      </c>
      <c r="R85" s="3" t="str">
        <f>IF($A85="","",IF(countif('Womens Lineup'!R$3:R1000,CONCATENATE("=",$A85))=0,"",R$2))</f>
        <v/>
      </c>
      <c r="S85" s="3" t="str">
        <f>IF($A85="","",IF(countif('Womens Lineup'!S$3:S1000,CONCATENATE("=",$A85))=0,"",S$2))</f>
        <v/>
      </c>
      <c r="W85" s="3" t="str">
        <f>IFERROR(__xludf.DUMMYFUNCTION("JOIN("","",FILTER(B85:S85,B85:S85&lt;&gt;""""))"),"50 Free,100 Free,100 Back")</f>
        <v>50 Free,100 Free,100 Back</v>
      </c>
    </row>
    <row r="86">
      <c r="A86" s="3" t="s">
        <v>401</v>
      </c>
      <c r="B86" s="3" t="str">
        <f>IF($A86="","",IF(countif('Womens Lineup'!B$3:B1000,CONCATENATE("=",$A86))=0,"",B$2))</f>
        <v>50 Free</v>
      </c>
      <c r="C86" s="3" t="str">
        <f>IF($A86="","",IF(countif('Womens Lineup'!C$3:C1000,CONCATENATE("=",$A86))=0,"",C$2))</f>
        <v>100 Free</v>
      </c>
      <c r="D86" s="3" t="str">
        <f>IF($A86="","",IF(countif('Womens Lineup'!D$3:D1000,CONCATENATE("=",$A86))=0,"",D$2))</f>
        <v/>
      </c>
      <c r="E86" s="3" t="str">
        <f>IF($A86="","",IF(countif('Womens Lineup'!E$3:E1000,CONCATENATE("=",$A86))=0,"",E$2))</f>
        <v/>
      </c>
      <c r="F86" s="3" t="str">
        <f>IF($A86="","",IF(countif('Womens Lineup'!F$3:F1000,CONCATENATE("=",$A86))=0,"",F$2))</f>
        <v/>
      </c>
      <c r="G86" s="3" t="str">
        <f>IF($A86="","",IF(countif('Womens Lineup'!G$3:G1000,CONCATENATE("=",$A86))=0,"",G$2))</f>
        <v/>
      </c>
      <c r="H86" s="3" t="str">
        <f>IF($A86="","",IF(countif('Womens Lineup'!H$3:H1000,CONCATENATE("=",$A86))=0,"",H$2))</f>
        <v/>
      </c>
      <c r="I86" s="3" t="str">
        <f>IF($A86="","",IF(countif('Womens Lineup'!I$3:I1000,CONCATENATE("=",$A86))=0,"",I$2))</f>
        <v>100 Breast</v>
      </c>
      <c r="J86" s="3" t="str">
        <f>IF($A86="","",IF(countif('Womens Lineup'!J$3:J1000,CONCATENATE("=",$A86))=0,"",J$2))</f>
        <v/>
      </c>
      <c r="K86" s="3" t="str">
        <f>IF($A86="","",IF(countif('Womens Lineup'!K$3:K1000,CONCATENATE("=",$A86))=0,"",K$2))</f>
        <v>100 Fly</v>
      </c>
      <c r="L86" s="3" t="str">
        <f>IF($A86="","",IF(countif('Womens Lineup'!L$3:L1000,CONCATENATE("=",$A86))=0,"",L$2))</f>
        <v/>
      </c>
      <c r="M86" s="3" t="str">
        <f>IF($A86="","",IF(countif('Womens Lineup'!M$3:M1000,CONCATENATE("=",$A86))=0,"",M$2))</f>
        <v/>
      </c>
      <c r="N86" s="3" t="str">
        <f>IF($A86="","",IF(countif('Womens Lineup'!N$3:N1000,CONCATENATE("=",$A86))=0,"",N$2))</f>
        <v/>
      </c>
      <c r="O86" s="3" t="str">
        <f>IF($A86="","",IF(countif('Womens Lineup'!O$3:O1000,CONCATENATE("=",$A86))=0,"",O$2))</f>
        <v/>
      </c>
      <c r="P86" s="3" t="str">
        <f>IF($A86="","",IF(countif('Womens Lineup'!P$3:P1000,CONCATENATE("=",$A86))=0,"",P$2))</f>
        <v/>
      </c>
      <c r="Q86" s="3" t="str">
        <f>IF($A86="","",IF(countif('Womens Lineup'!Q$3:Q1000,CONCATENATE("=",$A86))=0,"",Q$2))</f>
        <v/>
      </c>
      <c r="R86" s="3" t="str">
        <f>IF($A86="","",IF(countif('Womens Lineup'!R$3:R1000,CONCATENATE("=",$A86))=0,"",R$2))</f>
        <v/>
      </c>
      <c r="S86" s="3" t="str">
        <f>IF($A86="","",IF(countif('Womens Lineup'!S$3:S1000,CONCATENATE("=",$A86))=0,"",S$2))</f>
        <v/>
      </c>
      <c r="W86" s="3" t="str">
        <f>IFERROR(__xludf.DUMMYFUNCTION("JOIN("","",FILTER(B86:S86,B86:S86&lt;&gt;""""))"),"50 Free,100 Free,100 Breast,100 Fly")</f>
        <v>50 Free,100 Free,100 Breast,100 Fly</v>
      </c>
    </row>
    <row r="87">
      <c r="A87" s="3" t="s">
        <v>402</v>
      </c>
      <c r="B87" s="3" t="str">
        <f>IF($A87="","",IF(countif('Womens Lineup'!B$3:B1000,CONCATENATE("=",$A87))=0,"",B$2))</f>
        <v>50 Free</v>
      </c>
      <c r="C87" s="3" t="str">
        <f>IF($A87="","",IF(countif('Womens Lineup'!C$3:C1000,CONCATENATE("=",$A87))=0,"",C$2))</f>
        <v>100 Free</v>
      </c>
      <c r="D87" s="3" t="str">
        <f>IF($A87="","",IF(countif('Womens Lineup'!D$3:D1000,CONCATENATE("=",$A87))=0,"",D$2))</f>
        <v/>
      </c>
      <c r="E87" s="3" t="str">
        <f>IF($A87="","",IF(countif('Womens Lineup'!E$3:E1000,CONCATENATE("=",$A87))=0,"",E$2))</f>
        <v/>
      </c>
      <c r="F87" s="3" t="str">
        <f>IF($A87="","",IF(countif('Womens Lineup'!F$3:F1000,CONCATENATE("=",$A87))=0,"",F$2))</f>
        <v/>
      </c>
      <c r="G87" s="3" t="str">
        <f>IF($A87="","",IF(countif('Womens Lineup'!G$3:G1000,CONCATENATE("=",$A87))=0,"",G$2))</f>
        <v/>
      </c>
      <c r="H87" s="3" t="str">
        <f>IF($A87="","",IF(countif('Womens Lineup'!H$3:H1000,CONCATENATE("=",$A87))=0,"",H$2))</f>
        <v/>
      </c>
      <c r="I87" s="3" t="str">
        <f>IF($A87="","",IF(countif('Womens Lineup'!I$3:I1000,CONCATENATE("=",$A87))=0,"",I$2))</f>
        <v>100 Breast</v>
      </c>
      <c r="J87" s="3" t="str">
        <f>IF($A87="","",IF(countif('Womens Lineup'!J$3:J1000,CONCATENATE("=",$A87))=0,"",J$2))</f>
        <v/>
      </c>
      <c r="K87" s="3" t="str">
        <f>IF($A87="","",IF(countif('Womens Lineup'!K$3:K1000,CONCATENATE("=",$A87))=0,"",K$2))</f>
        <v/>
      </c>
      <c r="L87" s="3" t="str">
        <f>IF($A87="","",IF(countif('Womens Lineup'!L$3:L1000,CONCATENATE("=",$A87))=0,"",L$2))</f>
        <v/>
      </c>
      <c r="M87" s="3" t="str">
        <f>IF($A87="","",IF(countif('Womens Lineup'!M$3:M1000,CONCATENATE("=",$A87))=0,"",M$2))</f>
        <v/>
      </c>
      <c r="N87" s="3" t="str">
        <f>IF($A87="","",IF(countif('Womens Lineup'!N$3:N1000,CONCATENATE("=",$A87))=0,"",N$2))</f>
        <v/>
      </c>
      <c r="O87" s="3" t="str">
        <f>IF($A87="","",IF(countif('Womens Lineup'!O$3:O1000,CONCATENATE("=",$A87))=0,"",O$2))</f>
        <v/>
      </c>
      <c r="P87" s="3" t="str">
        <f>IF($A87="","",IF(countif('Womens Lineup'!P$3:P1000,CONCATENATE("=",$A87))=0,"",P$2))</f>
        <v/>
      </c>
      <c r="Q87" s="3" t="str">
        <f>IF($A87="","",IF(countif('Womens Lineup'!Q$3:Q1000,CONCATENATE("=",$A87))=0,"",Q$2))</f>
        <v/>
      </c>
      <c r="R87" s="3" t="str">
        <f>IF($A87="","",IF(countif('Womens Lineup'!R$3:R1000,CONCATENATE("=",$A87))=0,"",R$2))</f>
        <v/>
      </c>
      <c r="S87" s="3" t="str">
        <f>IF($A87="","",IF(countif('Womens Lineup'!S$3:S1000,CONCATENATE("=",$A87))=0,"",S$2))</f>
        <v/>
      </c>
      <c r="W87" s="3" t="str">
        <f>IFERROR(__xludf.DUMMYFUNCTION("JOIN("","",FILTER(B87:S87,B87:S87&lt;&gt;""""))"),"50 Free,100 Free,100 Breast")</f>
        <v>50 Free,100 Free,100 Breast</v>
      </c>
    </row>
    <row r="88">
      <c r="A88" s="3" t="s">
        <v>403</v>
      </c>
      <c r="B88" s="3" t="str">
        <f>IF($A88="","",IF(countif('Womens Lineup'!B$3:B1000,CONCATENATE("=",$A88))=0,"",B$2))</f>
        <v>50 Free</v>
      </c>
      <c r="C88" s="3" t="str">
        <f>IF($A88="","",IF(countif('Womens Lineup'!C$3:C1000,CONCATENATE("=",$A88))=0,"",C$2))</f>
        <v>100 Free</v>
      </c>
      <c r="D88" s="3" t="str">
        <f>IF($A88="","",IF(countif('Womens Lineup'!D$3:D1000,CONCATENATE("=",$A88))=0,"",D$2))</f>
        <v/>
      </c>
      <c r="E88" s="3" t="str">
        <f>IF($A88="","",IF(countif('Womens Lineup'!E$3:E1000,CONCATENATE("=",$A88))=0,"",E$2))</f>
        <v/>
      </c>
      <c r="F88" s="3" t="str">
        <f>IF($A88="","",IF(countif('Womens Lineup'!F$3:F1000,CONCATENATE("=",$A88))=0,"",F$2))</f>
        <v/>
      </c>
      <c r="G88" s="3" t="str">
        <f>IF($A88="","",IF(countif('Womens Lineup'!G$3:G1000,CONCATENATE("=",$A88))=0,"",G$2))</f>
        <v/>
      </c>
      <c r="H88" s="3" t="str">
        <f>IF($A88="","",IF(countif('Womens Lineup'!H$3:H1000,CONCATENATE("=",$A88))=0,"",H$2))</f>
        <v/>
      </c>
      <c r="I88" s="3" t="str">
        <f>IF($A88="","",IF(countif('Womens Lineup'!I$3:I1000,CONCATENATE("=",$A88))=0,"",I$2))</f>
        <v/>
      </c>
      <c r="J88" s="3" t="str">
        <f>IF($A88="","",IF(countif('Womens Lineup'!J$3:J1000,CONCATENATE("=",$A88))=0,"",J$2))</f>
        <v>200 Breast</v>
      </c>
      <c r="K88" s="3" t="str">
        <f>IF($A88="","",IF(countif('Womens Lineup'!K$3:K1000,CONCATENATE("=",$A88))=0,"",K$2))</f>
        <v>100 Fly</v>
      </c>
      <c r="L88" s="3" t="str">
        <f>IF($A88="","",IF(countif('Womens Lineup'!L$3:L1000,CONCATENATE("=",$A88))=0,"",L$2))</f>
        <v>200 Fly</v>
      </c>
      <c r="M88" s="3" t="str">
        <f>IF($A88="","",IF(countif('Womens Lineup'!M$3:M1000,CONCATENATE("=",$A88))=0,"",M$2))</f>
        <v>200 IM</v>
      </c>
      <c r="N88" s="3" t="str">
        <f>IF($A88="","",IF(countif('Womens Lineup'!N$3:N1000,CONCATENATE("=",$A88))=0,"",N$2))</f>
        <v/>
      </c>
      <c r="O88" s="3" t="str">
        <f>IF($A88="","",IF(countif('Womens Lineup'!O$3:O1000,CONCATENATE("=",$A88))=0,"",O$2))</f>
        <v/>
      </c>
      <c r="P88" s="3" t="str">
        <f>IF($A88="","",IF(countif('Womens Lineup'!P$3:P1000,CONCATENATE("=",$A88))=0,"",P$2))</f>
        <v/>
      </c>
      <c r="Q88" s="3" t="str">
        <f>IF($A88="","",IF(countif('Womens Lineup'!Q$3:Q1000,CONCATENATE("=",$A88))=0,"",Q$2))</f>
        <v/>
      </c>
      <c r="R88" s="3" t="str">
        <f>IF($A88="","",IF(countif('Womens Lineup'!R$3:R1000,CONCATENATE("=",$A88))=0,"",R$2))</f>
        <v/>
      </c>
      <c r="S88" s="3" t="str">
        <f>IF($A88="","",IF(countif('Womens Lineup'!S$3:S1000,CONCATENATE("=",$A88))=0,"",S$2))</f>
        <v/>
      </c>
      <c r="W88" s="3" t="str">
        <f>IFERROR(__xludf.DUMMYFUNCTION("JOIN("","",FILTER(B88:S88,B88:S88&lt;&gt;""""))"),"50 Free,100 Free,200 Breast,100 Fly,200 Fly,200 IM")</f>
        <v>50 Free,100 Free,200 Breast,100 Fly,200 Fly,200 IM</v>
      </c>
    </row>
    <row r="89">
      <c r="A89" s="3" t="s">
        <v>404</v>
      </c>
      <c r="B89" s="3" t="str">
        <f>IF($A89="","",IF(countif('Womens Lineup'!B$3:B1000,CONCATENATE("=",$A89))=0,"",B$2))</f>
        <v>50 Free</v>
      </c>
      <c r="C89" s="3" t="str">
        <f>IF($A89="","",IF(countif('Womens Lineup'!C$3:C1000,CONCATENATE("=",$A89))=0,"",C$2))</f>
        <v>100 Free</v>
      </c>
      <c r="D89" s="3" t="str">
        <f>IF($A89="","",IF(countif('Womens Lineup'!D$3:D1000,CONCATENATE("=",$A89))=0,"",D$2))</f>
        <v>200 Free</v>
      </c>
      <c r="E89" s="3" t="str">
        <f>IF($A89="","",IF(countif('Womens Lineup'!E$3:E1000,CONCATENATE("=",$A89))=0,"",E$2))</f>
        <v/>
      </c>
      <c r="F89" s="3" t="str">
        <f>IF($A89="","",IF(countif('Womens Lineup'!F$3:F1000,CONCATENATE("=",$A89))=0,"",F$2))</f>
        <v/>
      </c>
      <c r="G89" s="3" t="str">
        <f>IF($A89="","",IF(countif('Womens Lineup'!G$3:G1000,CONCATENATE("=",$A89))=0,"",G$2))</f>
        <v/>
      </c>
      <c r="H89" s="3" t="str">
        <f>IF($A89="","",IF(countif('Womens Lineup'!H$3:H1000,CONCATENATE("=",$A89))=0,"",H$2))</f>
        <v/>
      </c>
      <c r="I89" s="3" t="str">
        <f>IF($A89="","",IF(countif('Womens Lineup'!I$3:I1000,CONCATENATE("=",$A89))=0,"",I$2))</f>
        <v/>
      </c>
      <c r="J89" s="3" t="str">
        <f>IF($A89="","",IF(countif('Womens Lineup'!J$3:J1000,CONCATENATE("=",$A89))=0,"",J$2))</f>
        <v/>
      </c>
      <c r="K89" s="3" t="str">
        <f>IF($A89="","",IF(countif('Womens Lineup'!K$3:K1000,CONCATENATE("=",$A89))=0,"",K$2))</f>
        <v>100 Fly</v>
      </c>
      <c r="L89" s="3" t="str">
        <f>IF($A89="","",IF(countif('Womens Lineup'!L$3:L1000,CONCATENATE("=",$A89))=0,"",L$2))</f>
        <v/>
      </c>
      <c r="M89" s="3" t="str">
        <f>IF($A89="","",IF(countif('Womens Lineup'!M$3:M1000,CONCATENATE("=",$A89))=0,"",M$2))</f>
        <v/>
      </c>
      <c r="N89" s="3" t="str">
        <f>IF($A89="","",IF(countif('Womens Lineup'!N$3:N1000,CONCATENATE("=",$A89))=0,"",N$2))</f>
        <v/>
      </c>
      <c r="O89" s="3" t="str">
        <f>IF($A89="","",IF(countif('Womens Lineup'!O$3:O1000,CONCATENATE("=",$A89))=0,"",O$2))</f>
        <v/>
      </c>
      <c r="P89" s="3" t="str">
        <f>IF($A89="","",IF(countif('Womens Lineup'!P$3:P1000,CONCATENATE("=",$A89))=0,"",P$2))</f>
        <v/>
      </c>
      <c r="Q89" s="3" t="str">
        <f>IF($A89="","",IF(countif('Womens Lineup'!Q$3:Q1000,CONCATENATE("=",$A89))=0,"",Q$2))</f>
        <v/>
      </c>
      <c r="R89" s="3" t="str">
        <f>IF($A89="","",IF(countif('Womens Lineup'!R$3:R1000,CONCATENATE("=",$A89))=0,"",R$2))</f>
        <v/>
      </c>
      <c r="S89" s="3" t="str">
        <f>IF($A89="","",IF(countif('Womens Lineup'!S$3:S1000,CONCATENATE("=",$A89))=0,"",S$2))</f>
        <v/>
      </c>
      <c r="W89" s="3" t="str">
        <f>IFERROR(__xludf.DUMMYFUNCTION("JOIN("","",FILTER(B89:S89,B89:S89&lt;&gt;""""))"),"50 Free,100 Free,200 Free,100 Fly")</f>
        <v>50 Free,100 Free,200 Free,100 Fly</v>
      </c>
    </row>
    <row r="90">
      <c r="A90" s="3" t="s">
        <v>405</v>
      </c>
      <c r="B90" s="3" t="str">
        <f>IF($A90="","",IF(countif('Womens Lineup'!B$3:B1000,CONCATENATE("=",$A90))=0,"",B$2))</f>
        <v>50 Free</v>
      </c>
      <c r="C90" s="3" t="str">
        <f>IF($A90="","",IF(countif('Womens Lineup'!C$3:C1000,CONCATENATE("=",$A90))=0,"",C$2))</f>
        <v/>
      </c>
      <c r="D90" s="3" t="str">
        <f>IF($A90="","",IF(countif('Womens Lineup'!D$3:D1000,CONCATENATE("=",$A90))=0,"",D$2))</f>
        <v>200 Free</v>
      </c>
      <c r="E90" s="3" t="str">
        <f>IF($A90="","",IF(countif('Womens Lineup'!E$3:E1000,CONCATENATE("=",$A90))=0,"",E$2))</f>
        <v>500 Free</v>
      </c>
      <c r="F90" s="3" t="str">
        <f>IF($A90="","",IF(countif('Womens Lineup'!F$3:F1000,CONCATENATE("=",$A90))=0,"",F$2))</f>
        <v>1650 Free</v>
      </c>
      <c r="G90" s="3" t="str">
        <f>IF($A90="","",IF(countif('Womens Lineup'!G$3:G1000,CONCATENATE("=",$A90))=0,"",G$2))</f>
        <v/>
      </c>
      <c r="H90" s="3" t="str">
        <f>IF($A90="","",IF(countif('Womens Lineup'!H$3:H1000,CONCATENATE("=",$A90))=0,"",H$2))</f>
        <v/>
      </c>
      <c r="I90" s="3" t="str">
        <f>IF($A90="","",IF(countif('Womens Lineup'!I$3:I1000,CONCATENATE("=",$A90))=0,"",I$2))</f>
        <v/>
      </c>
      <c r="J90" s="3" t="str">
        <f>IF($A90="","",IF(countif('Womens Lineup'!J$3:J1000,CONCATENATE("=",$A90))=0,"",J$2))</f>
        <v/>
      </c>
      <c r="K90" s="3" t="str">
        <f>IF($A90="","",IF(countif('Womens Lineup'!K$3:K1000,CONCATENATE("=",$A90))=0,"",K$2))</f>
        <v>100 Fly</v>
      </c>
      <c r="L90" s="3" t="str">
        <f>IF($A90="","",IF(countif('Womens Lineup'!L$3:L1000,CONCATENATE("=",$A90))=0,"",L$2))</f>
        <v/>
      </c>
      <c r="M90" s="3" t="str">
        <f>IF($A90="","",IF(countif('Womens Lineup'!M$3:M1000,CONCATENATE("=",$A90))=0,"",M$2))</f>
        <v/>
      </c>
      <c r="N90" s="3" t="str">
        <f>IF($A90="","",IF(countif('Womens Lineup'!N$3:N1000,CONCATENATE("=",$A90))=0,"",N$2))</f>
        <v/>
      </c>
      <c r="O90" s="3" t="str">
        <f>IF($A90="","",IF(countif('Womens Lineup'!O$3:O1000,CONCATENATE("=",$A90))=0,"",O$2))</f>
        <v>1000 Free</v>
      </c>
      <c r="P90" s="3" t="str">
        <f>IF($A90="","",IF(countif('Womens Lineup'!P$3:P1000,CONCATENATE("=",$A90))=0,"",P$2))</f>
        <v/>
      </c>
      <c r="Q90" s="3" t="str">
        <f>IF($A90="","",IF(countif('Womens Lineup'!Q$3:Q1000,CONCATENATE("=",$A90))=0,"",Q$2))</f>
        <v/>
      </c>
      <c r="R90" s="3" t="str">
        <f>IF($A90="","",IF(countif('Womens Lineup'!R$3:R1000,CONCATENATE("=",$A90))=0,"",R$2))</f>
        <v/>
      </c>
      <c r="S90" s="3" t="str">
        <f>IF($A90="","",IF(countif('Womens Lineup'!S$3:S1000,CONCATENATE("=",$A90))=0,"",S$2))</f>
        <v/>
      </c>
      <c r="W90" s="3" t="str">
        <f>IFERROR(__xludf.DUMMYFUNCTION("JOIN("","",FILTER(B90:S90,B90:S90&lt;&gt;""""))"),"50 Free,200 Free,500 Free,1650 Free,100 Fly,1000 Free")</f>
        <v>50 Free,200 Free,500 Free,1650 Free,100 Fly,1000 Free</v>
      </c>
    </row>
    <row r="91">
      <c r="A91" s="3" t="s">
        <v>406</v>
      </c>
      <c r="B91" s="3" t="str">
        <f>IF($A91="","",IF(countif('Womens Lineup'!B$3:B1000,CONCATENATE("=",$A91))=0,"",B$2))</f>
        <v>50 Free</v>
      </c>
      <c r="C91" s="3" t="str">
        <f>IF($A91="","",IF(countif('Womens Lineup'!C$3:C1000,CONCATENATE("=",$A91))=0,"",C$2))</f>
        <v>100 Free</v>
      </c>
      <c r="D91" s="3" t="str">
        <f>IF($A91="","",IF(countif('Womens Lineup'!D$3:D1000,CONCATENATE("=",$A91))=0,"",D$2))</f>
        <v/>
      </c>
      <c r="E91" s="3" t="str">
        <f>IF($A91="","",IF(countif('Womens Lineup'!E$3:E1000,CONCATENATE("=",$A91))=0,"",E$2))</f>
        <v/>
      </c>
      <c r="F91" s="3" t="str">
        <f>IF($A91="","",IF(countif('Womens Lineup'!F$3:F1000,CONCATENATE("=",$A91))=0,"",F$2))</f>
        <v/>
      </c>
      <c r="G91" s="3" t="str">
        <f>IF($A91="","",IF(countif('Womens Lineup'!G$3:G1000,CONCATENATE("=",$A91))=0,"",G$2))</f>
        <v>100 Back</v>
      </c>
      <c r="H91" s="3" t="str">
        <f>IF($A91="","",IF(countif('Womens Lineup'!H$3:H1000,CONCATENATE("=",$A91))=0,"",H$2))</f>
        <v>200 Back</v>
      </c>
      <c r="I91" s="3" t="str">
        <f>IF($A91="","",IF(countif('Womens Lineup'!I$3:I1000,CONCATENATE("=",$A91))=0,"",I$2))</f>
        <v>100 Breast</v>
      </c>
      <c r="J91" s="3" t="str">
        <f>IF($A91="","",IF(countif('Womens Lineup'!J$3:J1000,CONCATENATE("=",$A91))=0,"",J$2))</f>
        <v/>
      </c>
      <c r="K91" s="3" t="str">
        <f>IF($A91="","",IF(countif('Womens Lineup'!K$3:K1000,CONCATENATE("=",$A91))=0,"",K$2))</f>
        <v/>
      </c>
      <c r="L91" s="3" t="str">
        <f>IF($A91="","",IF(countif('Womens Lineup'!L$3:L1000,CONCATENATE("=",$A91))=0,"",L$2))</f>
        <v/>
      </c>
      <c r="M91" s="3" t="str">
        <f>IF($A91="","",IF(countif('Womens Lineup'!M$3:M1000,CONCATENATE("=",$A91))=0,"",M$2))</f>
        <v/>
      </c>
      <c r="N91" s="3" t="str">
        <f>IF($A91="","",IF(countif('Womens Lineup'!N$3:N1000,CONCATENATE("=",$A91))=0,"",N$2))</f>
        <v/>
      </c>
      <c r="O91" s="3" t="str">
        <f>IF($A91="","",IF(countif('Womens Lineup'!O$3:O1000,CONCATENATE("=",$A91))=0,"",O$2))</f>
        <v/>
      </c>
      <c r="P91" s="3" t="str">
        <f>IF($A91="","",IF(countif('Womens Lineup'!P$3:P1000,CONCATENATE("=",$A91))=0,"",P$2))</f>
        <v/>
      </c>
      <c r="Q91" s="3" t="str">
        <f>IF($A91="","",IF(countif('Womens Lineup'!Q$3:Q1000,CONCATENATE("=",$A91))=0,"",Q$2))</f>
        <v/>
      </c>
      <c r="R91" s="3" t="str">
        <f>IF($A91="","",IF(countif('Womens Lineup'!R$3:R1000,CONCATENATE("=",$A91))=0,"",R$2))</f>
        <v/>
      </c>
      <c r="S91" s="3" t="str">
        <f>IF($A91="","",IF(countif('Womens Lineup'!S$3:S1000,CONCATENATE("=",$A91))=0,"",S$2))</f>
        <v/>
      </c>
      <c r="W91" s="3" t="str">
        <f>IFERROR(__xludf.DUMMYFUNCTION("JOIN("","",FILTER(B91:S91,B91:S91&lt;&gt;""""))"),"50 Free,100 Free,100 Back,200 Back,100 Breast")</f>
        <v>50 Free,100 Free,100 Back,200 Back,100 Breast</v>
      </c>
    </row>
    <row r="92">
      <c r="A92" s="3" t="s">
        <v>407</v>
      </c>
      <c r="B92" s="3" t="str">
        <f>IF($A92="","",IF(countif('Womens Lineup'!B$3:B1000,CONCATENATE("=",$A92))=0,"",B$2))</f>
        <v>50 Free</v>
      </c>
      <c r="C92" s="3" t="str">
        <f>IF($A92="","",IF(countif('Womens Lineup'!C$3:C1000,CONCATENATE("=",$A92))=0,"",C$2))</f>
        <v>100 Free</v>
      </c>
      <c r="D92" s="3" t="str">
        <f>IF($A92="","",IF(countif('Womens Lineup'!D$3:D1000,CONCATENATE("=",$A92))=0,"",D$2))</f>
        <v/>
      </c>
      <c r="E92" s="3" t="str">
        <f>IF($A92="","",IF(countif('Womens Lineup'!E$3:E1000,CONCATENATE("=",$A92))=0,"",E$2))</f>
        <v/>
      </c>
      <c r="F92" s="3" t="str">
        <f>IF($A92="","",IF(countif('Womens Lineup'!F$3:F1000,CONCATENATE("=",$A92))=0,"",F$2))</f>
        <v/>
      </c>
      <c r="G92" s="3" t="str">
        <f>IF($A92="","",IF(countif('Womens Lineup'!G$3:G1000,CONCATENATE("=",$A92))=0,"",G$2))</f>
        <v/>
      </c>
      <c r="H92" s="3" t="str">
        <f>IF($A92="","",IF(countif('Womens Lineup'!H$3:H1000,CONCATENATE("=",$A92))=0,"",H$2))</f>
        <v/>
      </c>
      <c r="I92" s="3" t="str">
        <f>IF($A92="","",IF(countif('Womens Lineup'!I$3:I1000,CONCATENATE("=",$A92))=0,"",I$2))</f>
        <v/>
      </c>
      <c r="J92" s="3" t="str">
        <f>IF($A92="","",IF(countif('Womens Lineup'!J$3:J1000,CONCATENATE("=",$A92))=0,"",J$2))</f>
        <v/>
      </c>
      <c r="K92" s="3" t="str">
        <f>IF($A92="","",IF(countif('Womens Lineup'!K$3:K1000,CONCATENATE("=",$A92))=0,"",K$2))</f>
        <v/>
      </c>
      <c r="L92" s="3" t="str">
        <f>IF($A92="","",IF(countif('Womens Lineup'!L$3:L1000,CONCATENATE("=",$A92))=0,"",L$2))</f>
        <v/>
      </c>
      <c r="M92" s="3" t="str">
        <f>IF($A92="","",IF(countif('Womens Lineup'!M$3:M1000,CONCATENATE("=",$A92))=0,"",M$2))</f>
        <v/>
      </c>
      <c r="N92" s="3" t="str">
        <f>IF($A92="","",IF(countif('Womens Lineup'!N$3:N1000,CONCATENATE("=",$A92))=0,"",N$2))</f>
        <v/>
      </c>
      <c r="O92" s="3" t="str">
        <f>IF($A92="","",IF(countif('Womens Lineup'!O$3:O1000,CONCATENATE("=",$A92))=0,"",O$2))</f>
        <v/>
      </c>
      <c r="P92" s="3" t="str">
        <f>IF($A92="","",IF(countif('Womens Lineup'!P$3:P1000,CONCATENATE("=",$A92))=0,"",P$2))</f>
        <v/>
      </c>
      <c r="Q92" s="3" t="str">
        <f>IF($A92="","",IF(countif('Womens Lineup'!Q$3:Q1000,CONCATENATE("=",$A92))=0,"",Q$2))</f>
        <v/>
      </c>
      <c r="R92" s="3" t="str">
        <f>IF($A92="","",IF(countif('Womens Lineup'!R$3:R1000,CONCATENATE("=",$A92))=0,"",R$2))</f>
        <v/>
      </c>
      <c r="S92" s="3" t="str">
        <f>IF($A92="","",IF(countif('Womens Lineup'!S$3:S1000,CONCATENATE("=",$A92))=0,"",S$2))</f>
        <v/>
      </c>
      <c r="W92" s="3" t="str">
        <f>IFERROR(__xludf.DUMMYFUNCTION("JOIN("","",FILTER(B92:S92,B92:S92&lt;&gt;""""))"),"50 Free,100 Free")</f>
        <v>50 Free,100 Free</v>
      </c>
    </row>
    <row r="93">
      <c r="A93" s="3" t="s">
        <v>408</v>
      </c>
      <c r="B93" s="3" t="str">
        <f>IF($A93="","",IF(countif('Womens Lineup'!B$3:B1000,CONCATENATE("=",$A93))=0,"",B$2))</f>
        <v>50 Free</v>
      </c>
      <c r="C93" s="3" t="str">
        <f>IF($A93="","",IF(countif('Womens Lineup'!C$3:C1000,CONCATENATE("=",$A93))=0,"",C$2))</f>
        <v>100 Free</v>
      </c>
      <c r="D93" s="3" t="str">
        <f>IF($A93="","",IF(countif('Womens Lineup'!D$3:D1000,CONCATENATE("=",$A93))=0,"",D$2))</f>
        <v/>
      </c>
      <c r="E93" s="3" t="str">
        <f>IF($A93="","",IF(countif('Womens Lineup'!E$3:E1000,CONCATENATE("=",$A93))=0,"",E$2))</f>
        <v/>
      </c>
      <c r="F93" s="3" t="str">
        <f>IF($A93="","",IF(countif('Womens Lineup'!F$3:F1000,CONCATENATE("=",$A93))=0,"",F$2))</f>
        <v/>
      </c>
      <c r="G93" s="3" t="str">
        <f>IF($A93="","",IF(countif('Womens Lineup'!G$3:G1000,CONCATENATE("=",$A93))=0,"",G$2))</f>
        <v/>
      </c>
      <c r="H93" s="3" t="str">
        <f>IF($A93="","",IF(countif('Womens Lineup'!H$3:H1000,CONCATENATE("=",$A93))=0,"",H$2))</f>
        <v/>
      </c>
      <c r="I93" s="3" t="str">
        <f>IF($A93="","",IF(countif('Womens Lineup'!I$3:I1000,CONCATENATE("=",$A93))=0,"",I$2))</f>
        <v/>
      </c>
      <c r="J93" s="3" t="str">
        <f>IF($A93="","",IF(countif('Womens Lineup'!J$3:J1000,CONCATENATE("=",$A93))=0,"",J$2))</f>
        <v/>
      </c>
      <c r="K93" s="3" t="str">
        <f>IF($A93="","",IF(countif('Womens Lineup'!K$3:K1000,CONCATENATE("=",$A93))=0,"",K$2))</f>
        <v>100 Fly</v>
      </c>
      <c r="L93" s="3" t="str">
        <f>IF($A93="","",IF(countif('Womens Lineup'!L$3:L1000,CONCATENATE("=",$A93))=0,"",L$2))</f>
        <v>200 Fly</v>
      </c>
      <c r="M93" s="3" t="str">
        <f>IF($A93="","",IF(countif('Womens Lineup'!M$3:M1000,CONCATENATE("=",$A93))=0,"",M$2))</f>
        <v>200 IM</v>
      </c>
      <c r="N93" s="3" t="str">
        <f>IF($A93="","",IF(countif('Womens Lineup'!N$3:N1000,CONCATENATE("=",$A93))=0,"",N$2))</f>
        <v>400 IM</v>
      </c>
      <c r="O93" s="3" t="str">
        <f>IF($A93="","",IF(countif('Womens Lineup'!O$3:O1000,CONCATENATE("=",$A93))=0,"",O$2))</f>
        <v/>
      </c>
      <c r="P93" s="3" t="str">
        <f>IF($A93="","",IF(countif('Womens Lineup'!P$3:P1000,CONCATENATE("=",$A93))=0,"",P$2))</f>
        <v/>
      </c>
      <c r="Q93" s="3" t="str">
        <f>IF($A93="","",IF(countif('Womens Lineup'!Q$3:Q1000,CONCATENATE("=",$A93))=0,"",Q$2))</f>
        <v/>
      </c>
      <c r="R93" s="3" t="str">
        <f>IF($A93="","",IF(countif('Womens Lineup'!R$3:R1000,CONCATENATE("=",$A93))=0,"",R$2))</f>
        <v/>
      </c>
      <c r="S93" s="3" t="str">
        <f>IF($A93="","",IF(countif('Womens Lineup'!S$3:S1000,CONCATENATE("=",$A93))=0,"",S$2))</f>
        <v/>
      </c>
      <c r="W93" s="3" t="str">
        <f>IFERROR(__xludf.DUMMYFUNCTION("JOIN("","",FILTER(B93:S93,B93:S93&lt;&gt;""""))"),"50 Free,100 Free,100 Fly,200 Fly,200 IM,400 IM")</f>
        <v>50 Free,100 Free,100 Fly,200 Fly,200 IM,400 IM</v>
      </c>
    </row>
    <row r="94">
      <c r="A94" s="3" t="s">
        <v>409</v>
      </c>
      <c r="B94" s="3" t="str">
        <f>IF($A94="","",IF(countif('Womens Lineup'!B$3:B1000,CONCATENATE("=",$A94))=0,"",B$2))</f>
        <v>50 Free</v>
      </c>
      <c r="C94" s="3" t="str">
        <f>IF($A94="","",IF(countif('Womens Lineup'!C$3:C1000,CONCATENATE("=",$A94))=0,"",C$2))</f>
        <v>100 Free</v>
      </c>
      <c r="D94" s="3" t="str">
        <f>IF($A94="","",IF(countif('Womens Lineup'!D$3:D1000,CONCATENATE("=",$A94))=0,"",D$2))</f>
        <v>200 Free</v>
      </c>
      <c r="E94" s="3" t="str">
        <f>IF($A94="","",IF(countif('Womens Lineup'!E$3:E1000,CONCATENATE("=",$A94))=0,"",E$2))</f>
        <v/>
      </c>
      <c r="F94" s="3" t="str">
        <f>IF($A94="","",IF(countif('Womens Lineup'!F$3:F1000,CONCATENATE("=",$A94))=0,"",F$2))</f>
        <v/>
      </c>
      <c r="G94" s="3" t="str">
        <f>IF($A94="","",IF(countif('Womens Lineup'!G$3:G1000,CONCATENATE("=",$A94))=0,"",G$2))</f>
        <v>100 Back</v>
      </c>
      <c r="H94" s="3" t="str">
        <f>IF($A94="","",IF(countif('Womens Lineup'!H$3:H1000,CONCATENATE("=",$A94))=0,"",H$2))</f>
        <v>200 Back</v>
      </c>
      <c r="I94" s="3" t="str">
        <f>IF($A94="","",IF(countif('Womens Lineup'!I$3:I1000,CONCATENATE("=",$A94))=0,"",I$2))</f>
        <v/>
      </c>
      <c r="J94" s="3" t="str">
        <f>IF($A94="","",IF(countif('Womens Lineup'!J$3:J1000,CONCATENATE("=",$A94))=0,"",J$2))</f>
        <v/>
      </c>
      <c r="K94" s="3" t="str">
        <f>IF($A94="","",IF(countif('Womens Lineup'!K$3:K1000,CONCATENATE("=",$A94))=0,"",K$2))</f>
        <v>100 Fly</v>
      </c>
      <c r="L94" s="3" t="str">
        <f>IF($A94="","",IF(countif('Womens Lineup'!L$3:L1000,CONCATENATE("=",$A94))=0,"",L$2))</f>
        <v/>
      </c>
      <c r="M94" s="3" t="str">
        <f>IF($A94="","",IF(countif('Womens Lineup'!M$3:M1000,CONCATENATE("=",$A94))=0,"",M$2))</f>
        <v/>
      </c>
      <c r="N94" s="3" t="str">
        <f>IF($A94="","",IF(countif('Womens Lineup'!N$3:N1000,CONCATENATE("=",$A94))=0,"",N$2))</f>
        <v/>
      </c>
      <c r="O94" s="3" t="str">
        <f>IF($A94="","",IF(countif('Womens Lineup'!O$3:O1000,CONCATENATE("=",$A94))=0,"",O$2))</f>
        <v/>
      </c>
      <c r="P94" s="3" t="str">
        <f>IF($A94="","",IF(countif('Womens Lineup'!P$3:P1000,CONCATENATE("=",$A94))=0,"",P$2))</f>
        <v/>
      </c>
      <c r="Q94" s="3" t="str">
        <f>IF($A94="","",IF(countif('Womens Lineup'!Q$3:Q1000,CONCATENATE("=",$A94))=0,"",Q$2))</f>
        <v/>
      </c>
      <c r="R94" s="3" t="str">
        <f>IF($A94="","",IF(countif('Womens Lineup'!R$3:R1000,CONCATENATE("=",$A94))=0,"",R$2))</f>
        <v/>
      </c>
      <c r="S94" s="3" t="str">
        <f>IF($A94="","",IF(countif('Womens Lineup'!S$3:S1000,CONCATENATE("=",$A94))=0,"",S$2))</f>
        <v/>
      </c>
      <c r="W94" s="3" t="str">
        <f>IFERROR(__xludf.DUMMYFUNCTION("JOIN("","",FILTER(B94:S94,B94:S94&lt;&gt;""""))"),"50 Free,100 Free,200 Free,100 Back,200 Back,100 Fly")</f>
        <v>50 Free,100 Free,200 Free,100 Back,200 Back,100 Fly</v>
      </c>
    </row>
    <row r="95">
      <c r="A95" s="3" t="s">
        <v>410</v>
      </c>
      <c r="B95" s="3" t="str">
        <f>IF($A95="","",IF(countif('Womens Lineup'!B$3:B1000,CONCATENATE("=",$A95))=0,"",B$2))</f>
        <v>50 Free</v>
      </c>
      <c r="C95" s="3" t="str">
        <f>IF($A95="","",IF(countif('Womens Lineup'!C$3:C1000,CONCATENATE("=",$A95))=0,"",C$2))</f>
        <v>100 Free</v>
      </c>
      <c r="D95" s="3" t="str">
        <f>IF($A95="","",IF(countif('Womens Lineup'!D$3:D1000,CONCATENATE("=",$A95))=0,"",D$2))</f>
        <v/>
      </c>
      <c r="E95" s="3" t="str">
        <f>IF($A95="","",IF(countif('Womens Lineup'!E$3:E1000,CONCATENATE("=",$A95))=0,"",E$2))</f>
        <v/>
      </c>
      <c r="F95" s="3" t="str">
        <f>IF($A95="","",IF(countif('Womens Lineup'!F$3:F1000,CONCATENATE("=",$A95))=0,"",F$2))</f>
        <v/>
      </c>
      <c r="G95" s="3" t="str">
        <f>IF($A95="","",IF(countif('Womens Lineup'!G$3:G1000,CONCATENATE("=",$A95))=0,"",G$2))</f>
        <v/>
      </c>
      <c r="H95" s="3" t="str">
        <f>IF($A95="","",IF(countif('Womens Lineup'!H$3:H1000,CONCATENATE("=",$A95))=0,"",H$2))</f>
        <v/>
      </c>
      <c r="I95" s="3" t="str">
        <f>IF($A95="","",IF(countif('Womens Lineup'!I$3:I1000,CONCATENATE("=",$A95))=0,"",I$2))</f>
        <v/>
      </c>
      <c r="J95" s="3" t="str">
        <f>IF($A95="","",IF(countif('Womens Lineup'!J$3:J1000,CONCATENATE("=",$A95))=0,"",J$2))</f>
        <v>200 Breast</v>
      </c>
      <c r="K95" s="3" t="str">
        <f>IF($A95="","",IF(countif('Womens Lineup'!K$3:K1000,CONCATENATE("=",$A95))=0,"",K$2))</f>
        <v/>
      </c>
      <c r="L95" s="3" t="str">
        <f>IF($A95="","",IF(countif('Womens Lineup'!L$3:L1000,CONCATENATE("=",$A95))=0,"",L$2))</f>
        <v/>
      </c>
      <c r="M95" s="3" t="str">
        <f>IF($A95="","",IF(countif('Womens Lineup'!M$3:M1000,CONCATENATE("=",$A95))=0,"",M$2))</f>
        <v/>
      </c>
      <c r="N95" s="3" t="str">
        <f>IF($A95="","",IF(countif('Womens Lineup'!N$3:N1000,CONCATENATE("=",$A95))=0,"",N$2))</f>
        <v/>
      </c>
      <c r="O95" s="3" t="str">
        <f>IF($A95="","",IF(countif('Womens Lineup'!O$3:O1000,CONCATENATE("=",$A95))=0,"",O$2))</f>
        <v/>
      </c>
      <c r="P95" s="3" t="str">
        <f>IF($A95="","",IF(countif('Womens Lineup'!P$3:P1000,CONCATENATE("=",$A95))=0,"",P$2))</f>
        <v/>
      </c>
      <c r="Q95" s="3" t="str">
        <f>IF($A95="","",IF(countif('Womens Lineup'!Q$3:Q1000,CONCATENATE("=",$A95))=0,"",Q$2))</f>
        <v/>
      </c>
      <c r="R95" s="3" t="str">
        <f>IF($A95="","",IF(countif('Womens Lineup'!R$3:R1000,CONCATENATE("=",$A95))=0,"",R$2))</f>
        <v/>
      </c>
      <c r="S95" s="3" t="str">
        <f>IF($A95="","",IF(countif('Womens Lineup'!S$3:S1000,CONCATENATE("=",$A95))=0,"",S$2))</f>
        <v/>
      </c>
      <c r="W95" s="3" t="str">
        <f>IFERROR(__xludf.DUMMYFUNCTION("JOIN("","",FILTER(B95:S95,B95:S95&lt;&gt;""""))"),"50 Free,100 Free,200 Breast")</f>
        <v>50 Free,100 Free,200 Breast</v>
      </c>
    </row>
    <row r="96">
      <c r="A96" s="3" t="s">
        <v>411</v>
      </c>
      <c r="B96" s="3" t="str">
        <f>IF($A96="","",IF(countif('Womens Lineup'!B$3:B1000,CONCATENATE("=",$A96))=0,"",B$2))</f>
        <v>50 Free</v>
      </c>
      <c r="C96" s="3" t="str">
        <f>IF($A96="","",IF(countif('Womens Lineup'!C$3:C1000,CONCATENATE("=",$A96))=0,"",C$2))</f>
        <v>100 Free</v>
      </c>
      <c r="D96" s="3" t="str">
        <f>IF($A96="","",IF(countif('Womens Lineup'!D$3:D1000,CONCATENATE("=",$A96))=0,"",D$2))</f>
        <v/>
      </c>
      <c r="E96" s="3" t="str">
        <f>IF($A96="","",IF(countif('Womens Lineup'!E$3:E1000,CONCATENATE("=",$A96))=0,"",E$2))</f>
        <v>500 Free</v>
      </c>
      <c r="F96" s="3" t="str">
        <f>IF($A96="","",IF(countif('Womens Lineup'!F$3:F1000,CONCATENATE("=",$A96))=0,"",F$2))</f>
        <v/>
      </c>
      <c r="G96" s="3" t="str">
        <f>IF($A96="","",IF(countif('Womens Lineup'!G$3:G1000,CONCATENATE("=",$A96))=0,"",G$2))</f>
        <v/>
      </c>
      <c r="H96" s="3" t="str">
        <f>IF($A96="","",IF(countif('Womens Lineup'!H$3:H1000,CONCATENATE("=",$A96))=0,"",H$2))</f>
        <v/>
      </c>
      <c r="I96" s="3" t="str">
        <f>IF($A96="","",IF(countif('Womens Lineup'!I$3:I1000,CONCATENATE("=",$A96))=0,"",I$2))</f>
        <v>100 Breast</v>
      </c>
      <c r="J96" s="3" t="str">
        <f>IF($A96="","",IF(countif('Womens Lineup'!J$3:J1000,CONCATENATE("=",$A96))=0,"",J$2))</f>
        <v/>
      </c>
      <c r="K96" s="3" t="str">
        <f>IF($A96="","",IF(countif('Womens Lineup'!K$3:K1000,CONCATENATE("=",$A96))=0,"",K$2))</f>
        <v/>
      </c>
      <c r="L96" s="3" t="str">
        <f>IF($A96="","",IF(countif('Womens Lineup'!L$3:L1000,CONCATENATE("=",$A96))=0,"",L$2))</f>
        <v/>
      </c>
      <c r="M96" s="3" t="str">
        <f>IF($A96="","",IF(countif('Womens Lineup'!M$3:M1000,CONCATENATE("=",$A96))=0,"",M$2))</f>
        <v>200 IM</v>
      </c>
      <c r="N96" s="3" t="str">
        <f>IF($A96="","",IF(countif('Womens Lineup'!N$3:N1000,CONCATENATE("=",$A96))=0,"",N$2))</f>
        <v/>
      </c>
      <c r="O96" s="3" t="str">
        <f>IF($A96="","",IF(countif('Womens Lineup'!O$3:O1000,CONCATENATE("=",$A96))=0,"",O$2))</f>
        <v>1000 Free</v>
      </c>
      <c r="P96" s="3" t="str">
        <f>IF($A96="","",IF(countif('Womens Lineup'!P$3:P1000,CONCATENATE("=",$A96))=0,"",P$2))</f>
        <v/>
      </c>
      <c r="Q96" s="3" t="str">
        <f>IF($A96="","",IF(countif('Womens Lineup'!Q$3:Q1000,CONCATENATE("=",$A96))=0,"",Q$2))</f>
        <v/>
      </c>
      <c r="R96" s="3" t="str">
        <f>IF($A96="","",IF(countif('Womens Lineup'!R$3:R1000,CONCATENATE("=",$A96))=0,"",R$2))</f>
        <v/>
      </c>
      <c r="S96" s="3" t="str">
        <f>IF($A96="","",IF(countif('Womens Lineup'!S$3:S1000,CONCATENATE("=",$A96))=0,"",S$2))</f>
        <v/>
      </c>
      <c r="W96" s="3" t="str">
        <f>IFERROR(__xludf.DUMMYFUNCTION("JOIN("","",FILTER(B96:S96,B96:S96&lt;&gt;""""))"),"50 Free,100 Free,500 Free,100 Breast,200 IM,1000 Free")</f>
        <v>50 Free,100 Free,500 Free,100 Breast,200 IM,1000 Free</v>
      </c>
    </row>
    <row r="97">
      <c r="A97" s="3" t="s">
        <v>412</v>
      </c>
      <c r="B97" s="3" t="str">
        <f>IF($A97="","",IF(countif('Womens Lineup'!B$3:B1000,CONCATENATE("=",$A97))=0,"",B$2))</f>
        <v>50 Free</v>
      </c>
      <c r="C97" s="3" t="str">
        <f>IF($A97="","",IF(countif('Womens Lineup'!C$3:C1000,CONCATENATE("=",$A97))=0,"",C$2))</f>
        <v/>
      </c>
      <c r="D97" s="3" t="str">
        <f>IF($A97="","",IF(countif('Womens Lineup'!D$3:D1000,CONCATENATE("=",$A97))=0,"",D$2))</f>
        <v/>
      </c>
      <c r="E97" s="3" t="str">
        <f>IF($A97="","",IF(countif('Womens Lineup'!E$3:E1000,CONCATENATE("=",$A97))=0,"",E$2))</f>
        <v/>
      </c>
      <c r="F97" s="3" t="str">
        <f>IF($A97="","",IF(countif('Womens Lineup'!F$3:F1000,CONCATENATE("=",$A97))=0,"",F$2))</f>
        <v/>
      </c>
      <c r="G97" s="3" t="str">
        <f>IF($A97="","",IF(countif('Womens Lineup'!G$3:G1000,CONCATENATE("=",$A97))=0,"",G$2))</f>
        <v/>
      </c>
      <c r="H97" s="3" t="str">
        <f>IF($A97="","",IF(countif('Womens Lineup'!H$3:H1000,CONCATENATE("=",$A97))=0,"",H$2))</f>
        <v/>
      </c>
      <c r="I97" s="3" t="str">
        <f>IF($A97="","",IF(countif('Womens Lineup'!I$3:I1000,CONCATENATE("=",$A97))=0,"",I$2))</f>
        <v>100 Breast</v>
      </c>
      <c r="J97" s="3" t="str">
        <f>IF($A97="","",IF(countif('Womens Lineup'!J$3:J1000,CONCATENATE("=",$A97))=0,"",J$2))</f>
        <v>200 Breast</v>
      </c>
      <c r="K97" s="3" t="str">
        <f>IF($A97="","",IF(countif('Womens Lineup'!K$3:K1000,CONCATENATE("=",$A97))=0,"",K$2))</f>
        <v/>
      </c>
      <c r="L97" s="3" t="str">
        <f>IF($A97="","",IF(countif('Womens Lineup'!L$3:L1000,CONCATENATE("=",$A97))=0,"",L$2))</f>
        <v/>
      </c>
      <c r="M97" s="3" t="str">
        <f>IF($A97="","",IF(countif('Womens Lineup'!M$3:M1000,CONCATENATE("=",$A97))=0,"",M$2))</f>
        <v>200 IM</v>
      </c>
      <c r="N97" s="3" t="str">
        <f>IF($A97="","",IF(countif('Womens Lineup'!N$3:N1000,CONCATENATE("=",$A97))=0,"",N$2))</f>
        <v/>
      </c>
      <c r="O97" s="3" t="str">
        <f>IF($A97="","",IF(countif('Womens Lineup'!O$3:O1000,CONCATENATE("=",$A97))=0,"",O$2))</f>
        <v/>
      </c>
      <c r="P97" s="3" t="str">
        <f>IF($A97="","",IF(countif('Womens Lineup'!P$3:P1000,CONCATENATE("=",$A97))=0,"",P$2))</f>
        <v/>
      </c>
      <c r="Q97" s="3" t="str">
        <f>IF($A97="","",IF(countif('Womens Lineup'!Q$3:Q1000,CONCATENATE("=",$A97))=0,"",Q$2))</f>
        <v/>
      </c>
      <c r="R97" s="3" t="str">
        <f>IF($A97="","",IF(countif('Womens Lineup'!R$3:R1000,CONCATENATE("=",$A97))=0,"",R$2))</f>
        <v/>
      </c>
      <c r="S97" s="3" t="str">
        <f>IF($A97="","",IF(countif('Womens Lineup'!S$3:S1000,CONCATENATE("=",$A97))=0,"",S$2))</f>
        <v/>
      </c>
      <c r="W97" s="3" t="str">
        <f>IFERROR(__xludf.DUMMYFUNCTION("JOIN("","",FILTER(B97:S97,B97:S97&lt;&gt;""""))"),"50 Free,100 Breast,200 Breast,200 IM")</f>
        <v>50 Free,100 Breast,200 Breast,200 IM</v>
      </c>
    </row>
    <row r="98">
      <c r="A98" s="3" t="s">
        <v>413</v>
      </c>
      <c r="B98" s="3" t="str">
        <f>IF($A98="","",IF(countif('Womens Lineup'!B$3:B1000,CONCATENATE("=",$A98))=0,"",B$2))</f>
        <v>50 Free</v>
      </c>
      <c r="C98" s="3" t="str">
        <f>IF($A98="","",IF(countif('Womens Lineup'!C$3:C1000,CONCATENATE("=",$A98))=0,"",C$2))</f>
        <v>100 Free</v>
      </c>
      <c r="D98" s="3" t="str">
        <f>IF($A98="","",IF(countif('Womens Lineup'!D$3:D1000,CONCATENATE("=",$A98))=0,"",D$2))</f>
        <v/>
      </c>
      <c r="E98" s="3" t="str">
        <f>IF($A98="","",IF(countif('Womens Lineup'!E$3:E1000,CONCATENATE("=",$A98))=0,"",E$2))</f>
        <v/>
      </c>
      <c r="F98" s="3" t="str">
        <f>IF($A98="","",IF(countif('Womens Lineup'!F$3:F1000,CONCATENATE("=",$A98))=0,"",F$2))</f>
        <v/>
      </c>
      <c r="G98" s="3" t="str">
        <f>IF($A98="","",IF(countif('Womens Lineup'!G$3:G1000,CONCATENATE("=",$A98))=0,"",G$2))</f>
        <v/>
      </c>
      <c r="H98" s="3" t="str">
        <f>IF($A98="","",IF(countif('Womens Lineup'!H$3:H1000,CONCATENATE("=",$A98))=0,"",H$2))</f>
        <v/>
      </c>
      <c r="I98" s="3" t="str">
        <f>IF($A98="","",IF(countif('Womens Lineup'!I$3:I1000,CONCATENATE("=",$A98))=0,"",I$2))</f>
        <v>100 Breast</v>
      </c>
      <c r="J98" s="3" t="str">
        <f>IF($A98="","",IF(countif('Womens Lineup'!J$3:J1000,CONCATENATE("=",$A98))=0,"",J$2))</f>
        <v>200 Breast</v>
      </c>
      <c r="K98" s="3" t="str">
        <f>IF($A98="","",IF(countif('Womens Lineup'!K$3:K1000,CONCATENATE("=",$A98))=0,"",K$2))</f>
        <v>100 Fly</v>
      </c>
      <c r="L98" s="3" t="str">
        <f>IF($A98="","",IF(countif('Womens Lineup'!L$3:L1000,CONCATENATE("=",$A98))=0,"",L$2))</f>
        <v/>
      </c>
      <c r="M98" s="3" t="str">
        <f>IF($A98="","",IF(countif('Womens Lineup'!M$3:M1000,CONCATENATE("=",$A98))=0,"",M$2))</f>
        <v/>
      </c>
      <c r="N98" s="3" t="str">
        <f>IF($A98="","",IF(countif('Womens Lineup'!N$3:N1000,CONCATENATE("=",$A98))=0,"",N$2))</f>
        <v/>
      </c>
      <c r="O98" s="3" t="str">
        <f>IF($A98="","",IF(countif('Womens Lineup'!O$3:O1000,CONCATENATE("=",$A98))=0,"",O$2))</f>
        <v/>
      </c>
      <c r="P98" s="3" t="str">
        <f>IF($A98="","",IF(countif('Womens Lineup'!P$3:P1000,CONCATENATE("=",$A98))=0,"",P$2))</f>
        <v/>
      </c>
      <c r="Q98" s="3" t="str">
        <f>IF($A98="","",IF(countif('Womens Lineup'!Q$3:Q1000,CONCATENATE("=",$A98))=0,"",Q$2))</f>
        <v/>
      </c>
      <c r="R98" s="3" t="str">
        <f>IF($A98="","",IF(countif('Womens Lineup'!R$3:R1000,CONCATENATE("=",$A98))=0,"",R$2))</f>
        <v/>
      </c>
      <c r="S98" s="3" t="str">
        <f>IF($A98="","",IF(countif('Womens Lineup'!S$3:S1000,CONCATENATE("=",$A98))=0,"",S$2))</f>
        <v/>
      </c>
      <c r="W98" s="3" t="str">
        <f>IFERROR(__xludf.DUMMYFUNCTION("JOIN("","",FILTER(B98:S98,B98:S98&lt;&gt;""""))"),"50 Free,100 Free,100 Breast,200 Breast,100 Fly")</f>
        <v>50 Free,100 Free,100 Breast,200 Breast,100 Fly</v>
      </c>
    </row>
    <row r="99">
      <c r="A99" s="3" t="s">
        <v>414</v>
      </c>
      <c r="B99" s="3" t="str">
        <f>IF($A99="","",IF(countif('Womens Lineup'!B$3:B1000,CONCATENATE("=",$A99))=0,"",B$2))</f>
        <v>50 Free</v>
      </c>
      <c r="C99" s="3" t="str">
        <f>IF($A99="","",IF(countif('Womens Lineup'!C$3:C1000,CONCATENATE("=",$A99))=0,"",C$2))</f>
        <v>100 Free</v>
      </c>
      <c r="D99" s="3" t="str">
        <f>IF($A99="","",IF(countif('Womens Lineup'!D$3:D1000,CONCATENATE("=",$A99))=0,"",D$2))</f>
        <v/>
      </c>
      <c r="E99" s="3" t="str">
        <f>IF($A99="","",IF(countif('Womens Lineup'!E$3:E1000,CONCATENATE("=",$A99))=0,"",E$2))</f>
        <v/>
      </c>
      <c r="F99" s="3" t="str">
        <f>IF($A99="","",IF(countif('Womens Lineup'!F$3:F1000,CONCATENATE("=",$A99))=0,"",F$2))</f>
        <v/>
      </c>
      <c r="G99" s="3" t="str">
        <f>IF($A99="","",IF(countif('Womens Lineup'!G$3:G1000,CONCATENATE("=",$A99))=0,"",G$2))</f>
        <v/>
      </c>
      <c r="H99" s="3" t="str">
        <f>IF($A99="","",IF(countif('Womens Lineup'!H$3:H1000,CONCATENATE("=",$A99))=0,"",H$2))</f>
        <v/>
      </c>
      <c r="I99" s="3" t="str">
        <f>IF($A99="","",IF(countif('Womens Lineup'!I$3:I1000,CONCATENATE("=",$A99))=0,"",I$2))</f>
        <v>100 Breast</v>
      </c>
      <c r="J99" s="3" t="str">
        <f>IF($A99="","",IF(countif('Womens Lineup'!J$3:J1000,CONCATENATE("=",$A99))=0,"",J$2))</f>
        <v>200 Breast</v>
      </c>
      <c r="K99" s="3" t="str">
        <f>IF($A99="","",IF(countif('Womens Lineup'!K$3:K1000,CONCATENATE("=",$A99))=0,"",K$2))</f>
        <v/>
      </c>
      <c r="L99" s="3" t="str">
        <f>IF($A99="","",IF(countif('Womens Lineup'!L$3:L1000,CONCATENATE("=",$A99))=0,"",L$2))</f>
        <v/>
      </c>
      <c r="M99" s="3" t="str">
        <f>IF($A99="","",IF(countif('Womens Lineup'!M$3:M1000,CONCATENATE("=",$A99))=0,"",M$2))</f>
        <v>200 IM</v>
      </c>
      <c r="N99" s="3" t="str">
        <f>IF($A99="","",IF(countif('Womens Lineup'!N$3:N1000,CONCATENATE("=",$A99))=0,"",N$2))</f>
        <v>400 IM</v>
      </c>
      <c r="O99" s="3" t="str">
        <f>IF($A99="","",IF(countif('Womens Lineup'!O$3:O1000,CONCATENATE("=",$A99))=0,"",O$2))</f>
        <v/>
      </c>
      <c r="P99" s="3" t="str">
        <f>IF($A99="","",IF(countif('Womens Lineup'!P$3:P1000,CONCATENATE("=",$A99))=0,"",P$2))</f>
        <v/>
      </c>
      <c r="Q99" s="3" t="str">
        <f>IF($A99="","",IF(countif('Womens Lineup'!Q$3:Q1000,CONCATENATE("=",$A99))=0,"",Q$2))</f>
        <v/>
      </c>
      <c r="R99" s="3" t="str">
        <f>IF($A99="","",IF(countif('Womens Lineup'!R$3:R1000,CONCATENATE("=",$A99))=0,"",R$2))</f>
        <v/>
      </c>
      <c r="S99" s="3" t="str">
        <f>IF($A99="","",IF(countif('Womens Lineup'!S$3:S1000,CONCATENATE("=",$A99))=0,"",S$2))</f>
        <v/>
      </c>
      <c r="W99" s="3" t="str">
        <f>IFERROR(__xludf.DUMMYFUNCTION("JOIN("","",FILTER(B99:S99,B99:S99&lt;&gt;""""))"),"50 Free,100 Free,100 Breast,200 Breast,200 IM,400 IM")</f>
        <v>50 Free,100 Free,100 Breast,200 Breast,200 IM,400 IM</v>
      </c>
    </row>
    <row r="100">
      <c r="A100" s="3" t="s">
        <v>415</v>
      </c>
      <c r="B100" s="3" t="str">
        <f>IF($A100="","",IF(countif('Womens Lineup'!B$3:B1000,CONCATENATE("=",$A100))=0,"",B$2))</f>
        <v>50 Free</v>
      </c>
      <c r="C100" s="3" t="str">
        <f>IF($A100="","",IF(countif('Womens Lineup'!C$3:C1000,CONCATENATE("=",$A100))=0,"",C$2))</f>
        <v>100 Free</v>
      </c>
      <c r="D100" s="3" t="str">
        <f>IF($A100="","",IF(countif('Womens Lineup'!D$3:D1000,CONCATENATE("=",$A100))=0,"",D$2))</f>
        <v/>
      </c>
      <c r="E100" s="3" t="str">
        <f>IF($A100="","",IF(countif('Womens Lineup'!E$3:E1000,CONCATENATE("=",$A100))=0,"",E$2))</f>
        <v/>
      </c>
      <c r="F100" s="3" t="str">
        <f>IF($A100="","",IF(countif('Womens Lineup'!F$3:F1000,CONCATENATE("=",$A100))=0,"",F$2))</f>
        <v/>
      </c>
      <c r="G100" s="3" t="str">
        <f>IF($A100="","",IF(countif('Womens Lineup'!G$3:G1000,CONCATENATE("=",$A100))=0,"",G$2))</f>
        <v/>
      </c>
      <c r="H100" s="3" t="str">
        <f>IF($A100="","",IF(countif('Womens Lineup'!H$3:H1000,CONCATENATE("=",$A100))=0,"",H$2))</f>
        <v/>
      </c>
      <c r="I100" s="3" t="str">
        <f>IF($A100="","",IF(countif('Womens Lineup'!I$3:I1000,CONCATENATE("=",$A100))=0,"",I$2))</f>
        <v/>
      </c>
      <c r="J100" s="3" t="str">
        <f>IF($A100="","",IF(countif('Womens Lineup'!J$3:J1000,CONCATENATE("=",$A100))=0,"",J$2))</f>
        <v/>
      </c>
      <c r="K100" s="3" t="str">
        <f>IF($A100="","",IF(countif('Womens Lineup'!K$3:K1000,CONCATENATE("=",$A100))=0,"",K$2))</f>
        <v/>
      </c>
      <c r="L100" s="3" t="str">
        <f>IF($A100="","",IF(countif('Womens Lineup'!L$3:L1000,CONCATENATE("=",$A100))=0,"",L$2))</f>
        <v/>
      </c>
      <c r="M100" s="3" t="str">
        <f>IF($A100="","",IF(countif('Womens Lineup'!M$3:M1000,CONCATENATE("=",$A100))=0,"",M$2))</f>
        <v/>
      </c>
      <c r="N100" s="3" t="str">
        <f>IF($A100="","",IF(countif('Womens Lineup'!N$3:N1000,CONCATENATE("=",$A100))=0,"",N$2))</f>
        <v/>
      </c>
      <c r="O100" s="3" t="str">
        <f>IF($A100="","",IF(countif('Womens Lineup'!O$3:O1000,CONCATENATE("=",$A100))=0,"",O$2))</f>
        <v/>
      </c>
      <c r="P100" s="3" t="str">
        <f>IF($A100="","",IF(countif('Womens Lineup'!P$3:P1000,CONCATENATE("=",$A100))=0,"",P$2))</f>
        <v/>
      </c>
      <c r="Q100" s="3" t="str">
        <f>IF($A100="","",IF(countif('Womens Lineup'!Q$3:Q1000,CONCATENATE("=",$A100))=0,"",Q$2))</f>
        <v/>
      </c>
      <c r="R100" s="3" t="str">
        <f>IF($A100="","",IF(countif('Womens Lineup'!R$3:R1000,CONCATENATE("=",$A100))=0,"",R$2))</f>
        <v/>
      </c>
      <c r="S100" s="3" t="str">
        <f>IF($A100="","",IF(countif('Womens Lineup'!S$3:S1000,CONCATENATE("=",$A100))=0,"",S$2))</f>
        <v/>
      </c>
      <c r="W100" s="3" t="str">
        <f>IFERROR(__xludf.DUMMYFUNCTION("JOIN("","",FILTER(B100:S100,B100:S100&lt;&gt;""""))"),"50 Free,100 Free")</f>
        <v>50 Free,100 Free</v>
      </c>
    </row>
    <row r="101">
      <c r="A101" s="3" t="s">
        <v>416</v>
      </c>
      <c r="B101" s="3" t="str">
        <f>IF($A101="","",IF(countif('Womens Lineup'!B$3:B1000,CONCATENATE("=",$A101))=0,"",B$2))</f>
        <v>50 Free</v>
      </c>
      <c r="C101" s="3" t="str">
        <f>IF($A101="","",IF(countif('Womens Lineup'!C$3:C1000,CONCATENATE("=",$A101))=0,"",C$2))</f>
        <v>100 Free</v>
      </c>
      <c r="D101" s="3" t="str">
        <f>IF($A101="","",IF(countif('Womens Lineup'!D$3:D1000,CONCATENATE("=",$A101))=0,"",D$2))</f>
        <v>200 Free</v>
      </c>
      <c r="E101" s="3" t="str">
        <f>IF($A101="","",IF(countif('Womens Lineup'!E$3:E1000,CONCATENATE("=",$A101))=0,"",E$2))</f>
        <v>500 Free</v>
      </c>
      <c r="F101" s="3" t="str">
        <f>IF($A101="","",IF(countif('Womens Lineup'!F$3:F1000,CONCATENATE("=",$A101))=0,"",F$2))</f>
        <v/>
      </c>
      <c r="G101" s="3" t="str">
        <f>IF($A101="","",IF(countif('Womens Lineup'!G$3:G1000,CONCATENATE("=",$A101))=0,"",G$2))</f>
        <v>100 Back</v>
      </c>
      <c r="H101" s="3" t="str">
        <f>IF($A101="","",IF(countif('Womens Lineup'!H$3:H1000,CONCATENATE("=",$A101))=0,"",H$2))</f>
        <v>200 Back</v>
      </c>
      <c r="I101" s="3" t="str">
        <f>IF($A101="","",IF(countif('Womens Lineup'!I$3:I1000,CONCATENATE("=",$A101))=0,"",I$2))</f>
        <v/>
      </c>
      <c r="J101" s="3" t="str">
        <f>IF($A101="","",IF(countif('Womens Lineup'!J$3:J1000,CONCATENATE("=",$A101))=0,"",J$2))</f>
        <v/>
      </c>
      <c r="K101" s="3" t="str">
        <f>IF($A101="","",IF(countif('Womens Lineup'!K$3:K1000,CONCATENATE("=",$A101))=0,"",K$2))</f>
        <v/>
      </c>
      <c r="L101" s="3" t="str">
        <f>IF($A101="","",IF(countif('Womens Lineup'!L$3:L1000,CONCATENATE("=",$A101))=0,"",L$2))</f>
        <v/>
      </c>
      <c r="M101" s="3" t="str">
        <f>IF($A101="","",IF(countif('Womens Lineup'!M$3:M1000,CONCATENATE("=",$A101))=0,"",M$2))</f>
        <v/>
      </c>
      <c r="N101" s="3" t="str">
        <f>IF($A101="","",IF(countif('Womens Lineup'!N$3:N1000,CONCATENATE("=",$A101))=0,"",N$2))</f>
        <v/>
      </c>
      <c r="O101" s="3" t="str">
        <f>IF($A101="","",IF(countif('Womens Lineup'!O$3:O1000,CONCATENATE("=",$A101))=0,"",O$2))</f>
        <v/>
      </c>
      <c r="P101" s="3" t="str">
        <f>IF($A101="","",IF(countif('Womens Lineup'!P$3:P1000,CONCATENATE("=",$A101))=0,"",P$2))</f>
        <v/>
      </c>
      <c r="Q101" s="3" t="str">
        <f>IF($A101="","",IF(countif('Womens Lineup'!Q$3:Q1000,CONCATENATE("=",$A101))=0,"",Q$2))</f>
        <v/>
      </c>
      <c r="R101" s="3" t="str">
        <f>IF($A101="","",IF(countif('Womens Lineup'!R$3:R1000,CONCATENATE("=",$A101))=0,"",R$2))</f>
        <v/>
      </c>
      <c r="S101" s="3" t="str">
        <f>IF($A101="","",IF(countif('Womens Lineup'!S$3:S1000,CONCATENATE("=",$A101))=0,"",S$2))</f>
        <v/>
      </c>
      <c r="W101" s="3" t="str">
        <f>IFERROR(__xludf.DUMMYFUNCTION("JOIN("","",FILTER(B101:S101,B101:S101&lt;&gt;""""))"),"50 Free,100 Free,200 Free,500 Free,100 Back,200 Back")</f>
        <v>50 Free,100 Free,200 Free,500 Free,100 Back,200 Back</v>
      </c>
    </row>
    <row r="102">
      <c r="A102" s="3" t="s">
        <v>417</v>
      </c>
      <c r="B102" s="3" t="str">
        <f>IF($A102="","",IF(countif('Womens Lineup'!B$3:B1000,CONCATENATE("=",$A102))=0,"",B$2))</f>
        <v>50 Free</v>
      </c>
      <c r="C102" s="3" t="str">
        <f>IF($A102="","",IF(countif('Womens Lineup'!C$3:C1000,CONCATENATE("=",$A102))=0,"",C$2))</f>
        <v/>
      </c>
      <c r="D102" s="3" t="str">
        <f>IF($A102="","",IF(countif('Womens Lineup'!D$3:D1000,CONCATENATE("=",$A102))=0,"",D$2))</f>
        <v/>
      </c>
      <c r="E102" s="3" t="str">
        <f>IF($A102="","",IF(countif('Womens Lineup'!E$3:E1000,CONCATENATE("=",$A102))=0,"",E$2))</f>
        <v/>
      </c>
      <c r="F102" s="3" t="str">
        <f>IF($A102="","",IF(countif('Womens Lineup'!F$3:F1000,CONCATENATE("=",$A102))=0,"",F$2))</f>
        <v/>
      </c>
      <c r="G102" s="3" t="str">
        <f>IF($A102="","",IF(countif('Womens Lineup'!G$3:G1000,CONCATENATE("=",$A102))=0,"",G$2))</f>
        <v>100 Back</v>
      </c>
      <c r="H102" s="3" t="str">
        <f>IF($A102="","",IF(countif('Womens Lineup'!H$3:H1000,CONCATENATE("=",$A102))=0,"",H$2))</f>
        <v/>
      </c>
      <c r="I102" s="3" t="str">
        <f>IF($A102="","",IF(countif('Womens Lineup'!I$3:I1000,CONCATENATE("=",$A102))=0,"",I$2))</f>
        <v/>
      </c>
      <c r="J102" s="3" t="str">
        <f>IF($A102="","",IF(countif('Womens Lineup'!J$3:J1000,CONCATENATE("=",$A102))=0,"",J$2))</f>
        <v/>
      </c>
      <c r="K102" s="3" t="str">
        <f>IF($A102="","",IF(countif('Womens Lineup'!K$3:K1000,CONCATENATE("=",$A102))=0,"",K$2))</f>
        <v/>
      </c>
      <c r="L102" s="3" t="str">
        <f>IF($A102="","",IF(countif('Womens Lineup'!L$3:L1000,CONCATENATE("=",$A102))=0,"",L$2))</f>
        <v/>
      </c>
      <c r="M102" s="3" t="str">
        <f>IF($A102="","",IF(countif('Womens Lineup'!M$3:M1000,CONCATENATE("=",$A102))=0,"",M$2))</f>
        <v/>
      </c>
      <c r="N102" s="3" t="str">
        <f>IF($A102="","",IF(countif('Womens Lineup'!N$3:N1000,CONCATENATE("=",$A102))=0,"",N$2))</f>
        <v/>
      </c>
      <c r="O102" s="3" t="str">
        <f>IF($A102="","",IF(countif('Womens Lineup'!O$3:O1000,CONCATENATE("=",$A102))=0,"",O$2))</f>
        <v/>
      </c>
      <c r="P102" s="3" t="str">
        <f>IF($A102="","",IF(countif('Womens Lineup'!P$3:P1000,CONCATENATE("=",$A102))=0,"",P$2))</f>
        <v/>
      </c>
      <c r="Q102" s="3" t="str">
        <f>IF($A102="","",IF(countif('Womens Lineup'!Q$3:Q1000,CONCATENATE("=",$A102))=0,"",Q$2))</f>
        <v/>
      </c>
      <c r="R102" s="3" t="str">
        <f>IF($A102="","",IF(countif('Womens Lineup'!R$3:R1000,CONCATENATE("=",$A102))=0,"",R$2))</f>
        <v/>
      </c>
      <c r="S102" s="3" t="str">
        <f>IF($A102="","",IF(countif('Womens Lineup'!S$3:S1000,CONCATENATE("=",$A102))=0,"",S$2))</f>
        <v/>
      </c>
      <c r="W102" s="3" t="str">
        <f>IFERROR(__xludf.DUMMYFUNCTION("JOIN("","",FILTER(B102:S102,B102:S102&lt;&gt;""""))"),"50 Free,100 Back")</f>
        <v>50 Free,100 Back</v>
      </c>
    </row>
    <row r="103">
      <c r="A103" s="3" t="s">
        <v>418</v>
      </c>
      <c r="B103" s="3" t="str">
        <f>IF($A103="","",IF(countif('Womens Lineup'!B$3:B1000,CONCATENATE("=",$A103))=0,"",B$2))</f>
        <v>50 Free</v>
      </c>
      <c r="C103" s="3" t="str">
        <f>IF($A103="","",IF(countif('Womens Lineup'!C$3:C1000,CONCATENATE("=",$A103))=0,"",C$2))</f>
        <v>100 Free</v>
      </c>
      <c r="D103" s="3" t="str">
        <f>IF($A103="","",IF(countif('Womens Lineup'!D$3:D1000,CONCATENATE("=",$A103))=0,"",D$2))</f>
        <v/>
      </c>
      <c r="E103" s="3" t="str">
        <f>IF($A103="","",IF(countif('Womens Lineup'!E$3:E1000,CONCATENATE("=",$A103))=0,"",E$2))</f>
        <v/>
      </c>
      <c r="F103" s="3" t="str">
        <f>IF($A103="","",IF(countif('Womens Lineup'!F$3:F1000,CONCATENATE("=",$A103))=0,"",F$2))</f>
        <v/>
      </c>
      <c r="G103" s="3" t="str">
        <f>IF($A103="","",IF(countif('Womens Lineup'!G$3:G1000,CONCATENATE("=",$A103))=0,"",G$2))</f>
        <v>100 Back</v>
      </c>
      <c r="H103" s="3" t="str">
        <f>IF($A103="","",IF(countif('Womens Lineup'!H$3:H1000,CONCATENATE("=",$A103))=0,"",H$2))</f>
        <v/>
      </c>
      <c r="I103" s="3" t="str">
        <f>IF($A103="","",IF(countif('Womens Lineup'!I$3:I1000,CONCATENATE("=",$A103))=0,"",I$2))</f>
        <v>100 Breast</v>
      </c>
      <c r="J103" s="3" t="str">
        <f>IF($A103="","",IF(countif('Womens Lineup'!J$3:J1000,CONCATENATE("=",$A103))=0,"",J$2))</f>
        <v>200 Breast</v>
      </c>
      <c r="K103" s="3" t="str">
        <f>IF($A103="","",IF(countif('Womens Lineup'!K$3:K1000,CONCATENATE("=",$A103))=0,"",K$2))</f>
        <v/>
      </c>
      <c r="L103" s="3" t="str">
        <f>IF($A103="","",IF(countif('Womens Lineup'!L$3:L1000,CONCATENATE("=",$A103))=0,"",L$2))</f>
        <v/>
      </c>
      <c r="M103" s="3" t="str">
        <f>IF($A103="","",IF(countif('Womens Lineup'!M$3:M1000,CONCATENATE("=",$A103))=0,"",M$2))</f>
        <v/>
      </c>
      <c r="N103" s="3" t="str">
        <f>IF($A103="","",IF(countif('Womens Lineup'!N$3:N1000,CONCATENATE("=",$A103))=0,"",N$2))</f>
        <v/>
      </c>
      <c r="O103" s="3" t="str">
        <f>IF($A103="","",IF(countif('Womens Lineup'!O$3:O1000,CONCATENATE("=",$A103))=0,"",O$2))</f>
        <v/>
      </c>
      <c r="P103" s="3" t="str">
        <f>IF($A103="","",IF(countif('Womens Lineup'!P$3:P1000,CONCATENATE("=",$A103))=0,"",P$2))</f>
        <v/>
      </c>
      <c r="Q103" s="3" t="str">
        <f>IF($A103="","",IF(countif('Womens Lineup'!Q$3:Q1000,CONCATENATE("=",$A103))=0,"",Q$2))</f>
        <v/>
      </c>
      <c r="R103" s="3" t="str">
        <f>IF($A103="","",IF(countif('Womens Lineup'!R$3:R1000,CONCATENATE("=",$A103))=0,"",R$2))</f>
        <v/>
      </c>
      <c r="S103" s="3" t="str">
        <f>IF($A103="","",IF(countif('Womens Lineup'!S$3:S1000,CONCATENATE("=",$A103))=0,"",S$2))</f>
        <v/>
      </c>
      <c r="W103" s="3" t="str">
        <f>IFERROR(__xludf.DUMMYFUNCTION("JOIN("","",FILTER(B103:S103,B103:S103&lt;&gt;""""))"),"50 Free,100 Free,100 Back,100 Breast,200 Breast")</f>
        <v>50 Free,100 Free,100 Back,100 Breast,200 Breast</v>
      </c>
    </row>
    <row r="104">
      <c r="A104" s="3" t="s">
        <v>419</v>
      </c>
      <c r="B104" s="3" t="str">
        <f>IF($A104="","",IF(countif('Womens Lineup'!B$3:B1000,CONCATENATE("=",$A104))=0,"",B$2))</f>
        <v>50 Free</v>
      </c>
      <c r="C104" s="3" t="str">
        <f>IF($A104="","",IF(countif('Womens Lineup'!C$3:C1000,CONCATENATE("=",$A104))=0,"",C$2))</f>
        <v>100 Free</v>
      </c>
      <c r="D104" s="3" t="str">
        <f>IF($A104="","",IF(countif('Womens Lineup'!D$3:D1000,CONCATENATE("=",$A104))=0,"",D$2))</f>
        <v/>
      </c>
      <c r="E104" s="3" t="str">
        <f>IF($A104="","",IF(countif('Womens Lineup'!E$3:E1000,CONCATENATE("=",$A104))=0,"",E$2))</f>
        <v/>
      </c>
      <c r="F104" s="3" t="str">
        <f>IF($A104="","",IF(countif('Womens Lineup'!F$3:F1000,CONCATENATE("=",$A104))=0,"",F$2))</f>
        <v/>
      </c>
      <c r="G104" s="3" t="str">
        <f>IF($A104="","",IF(countif('Womens Lineup'!G$3:G1000,CONCATENATE("=",$A104))=0,"",G$2))</f>
        <v>100 Back</v>
      </c>
      <c r="H104" s="3" t="str">
        <f>IF($A104="","",IF(countif('Womens Lineup'!H$3:H1000,CONCATENATE("=",$A104))=0,"",H$2))</f>
        <v>200 Back</v>
      </c>
      <c r="I104" s="3" t="str">
        <f>IF($A104="","",IF(countif('Womens Lineup'!I$3:I1000,CONCATENATE("=",$A104))=0,"",I$2))</f>
        <v>100 Breast</v>
      </c>
      <c r="J104" s="3" t="str">
        <f>IF($A104="","",IF(countif('Womens Lineup'!J$3:J1000,CONCATENATE("=",$A104))=0,"",J$2))</f>
        <v/>
      </c>
      <c r="K104" s="3" t="str">
        <f>IF($A104="","",IF(countif('Womens Lineup'!K$3:K1000,CONCATENATE("=",$A104))=0,"",K$2))</f>
        <v>100 Fly</v>
      </c>
      <c r="L104" s="3" t="str">
        <f>IF($A104="","",IF(countif('Womens Lineup'!L$3:L1000,CONCATENATE("=",$A104))=0,"",L$2))</f>
        <v/>
      </c>
      <c r="M104" s="3" t="str">
        <f>IF($A104="","",IF(countif('Womens Lineup'!M$3:M1000,CONCATENATE("=",$A104))=0,"",M$2))</f>
        <v/>
      </c>
      <c r="N104" s="3" t="str">
        <f>IF($A104="","",IF(countif('Womens Lineup'!N$3:N1000,CONCATENATE("=",$A104))=0,"",N$2))</f>
        <v/>
      </c>
      <c r="O104" s="3" t="str">
        <f>IF($A104="","",IF(countif('Womens Lineup'!O$3:O1000,CONCATENATE("=",$A104))=0,"",O$2))</f>
        <v/>
      </c>
      <c r="P104" s="3" t="str">
        <f>IF($A104="","",IF(countif('Womens Lineup'!P$3:P1000,CONCATENATE("=",$A104))=0,"",P$2))</f>
        <v/>
      </c>
      <c r="Q104" s="3" t="str">
        <f>IF($A104="","",IF(countif('Womens Lineup'!Q$3:Q1000,CONCATENATE("=",$A104))=0,"",Q$2))</f>
        <v/>
      </c>
      <c r="R104" s="3" t="str">
        <f>IF($A104="","",IF(countif('Womens Lineup'!R$3:R1000,CONCATENATE("=",$A104))=0,"",R$2))</f>
        <v/>
      </c>
      <c r="S104" s="3" t="str">
        <f>IF($A104="","",IF(countif('Womens Lineup'!S$3:S1000,CONCATENATE("=",$A104))=0,"",S$2))</f>
        <v/>
      </c>
      <c r="W104" s="3" t="str">
        <f>IFERROR(__xludf.DUMMYFUNCTION("JOIN("","",FILTER(B104:S104,B104:S104&lt;&gt;""""))"),"50 Free,100 Free,100 Back,200 Back,100 Breast,100 Fly")</f>
        <v>50 Free,100 Free,100 Back,200 Back,100 Breast,100 Fly</v>
      </c>
    </row>
    <row r="105">
      <c r="A105" s="3" t="s">
        <v>420</v>
      </c>
      <c r="B105" s="3" t="str">
        <f>IF($A105="","",IF(countif('Womens Lineup'!B$3:B1000,CONCATENATE("=",$A105))=0,"",B$2))</f>
        <v>50 Free</v>
      </c>
      <c r="C105" s="3" t="str">
        <f>IF($A105="","",IF(countif('Womens Lineup'!C$3:C1000,CONCATENATE("=",$A105))=0,"",C$2))</f>
        <v/>
      </c>
      <c r="D105" s="3" t="str">
        <f>IF($A105="","",IF(countif('Womens Lineup'!D$3:D1000,CONCATENATE("=",$A105))=0,"",D$2))</f>
        <v/>
      </c>
      <c r="E105" s="3" t="str">
        <f>IF($A105="","",IF(countif('Womens Lineup'!E$3:E1000,CONCATENATE("=",$A105))=0,"",E$2))</f>
        <v/>
      </c>
      <c r="F105" s="3" t="str">
        <f>IF($A105="","",IF(countif('Womens Lineup'!F$3:F1000,CONCATENATE("=",$A105))=0,"",F$2))</f>
        <v/>
      </c>
      <c r="G105" s="3" t="str">
        <f>IF($A105="","",IF(countif('Womens Lineup'!G$3:G1000,CONCATENATE("=",$A105))=0,"",G$2))</f>
        <v/>
      </c>
      <c r="H105" s="3" t="str">
        <f>IF($A105="","",IF(countif('Womens Lineup'!H$3:H1000,CONCATENATE("=",$A105))=0,"",H$2))</f>
        <v>200 Back</v>
      </c>
      <c r="I105" s="3" t="str">
        <f>IF($A105="","",IF(countif('Womens Lineup'!I$3:I1000,CONCATENATE("=",$A105))=0,"",I$2))</f>
        <v>100 Breast</v>
      </c>
      <c r="J105" s="3" t="str">
        <f>IF($A105="","",IF(countif('Womens Lineup'!J$3:J1000,CONCATENATE("=",$A105))=0,"",J$2))</f>
        <v>200 Breast</v>
      </c>
      <c r="K105" s="3" t="str">
        <f>IF($A105="","",IF(countif('Womens Lineup'!K$3:K1000,CONCATENATE("=",$A105))=0,"",K$2))</f>
        <v>100 Fly</v>
      </c>
      <c r="L105" s="3" t="str">
        <f>IF($A105="","",IF(countif('Womens Lineup'!L$3:L1000,CONCATENATE("=",$A105))=0,"",L$2))</f>
        <v/>
      </c>
      <c r="M105" s="3" t="str">
        <f>IF($A105="","",IF(countif('Womens Lineup'!M$3:M1000,CONCATENATE("=",$A105))=0,"",M$2))</f>
        <v>200 IM</v>
      </c>
      <c r="N105" s="3" t="str">
        <f>IF($A105="","",IF(countif('Womens Lineup'!N$3:N1000,CONCATENATE("=",$A105))=0,"",N$2))</f>
        <v/>
      </c>
      <c r="O105" s="3" t="str">
        <f>IF($A105="","",IF(countif('Womens Lineup'!O$3:O1000,CONCATENATE("=",$A105))=0,"",O$2))</f>
        <v/>
      </c>
      <c r="P105" s="3" t="str">
        <f>IF($A105="","",IF(countif('Womens Lineup'!P$3:P1000,CONCATENATE("=",$A105))=0,"",P$2))</f>
        <v/>
      </c>
      <c r="Q105" s="3" t="str">
        <f>IF($A105="","",IF(countif('Womens Lineup'!Q$3:Q1000,CONCATENATE("=",$A105))=0,"",Q$2))</f>
        <v/>
      </c>
      <c r="R105" s="3" t="str">
        <f>IF($A105="","",IF(countif('Womens Lineup'!R$3:R1000,CONCATENATE("=",$A105))=0,"",R$2))</f>
        <v/>
      </c>
      <c r="S105" s="3" t="str">
        <f>IF($A105="","",IF(countif('Womens Lineup'!S$3:S1000,CONCATENATE("=",$A105))=0,"",S$2))</f>
        <v/>
      </c>
      <c r="W105" s="3" t="str">
        <f>IFERROR(__xludf.DUMMYFUNCTION("JOIN("","",FILTER(B105:S105,B105:S105&lt;&gt;""""))"),"50 Free,200 Back,100 Breast,200 Breast,100 Fly,200 IM")</f>
        <v>50 Free,200 Back,100 Breast,200 Breast,100 Fly,200 IM</v>
      </c>
    </row>
    <row r="106">
      <c r="A106" s="3" t="s">
        <v>421</v>
      </c>
      <c r="B106" s="3" t="str">
        <f>IF($A106="","",IF(countif('Womens Lineup'!B$3:B1000,CONCATENATE("=",$A106))=0,"",B$2))</f>
        <v>50 Free</v>
      </c>
      <c r="C106" s="3" t="str">
        <f>IF($A106="","",IF(countif('Womens Lineup'!C$3:C1000,CONCATENATE("=",$A106))=0,"",C$2))</f>
        <v/>
      </c>
      <c r="D106" s="3" t="str">
        <f>IF($A106="","",IF(countif('Womens Lineup'!D$3:D1000,CONCATENATE("=",$A106))=0,"",D$2))</f>
        <v/>
      </c>
      <c r="E106" s="3" t="str">
        <f>IF($A106="","",IF(countif('Womens Lineup'!E$3:E1000,CONCATENATE("=",$A106))=0,"",E$2))</f>
        <v/>
      </c>
      <c r="F106" s="3" t="str">
        <f>IF($A106="","",IF(countif('Womens Lineup'!F$3:F1000,CONCATENATE("=",$A106))=0,"",F$2))</f>
        <v/>
      </c>
      <c r="G106" s="3" t="str">
        <f>IF($A106="","",IF(countif('Womens Lineup'!G$3:G1000,CONCATENATE("=",$A106))=0,"",G$2))</f>
        <v/>
      </c>
      <c r="H106" s="3" t="str">
        <f>IF($A106="","",IF(countif('Womens Lineup'!H$3:H1000,CONCATENATE("=",$A106))=0,"",H$2))</f>
        <v/>
      </c>
      <c r="I106" s="3" t="str">
        <f>IF($A106="","",IF(countif('Womens Lineup'!I$3:I1000,CONCATENATE("=",$A106))=0,"",I$2))</f>
        <v/>
      </c>
      <c r="J106" s="3" t="str">
        <f>IF($A106="","",IF(countif('Womens Lineup'!J$3:J1000,CONCATENATE("=",$A106))=0,"",J$2))</f>
        <v>200 Breast</v>
      </c>
      <c r="K106" s="3" t="str">
        <f>IF($A106="","",IF(countif('Womens Lineup'!K$3:K1000,CONCATENATE("=",$A106))=0,"",K$2))</f>
        <v/>
      </c>
      <c r="L106" s="3" t="str">
        <f>IF($A106="","",IF(countif('Womens Lineup'!L$3:L1000,CONCATENATE("=",$A106))=0,"",L$2))</f>
        <v/>
      </c>
      <c r="M106" s="3" t="str">
        <f>IF($A106="","",IF(countif('Womens Lineup'!M$3:M1000,CONCATENATE("=",$A106))=0,"",M$2))</f>
        <v/>
      </c>
      <c r="N106" s="3" t="str">
        <f>IF($A106="","",IF(countif('Womens Lineup'!N$3:N1000,CONCATENATE("=",$A106))=0,"",N$2))</f>
        <v/>
      </c>
      <c r="O106" s="3" t="str">
        <f>IF($A106="","",IF(countif('Womens Lineup'!O$3:O1000,CONCATENATE("=",$A106))=0,"",O$2))</f>
        <v/>
      </c>
      <c r="P106" s="3" t="str">
        <f>IF($A106="","",IF(countif('Womens Lineup'!P$3:P1000,CONCATENATE("=",$A106))=0,"",P$2))</f>
        <v/>
      </c>
      <c r="Q106" s="3" t="str">
        <f>IF($A106="","",IF(countif('Womens Lineup'!Q$3:Q1000,CONCATENATE("=",$A106))=0,"",Q$2))</f>
        <v/>
      </c>
      <c r="R106" s="3" t="str">
        <f>IF($A106="","",IF(countif('Womens Lineup'!R$3:R1000,CONCATENATE("=",$A106))=0,"",R$2))</f>
        <v/>
      </c>
      <c r="S106" s="3" t="str">
        <f>IF($A106="","",IF(countif('Womens Lineup'!S$3:S1000,CONCATENATE("=",$A106))=0,"",S$2))</f>
        <v/>
      </c>
      <c r="W106" s="3" t="str">
        <f>IFERROR(__xludf.DUMMYFUNCTION("JOIN("","",FILTER(B106:S106,B106:S106&lt;&gt;""""))"),"50 Free,200 Breast")</f>
        <v>50 Free,200 Breast</v>
      </c>
    </row>
    <row r="107">
      <c r="A107" s="3" t="s">
        <v>422</v>
      </c>
      <c r="B107" s="3" t="str">
        <f>IF($A107="","",IF(countif('Womens Lineup'!B$3:B1000,CONCATENATE("=",$A107))=0,"",B$2))</f>
        <v>50 Free</v>
      </c>
      <c r="C107" s="3" t="str">
        <f>IF($A107="","",IF(countif('Womens Lineup'!C$3:C1000,CONCATENATE("=",$A107))=0,"",C$2))</f>
        <v>100 Free</v>
      </c>
      <c r="D107" s="3" t="str">
        <f>IF($A107="","",IF(countif('Womens Lineup'!D$3:D1000,CONCATENATE("=",$A107))=0,"",D$2))</f>
        <v/>
      </c>
      <c r="E107" s="3" t="str">
        <f>IF($A107="","",IF(countif('Womens Lineup'!E$3:E1000,CONCATENATE("=",$A107))=0,"",E$2))</f>
        <v/>
      </c>
      <c r="F107" s="3" t="str">
        <f>IF($A107="","",IF(countif('Womens Lineup'!F$3:F1000,CONCATENATE("=",$A107))=0,"",F$2))</f>
        <v/>
      </c>
      <c r="G107" s="3" t="str">
        <f>IF($A107="","",IF(countif('Womens Lineup'!G$3:G1000,CONCATENATE("=",$A107))=0,"",G$2))</f>
        <v/>
      </c>
      <c r="H107" s="3" t="str">
        <f>IF($A107="","",IF(countif('Womens Lineup'!H$3:H1000,CONCATENATE("=",$A107))=0,"",H$2))</f>
        <v/>
      </c>
      <c r="I107" s="3" t="str">
        <f>IF($A107="","",IF(countif('Womens Lineup'!I$3:I1000,CONCATENATE("=",$A107))=0,"",I$2))</f>
        <v/>
      </c>
      <c r="J107" s="3" t="str">
        <f>IF($A107="","",IF(countif('Womens Lineup'!J$3:J1000,CONCATENATE("=",$A107))=0,"",J$2))</f>
        <v/>
      </c>
      <c r="K107" s="3" t="str">
        <f>IF($A107="","",IF(countif('Womens Lineup'!K$3:K1000,CONCATENATE("=",$A107))=0,"",K$2))</f>
        <v>100 Fly</v>
      </c>
      <c r="L107" s="3" t="str">
        <f>IF($A107="","",IF(countif('Womens Lineup'!L$3:L1000,CONCATENATE("=",$A107))=0,"",L$2))</f>
        <v>200 Fly</v>
      </c>
      <c r="M107" s="3" t="str">
        <f>IF($A107="","",IF(countif('Womens Lineup'!M$3:M1000,CONCATENATE("=",$A107))=0,"",M$2))</f>
        <v>200 IM</v>
      </c>
      <c r="N107" s="3" t="str">
        <f>IF($A107="","",IF(countif('Womens Lineup'!N$3:N1000,CONCATENATE("=",$A107))=0,"",N$2))</f>
        <v>400 IM</v>
      </c>
      <c r="O107" s="3" t="str">
        <f>IF($A107="","",IF(countif('Womens Lineup'!O$3:O1000,CONCATENATE("=",$A107))=0,"",O$2))</f>
        <v/>
      </c>
      <c r="P107" s="3" t="str">
        <f>IF($A107="","",IF(countif('Womens Lineup'!P$3:P1000,CONCATENATE("=",$A107))=0,"",P$2))</f>
        <v/>
      </c>
      <c r="Q107" s="3" t="str">
        <f>IF($A107="","",IF(countif('Womens Lineup'!Q$3:Q1000,CONCATENATE("=",$A107))=0,"",Q$2))</f>
        <v/>
      </c>
      <c r="R107" s="3" t="str">
        <f>IF($A107="","",IF(countif('Womens Lineup'!R$3:R1000,CONCATENATE("=",$A107))=0,"",R$2))</f>
        <v/>
      </c>
      <c r="S107" s="3" t="str">
        <f>IF($A107="","",IF(countif('Womens Lineup'!S$3:S1000,CONCATENATE("=",$A107))=0,"",S$2))</f>
        <v/>
      </c>
      <c r="W107" s="3" t="str">
        <f>IFERROR(__xludf.DUMMYFUNCTION("JOIN("","",FILTER(B107:S107,B107:S107&lt;&gt;""""))"),"50 Free,100 Free,100 Fly,200 Fly,200 IM,400 IM")</f>
        <v>50 Free,100 Free,100 Fly,200 Fly,200 IM,400 IM</v>
      </c>
    </row>
    <row r="108">
      <c r="A108" s="3" t="s">
        <v>423</v>
      </c>
      <c r="B108" s="3" t="str">
        <f>IF($A108="","",IF(countif('Womens Lineup'!B$3:B1000,CONCATENATE("=",$A108))=0,"",B$2))</f>
        <v>50 Free</v>
      </c>
      <c r="C108" s="3" t="str">
        <f>IF($A108="","",IF(countif('Womens Lineup'!C$3:C1000,CONCATENATE("=",$A108))=0,"",C$2))</f>
        <v/>
      </c>
      <c r="D108" s="3" t="str">
        <f>IF($A108="","",IF(countif('Womens Lineup'!D$3:D1000,CONCATENATE("=",$A108))=0,"",D$2))</f>
        <v>200 Free</v>
      </c>
      <c r="E108" s="3" t="str">
        <f>IF($A108="","",IF(countif('Womens Lineup'!E$3:E1000,CONCATENATE("=",$A108))=0,"",E$2))</f>
        <v/>
      </c>
      <c r="F108" s="3" t="str">
        <f>IF($A108="","",IF(countif('Womens Lineup'!F$3:F1000,CONCATENATE("=",$A108))=0,"",F$2))</f>
        <v/>
      </c>
      <c r="G108" s="3" t="str">
        <f>IF($A108="","",IF(countif('Womens Lineup'!G$3:G1000,CONCATENATE("=",$A108))=0,"",G$2))</f>
        <v/>
      </c>
      <c r="H108" s="3" t="str">
        <f>IF($A108="","",IF(countif('Womens Lineup'!H$3:H1000,CONCATENATE("=",$A108))=0,"",H$2))</f>
        <v/>
      </c>
      <c r="I108" s="3" t="str">
        <f>IF($A108="","",IF(countif('Womens Lineup'!I$3:I1000,CONCATENATE("=",$A108))=0,"",I$2))</f>
        <v/>
      </c>
      <c r="J108" s="3" t="str">
        <f>IF($A108="","",IF(countif('Womens Lineup'!J$3:J1000,CONCATENATE("=",$A108))=0,"",J$2))</f>
        <v/>
      </c>
      <c r="K108" s="3" t="str">
        <f>IF($A108="","",IF(countif('Womens Lineup'!K$3:K1000,CONCATENATE("=",$A108))=0,"",K$2))</f>
        <v/>
      </c>
      <c r="L108" s="3" t="str">
        <f>IF($A108="","",IF(countif('Womens Lineup'!L$3:L1000,CONCATENATE("=",$A108))=0,"",L$2))</f>
        <v/>
      </c>
      <c r="M108" s="3" t="str">
        <f>IF($A108="","",IF(countif('Womens Lineup'!M$3:M1000,CONCATENATE("=",$A108))=0,"",M$2))</f>
        <v/>
      </c>
      <c r="N108" s="3" t="str">
        <f>IF($A108="","",IF(countif('Womens Lineup'!N$3:N1000,CONCATENATE("=",$A108))=0,"",N$2))</f>
        <v/>
      </c>
      <c r="O108" s="3" t="str">
        <f>IF($A108="","",IF(countif('Womens Lineup'!O$3:O1000,CONCATENATE("=",$A108))=0,"",O$2))</f>
        <v/>
      </c>
      <c r="P108" s="3" t="str">
        <f>IF($A108="","",IF(countif('Womens Lineup'!P$3:P1000,CONCATENATE("=",$A108))=0,"",P$2))</f>
        <v/>
      </c>
      <c r="Q108" s="3" t="str">
        <f>IF($A108="","",IF(countif('Womens Lineup'!Q$3:Q1000,CONCATENATE("=",$A108))=0,"",Q$2))</f>
        <v/>
      </c>
      <c r="R108" s="3" t="str">
        <f>IF($A108="","",IF(countif('Womens Lineup'!R$3:R1000,CONCATENATE("=",$A108))=0,"",R$2))</f>
        <v/>
      </c>
      <c r="S108" s="3" t="str">
        <f>IF($A108="","",IF(countif('Womens Lineup'!S$3:S1000,CONCATENATE("=",$A108))=0,"",S$2))</f>
        <v/>
      </c>
      <c r="W108" s="3" t="str">
        <f>IFERROR(__xludf.DUMMYFUNCTION("JOIN("","",FILTER(B108:S108,B108:S108&lt;&gt;""""))"),"50 Free,200 Free")</f>
        <v>50 Free,200 Free</v>
      </c>
    </row>
    <row r="109">
      <c r="A109" s="3" t="s">
        <v>424</v>
      </c>
      <c r="B109" s="3" t="str">
        <f>IF($A109="","",IF(countif('Womens Lineup'!B$3:B1000,CONCATENATE("=",$A109))=0,"",B$2))</f>
        <v>50 Free</v>
      </c>
      <c r="C109" s="3" t="str">
        <f>IF($A109="","",IF(countif('Womens Lineup'!C$3:C1000,CONCATENATE("=",$A109))=0,"",C$2))</f>
        <v>100 Free</v>
      </c>
      <c r="D109" s="3" t="str">
        <f>IF($A109="","",IF(countif('Womens Lineup'!D$3:D1000,CONCATENATE("=",$A109))=0,"",D$2))</f>
        <v/>
      </c>
      <c r="E109" s="3" t="str">
        <f>IF($A109="","",IF(countif('Womens Lineup'!E$3:E1000,CONCATENATE("=",$A109))=0,"",E$2))</f>
        <v/>
      </c>
      <c r="F109" s="3" t="str">
        <f>IF($A109="","",IF(countif('Womens Lineup'!F$3:F1000,CONCATENATE("=",$A109))=0,"",F$2))</f>
        <v/>
      </c>
      <c r="G109" s="3" t="str">
        <f>IF($A109="","",IF(countif('Womens Lineup'!G$3:G1000,CONCATENATE("=",$A109))=0,"",G$2))</f>
        <v/>
      </c>
      <c r="H109" s="3" t="str">
        <f>IF($A109="","",IF(countif('Womens Lineup'!H$3:H1000,CONCATENATE("=",$A109))=0,"",H$2))</f>
        <v/>
      </c>
      <c r="I109" s="3" t="str">
        <f>IF($A109="","",IF(countif('Womens Lineup'!I$3:I1000,CONCATENATE("=",$A109))=0,"",I$2))</f>
        <v/>
      </c>
      <c r="J109" s="3" t="str">
        <f>IF($A109="","",IF(countif('Womens Lineup'!J$3:J1000,CONCATENATE("=",$A109))=0,"",J$2))</f>
        <v/>
      </c>
      <c r="K109" s="3" t="str">
        <f>IF($A109="","",IF(countif('Womens Lineup'!K$3:K1000,CONCATENATE("=",$A109))=0,"",K$2))</f>
        <v/>
      </c>
      <c r="L109" s="3" t="str">
        <f>IF($A109="","",IF(countif('Womens Lineup'!L$3:L1000,CONCATENATE("=",$A109))=0,"",L$2))</f>
        <v/>
      </c>
      <c r="M109" s="3" t="str">
        <f>IF($A109="","",IF(countif('Womens Lineup'!M$3:M1000,CONCATENATE("=",$A109))=0,"",M$2))</f>
        <v/>
      </c>
      <c r="N109" s="3" t="str">
        <f>IF($A109="","",IF(countif('Womens Lineup'!N$3:N1000,CONCATENATE("=",$A109))=0,"",N$2))</f>
        <v/>
      </c>
      <c r="O109" s="3" t="str">
        <f>IF($A109="","",IF(countif('Womens Lineup'!O$3:O1000,CONCATENATE("=",$A109))=0,"",O$2))</f>
        <v/>
      </c>
      <c r="P109" s="3" t="str">
        <f>IF($A109="","",IF(countif('Womens Lineup'!P$3:P1000,CONCATENATE("=",$A109))=0,"",P$2))</f>
        <v/>
      </c>
      <c r="Q109" s="3" t="str">
        <f>IF($A109="","",IF(countif('Womens Lineup'!Q$3:Q1000,CONCATENATE("=",$A109))=0,"",Q$2))</f>
        <v/>
      </c>
      <c r="R109" s="3" t="str">
        <f>IF($A109="","",IF(countif('Womens Lineup'!R$3:R1000,CONCATENATE("=",$A109))=0,"",R$2))</f>
        <v/>
      </c>
      <c r="S109" s="3" t="str">
        <f>IF($A109="","",IF(countif('Womens Lineup'!S$3:S1000,CONCATENATE("=",$A109))=0,"",S$2))</f>
        <v/>
      </c>
      <c r="W109" s="3" t="str">
        <f>IFERROR(__xludf.DUMMYFUNCTION("JOIN("","",FILTER(B109:S109,B109:S109&lt;&gt;""""))"),"50 Free,100 Free")</f>
        <v>50 Free,100 Free</v>
      </c>
    </row>
    <row r="110">
      <c r="A110" s="3" t="s">
        <v>425</v>
      </c>
      <c r="B110" s="3" t="str">
        <f>IF($A110="","",IF(countif('Womens Lineup'!B$3:B1000,CONCATENATE("=",$A110))=0,"",B$2))</f>
        <v>50 Free</v>
      </c>
      <c r="C110" s="3" t="str">
        <f>IF($A110="","",IF(countif('Womens Lineup'!C$3:C1000,CONCATENATE("=",$A110))=0,"",C$2))</f>
        <v>100 Free</v>
      </c>
      <c r="D110" s="3" t="str">
        <f>IF($A110="","",IF(countif('Womens Lineup'!D$3:D1000,CONCATENATE("=",$A110))=0,"",D$2))</f>
        <v/>
      </c>
      <c r="E110" s="3" t="str">
        <f>IF($A110="","",IF(countif('Womens Lineup'!E$3:E1000,CONCATENATE("=",$A110))=0,"",E$2))</f>
        <v/>
      </c>
      <c r="F110" s="3" t="str">
        <f>IF($A110="","",IF(countif('Womens Lineup'!F$3:F1000,CONCATENATE("=",$A110))=0,"",F$2))</f>
        <v/>
      </c>
      <c r="G110" s="3" t="str">
        <f>IF($A110="","",IF(countif('Womens Lineup'!G$3:G1000,CONCATENATE("=",$A110))=0,"",G$2))</f>
        <v/>
      </c>
      <c r="H110" s="3" t="str">
        <f>IF($A110="","",IF(countif('Womens Lineup'!H$3:H1000,CONCATENATE("=",$A110))=0,"",H$2))</f>
        <v/>
      </c>
      <c r="I110" s="3" t="str">
        <f>IF($A110="","",IF(countif('Womens Lineup'!I$3:I1000,CONCATENATE("=",$A110))=0,"",I$2))</f>
        <v/>
      </c>
      <c r="J110" s="3" t="str">
        <f>IF($A110="","",IF(countif('Womens Lineup'!J$3:J1000,CONCATENATE("=",$A110))=0,"",J$2))</f>
        <v/>
      </c>
      <c r="K110" s="3" t="str">
        <f>IF($A110="","",IF(countif('Womens Lineup'!K$3:K1000,CONCATENATE("=",$A110))=0,"",K$2))</f>
        <v/>
      </c>
      <c r="L110" s="3" t="str">
        <f>IF($A110="","",IF(countif('Womens Lineup'!L$3:L1000,CONCATENATE("=",$A110))=0,"",L$2))</f>
        <v/>
      </c>
      <c r="M110" s="3" t="str">
        <f>IF($A110="","",IF(countif('Womens Lineup'!M$3:M1000,CONCATENATE("=",$A110))=0,"",M$2))</f>
        <v/>
      </c>
      <c r="N110" s="3" t="str">
        <f>IF($A110="","",IF(countif('Womens Lineup'!N$3:N1000,CONCATENATE("=",$A110))=0,"",N$2))</f>
        <v/>
      </c>
      <c r="O110" s="3" t="str">
        <f>IF($A110="","",IF(countif('Womens Lineup'!O$3:O1000,CONCATENATE("=",$A110))=0,"",O$2))</f>
        <v/>
      </c>
      <c r="P110" s="3" t="str">
        <f>IF($A110="","",IF(countif('Womens Lineup'!P$3:P1000,CONCATENATE("=",$A110))=0,"",P$2))</f>
        <v/>
      </c>
      <c r="Q110" s="3" t="str">
        <f>IF($A110="","",IF(countif('Womens Lineup'!Q$3:Q1000,CONCATENATE("=",$A110))=0,"",Q$2))</f>
        <v/>
      </c>
      <c r="R110" s="3" t="str">
        <f>IF($A110="","",IF(countif('Womens Lineup'!R$3:R1000,CONCATENATE("=",$A110))=0,"",R$2))</f>
        <v/>
      </c>
      <c r="S110" s="3" t="str">
        <f>IF($A110="","",IF(countif('Womens Lineup'!S$3:S1000,CONCATENATE("=",$A110))=0,"",S$2))</f>
        <v/>
      </c>
      <c r="W110" s="3" t="str">
        <f>IFERROR(__xludf.DUMMYFUNCTION("JOIN("","",FILTER(B110:S110,B110:S110&lt;&gt;""""))"),"50 Free,100 Free")</f>
        <v>50 Free,100 Free</v>
      </c>
    </row>
    <row r="111">
      <c r="A111" s="3" t="s">
        <v>426</v>
      </c>
      <c r="B111" s="3" t="str">
        <f>IF($A111="","",IF(countif('Womens Lineup'!B$3:B1000,CONCATENATE("=",$A111))=0,"",B$2))</f>
        <v>50 Free</v>
      </c>
      <c r="C111" s="3" t="str">
        <f>IF($A111="","",IF(countif('Womens Lineup'!C$3:C1000,CONCATENATE("=",$A111))=0,"",C$2))</f>
        <v>100 Free</v>
      </c>
      <c r="D111" s="3" t="str">
        <f>IF($A111="","",IF(countif('Womens Lineup'!D$3:D1000,CONCATENATE("=",$A111))=0,"",D$2))</f>
        <v>200 Free</v>
      </c>
      <c r="E111" s="3" t="str">
        <f>IF($A111="","",IF(countif('Womens Lineup'!E$3:E1000,CONCATENATE("=",$A111))=0,"",E$2))</f>
        <v>500 Free</v>
      </c>
      <c r="F111" s="3" t="str">
        <f>IF($A111="","",IF(countif('Womens Lineup'!F$3:F1000,CONCATENATE("=",$A111))=0,"",F$2))</f>
        <v>1650 Free</v>
      </c>
      <c r="G111" s="3" t="str">
        <f>IF($A111="","",IF(countif('Womens Lineup'!G$3:G1000,CONCATENATE("=",$A111))=0,"",G$2))</f>
        <v/>
      </c>
      <c r="H111" s="3" t="str">
        <f>IF($A111="","",IF(countif('Womens Lineup'!H$3:H1000,CONCATENATE("=",$A111))=0,"",H$2))</f>
        <v/>
      </c>
      <c r="I111" s="3" t="str">
        <f>IF($A111="","",IF(countif('Womens Lineup'!I$3:I1000,CONCATENATE("=",$A111))=0,"",I$2))</f>
        <v/>
      </c>
      <c r="J111" s="3" t="str">
        <f>IF($A111="","",IF(countif('Womens Lineup'!J$3:J1000,CONCATENATE("=",$A111))=0,"",J$2))</f>
        <v/>
      </c>
      <c r="K111" s="3" t="str">
        <f>IF($A111="","",IF(countif('Womens Lineup'!K$3:K1000,CONCATENATE("=",$A111))=0,"",K$2))</f>
        <v/>
      </c>
      <c r="L111" s="3" t="str">
        <f>IF($A111="","",IF(countif('Womens Lineup'!L$3:L1000,CONCATENATE("=",$A111))=0,"",L$2))</f>
        <v/>
      </c>
      <c r="M111" s="3" t="str">
        <f>IF($A111="","",IF(countif('Womens Lineup'!M$3:M1000,CONCATENATE("=",$A111))=0,"",M$2))</f>
        <v/>
      </c>
      <c r="N111" s="3" t="str">
        <f>IF($A111="","",IF(countif('Womens Lineup'!N$3:N1000,CONCATENATE("=",$A111))=0,"",N$2))</f>
        <v/>
      </c>
      <c r="O111" s="3" t="str">
        <f>IF($A111="","",IF(countif('Womens Lineup'!O$3:O1000,CONCATENATE("=",$A111))=0,"",O$2))</f>
        <v>1000 Free</v>
      </c>
      <c r="P111" s="3" t="str">
        <f>IF($A111="","",IF(countif('Womens Lineup'!P$3:P1000,CONCATENATE("=",$A111))=0,"",P$2))</f>
        <v/>
      </c>
      <c r="Q111" s="3" t="str">
        <f>IF($A111="","",IF(countif('Womens Lineup'!Q$3:Q1000,CONCATENATE("=",$A111))=0,"",Q$2))</f>
        <v/>
      </c>
      <c r="R111" s="3" t="str">
        <f>IF($A111="","",IF(countif('Womens Lineup'!R$3:R1000,CONCATENATE("=",$A111))=0,"",R$2))</f>
        <v/>
      </c>
      <c r="S111" s="3" t="str">
        <f>IF($A111="","",IF(countif('Womens Lineup'!S$3:S1000,CONCATENATE("=",$A111))=0,"",S$2))</f>
        <v/>
      </c>
      <c r="W111" s="3" t="str">
        <f>IFERROR(__xludf.DUMMYFUNCTION("JOIN("","",FILTER(B111:S111,B111:S111&lt;&gt;""""))"),"50 Free,100 Free,200 Free,500 Free,1650 Free,1000 Free")</f>
        <v>50 Free,100 Free,200 Free,500 Free,1650 Free,1000 Free</v>
      </c>
    </row>
    <row r="112">
      <c r="A112" s="3" t="s">
        <v>427</v>
      </c>
      <c r="B112" s="3" t="str">
        <f>IF($A112="","",IF(countif('Womens Lineup'!B$3:B1000,CONCATENATE("=",$A112))=0,"",B$2))</f>
        <v>50 Free</v>
      </c>
      <c r="C112" s="3" t="str">
        <f>IF($A112="","",IF(countif('Womens Lineup'!C$3:C1000,CONCATENATE("=",$A112))=0,"",C$2))</f>
        <v/>
      </c>
      <c r="D112" s="3" t="str">
        <f>IF($A112="","",IF(countif('Womens Lineup'!D$3:D1000,CONCATENATE("=",$A112))=0,"",D$2))</f>
        <v>200 Free</v>
      </c>
      <c r="E112" s="3" t="str">
        <f>IF($A112="","",IF(countif('Womens Lineup'!E$3:E1000,CONCATENATE("=",$A112))=0,"",E$2))</f>
        <v/>
      </c>
      <c r="F112" s="3" t="str">
        <f>IF($A112="","",IF(countif('Womens Lineup'!F$3:F1000,CONCATENATE("=",$A112))=0,"",F$2))</f>
        <v/>
      </c>
      <c r="G112" s="3" t="str">
        <f>IF($A112="","",IF(countif('Womens Lineup'!G$3:G1000,CONCATENATE("=",$A112))=0,"",G$2))</f>
        <v>100 Back</v>
      </c>
      <c r="H112" s="3" t="str">
        <f>IF($A112="","",IF(countif('Womens Lineup'!H$3:H1000,CONCATENATE("=",$A112))=0,"",H$2))</f>
        <v>200 Back</v>
      </c>
      <c r="I112" s="3" t="str">
        <f>IF($A112="","",IF(countif('Womens Lineup'!I$3:I1000,CONCATENATE("=",$A112))=0,"",I$2))</f>
        <v/>
      </c>
      <c r="J112" s="3" t="str">
        <f>IF($A112="","",IF(countif('Womens Lineup'!J$3:J1000,CONCATENATE("=",$A112))=0,"",J$2))</f>
        <v/>
      </c>
      <c r="K112" s="3" t="str">
        <f>IF($A112="","",IF(countif('Womens Lineup'!K$3:K1000,CONCATENATE("=",$A112))=0,"",K$2))</f>
        <v>100 Fly</v>
      </c>
      <c r="L112" s="3" t="str">
        <f>IF($A112="","",IF(countif('Womens Lineup'!L$3:L1000,CONCATENATE("=",$A112))=0,"",L$2))</f>
        <v/>
      </c>
      <c r="M112" s="3" t="str">
        <f>IF($A112="","",IF(countif('Womens Lineup'!M$3:M1000,CONCATENATE("=",$A112))=0,"",M$2))</f>
        <v>200 IM</v>
      </c>
      <c r="N112" s="3" t="str">
        <f>IF($A112="","",IF(countif('Womens Lineup'!N$3:N1000,CONCATENATE("=",$A112))=0,"",N$2))</f>
        <v/>
      </c>
      <c r="O112" s="3" t="str">
        <f>IF($A112="","",IF(countif('Womens Lineup'!O$3:O1000,CONCATENATE("=",$A112))=0,"",O$2))</f>
        <v/>
      </c>
      <c r="P112" s="3" t="str">
        <f>IF($A112="","",IF(countif('Womens Lineup'!P$3:P1000,CONCATENATE("=",$A112))=0,"",P$2))</f>
        <v/>
      </c>
      <c r="Q112" s="3" t="str">
        <f>IF($A112="","",IF(countif('Womens Lineup'!Q$3:Q1000,CONCATENATE("=",$A112))=0,"",Q$2))</f>
        <v/>
      </c>
      <c r="R112" s="3" t="str">
        <f>IF($A112="","",IF(countif('Womens Lineup'!R$3:R1000,CONCATENATE("=",$A112))=0,"",R$2))</f>
        <v/>
      </c>
      <c r="S112" s="3" t="str">
        <f>IF($A112="","",IF(countif('Womens Lineup'!S$3:S1000,CONCATENATE("=",$A112))=0,"",S$2))</f>
        <v/>
      </c>
      <c r="W112" s="3" t="str">
        <f>IFERROR(__xludf.DUMMYFUNCTION("JOIN("","",FILTER(B112:S112,B112:S112&lt;&gt;""""))"),"50 Free,200 Free,100 Back,200 Back,100 Fly,200 IM")</f>
        <v>50 Free,200 Free,100 Back,200 Back,100 Fly,200 IM</v>
      </c>
    </row>
    <row r="113">
      <c r="A113" s="3" t="s">
        <v>428</v>
      </c>
      <c r="B113" s="3" t="str">
        <f>IF($A113="","",IF(countif('Womens Lineup'!B$3:B1000,CONCATENATE("=",$A113))=0,"",B$2))</f>
        <v>50 Free</v>
      </c>
      <c r="C113" s="3" t="str">
        <f>IF($A113="","",IF(countif('Womens Lineup'!C$3:C1000,CONCATENATE("=",$A113))=0,"",C$2))</f>
        <v/>
      </c>
      <c r="D113" s="3" t="str">
        <f>IF($A113="","",IF(countif('Womens Lineup'!D$3:D1000,CONCATENATE("=",$A113))=0,"",D$2))</f>
        <v/>
      </c>
      <c r="E113" s="3" t="str">
        <f>IF($A113="","",IF(countif('Womens Lineup'!E$3:E1000,CONCATENATE("=",$A113))=0,"",E$2))</f>
        <v/>
      </c>
      <c r="F113" s="3" t="str">
        <f>IF($A113="","",IF(countif('Womens Lineup'!F$3:F1000,CONCATENATE("=",$A113))=0,"",F$2))</f>
        <v/>
      </c>
      <c r="G113" s="3" t="str">
        <f>IF($A113="","",IF(countif('Womens Lineup'!G$3:G1000,CONCATENATE("=",$A113))=0,"",G$2))</f>
        <v/>
      </c>
      <c r="H113" s="3" t="str">
        <f>IF($A113="","",IF(countif('Womens Lineup'!H$3:H1000,CONCATENATE("=",$A113))=0,"",H$2))</f>
        <v/>
      </c>
      <c r="I113" s="3" t="str">
        <f>IF($A113="","",IF(countif('Womens Lineup'!I$3:I1000,CONCATENATE("=",$A113))=0,"",I$2))</f>
        <v/>
      </c>
      <c r="J113" s="3" t="str">
        <f>IF($A113="","",IF(countif('Womens Lineup'!J$3:J1000,CONCATENATE("=",$A113))=0,"",J$2))</f>
        <v/>
      </c>
      <c r="K113" s="3" t="str">
        <f>IF($A113="","",IF(countif('Womens Lineup'!K$3:K1000,CONCATENATE("=",$A113))=0,"",K$2))</f>
        <v/>
      </c>
      <c r="L113" s="3" t="str">
        <f>IF($A113="","",IF(countif('Womens Lineup'!L$3:L1000,CONCATENATE("=",$A113))=0,"",L$2))</f>
        <v/>
      </c>
      <c r="M113" s="3" t="str">
        <f>IF($A113="","",IF(countif('Womens Lineup'!M$3:M1000,CONCATENATE("=",$A113))=0,"",M$2))</f>
        <v/>
      </c>
      <c r="N113" s="3" t="str">
        <f>IF($A113="","",IF(countif('Womens Lineup'!N$3:N1000,CONCATENATE("=",$A113))=0,"",N$2))</f>
        <v/>
      </c>
      <c r="O113" s="3" t="str">
        <f>IF($A113="","",IF(countif('Womens Lineup'!O$3:O1000,CONCATENATE("=",$A113))=0,"",O$2))</f>
        <v/>
      </c>
      <c r="P113" s="3" t="str">
        <f>IF($A113="","",IF(countif('Womens Lineup'!P$3:P1000,CONCATENATE("=",$A113))=0,"",P$2))</f>
        <v/>
      </c>
      <c r="Q113" s="3" t="str">
        <f>IF($A113="","",IF(countif('Womens Lineup'!Q$3:Q1000,CONCATENATE("=",$A113))=0,"",Q$2))</f>
        <v/>
      </c>
      <c r="R113" s="3" t="str">
        <f>IF($A113="","",IF(countif('Womens Lineup'!R$3:R1000,CONCATENATE("=",$A113))=0,"",R$2))</f>
        <v/>
      </c>
      <c r="S113" s="3" t="str">
        <f>IF($A113="","",IF(countif('Womens Lineup'!S$3:S1000,CONCATENATE("=",$A113))=0,"",S$2))</f>
        <v/>
      </c>
      <c r="W113" s="3" t="str">
        <f>IFERROR(__xludf.DUMMYFUNCTION("JOIN("","",FILTER(B113:S113,B113:S113&lt;&gt;""""))"),"50 Free")</f>
        <v>50 Free</v>
      </c>
    </row>
    <row r="114">
      <c r="A114" s="3" t="s">
        <v>429</v>
      </c>
      <c r="B114" s="3" t="str">
        <f>IF($A114="","",IF(countif('Womens Lineup'!B$3:B1000,CONCATENATE("=",$A114))=0,"",B$2))</f>
        <v>50 Free</v>
      </c>
      <c r="C114" s="3" t="str">
        <f>IF($A114="","",IF(countif('Womens Lineup'!C$3:C1000,CONCATENATE("=",$A114))=0,"",C$2))</f>
        <v>100 Free</v>
      </c>
      <c r="D114" s="3" t="str">
        <f>IF($A114="","",IF(countif('Womens Lineup'!D$3:D1000,CONCATENATE("=",$A114))=0,"",D$2))</f>
        <v/>
      </c>
      <c r="E114" s="3" t="str">
        <f>IF($A114="","",IF(countif('Womens Lineup'!E$3:E1000,CONCATENATE("=",$A114))=0,"",E$2))</f>
        <v/>
      </c>
      <c r="F114" s="3" t="str">
        <f>IF($A114="","",IF(countif('Womens Lineup'!F$3:F1000,CONCATENATE("=",$A114))=0,"",F$2))</f>
        <v/>
      </c>
      <c r="G114" s="3" t="str">
        <f>IF($A114="","",IF(countif('Womens Lineup'!G$3:G1000,CONCATENATE("=",$A114))=0,"",G$2))</f>
        <v/>
      </c>
      <c r="H114" s="3" t="str">
        <f>IF($A114="","",IF(countif('Womens Lineup'!H$3:H1000,CONCATENATE("=",$A114))=0,"",H$2))</f>
        <v/>
      </c>
      <c r="I114" s="3" t="str">
        <f>IF($A114="","",IF(countif('Womens Lineup'!I$3:I1000,CONCATENATE("=",$A114))=0,"",I$2))</f>
        <v>100 Breast</v>
      </c>
      <c r="J114" s="3" t="str">
        <f>IF($A114="","",IF(countif('Womens Lineup'!J$3:J1000,CONCATENATE("=",$A114))=0,"",J$2))</f>
        <v>200 Breast</v>
      </c>
      <c r="K114" s="3" t="str">
        <f>IF($A114="","",IF(countif('Womens Lineup'!K$3:K1000,CONCATENATE("=",$A114))=0,"",K$2))</f>
        <v>100 Fly</v>
      </c>
      <c r="L114" s="3" t="str">
        <f>IF($A114="","",IF(countif('Womens Lineup'!L$3:L1000,CONCATENATE("=",$A114))=0,"",L$2))</f>
        <v/>
      </c>
      <c r="M114" s="3" t="str">
        <f>IF($A114="","",IF(countif('Womens Lineup'!M$3:M1000,CONCATENATE("=",$A114))=0,"",M$2))</f>
        <v>200 IM</v>
      </c>
      <c r="N114" s="3" t="str">
        <f>IF($A114="","",IF(countif('Womens Lineup'!N$3:N1000,CONCATENATE("=",$A114))=0,"",N$2))</f>
        <v/>
      </c>
      <c r="O114" s="3" t="str">
        <f>IF($A114="","",IF(countif('Womens Lineup'!O$3:O1000,CONCATENATE("=",$A114))=0,"",O$2))</f>
        <v/>
      </c>
      <c r="P114" s="3" t="str">
        <f>IF($A114="","",IF(countif('Womens Lineup'!P$3:P1000,CONCATENATE("=",$A114))=0,"",P$2))</f>
        <v/>
      </c>
      <c r="Q114" s="3" t="str">
        <f>IF($A114="","",IF(countif('Womens Lineup'!Q$3:Q1000,CONCATENATE("=",$A114))=0,"",Q$2))</f>
        <v/>
      </c>
      <c r="R114" s="3" t="str">
        <f>IF($A114="","",IF(countif('Womens Lineup'!R$3:R1000,CONCATENATE("=",$A114))=0,"",R$2))</f>
        <v/>
      </c>
      <c r="S114" s="3" t="str">
        <f>IF($A114="","",IF(countif('Womens Lineup'!S$3:S1000,CONCATENATE("=",$A114))=0,"",S$2))</f>
        <v/>
      </c>
      <c r="W114" s="3" t="str">
        <f>IFERROR(__xludf.DUMMYFUNCTION("JOIN("","",FILTER(B114:S114,B114:S114&lt;&gt;""""))"),"50 Free,100 Free,100 Breast,200 Breast,100 Fly,200 IM")</f>
        <v>50 Free,100 Free,100 Breast,200 Breast,100 Fly,200 IM</v>
      </c>
    </row>
    <row r="115">
      <c r="A115" s="3" t="s">
        <v>430</v>
      </c>
      <c r="B115" s="3" t="str">
        <f>IF($A115="","",IF(countif('Womens Lineup'!B$3:B1000,CONCATENATE("=",$A115))=0,"",B$2))</f>
        <v>50 Free</v>
      </c>
      <c r="C115" s="3" t="str">
        <f>IF($A115="","",IF(countif('Womens Lineup'!C$3:C1000,CONCATENATE("=",$A115))=0,"",C$2))</f>
        <v/>
      </c>
      <c r="D115" s="3" t="str">
        <f>IF($A115="","",IF(countif('Womens Lineup'!D$3:D1000,CONCATENATE("=",$A115))=0,"",D$2))</f>
        <v/>
      </c>
      <c r="E115" s="3" t="str">
        <f>IF($A115="","",IF(countif('Womens Lineup'!E$3:E1000,CONCATENATE("=",$A115))=0,"",E$2))</f>
        <v/>
      </c>
      <c r="F115" s="3" t="str">
        <f>IF($A115="","",IF(countif('Womens Lineup'!F$3:F1000,CONCATENATE("=",$A115))=0,"",F$2))</f>
        <v/>
      </c>
      <c r="G115" s="3" t="str">
        <f>IF($A115="","",IF(countif('Womens Lineup'!G$3:G1000,CONCATENATE("=",$A115))=0,"",G$2))</f>
        <v/>
      </c>
      <c r="H115" s="3" t="str">
        <f>IF($A115="","",IF(countif('Womens Lineup'!H$3:H1000,CONCATENATE("=",$A115))=0,"",H$2))</f>
        <v/>
      </c>
      <c r="I115" s="3" t="str">
        <f>IF($A115="","",IF(countif('Womens Lineup'!I$3:I1000,CONCATENATE("=",$A115))=0,"",I$2))</f>
        <v>100 Breast</v>
      </c>
      <c r="J115" s="3" t="str">
        <f>IF($A115="","",IF(countif('Womens Lineup'!J$3:J1000,CONCATENATE("=",$A115))=0,"",J$2))</f>
        <v>200 Breast</v>
      </c>
      <c r="K115" s="3" t="str">
        <f>IF($A115="","",IF(countif('Womens Lineup'!K$3:K1000,CONCATENATE("=",$A115))=0,"",K$2))</f>
        <v/>
      </c>
      <c r="L115" s="3" t="str">
        <f>IF($A115="","",IF(countif('Womens Lineup'!L$3:L1000,CONCATENATE("=",$A115))=0,"",L$2))</f>
        <v/>
      </c>
      <c r="M115" s="3" t="str">
        <f>IF($A115="","",IF(countif('Womens Lineup'!M$3:M1000,CONCATENATE("=",$A115))=0,"",M$2))</f>
        <v>200 IM</v>
      </c>
      <c r="N115" s="3" t="str">
        <f>IF($A115="","",IF(countif('Womens Lineup'!N$3:N1000,CONCATENATE("=",$A115))=0,"",N$2))</f>
        <v/>
      </c>
      <c r="O115" s="3" t="str">
        <f>IF($A115="","",IF(countif('Womens Lineup'!O$3:O1000,CONCATENATE("=",$A115))=0,"",O$2))</f>
        <v/>
      </c>
      <c r="P115" s="3" t="str">
        <f>IF($A115="","",IF(countif('Womens Lineup'!P$3:P1000,CONCATENATE("=",$A115))=0,"",P$2))</f>
        <v/>
      </c>
      <c r="Q115" s="3" t="str">
        <f>IF($A115="","",IF(countif('Womens Lineup'!Q$3:Q1000,CONCATENATE("=",$A115))=0,"",Q$2))</f>
        <v/>
      </c>
      <c r="R115" s="3" t="str">
        <f>IF($A115="","",IF(countif('Womens Lineup'!R$3:R1000,CONCATENATE("=",$A115))=0,"",R$2))</f>
        <v/>
      </c>
      <c r="S115" s="3" t="str">
        <f>IF($A115="","",IF(countif('Womens Lineup'!S$3:S1000,CONCATENATE("=",$A115))=0,"",S$2))</f>
        <v/>
      </c>
      <c r="W115" s="3" t="str">
        <f>IFERROR(__xludf.DUMMYFUNCTION("JOIN("","",FILTER(B115:S115,B115:S115&lt;&gt;""""))"),"50 Free,100 Breast,200 Breast,200 IM")</f>
        <v>50 Free,100 Breast,200 Breast,200 IM</v>
      </c>
    </row>
    <row r="116">
      <c r="A116" s="3" t="s">
        <v>431</v>
      </c>
      <c r="B116" s="3" t="str">
        <f>IF($A116="","",IF(countif('Womens Lineup'!B$3:B1000,CONCATENATE("=",$A116))=0,"",B$2))</f>
        <v>50 Free</v>
      </c>
      <c r="C116" s="3" t="str">
        <f>IF($A116="","",IF(countif('Womens Lineup'!C$3:C1000,CONCATENATE("=",$A116))=0,"",C$2))</f>
        <v/>
      </c>
      <c r="D116" s="3" t="str">
        <f>IF($A116="","",IF(countif('Womens Lineup'!D$3:D1000,CONCATENATE("=",$A116))=0,"",D$2))</f>
        <v/>
      </c>
      <c r="E116" s="3" t="str">
        <f>IF($A116="","",IF(countif('Womens Lineup'!E$3:E1000,CONCATENATE("=",$A116))=0,"",E$2))</f>
        <v/>
      </c>
      <c r="F116" s="3" t="str">
        <f>IF($A116="","",IF(countif('Womens Lineup'!F$3:F1000,CONCATENATE("=",$A116))=0,"",F$2))</f>
        <v/>
      </c>
      <c r="G116" s="3" t="str">
        <f>IF($A116="","",IF(countif('Womens Lineup'!G$3:G1000,CONCATENATE("=",$A116))=0,"",G$2))</f>
        <v/>
      </c>
      <c r="H116" s="3" t="str">
        <f>IF($A116="","",IF(countif('Womens Lineup'!H$3:H1000,CONCATENATE("=",$A116))=0,"",H$2))</f>
        <v/>
      </c>
      <c r="I116" s="3" t="str">
        <f>IF($A116="","",IF(countif('Womens Lineup'!I$3:I1000,CONCATENATE("=",$A116))=0,"",I$2))</f>
        <v>100 Breast</v>
      </c>
      <c r="J116" s="3" t="str">
        <f>IF($A116="","",IF(countif('Womens Lineup'!J$3:J1000,CONCATENATE("=",$A116))=0,"",J$2))</f>
        <v>200 Breast</v>
      </c>
      <c r="K116" s="3" t="str">
        <f>IF($A116="","",IF(countif('Womens Lineup'!K$3:K1000,CONCATENATE("=",$A116))=0,"",K$2))</f>
        <v>100 Fly</v>
      </c>
      <c r="L116" s="3" t="str">
        <f>IF($A116="","",IF(countif('Womens Lineup'!L$3:L1000,CONCATENATE("=",$A116))=0,"",L$2))</f>
        <v/>
      </c>
      <c r="M116" s="3" t="str">
        <f>IF($A116="","",IF(countif('Womens Lineup'!M$3:M1000,CONCATENATE("=",$A116))=0,"",M$2))</f>
        <v>200 IM</v>
      </c>
      <c r="N116" s="3" t="str">
        <f>IF($A116="","",IF(countif('Womens Lineup'!N$3:N1000,CONCATENATE("=",$A116))=0,"",N$2))</f>
        <v/>
      </c>
      <c r="O116" s="3" t="str">
        <f>IF($A116="","",IF(countif('Womens Lineup'!O$3:O1000,CONCATENATE("=",$A116))=0,"",O$2))</f>
        <v/>
      </c>
      <c r="P116" s="3" t="str">
        <f>IF($A116="","",IF(countif('Womens Lineup'!P$3:P1000,CONCATENATE("=",$A116))=0,"",P$2))</f>
        <v/>
      </c>
      <c r="Q116" s="3" t="str">
        <f>IF($A116="","",IF(countif('Womens Lineup'!Q$3:Q1000,CONCATENATE("=",$A116))=0,"",Q$2))</f>
        <v/>
      </c>
      <c r="R116" s="3" t="str">
        <f>IF($A116="","",IF(countif('Womens Lineup'!R$3:R1000,CONCATENATE("=",$A116))=0,"",R$2))</f>
        <v/>
      </c>
      <c r="S116" s="3" t="str">
        <f>IF($A116="","",IF(countif('Womens Lineup'!S$3:S1000,CONCATENATE("=",$A116))=0,"",S$2))</f>
        <v/>
      </c>
      <c r="W116" s="3" t="str">
        <f>IFERROR(__xludf.DUMMYFUNCTION("JOIN("","",FILTER(B116:S116,B116:S116&lt;&gt;""""))"),"50 Free,100 Breast,200 Breast,100 Fly,200 IM")</f>
        <v>50 Free,100 Breast,200 Breast,100 Fly,200 IM</v>
      </c>
    </row>
    <row r="117">
      <c r="A117" s="3" t="s">
        <v>432</v>
      </c>
      <c r="B117" s="3" t="str">
        <f>IF($A117="","",IF(countif('Womens Lineup'!B$3:B1000,CONCATENATE("=",$A117))=0,"",B$2))</f>
        <v>50 Free</v>
      </c>
      <c r="C117" s="3" t="str">
        <f>IF($A117="","",IF(countif('Womens Lineup'!C$3:C1000,CONCATENATE("=",$A117))=0,"",C$2))</f>
        <v>100 Free</v>
      </c>
      <c r="D117" s="3" t="str">
        <f>IF($A117="","",IF(countif('Womens Lineup'!D$3:D1000,CONCATENATE("=",$A117))=0,"",D$2))</f>
        <v>200 Free</v>
      </c>
      <c r="E117" s="3" t="str">
        <f>IF($A117="","",IF(countif('Womens Lineup'!E$3:E1000,CONCATENATE("=",$A117))=0,"",E$2))</f>
        <v/>
      </c>
      <c r="F117" s="3" t="str">
        <f>IF($A117="","",IF(countif('Womens Lineup'!F$3:F1000,CONCATENATE("=",$A117))=0,"",F$2))</f>
        <v/>
      </c>
      <c r="G117" s="3" t="str">
        <f>IF($A117="","",IF(countif('Womens Lineup'!G$3:G1000,CONCATENATE("=",$A117))=0,"",G$2))</f>
        <v>100 Back</v>
      </c>
      <c r="H117" s="3" t="str">
        <f>IF($A117="","",IF(countif('Womens Lineup'!H$3:H1000,CONCATENATE("=",$A117))=0,"",H$2))</f>
        <v>200 Back</v>
      </c>
      <c r="I117" s="3" t="str">
        <f>IF($A117="","",IF(countif('Womens Lineup'!I$3:I1000,CONCATENATE("=",$A117))=0,"",I$2))</f>
        <v/>
      </c>
      <c r="J117" s="3" t="str">
        <f>IF($A117="","",IF(countif('Womens Lineup'!J$3:J1000,CONCATENATE("=",$A117))=0,"",J$2))</f>
        <v/>
      </c>
      <c r="K117" s="3" t="str">
        <f>IF($A117="","",IF(countif('Womens Lineup'!K$3:K1000,CONCATENATE("=",$A117))=0,"",K$2))</f>
        <v/>
      </c>
      <c r="L117" s="3" t="str">
        <f>IF($A117="","",IF(countif('Womens Lineup'!L$3:L1000,CONCATENATE("=",$A117))=0,"",L$2))</f>
        <v/>
      </c>
      <c r="M117" s="3" t="str">
        <f>IF($A117="","",IF(countif('Womens Lineup'!M$3:M1000,CONCATENATE("=",$A117))=0,"",M$2))</f>
        <v/>
      </c>
      <c r="N117" s="3" t="str">
        <f>IF($A117="","",IF(countif('Womens Lineup'!N$3:N1000,CONCATENATE("=",$A117))=0,"",N$2))</f>
        <v/>
      </c>
      <c r="O117" s="3" t="str">
        <f>IF($A117="","",IF(countif('Womens Lineup'!O$3:O1000,CONCATENATE("=",$A117))=0,"",O$2))</f>
        <v/>
      </c>
      <c r="P117" s="3" t="str">
        <f>IF($A117="","",IF(countif('Womens Lineup'!P$3:P1000,CONCATENATE("=",$A117))=0,"",P$2))</f>
        <v/>
      </c>
      <c r="Q117" s="3" t="str">
        <f>IF($A117="","",IF(countif('Womens Lineup'!Q$3:Q1000,CONCATENATE("=",$A117))=0,"",Q$2))</f>
        <v/>
      </c>
      <c r="R117" s="3" t="str">
        <f>IF($A117="","",IF(countif('Womens Lineup'!R$3:R1000,CONCATENATE("=",$A117))=0,"",R$2))</f>
        <v/>
      </c>
      <c r="S117" s="3" t="str">
        <f>IF($A117="","",IF(countif('Womens Lineup'!S$3:S1000,CONCATENATE("=",$A117))=0,"",S$2))</f>
        <v/>
      </c>
      <c r="W117" s="3" t="str">
        <f>IFERROR(__xludf.DUMMYFUNCTION("JOIN("","",FILTER(B117:S117,B117:S117&lt;&gt;""""))"),"50 Free,100 Free,200 Free,100 Back,200 Back")</f>
        <v>50 Free,100 Free,200 Free,100 Back,200 Back</v>
      </c>
    </row>
    <row r="118">
      <c r="A118" s="3" t="s">
        <v>433</v>
      </c>
      <c r="B118" s="3" t="str">
        <f>IF($A118="","",IF(countif('Womens Lineup'!B$3:B1000,CONCATENATE("=",$A118))=0,"",B$2))</f>
        <v>50 Free</v>
      </c>
      <c r="C118" s="3" t="str">
        <f>IF($A118="","",IF(countif('Womens Lineup'!C$3:C1000,CONCATENATE("=",$A118))=0,"",C$2))</f>
        <v>100 Free</v>
      </c>
      <c r="D118" s="3" t="str">
        <f>IF($A118="","",IF(countif('Womens Lineup'!D$3:D1000,CONCATENATE("=",$A118))=0,"",D$2))</f>
        <v>200 Free</v>
      </c>
      <c r="E118" s="3" t="str">
        <f>IF($A118="","",IF(countif('Womens Lineup'!E$3:E1000,CONCATENATE("=",$A118))=0,"",E$2))</f>
        <v/>
      </c>
      <c r="F118" s="3" t="str">
        <f>IF($A118="","",IF(countif('Womens Lineup'!F$3:F1000,CONCATENATE("=",$A118))=0,"",F$2))</f>
        <v/>
      </c>
      <c r="G118" s="3" t="str">
        <f>IF($A118="","",IF(countif('Womens Lineup'!G$3:G1000,CONCATENATE("=",$A118))=0,"",G$2))</f>
        <v/>
      </c>
      <c r="H118" s="3" t="str">
        <f>IF($A118="","",IF(countif('Womens Lineup'!H$3:H1000,CONCATENATE("=",$A118))=0,"",H$2))</f>
        <v/>
      </c>
      <c r="I118" s="3" t="str">
        <f>IF($A118="","",IF(countif('Womens Lineup'!I$3:I1000,CONCATENATE("=",$A118))=0,"",I$2))</f>
        <v/>
      </c>
      <c r="J118" s="3" t="str">
        <f>IF($A118="","",IF(countif('Womens Lineup'!J$3:J1000,CONCATENATE("=",$A118))=0,"",J$2))</f>
        <v/>
      </c>
      <c r="K118" s="3" t="str">
        <f>IF($A118="","",IF(countif('Womens Lineup'!K$3:K1000,CONCATENATE("=",$A118))=0,"",K$2))</f>
        <v>100 Fly</v>
      </c>
      <c r="L118" s="3" t="str">
        <f>IF($A118="","",IF(countif('Womens Lineup'!L$3:L1000,CONCATENATE("=",$A118))=0,"",L$2))</f>
        <v>200 Fly</v>
      </c>
      <c r="M118" s="3" t="str">
        <f>IF($A118="","",IF(countif('Womens Lineup'!M$3:M1000,CONCATENATE("=",$A118))=0,"",M$2))</f>
        <v/>
      </c>
      <c r="N118" s="3" t="str">
        <f>IF($A118="","",IF(countif('Womens Lineup'!N$3:N1000,CONCATENATE("=",$A118))=0,"",N$2))</f>
        <v/>
      </c>
      <c r="O118" s="3" t="str">
        <f>IF($A118="","",IF(countif('Womens Lineup'!O$3:O1000,CONCATENATE("=",$A118))=0,"",O$2))</f>
        <v/>
      </c>
      <c r="P118" s="3" t="str">
        <f>IF($A118="","",IF(countif('Womens Lineup'!P$3:P1000,CONCATENATE("=",$A118))=0,"",P$2))</f>
        <v/>
      </c>
      <c r="Q118" s="3" t="str">
        <f>IF($A118="","",IF(countif('Womens Lineup'!Q$3:Q1000,CONCATENATE("=",$A118))=0,"",Q$2))</f>
        <v/>
      </c>
      <c r="R118" s="3" t="str">
        <f>IF($A118="","",IF(countif('Womens Lineup'!R$3:R1000,CONCATENATE("=",$A118))=0,"",R$2))</f>
        <v/>
      </c>
      <c r="S118" s="3" t="str">
        <f>IF($A118="","",IF(countif('Womens Lineup'!S$3:S1000,CONCATENATE("=",$A118))=0,"",S$2))</f>
        <v/>
      </c>
      <c r="W118" s="3" t="str">
        <f>IFERROR(__xludf.DUMMYFUNCTION("JOIN("","",FILTER(B118:S118,B118:S118&lt;&gt;""""))"),"50 Free,100 Free,200 Free,100 Fly,200 Fly")</f>
        <v>50 Free,100 Free,200 Free,100 Fly,200 Fly</v>
      </c>
    </row>
    <row r="119">
      <c r="A119" s="3" t="s">
        <v>434</v>
      </c>
      <c r="B119" s="3" t="str">
        <f>IF($A119="","",IF(countif('Womens Lineup'!B$3:B1000,CONCATENATE("=",$A119))=0,"",B$2))</f>
        <v>50 Free</v>
      </c>
      <c r="C119" s="3" t="str">
        <f>IF($A119="","",IF(countif('Womens Lineup'!C$3:C1000,CONCATENATE("=",$A119))=0,"",C$2))</f>
        <v>100 Free</v>
      </c>
      <c r="D119" s="3" t="str">
        <f>IF($A119="","",IF(countif('Womens Lineup'!D$3:D1000,CONCATENATE("=",$A119))=0,"",D$2))</f>
        <v/>
      </c>
      <c r="E119" s="3" t="str">
        <f>IF($A119="","",IF(countif('Womens Lineup'!E$3:E1000,CONCATENATE("=",$A119))=0,"",E$2))</f>
        <v/>
      </c>
      <c r="F119" s="3" t="str">
        <f>IF($A119="","",IF(countif('Womens Lineup'!F$3:F1000,CONCATENATE("=",$A119))=0,"",F$2))</f>
        <v/>
      </c>
      <c r="G119" s="3" t="str">
        <f>IF($A119="","",IF(countif('Womens Lineup'!G$3:G1000,CONCATENATE("=",$A119))=0,"",G$2))</f>
        <v/>
      </c>
      <c r="H119" s="3" t="str">
        <f>IF($A119="","",IF(countif('Womens Lineup'!H$3:H1000,CONCATENATE("=",$A119))=0,"",H$2))</f>
        <v>200 Back</v>
      </c>
      <c r="I119" s="3" t="str">
        <f>IF($A119="","",IF(countif('Womens Lineup'!I$3:I1000,CONCATENATE("=",$A119))=0,"",I$2))</f>
        <v/>
      </c>
      <c r="J119" s="3" t="str">
        <f>IF($A119="","",IF(countif('Womens Lineup'!J$3:J1000,CONCATENATE("=",$A119))=0,"",J$2))</f>
        <v/>
      </c>
      <c r="K119" s="3" t="str">
        <f>IF($A119="","",IF(countif('Womens Lineup'!K$3:K1000,CONCATENATE("=",$A119))=0,"",K$2))</f>
        <v/>
      </c>
      <c r="L119" s="3" t="str">
        <f>IF($A119="","",IF(countif('Womens Lineup'!L$3:L1000,CONCATENATE("=",$A119))=0,"",L$2))</f>
        <v/>
      </c>
      <c r="M119" s="3" t="str">
        <f>IF($A119="","",IF(countif('Womens Lineup'!M$3:M1000,CONCATENATE("=",$A119))=0,"",M$2))</f>
        <v/>
      </c>
      <c r="N119" s="3" t="str">
        <f>IF($A119="","",IF(countif('Womens Lineup'!N$3:N1000,CONCATENATE("=",$A119))=0,"",N$2))</f>
        <v/>
      </c>
      <c r="O119" s="3" t="str">
        <f>IF($A119="","",IF(countif('Womens Lineup'!O$3:O1000,CONCATENATE("=",$A119))=0,"",O$2))</f>
        <v/>
      </c>
      <c r="P119" s="3" t="str">
        <f>IF($A119="","",IF(countif('Womens Lineup'!P$3:P1000,CONCATENATE("=",$A119))=0,"",P$2))</f>
        <v/>
      </c>
      <c r="Q119" s="3" t="str">
        <f>IF($A119="","",IF(countif('Womens Lineup'!Q$3:Q1000,CONCATENATE("=",$A119))=0,"",Q$2))</f>
        <v/>
      </c>
      <c r="R119" s="3" t="str">
        <f>IF($A119="","",IF(countif('Womens Lineup'!R$3:R1000,CONCATENATE("=",$A119))=0,"",R$2))</f>
        <v/>
      </c>
      <c r="S119" s="3" t="str">
        <f>IF($A119="","",IF(countif('Womens Lineup'!S$3:S1000,CONCATENATE("=",$A119))=0,"",S$2))</f>
        <v/>
      </c>
      <c r="W119" s="3" t="str">
        <f>IFERROR(__xludf.DUMMYFUNCTION("JOIN("","",FILTER(B119:S119,B119:S119&lt;&gt;""""))"),"50 Free,100 Free,200 Back")</f>
        <v>50 Free,100 Free,200 Back</v>
      </c>
    </row>
    <row r="120">
      <c r="A120" s="3" t="s">
        <v>435</v>
      </c>
      <c r="B120" s="3" t="str">
        <f>IF($A120="","",IF(countif('Womens Lineup'!B$3:B1000,CONCATENATE("=",$A120))=0,"",B$2))</f>
        <v>50 Free</v>
      </c>
      <c r="C120" s="3" t="str">
        <f>IF($A120="","",IF(countif('Womens Lineup'!C$3:C1000,CONCATENATE("=",$A120))=0,"",C$2))</f>
        <v/>
      </c>
      <c r="D120" s="3" t="str">
        <f>IF($A120="","",IF(countif('Womens Lineup'!D$3:D1000,CONCATENATE("=",$A120))=0,"",D$2))</f>
        <v/>
      </c>
      <c r="E120" s="3" t="str">
        <f>IF($A120="","",IF(countif('Womens Lineup'!E$3:E1000,CONCATENATE("=",$A120))=0,"",E$2))</f>
        <v/>
      </c>
      <c r="F120" s="3" t="str">
        <f>IF($A120="","",IF(countif('Womens Lineup'!F$3:F1000,CONCATENATE("=",$A120))=0,"",F$2))</f>
        <v/>
      </c>
      <c r="G120" s="3" t="str">
        <f>IF($A120="","",IF(countif('Womens Lineup'!G$3:G1000,CONCATENATE("=",$A120))=0,"",G$2))</f>
        <v/>
      </c>
      <c r="H120" s="3" t="str">
        <f>IF($A120="","",IF(countif('Womens Lineup'!H$3:H1000,CONCATENATE("=",$A120))=0,"",H$2))</f>
        <v/>
      </c>
      <c r="I120" s="3" t="str">
        <f>IF($A120="","",IF(countif('Womens Lineup'!I$3:I1000,CONCATENATE("=",$A120))=0,"",I$2))</f>
        <v>100 Breast</v>
      </c>
      <c r="J120" s="3" t="str">
        <f>IF($A120="","",IF(countif('Womens Lineup'!J$3:J1000,CONCATENATE("=",$A120))=0,"",J$2))</f>
        <v>200 Breast</v>
      </c>
      <c r="K120" s="3" t="str">
        <f>IF($A120="","",IF(countif('Womens Lineup'!K$3:K1000,CONCATENATE("=",$A120))=0,"",K$2))</f>
        <v/>
      </c>
      <c r="L120" s="3" t="str">
        <f>IF($A120="","",IF(countif('Womens Lineup'!L$3:L1000,CONCATENATE("=",$A120))=0,"",L$2))</f>
        <v>200 Fly</v>
      </c>
      <c r="M120" s="3" t="str">
        <f>IF($A120="","",IF(countif('Womens Lineup'!M$3:M1000,CONCATENATE("=",$A120))=0,"",M$2))</f>
        <v>200 IM</v>
      </c>
      <c r="N120" s="3" t="str">
        <f>IF($A120="","",IF(countif('Womens Lineup'!N$3:N1000,CONCATENATE("=",$A120))=0,"",N$2))</f>
        <v>400 IM</v>
      </c>
      <c r="O120" s="3" t="str">
        <f>IF($A120="","",IF(countif('Womens Lineup'!O$3:O1000,CONCATENATE("=",$A120))=0,"",O$2))</f>
        <v/>
      </c>
      <c r="P120" s="3" t="str">
        <f>IF($A120="","",IF(countif('Womens Lineup'!P$3:P1000,CONCATENATE("=",$A120))=0,"",P$2))</f>
        <v/>
      </c>
      <c r="Q120" s="3" t="str">
        <f>IF($A120="","",IF(countif('Womens Lineup'!Q$3:Q1000,CONCATENATE("=",$A120))=0,"",Q$2))</f>
        <v/>
      </c>
      <c r="R120" s="3" t="str">
        <f>IF($A120="","",IF(countif('Womens Lineup'!R$3:R1000,CONCATENATE("=",$A120))=0,"",R$2))</f>
        <v/>
      </c>
      <c r="S120" s="3" t="str">
        <f>IF($A120="","",IF(countif('Womens Lineup'!S$3:S1000,CONCATENATE("=",$A120))=0,"",S$2))</f>
        <v/>
      </c>
      <c r="W120" s="3" t="str">
        <f>IFERROR(__xludf.DUMMYFUNCTION("JOIN("","",FILTER(B120:S120,B120:S120&lt;&gt;""""))"),"50 Free,100 Breast,200 Breast,200 Fly,200 IM,400 IM")</f>
        <v>50 Free,100 Breast,200 Breast,200 Fly,200 IM,400 IM</v>
      </c>
    </row>
    <row r="121">
      <c r="A121" s="3" t="s">
        <v>436</v>
      </c>
      <c r="B121" s="3" t="str">
        <f>IF($A121="","",IF(countif('Womens Lineup'!B$3:B1000,CONCATENATE("=",$A121))=0,"",B$2))</f>
        <v>50 Free</v>
      </c>
      <c r="C121" s="3" t="str">
        <f>IF($A121="","",IF(countif('Womens Lineup'!C$3:C1000,CONCATENATE("=",$A121))=0,"",C$2))</f>
        <v/>
      </c>
      <c r="D121" s="3" t="str">
        <f>IF($A121="","",IF(countif('Womens Lineup'!D$3:D1000,CONCATENATE("=",$A121))=0,"",D$2))</f>
        <v/>
      </c>
      <c r="E121" s="3" t="str">
        <f>IF($A121="","",IF(countif('Womens Lineup'!E$3:E1000,CONCATENATE("=",$A121))=0,"",E$2))</f>
        <v/>
      </c>
      <c r="F121" s="3" t="str">
        <f>IF($A121="","",IF(countif('Womens Lineup'!F$3:F1000,CONCATENATE("=",$A121))=0,"",F$2))</f>
        <v/>
      </c>
      <c r="G121" s="3" t="str">
        <f>IF($A121="","",IF(countif('Womens Lineup'!G$3:G1000,CONCATENATE("=",$A121))=0,"",G$2))</f>
        <v>100 Back</v>
      </c>
      <c r="H121" s="3" t="str">
        <f>IF($A121="","",IF(countif('Womens Lineup'!H$3:H1000,CONCATENATE("=",$A121))=0,"",H$2))</f>
        <v>200 Back</v>
      </c>
      <c r="I121" s="3" t="str">
        <f>IF($A121="","",IF(countif('Womens Lineup'!I$3:I1000,CONCATENATE("=",$A121))=0,"",I$2))</f>
        <v/>
      </c>
      <c r="J121" s="3" t="str">
        <f>IF($A121="","",IF(countif('Womens Lineup'!J$3:J1000,CONCATENATE("=",$A121))=0,"",J$2))</f>
        <v/>
      </c>
      <c r="K121" s="3" t="str">
        <f>IF($A121="","",IF(countif('Womens Lineup'!K$3:K1000,CONCATENATE("=",$A121))=0,"",K$2))</f>
        <v>100 Fly</v>
      </c>
      <c r="L121" s="3" t="str">
        <f>IF($A121="","",IF(countif('Womens Lineup'!L$3:L1000,CONCATENATE("=",$A121))=0,"",L$2))</f>
        <v/>
      </c>
      <c r="M121" s="3" t="str">
        <f>IF($A121="","",IF(countif('Womens Lineup'!M$3:M1000,CONCATENATE("=",$A121))=0,"",M$2))</f>
        <v>200 IM</v>
      </c>
      <c r="N121" s="3" t="str">
        <f>IF($A121="","",IF(countif('Womens Lineup'!N$3:N1000,CONCATENATE("=",$A121))=0,"",N$2))</f>
        <v>400 IM</v>
      </c>
      <c r="O121" s="3" t="str">
        <f>IF($A121="","",IF(countif('Womens Lineup'!O$3:O1000,CONCATENATE("=",$A121))=0,"",O$2))</f>
        <v/>
      </c>
      <c r="P121" s="3" t="str">
        <f>IF($A121="","",IF(countif('Womens Lineup'!P$3:P1000,CONCATENATE("=",$A121))=0,"",P$2))</f>
        <v/>
      </c>
      <c r="Q121" s="3" t="str">
        <f>IF($A121="","",IF(countif('Womens Lineup'!Q$3:Q1000,CONCATENATE("=",$A121))=0,"",Q$2))</f>
        <v/>
      </c>
      <c r="R121" s="3" t="str">
        <f>IF($A121="","",IF(countif('Womens Lineup'!R$3:R1000,CONCATENATE("=",$A121))=0,"",R$2))</f>
        <v/>
      </c>
      <c r="S121" s="3" t="str">
        <f>IF($A121="","",IF(countif('Womens Lineup'!S$3:S1000,CONCATENATE("=",$A121))=0,"",S$2))</f>
        <v/>
      </c>
      <c r="W121" s="3" t="str">
        <f>IFERROR(__xludf.DUMMYFUNCTION("JOIN("","",FILTER(B121:S121,B121:S121&lt;&gt;""""))"),"50 Free,100 Back,200 Back,100 Fly,200 IM,400 IM")</f>
        <v>50 Free,100 Back,200 Back,100 Fly,200 IM,400 IM</v>
      </c>
    </row>
    <row r="122">
      <c r="A122" s="3" t="s">
        <v>437</v>
      </c>
      <c r="B122" s="3" t="str">
        <f>IF($A122="","",IF(countif('Womens Lineup'!B$3:B1000,CONCATENATE("=",$A122))=0,"",B$2))</f>
        <v>50 Free</v>
      </c>
      <c r="C122" s="3" t="str">
        <f>IF($A122="","",IF(countif('Womens Lineup'!C$3:C1000,CONCATENATE("=",$A122))=0,"",C$2))</f>
        <v>100 Free</v>
      </c>
      <c r="D122" s="3" t="str">
        <f>IF($A122="","",IF(countif('Womens Lineup'!D$3:D1000,CONCATENATE("=",$A122))=0,"",D$2))</f>
        <v/>
      </c>
      <c r="E122" s="3" t="str">
        <f>IF($A122="","",IF(countif('Womens Lineup'!E$3:E1000,CONCATENATE("=",$A122))=0,"",E$2))</f>
        <v/>
      </c>
      <c r="F122" s="3" t="str">
        <f>IF($A122="","",IF(countif('Womens Lineup'!F$3:F1000,CONCATENATE("=",$A122))=0,"",F$2))</f>
        <v/>
      </c>
      <c r="G122" s="3" t="str">
        <f>IF($A122="","",IF(countif('Womens Lineup'!G$3:G1000,CONCATENATE("=",$A122))=0,"",G$2))</f>
        <v/>
      </c>
      <c r="H122" s="3" t="str">
        <f>IF($A122="","",IF(countif('Womens Lineup'!H$3:H1000,CONCATENATE("=",$A122))=0,"",H$2))</f>
        <v/>
      </c>
      <c r="I122" s="3" t="str">
        <f>IF($A122="","",IF(countif('Womens Lineup'!I$3:I1000,CONCATENATE("=",$A122))=0,"",I$2))</f>
        <v/>
      </c>
      <c r="J122" s="3" t="str">
        <f>IF($A122="","",IF(countif('Womens Lineup'!J$3:J1000,CONCATENATE("=",$A122))=0,"",J$2))</f>
        <v/>
      </c>
      <c r="K122" s="3" t="str">
        <f>IF($A122="","",IF(countif('Womens Lineup'!K$3:K1000,CONCATENATE("=",$A122))=0,"",K$2))</f>
        <v/>
      </c>
      <c r="L122" s="3" t="str">
        <f>IF($A122="","",IF(countif('Womens Lineup'!L$3:L1000,CONCATENATE("=",$A122))=0,"",L$2))</f>
        <v/>
      </c>
      <c r="M122" s="3" t="str">
        <f>IF($A122="","",IF(countif('Womens Lineup'!M$3:M1000,CONCATENATE("=",$A122))=0,"",M$2))</f>
        <v/>
      </c>
      <c r="N122" s="3" t="str">
        <f>IF($A122="","",IF(countif('Womens Lineup'!N$3:N1000,CONCATENATE("=",$A122))=0,"",N$2))</f>
        <v/>
      </c>
      <c r="O122" s="3" t="str">
        <f>IF($A122="","",IF(countif('Womens Lineup'!O$3:O1000,CONCATENATE("=",$A122))=0,"",O$2))</f>
        <v/>
      </c>
      <c r="P122" s="3" t="str">
        <f>IF($A122="","",IF(countif('Womens Lineup'!P$3:P1000,CONCATENATE("=",$A122))=0,"",P$2))</f>
        <v/>
      </c>
      <c r="Q122" s="3" t="str">
        <f>IF($A122="","",IF(countif('Womens Lineup'!Q$3:Q1000,CONCATENATE("=",$A122))=0,"",Q$2))</f>
        <v/>
      </c>
      <c r="R122" s="3" t="str">
        <f>IF($A122="","",IF(countif('Womens Lineup'!R$3:R1000,CONCATENATE("=",$A122))=0,"",R$2))</f>
        <v/>
      </c>
      <c r="S122" s="3" t="str">
        <f>IF($A122="","",IF(countif('Womens Lineup'!S$3:S1000,CONCATENATE("=",$A122))=0,"",S$2))</f>
        <v/>
      </c>
      <c r="W122" s="3" t="str">
        <f>IFERROR(__xludf.DUMMYFUNCTION("JOIN("","",FILTER(B122:S122,B122:S122&lt;&gt;""""))"),"50 Free,100 Free")</f>
        <v>50 Free,100 Free</v>
      </c>
    </row>
    <row r="123">
      <c r="A123" s="3" t="s">
        <v>438</v>
      </c>
      <c r="B123" s="3" t="str">
        <f>IF($A123="","",IF(countif('Womens Lineup'!B$3:B1000,CONCATENATE("=",$A123))=0,"",B$2))</f>
        <v>50 Free</v>
      </c>
      <c r="C123" s="3" t="str">
        <f>IF($A123="","",IF(countif('Womens Lineup'!C$3:C1000,CONCATENATE("=",$A123))=0,"",C$2))</f>
        <v/>
      </c>
      <c r="D123" s="3" t="str">
        <f>IF($A123="","",IF(countif('Womens Lineup'!D$3:D1000,CONCATENATE("=",$A123))=0,"",D$2))</f>
        <v/>
      </c>
      <c r="E123" s="3" t="str">
        <f>IF($A123="","",IF(countif('Womens Lineup'!E$3:E1000,CONCATENATE("=",$A123))=0,"",E$2))</f>
        <v/>
      </c>
      <c r="F123" s="3" t="str">
        <f>IF($A123="","",IF(countif('Womens Lineup'!F$3:F1000,CONCATENATE("=",$A123))=0,"",F$2))</f>
        <v/>
      </c>
      <c r="G123" s="3" t="str">
        <f>IF($A123="","",IF(countif('Womens Lineup'!G$3:G1000,CONCATENATE("=",$A123))=0,"",G$2))</f>
        <v/>
      </c>
      <c r="H123" s="3" t="str">
        <f>IF($A123="","",IF(countif('Womens Lineup'!H$3:H1000,CONCATENATE("=",$A123))=0,"",H$2))</f>
        <v/>
      </c>
      <c r="I123" s="3" t="str">
        <f>IF($A123="","",IF(countif('Womens Lineup'!I$3:I1000,CONCATENATE("=",$A123))=0,"",I$2))</f>
        <v>100 Breast</v>
      </c>
      <c r="J123" s="3" t="str">
        <f>IF($A123="","",IF(countif('Womens Lineup'!J$3:J1000,CONCATENATE("=",$A123))=0,"",J$2))</f>
        <v/>
      </c>
      <c r="K123" s="3" t="str">
        <f>IF($A123="","",IF(countif('Womens Lineup'!K$3:K1000,CONCATENATE("=",$A123))=0,"",K$2))</f>
        <v/>
      </c>
      <c r="L123" s="3" t="str">
        <f>IF($A123="","",IF(countif('Womens Lineup'!L$3:L1000,CONCATENATE("=",$A123))=0,"",L$2))</f>
        <v/>
      </c>
      <c r="M123" s="3" t="str">
        <f>IF($A123="","",IF(countif('Womens Lineup'!M$3:M1000,CONCATENATE("=",$A123))=0,"",M$2))</f>
        <v/>
      </c>
      <c r="N123" s="3" t="str">
        <f>IF($A123="","",IF(countif('Womens Lineup'!N$3:N1000,CONCATENATE("=",$A123))=0,"",N$2))</f>
        <v/>
      </c>
      <c r="O123" s="3" t="str">
        <f>IF($A123="","",IF(countif('Womens Lineup'!O$3:O1000,CONCATENATE("=",$A123))=0,"",O$2))</f>
        <v/>
      </c>
      <c r="P123" s="3" t="str">
        <f>IF($A123="","",IF(countif('Womens Lineup'!P$3:P1000,CONCATENATE("=",$A123))=0,"",P$2))</f>
        <v/>
      </c>
      <c r="Q123" s="3" t="str">
        <f>IF($A123="","",IF(countif('Womens Lineup'!Q$3:Q1000,CONCATENATE("=",$A123))=0,"",Q$2))</f>
        <v/>
      </c>
      <c r="R123" s="3" t="str">
        <f>IF($A123="","",IF(countif('Womens Lineup'!R$3:R1000,CONCATENATE("=",$A123))=0,"",R$2))</f>
        <v/>
      </c>
      <c r="S123" s="3" t="str">
        <f>IF($A123="","",IF(countif('Womens Lineup'!S$3:S1000,CONCATENATE("=",$A123))=0,"",S$2))</f>
        <v/>
      </c>
      <c r="W123" s="3" t="str">
        <f>IFERROR(__xludf.DUMMYFUNCTION("JOIN("","",FILTER(B123:S123,B123:S123&lt;&gt;""""))"),"50 Free,100 Breast")</f>
        <v>50 Free,100 Breast</v>
      </c>
    </row>
    <row r="124">
      <c r="A124" s="3" t="s">
        <v>439</v>
      </c>
      <c r="B124" s="3" t="str">
        <f>IF($A124="","",IF(countif('Womens Lineup'!B$3:B1000,CONCATENATE("=",$A124))=0,"",B$2))</f>
        <v>50 Free</v>
      </c>
      <c r="C124" s="3" t="str">
        <f>IF($A124="","",IF(countif('Womens Lineup'!C$3:C1000,CONCATENATE("=",$A124))=0,"",C$2))</f>
        <v>100 Free</v>
      </c>
      <c r="D124" s="3" t="str">
        <f>IF($A124="","",IF(countif('Womens Lineup'!D$3:D1000,CONCATENATE("=",$A124))=0,"",D$2))</f>
        <v>200 Free</v>
      </c>
      <c r="E124" s="3" t="str">
        <f>IF($A124="","",IF(countif('Womens Lineup'!E$3:E1000,CONCATENATE("=",$A124))=0,"",E$2))</f>
        <v/>
      </c>
      <c r="F124" s="3" t="str">
        <f>IF($A124="","",IF(countif('Womens Lineup'!F$3:F1000,CONCATENATE("=",$A124))=0,"",F$2))</f>
        <v/>
      </c>
      <c r="G124" s="3" t="str">
        <f>IF($A124="","",IF(countif('Womens Lineup'!G$3:G1000,CONCATENATE("=",$A124))=0,"",G$2))</f>
        <v>100 Back</v>
      </c>
      <c r="H124" s="3" t="str">
        <f>IF($A124="","",IF(countif('Womens Lineup'!H$3:H1000,CONCATENATE("=",$A124))=0,"",H$2))</f>
        <v>200 Back</v>
      </c>
      <c r="I124" s="3" t="str">
        <f>IF($A124="","",IF(countif('Womens Lineup'!I$3:I1000,CONCATENATE("=",$A124))=0,"",I$2))</f>
        <v/>
      </c>
      <c r="J124" s="3" t="str">
        <f>IF($A124="","",IF(countif('Womens Lineup'!J$3:J1000,CONCATENATE("=",$A124))=0,"",J$2))</f>
        <v/>
      </c>
      <c r="K124" s="3" t="str">
        <f>IF($A124="","",IF(countif('Womens Lineup'!K$3:K1000,CONCATENATE("=",$A124))=0,"",K$2))</f>
        <v/>
      </c>
      <c r="L124" s="3" t="str">
        <f>IF($A124="","",IF(countif('Womens Lineup'!L$3:L1000,CONCATENATE("=",$A124))=0,"",L$2))</f>
        <v/>
      </c>
      <c r="M124" s="3" t="str">
        <f>IF($A124="","",IF(countif('Womens Lineup'!M$3:M1000,CONCATENATE("=",$A124))=0,"",M$2))</f>
        <v/>
      </c>
      <c r="N124" s="3" t="str">
        <f>IF($A124="","",IF(countif('Womens Lineup'!N$3:N1000,CONCATENATE("=",$A124))=0,"",N$2))</f>
        <v/>
      </c>
      <c r="O124" s="3" t="str">
        <f>IF($A124="","",IF(countif('Womens Lineup'!O$3:O1000,CONCATENATE("=",$A124))=0,"",O$2))</f>
        <v/>
      </c>
      <c r="P124" s="3" t="str">
        <f>IF($A124="","",IF(countif('Womens Lineup'!P$3:P1000,CONCATENATE("=",$A124))=0,"",P$2))</f>
        <v/>
      </c>
      <c r="Q124" s="3" t="str">
        <f>IF($A124="","",IF(countif('Womens Lineup'!Q$3:Q1000,CONCATENATE("=",$A124))=0,"",Q$2))</f>
        <v/>
      </c>
      <c r="R124" s="3" t="str">
        <f>IF($A124="","",IF(countif('Womens Lineup'!R$3:R1000,CONCATENATE("=",$A124))=0,"",R$2))</f>
        <v/>
      </c>
      <c r="S124" s="3" t="str">
        <f>IF($A124="","",IF(countif('Womens Lineup'!S$3:S1000,CONCATENATE("=",$A124))=0,"",S$2))</f>
        <v/>
      </c>
      <c r="W124" s="3" t="str">
        <f>IFERROR(__xludf.DUMMYFUNCTION("JOIN("","",FILTER(B124:S124,B124:S124&lt;&gt;""""))"),"50 Free,100 Free,200 Free,100 Back,200 Back")</f>
        <v>50 Free,100 Free,200 Free,100 Back,200 Back</v>
      </c>
    </row>
    <row r="125">
      <c r="A125" s="3" t="s">
        <v>440</v>
      </c>
      <c r="B125" s="3" t="str">
        <f>IF($A125="","",IF(countif('Womens Lineup'!B$3:B1000,CONCATENATE("=",$A125))=0,"",B$2))</f>
        <v>50 Free</v>
      </c>
      <c r="C125" s="3" t="str">
        <f>IF($A125="","",IF(countif('Womens Lineup'!C$3:C1000,CONCATENATE("=",$A125))=0,"",C$2))</f>
        <v>100 Free</v>
      </c>
      <c r="D125" s="3" t="str">
        <f>IF($A125="","",IF(countif('Womens Lineup'!D$3:D1000,CONCATENATE("=",$A125))=0,"",D$2))</f>
        <v>200 Free</v>
      </c>
      <c r="E125" s="3" t="str">
        <f>IF($A125="","",IF(countif('Womens Lineup'!E$3:E1000,CONCATENATE("=",$A125))=0,"",E$2))</f>
        <v/>
      </c>
      <c r="F125" s="3" t="str">
        <f>IF($A125="","",IF(countif('Womens Lineup'!F$3:F1000,CONCATENATE("=",$A125))=0,"",F$2))</f>
        <v/>
      </c>
      <c r="G125" s="3" t="str">
        <f>IF($A125="","",IF(countif('Womens Lineup'!G$3:G1000,CONCATENATE("=",$A125))=0,"",G$2))</f>
        <v>100 Back</v>
      </c>
      <c r="H125" s="3" t="str">
        <f>IF($A125="","",IF(countif('Womens Lineup'!H$3:H1000,CONCATENATE("=",$A125))=0,"",H$2))</f>
        <v>200 Back</v>
      </c>
      <c r="I125" s="3" t="str">
        <f>IF($A125="","",IF(countif('Womens Lineup'!I$3:I1000,CONCATENATE("=",$A125))=0,"",I$2))</f>
        <v/>
      </c>
      <c r="J125" s="3" t="str">
        <f>IF($A125="","",IF(countif('Womens Lineup'!J$3:J1000,CONCATENATE("=",$A125))=0,"",J$2))</f>
        <v/>
      </c>
      <c r="K125" s="3" t="str">
        <f>IF($A125="","",IF(countif('Womens Lineup'!K$3:K1000,CONCATENATE("=",$A125))=0,"",K$2))</f>
        <v>100 Fly</v>
      </c>
      <c r="L125" s="3" t="str">
        <f>IF($A125="","",IF(countif('Womens Lineup'!L$3:L1000,CONCATENATE("=",$A125))=0,"",L$2))</f>
        <v/>
      </c>
      <c r="M125" s="3" t="str">
        <f>IF($A125="","",IF(countif('Womens Lineup'!M$3:M1000,CONCATENATE("=",$A125))=0,"",M$2))</f>
        <v/>
      </c>
      <c r="N125" s="3" t="str">
        <f>IF($A125="","",IF(countif('Womens Lineup'!N$3:N1000,CONCATENATE("=",$A125))=0,"",N$2))</f>
        <v/>
      </c>
      <c r="O125" s="3" t="str">
        <f>IF($A125="","",IF(countif('Womens Lineup'!O$3:O1000,CONCATENATE("=",$A125))=0,"",O$2))</f>
        <v/>
      </c>
      <c r="P125" s="3" t="str">
        <f>IF($A125="","",IF(countif('Womens Lineup'!P$3:P1000,CONCATENATE("=",$A125))=0,"",P$2))</f>
        <v/>
      </c>
      <c r="Q125" s="3" t="str">
        <f>IF($A125="","",IF(countif('Womens Lineup'!Q$3:Q1000,CONCATENATE("=",$A125))=0,"",Q$2))</f>
        <v/>
      </c>
      <c r="R125" s="3" t="str">
        <f>IF($A125="","",IF(countif('Womens Lineup'!R$3:R1000,CONCATENATE("=",$A125))=0,"",R$2))</f>
        <v/>
      </c>
      <c r="S125" s="3" t="str">
        <f>IF($A125="","",IF(countif('Womens Lineup'!S$3:S1000,CONCATENATE("=",$A125))=0,"",S$2))</f>
        <v/>
      </c>
      <c r="W125" s="3" t="str">
        <f>IFERROR(__xludf.DUMMYFUNCTION("JOIN("","",FILTER(B125:S125,B125:S125&lt;&gt;""""))"),"50 Free,100 Free,200 Free,100 Back,200 Back,100 Fly")</f>
        <v>50 Free,100 Free,200 Free,100 Back,200 Back,100 Fly</v>
      </c>
    </row>
    <row r="126">
      <c r="A126" s="3" t="s">
        <v>441</v>
      </c>
      <c r="B126" s="3" t="str">
        <f>IF($A126="","",IF(countif('Womens Lineup'!B$3:B1000,CONCATENATE("=",$A126))=0,"",B$2))</f>
        <v>50 Free</v>
      </c>
      <c r="C126" s="3" t="str">
        <f>IF($A126="","",IF(countif('Womens Lineup'!C$3:C1000,CONCATENATE("=",$A126))=0,"",C$2))</f>
        <v/>
      </c>
      <c r="D126" s="3" t="str">
        <f>IF($A126="","",IF(countif('Womens Lineup'!D$3:D1000,CONCATENATE("=",$A126))=0,"",D$2))</f>
        <v/>
      </c>
      <c r="E126" s="3" t="str">
        <f>IF($A126="","",IF(countif('Womens Lineup'!E$3:E1000,CONCATENATE("=",$A126))=0,"",E$2))</f>
        <v/>
      </c>
      <c r="F126" s="3" t="str">
        <f>IF($A126="","",IF(countif('Womens Lineup'!F$3:F1000,CONCATENATE("=",$A126))=0,"",F$2))</f>
        <v/>
      </c>
      <c r="G126" s="3" t="str">
        <f>IF($A126="","",IF(countif('Womens Lineup'!G$3:G1000,CONCATENATE("=",$A126))=0,"",G$2))</f>
        <v>100 Back</v>
      </c>
      <c r="H126" s="3" t="str">
        <f>IF($A126="","",IF(countif('Womens Lineup'!H$3:H1000,CONCATENATE("=",$A126))=0,"",H$2))</f>
        <v>200 Back</v>
      </c>
      <c r="I126" s="3" t="str">
        <f>IF($A126="","",IF(countif('Womens Lineup'!I$3:I1000,CONCATENATE("=",$A126))=0,"",I$2))</f>
        <v/>
      </c>
      <c r="J126" s="3" t="str">
        <f>IF($A126="","",IF(countif('Womens Lineup'!J$3:J1000,CONCATENATE("=",$A126))=0,"",J$2))</f>
        <v/>
      </c>
      <c r="K126" s="3" t="str">
        <f>IF($A126="","",IF(countif('Womens Lineup'!K$3:K1000,CONCATENATE("=",$A126))=0,"",K$2))</f>
        <v>100 Fly</v>
      </c>
      <c r="L126" s="3" t="str">
        <f>IF($A126="","",IF(countif('Womens Lineup'!L$3:L1000,CONCATENATE("=",$A126))=0,"",L$2))</f>
        <v/>
      </c>
      <c r="M126" s="3" t="str">
        <f>IF($A126="","",IF(countif('Womens Lineup'!M$3:M1000,CONCATENATE("=",$A126))=0,"",M$2))</f>
        <v/>
      </c>
      <c r="N126" s="3" t="str">
        <f>IF($A126="","",IF(countif('Womens Lineup'!N$3:N1000,CONCATENATE("=",$A126))=0,"",N$2))</f>
        <v>400 IM</v>
      </c>
      <c r="O126" s="3" t="str">
        <f>IF($A126="","",IF(countif('Womens Lineup'!O$3:O1000,CONCATENATE("=",$A126))=0,"",O$2))</f>
        <v/>
      </c>
      <c r="P126" s="3" t="str">
        <f>IF($A126="","",IF(countif('Womens Lineup'!P$3:P1000,CONCATENATE("=",$A126))=0,"",P$2))</f>
        <v/>
      </c>
      <c r="Q126" s="3" t="str">
        <f>IF($A126="","",IF(countif('Womens Lineup'!Q$3:Q1000,CONCATENATE("=",$A126))=0,"",Q$2))</f>
        <v/>
      </c>
      <c r="R126" s="3" t="str">
        <f>IF($A126="","",IF(countif('Womens Lineup'!R$3:R1000,CONCATENATE("=",$A126))=0,"",R$2))</f>
        <v/>
      </c>
      <c r="S126" s="3" t="str">
        <f>IF($A126="","",IF(countif('Womens Lineup'!S$3:S1000,CONCATENATE("=",$A126))=0,"",S$2))</f>
        <v/>
      </c>
      <c r="W126" s="3" t="str">
        <f>IFERROR(__xludf.DUMMYFUNCTION("JOIN("","",FILTER(B126:S126,B126:S126&lt;&gt;""""))"),"50 Free,100 Back,200 Back,100 Fly,400 IM")</f>
        <v>50 Free,100 Back,200 Back,100 Fly,400 IM</v>
      </c>
    </row>
    <row r="127">
      <c r="A127" s="3" t="s">
        <v>442</v>
      </c>
      <c r="B127" s="3" t="str">
        <f>IF($A127="","",IF(countif('Womens Lineup'!B$3:B1000,CONCATENATE("=",$A127))=0,"",B$2))</f>
        <v>50 Free</v>
      </c>
      <c r="C127" s="3" t="str">
        <f>IF($A127="","",IF(countif('Womens Lineup'!C$3:C1000,CONCATENATE("=",$A127))=0,"",C$2))</f>
        <v/>
      </c>
      <c r="D127" s="3" t="str">
        <f>IF($A127="","",IF(countif('Womens Lineup'!D$3:D1000,CONCATENATE("=",$A127))=0,"",D$2))</f>
        <v/>
      </c>
      <c r="E127" s="3" t="str">
        <f>IF($A127="","",IF(countif('Womens Lineup'!E$3:E1000,CONCATENATE("=",$A127))=0,"",E$2))</f>
        <v/>
      </c>
      <c r="F127" s="3" t="str">
        <f>IF($A127="","",IF(countif('Womens Lineup'!F$3:F1000,CONCATENATE("=",$A127))=0,"",F$2))</f>
        <v/>
      </c>
      <c r="G127" s="3" t="str">
        <f>IF($A127="","",IF(countif('Womens Lineup'!G$3:G1000,CONCATENATE("=",$A127))=0,"",G$2))</f>
        <v/>
      </c>
      <c r="H127" s="3" t="str">
        <f>IF($A127="","",IF(countif('Womens Lineup'!H$3:H1000,CONCATENATE("=",$A127))=0,"",H$2))</f>
        <v/>
      </c>
      <c r="I127" s="3" t="str">
        <f>IF($A127="","",IF(countif('Womens Lineup'!I$3:I1000,CONCATENATE("=",$A127))=0,"",I$2))</f>
        <v/>
      </c>
      <c r="J127" s="3" t="str">
        <f>IF($A127="","",IF(countif('Womens Lineup'!J$3:J1000,CONCATENATE("=",$A127))=0,"",J$2))</f>
        <v/>
      </c>
      <c r="K127" s="3" t="str">
        <f>IF($A127="","",IF(countif('Womens Lineup'!K$3:K1000,CONCATENATE("=",$A127))=0,"",K$2))</f>
        <v/>
      </c>
      <c r="L127" s="3" t="str">
        <f>IF($A127="","",IF(countif('Womens Lineup'!L$3:L1000,CONCATENATE("=",$A127))=0,"",L$2))</f>
        <v/>
      </c>
      <c r="M127" s="3" t="str">
        <f>IF($A127="","",IF(countif('Womens Lineup'!M$3:M1000,CONCATENATE("=",$A127))=0,"",M$2))</f>
        <v/>
      </c>
      <c r="N127" s="3" t="str">
        <f>IF($A127="","",IF(countif('Womens Lineup'!N$3:N1000,CONCATENATE("=",$A127))=0,"",N$2))</f>
        <v/>
      </c>
      <c r="O127" s="3" t="str">
        <f>IF($A127="","",IF(countif('Womens Lineup'!O$3:O1000,CONCATENATE("=",$A127))=0,"",O$2))</f>
        <v/>
      </c>
      <c r="P127" s="3" t="str">
        <f>IF($A127="","",IF(countif('Womens Lineup'!P$3:P1000,CONCATENATE("=",$A127))=0,"",P$2))</f>
        <v/>
      </c>
      <c r="Q127" s="3" t="str">
        <f>IF($A127="","",IF(countif('Womens Lineup'!Q$3:Q1000,CONCATENATE("=",$A127))=0,"",Q$2))</f>
        <v/>
      </c>
      <c r="R127" s="3" t="str">
        <f>IF($A127="","",IF(countif('Womens Lineup'!R$3:R1000,CONCATENATE("=",$A127))=0,"",R$2))</f>
        <v/>
      </c>
      <c r="S127" s="3" t="str">
        <f>IF($A127="","",IF(countif('Womens Lineup'!S$3:S1000,CONCATENATE("=",$A127))=0,"",S$2))</f>
        <v/>
      </c>
      <c r="W127" s="3" t="str">
        <f>IFERROR(__xludf.DUMMYFUNCTION("JOIN("","",FILTER(B127:S127,B127:S127&lt;&gt;""""))"),"50 Free")</f>
        <v>50 Free</v>
      </c>
    </row>
    <row r="128">
      <c r="A128" s="3" t="s">
        <v>443</v>
      </c>
      <c r="B128" s="3" t="str">
        <f>IF($A128="","",IF(countif('Womens Lineup'!B$3:B1000,CONCATENATE("=",$A128))=0,"",B$2))</f>
        <v>50 Free</v>
      </c>
      <c r="C128" s="3" t="str">
        <f>IF($A128="","",IF(countif('Womens Lineup'!C$3:C1000,CONCATENATE("=",$A128))=0,"",C$2))</f>
        <v/>
      </c>
      <c r="D128" s="3" t="str">
        <f>IF($A128="","",IF(countif('Womens Lineup'!D$3:D1000,CONCATENATE("=",$A128))=0,"",D$2))</f>
        <v/>
      </c>
      <c r="E128" s="3" t="str">
        <f>IF($A128="","",IF(countif('Womens Lineup'!E$3:E1000,CONCATENATE("=",$A128))=0,"",E$2))</f>
        <v/>
      </c>
      <c r="F128" s="3" t="str">
        <f>IF($A128="","",IF(countif('Womens Lineup'!F$3:F1000,CONCATENATE("=",$A128))=0,"",F$2))</f>
        <v>1650 Free</v>
      </c>
      <c r="G128" s="3" t="str">
        <f>IF($A128="","",IF(countif('Womens Lineup'!G$3:G1000,CONCATENATE("=",$A128))=0,"",G$2))</f>
        <v/>
      </c>
      <c r="H128" s="3" t="str">
        <f>IF($A128="","",IF(countif('Womens Lineup'!H$3:H1000,CONCATENATE("=",$A128))=0,"",H$2))</f>
        <v>200 Back</v>
      </c>
      <c r="I128" s="3" t="str">
        <f>IF($A128="","",IF(countif('Womens Lineup'!I$3:I1000,CONCATENATE("=",$A128))=0,"",I$2))</f>
        <v/>
      </c>
      <c r="J128" s="3" t="str">
        <f>IF($A128="","",IF(countif('Womens Lineup'!J$3:J1000,CONCATENATE("=",$A128))=0,"",J$2))</f>
        <v/>
      </c>
      <c r="K128" s="3" t="str">
        <f>IF($A128="","",IF(countif('Womens Lineup'!K$3:K1000,CONCATENATE("=",$A128))=0,"",K$2))</f>
        <v>100 Fly</v>
      </c>
      <c r="L128" s="3" t="str">
        <f>IF($A128="","",IF(countif('Womens Lineup'!L$3:L1000,CONCATENATE("=",$A128))=0,"",L$2))</f>
        <v/>
      </c>
      <c r="M128" s="3" t="str">
        <f>IF($A128="","",IF(countif('Womens Lineup'!M$3:M1000,CONCATENATE("=",$A128))=0,"",M$2))</f>
        <v/>
      </c>
      <c r="N128" s="3" t="str">
        <f>IF($A128="","",IF(countif('Womens Lineup'!N$3:N1000,CONCATENATE("=",$A128))=0,"",N$2))</f>
        <v/>
      </c>
      <c r="O128" s="3" t="str">
        <f>IF($A128="","",IF(countif('Womens Lineup'!O$3:O1000,CONCATENATE("=",$A128))=0,"",O$2))</f>
        <v>1000 Free</v>
      </c>
      <c r="P128" s="3" t="str">
        <f>IF($A128="","",IF(countif('Womens Lineup'!P$3:P1000,CONCATENATE("=",$A128))=0,"",P$2))</f>
        <v/>
      </c>
      <c r="Q128" s="3" t="str">
        <f>IF($A128="","",IF(countif('Womens Lineup'!Q$3:Q1000,CONCATENATE("=",$A128))=0,"",Q$2))</f>
        <v/>
      </c>
      <c r="R128" s="3" t="str">
        <f>IF($A128="","",IF(countif('Womens Lineup'!R$3:R1000,CONCATENATE("=",$A128))=0,"",R$2))</f>
        <v/>
      </c>
      <c r="S128" s="3" t="str">
        <f>IF($A128="","",IF(countif('Womens Lineup'!S$3:S1000,CONCATENATE("=",$A128))=0,"",S$2))</f>
        <v/>
      </c>
      <c r="W128" s="3" t="str">
        <f>IFERROR(__xludf.DUMMYFUNCTION("JOIN("","",FILTER(B128:S128,B128:S128&lt;&gt;""""))"),"50 Free,1650 Free,200 Back,100 Fly,1000 Free")</f>
        <v>50 Free,1650 Free,200 Back,100 Fly,1000 Free</v>
      </c>
    </row>
    <row r="129">
      <c r="A129" s="3" t="s">
        <v>444</v>
      </c>
      <c r="B129" s="3" t="str">
        <f>IF($A129="","",IF(countif('Womens Lineup'!B$3:B1000,CONCATENATE("=",$A129))=0,"",B$2))</f>
        <v>50 Free</v>
      </c>
      <c r="C129" s="3" t="str">
        <f>IF($A129="","",IF(countif('Womens Lineup'!C$3:C1000,CONCATENATE("=",$A129))=0,"",C$2))</f>
        <v>100 Free</v>
      </c>
      <c r="D129" s="3" t="str">
        <f>IF($A129="","",IF(countif('Womens Lineup'!D$3:D1000,CONCATENATE("=",$A129))=0,"",D$2))</f>
        <v/>
      </c>
      <c r="E129" s="3" t="str">
        <f>IF($A129="","",IF(countif('Womens Lineup'!E$3:E1000,CONCATENATE("=",$A129))=0,"",E$2))</f>
        <v/>
      </c>
      <c r="F129" s="3" t="str">
        <f>IF($A129="","",IF(countif('Womens Lineup'!F$3:F1000,CONCATENATE("=",$A129))=0,"",F$2))</f>
        <v/>
      </c>
      <c r="G129" s="3" t="str">
        <f>IF($A129="","",IF(countif('Womens Lineup'!G$3:G1000,CONCATENATE("=",$A129))=0,"",G$2))</f>
        <v/>
      </c>
      <c r="H129" s="3" t="str">
        <f>IF($A129="","",IF(countif('Womens Lineup'!H$3:H1000,CONCATENATE("=",$A129))=0,"",H$2))</f>
        <v/>
      </c>
      <c r="I129" s="3" t="str">
        <f>IF($A129="","",IF(countif('Womens Lineup'!I$3:I1000,CONCATENATE("=",$A129))=0,"",I$2))</f>
        <v/>
      </c>
      <c r="J129" s="3" t="str">
        <f>IF($A129="","",IF(countif('Womens Lineup'!J$3:J1000,CONCATENATE("=",$A129))=0,"",J$2))</f>
        <v/>
      </c>
      <c r="K129" s="3" t="str">
        <f>IF($A129="","",IF(countif('Womens Lineup'!K$3:K1000,CONCATENATE("=",$A129))=0,"",K$2))</f>
        <v/>
      </c>
      <c r="L129" s="3" t="str">
        <f>IF($A129="","",IF(countif('Womens Lineup'!L$3:L1000,CONCATENATE("=",$A129))=0,"",L$2))</f>
        <v/>
      </c>
      <c r="M129" s="3" t="str">
        <f>IF($A129="","",IF(countif('Womens Lineup'!M$3:M1000,CONCATENATE("=",$A129))=0,"",M$2))</f>
        <v/>
      </c>
      <c r="N129" s="3" t="str">
        <f>IF($A129="","",IF(countif('Womens Lineup'!N$3:N1000,CONCATENATE("=",$A129))=0,"",N$2))</f>
        <v/>
      </c>
      <c r="O129" s="3" t="str">
        <f>IF($A129="","",IF(countif('Womens Lineup'!O$3:O1000,CONCATENATE("=",$A129))=0,"",O$2))</f>
        <v/>
      </c>
      <c r="P129" s="3" t="str">
        <f>IF($A129="","",IF(countif('Womens Lineup'!P$3:P1000,CONCATENATE("=",$A129))=0,"",P$2))</f>
        <v/>
      </c>
      <c r="Q129" s="3" t="str">
        <f>IF($A129="","",IF(countif('Womens Lineup'!Q$3:Q1000,CONCATENATE("=",$A129))=0,"",Q$2))</f>
        <v/>
      </c>
      <c r="R129" s="3" t="str">
        <f>IF($A129="","",IF(countif('Womens Lineup'!R$3:R1000,CONCATENATE("=",$A129))=0,"",R$2))</f>
        <v/>
      </c>
      <c r="S129" s="3" t="str">
        <f>IF($A129="","",IF(countif('Womens Lineup'!S$3:S1000,CONCATENATE("=",$A129))=0,"",S$2))</f>
        <v/>
      </c>
      <c r="W129" s="3" t="str">
        <f>IFERROR(__xludf.DUMMYFUNCTION("JOIN("","",FILTER(B129:S129,B129:S129&lt;&gt;""""))"),"50 Free,100 Free")</f>
        <v>50 Free,100 Free</v>
      </c>
    </row>
    <row r="130">
      <c r="A130" s="3" t="s">
        <v>445</v>
      </c>
      <c r="B130" s="3" t="str">
        <f>IF($A130="","",IF(countif('Womens Lineup'!B$3:B1000,CONCATENATE("=",$A130))=0,"",B$2))</f>
        <v>50 Free</v>
      </c>
      <c r="C130" s="3" t="str">
        <f>IF($A130="","",IF(countif('Womens Lineup'!C$3:C1000,CONCATENATE("=",$A130))=0,"",C$2))</f>
        <v/>
      </c>
      <c r="D130" s="3" t="str">
        <f>IF($A130="","",IF(countif('Womens Lineup'!D$3:D1000,CONCATENATE("=",$A130))=0,"",D$2))</f>
        <v/>
      </c>
      <c r="E130" s="3" t="str">
        <f>IF($A130="","",IF(countif('Womens Lineup'!E$3:E1000,CONCATENATE("=",$A130))=0,"",E$2))</f>
        <v/>
      </c>
      <c r="F130" s="3" t="str">
        <f>IF($A130="","",IF(countif('Womens Lineup'!F$3:F1000,CONCATENATE("=",$A130))=0,"",F$2))</f>
        <v/>
      </c>
      <c r="G130" s="3" t="str">
        <f>IF($A130="","",IF(countif('Womens Lineup'!G$3:G1000,CONCATENATE("=",$A130))=0,"",G$2))</f>
        <v/>
      </c>
      <c r="H130" s="3" t="str">
        <f>IF($A130="","",IF(countif('Womens Lineup'!H$3:H1000,CONCATENATE("=",$A130))=0,"",H$2))</f>
        <v/>
      </c>
      <c r="I130" s="3" t="str">
        <f>IF($A130="","",IF(countif('Womens Lineup'!I$3:I1000,CONCATENATE("=",$A130))=0,"",I$2))</f>
        <v>100 Breast</v>
      </c>
      <c r="J130" s="3" t="str">
        <f>IF($A130="","",IF(countif('Womens Lineup'!J$3:J1000,CONCATENATE("=",$A130))=0,"",J$2))</f>
        <v>200 Breast</v>
      </c>
      <c r="K130" s="3" t="str">
        <f>IF($A130="","",IF(countif('Womens Lineup'!K$3:K1000,CONCATENATE("=",$A130))=0,"",K$2))</f>
        <v/>
      </c>
      <c r="L130" s="3" t="str">
        <f>IF($A130="","",IF(countif('Womens Lineup'!L$3:L1000,CONCATENATE("=",$A130))=0,"",L$2))</f>
        <v/>
      </c>
      <c r="M130" s="3" t="str">
        <f>IF($A130="","",IF(countif('Womens Lineup'!M$3:M1000,CONCATENATE("=",$A130))=0,"",M$2))</f>
        <v>200 IM</v>
      </c>
      <c r="N130" s="3" t="str">
        <f>IF($A130="","",IF(countif('Womens Lineup'!N$3:N1000,CONCATENATE("=",$A130))=0,"",N$2))</f>
        <v>400 IM</v>
      </c>
      <c r="O130" s="3" t="str">
        <f>IF($A130="","",IF(countif('Womens Lineup'!O$3:O1000,CONCATENATE("=",$A130))=0,"",O$2))</f>
        <v/>
      </c>
      <c r="P130" s="3" t="str">
        <f>IF($A130="","",IF(countif('Womens Lineup'!P$3:P1000,CONCATENATE("=",$A130))=0,"",P$2))</f>
        <v/>
      </c>
      <c r="Q130" s="3" t="str">
        <f>IF($A130="","",IF(countif('Womens Lineup'!Q$3:Q1000,CONCATENATE("=",$A130))=0,"",Q$2))</f>
        <v/>
      </c>
      <c r="R130" s="3" t="str">
        <f>IF($A130="","",IF(countif('Womens Lineup'!R$3:R1000,CONCATENATE("=",$A130))=0,"",R$2))</f>
        <v/>
      </c>
      <c r="S130" s="3" t="str">
        <f>IF($A130="","",IF(countif('Womens Lineup'!S$3:S1000,CONCATENATE("=",$A130))=0,"",S$2))</f>
        <v/>
      </c>
      <c r="W130" s="3" t="str">
        <f>IFERROR(__xludf.DUMMYFUNCTION("JOIN("","",FILTER(B130:S130,B130:S130&lt;&gt;""""))"),"50 Free,100 Breast,200 Breast,200 IM,400 IM")</f>
        <v>50 Free,100 Breast,200 Breast,200 IM,400 IM</v>
      </c>
    </row>
    <row r="131">
      <c r="A131" s="3" t="s">
        <v>446</v>
      </c>
      <c r="B131" s="3" t="str">
        <f>IF($A131="","",IF(countif('Womens Lineup'!B$3:B1000,CONCATENATE("=",$A131))=0,"",B$2))</f>
        <v>50 Free</v>
      </c>
      <c r="C131" s="3" t="str">
        <f>IF($A131="","",IF(countif('Womens Lineup'!C$3:C1000,CONCATENATE("=",$A131))=0,"",C$2))</f>
        <v/>
      </c>
      <c r="D131" s="3" t="str">
        <f>IF($A131="","",IF(countif('Womens Lineup'!D$3:D1000,CONCATENATE("=",$A131))=0,"",D$2))</f>
        <v/>
      </c>
      <c r="E131" s="3" t="str">
        <f>IF($A131="","",IF(countif('Womens Lineup'!E$3:E1000,CONCATENATE("=",$A131))=0,"",E$2))</f>
        <v/>
      </c>
      <c r="F131" s="3" t="str">
        <f>IF($A131="","",IF(countif('Womens Lineup'!F$3:F1000,CONCATENATE("=",$A131))=0,"",F$2))</f>
        <v/>
      </c>
      <c r="G131" s="3" t="str">
        <f>IF($A131="","",IF(countif('Womens Lineup'!G$3:G1000,CONCATENATE("=",$A131))=0,"",G$2))</f>
        <v/>
      </c>
      <c r="H131" s="3" t="str">
        <f>IF($A131="","",IF(countif('Womens Lineup'!H$3:H1000,CONCATENATE("=",$A131))=0,"",H$2))</f>
        <v/>
      </c>
      <c r="I131" s="3" t="str">
        <f>IF($A131="","",IF(countif('Womens Lineup'!I$3:I1000,CONCATENATE("=",$A131))=0,"",I$2))</f>
        <v/>
      </c>
      <c r="J131" s="3" t="str">
        <f>IF($A131="","",IF(countif('Womens Lineup'!J$3:J1000,CONCATENATE("=",$A131))=0,"",J$2))</f>
        <v/>
      </c>
      <c r="K131" s="3" t="str">
        <f>IF($A131="","",IF(countif('Womens Lineup'!K$3:K1000,CONCATENATE("=",$A131))=0,"",K$2))</f>
        <v>100 Fly</v>
      </c>
      <c r="L131" s="3" t="str">
        <f>IF($A131="","",IF(countif('Womens Lineup'!L$3:L1000,CONCATENATE("=",$A131))=0,"",L$2))</f>
        <v/>
      </c>
      <c r="M131" s="3" t="str">
        <f>IF($A131="","",IF(countif('Womens Lineup'!M$3:M1000,CONCATENATE("=",$A131))=0,"",M$2))</f>
        <v/>
      </c>
      <c r="N131" s="3" t="str">
        <f>IF($A131="","",IF(countif('Womens Lineup'!N$3:N1000,CONCATENATE("=",$A131))=0,"",N$2))</f>
        <v/>
      </c>
      <c r="O131" s="3" t="str">
        <f>IF($A131="","",IF(countif('Womens Lineup'!O$3:O1000,CONCATENATE("=",$A131))=0,"",O$2))</f>
        <v/>
      </c>
      <c r="P131" s="3" t="str">
        <f>IF($A131="","",IF(countif('Womens Lineup'!P$3:P1000,CONCATENATE("=",$A131))=0,"",P$2))</f>
        <v/>
      </c>
      <c r="Q131" s="3" t="str">
        <f>IF($A131="","",IF(countif('Womens Lineup'!Q$3:Q1000,CONCATENATE("=",$A131))=0,"",Q$2))</f>
        <v/>
      </c>
      <c r="R131" s="3" t="str">
        <f>IF($A131="","",IF(countif('Womens Lineup'!R$3:R1000,CONCATENATE("=",$A131))=0,"",R$2))</f>
        <v/>
      </c>
      <c r="S131" s="3" t="str">
        <f>IF($A131="","",IF(countif('Womens Lineup'!S$3:S1000,CONCATENATE("=",$A131))=0,"",S$2))</f>
        <v/>
      </c>
      <c r="W131" s="3" t="str">
        <f>IFERROR(__xludf.DUMMYFUNCTION("JOIN("","",FILTER(B131:S131,B131:S131&lt;&gt;""""))"),"50 Free,100 Fly")</f>
        <v>50 Free,100 Fly</v>
      </c>
    </row>
    <row r="132">
      <c r="A132" s="3" t="s">
        <v>447</v>
      </c>
      <c r="B132" s="3" t="str">
        <f>IF($A132="","",IF(countif('Womens Lineup'!B$3:B1000,CONCATENATE("=",$A132))=0,"",B$2))</f>
        <v>50 Free</v>
      </c>
      <c r="C132" s="3" t="str">
        <f>IF($A132="","",IF(countif('Womens Lineup'!C$3:C1000,CONCATENATE("=",$A132))=0,"",C$2))</f>
        <v/>
      </c>
      <c r="D132" s="3" t="str">
        <f>IF($A132="","",IF(countif('Womens Lineup'!D$3:D1000,CONCATENATE("=",$A132))=0,"",D$2))</f>
        <v/>
      </c>
      <c r="E132" s="3" t="str">
        <f>IF($A132="","",IF(countif('Womens Lineup'!E$3:E1000,CONCATENATE("=",$A132))=0,"",E$2))</f>
        <v/>
      </c>
      <c r="F132" s="3" t="str">
        <f>IF($A132="","",IF(countif('Womens Lineup'!F$3:F1000,CONCATENATE("=",$A132))=0,"",F$2))</f>
        <v/>
      </c>
      <c r="G132" s="3" t="str">
        <f>IF($A132="","",IF(countif('Womens Lineup'!G$3:G1000,CONCATENATE("=",$A132))=0,"",G$2))</f>
        <v>100 Back</v>
      </c>
      <c r="H132" s="3" t="str">
        <f>IF($A132="","",IF(countif('Womens Lineup'!H$3:H1000,CONCATENATE("=",$A132))=0,"",H$2))</f>
        <v/>
      </c>
      <c r="I132" s="3" t="str">
        <f>IF($A132="","",IF(countif('Womens Lineup'!I$3:I1000,CONCATENATE("=",$A132))=0,"",I$2))</f>
        <v>100 Breast</v>
      </c>
      <c r="J132" s="3" t="str">
        <f>IF($A132="","",IF(countif('Womens Lineup'!J$3:J1000,CONCATENATE("=",$A132))=0,"",J$2))</f>
        <v>200 Breast</v>
      </c>
      <c r="K132" s="3" t="str">
        <f>IF($A132="","",IF(countif('Womens Lineup'!K$3:K1000,CONCATENATE("=",$A132))=0,"",K$2))</f>
        <v/>
      </c>
      <c r="L132" s="3" t="str">
        <f>IF($A132="","",IF(countif('Womens Lineup'!L$3:L1000,CONCATENATE("=",$A132))=0,"",L$2))</f>
        <v/>
      </c>
      <c r="M132" s="3" t="str">
        <f>IF($A132="","",IF(countif('Womens Lineup'!M$3:M1000,CONCATENATE("=",$A132))=0,"",M$2))</f>
        <v/>
      </c>
      <c r="N132" s="3" t="str">
        <f>IF($A132="","",IF(countif('Womens Lineup'!N$3:N1000,CONCATENATE("=",$A132))=0,"",N$2))</f>
        <v/>
      </c>
      <c r="O132" s="3" t="str">
        <f>IF($A132="","",IF(countif('Womens Lineup'!O$3:O1000,CONCATENATE("=",$A132))=0,"",O$2))</f>
        <v/>
      </c>
      <c r="P132" s="3" t="str">
        <f>IF($A132="","",IF(countif('Womens Lineup'!P$3:P1000,CONCATENATE("=",$A132))=0,"",P$2))</f>
        <v/>
      </c>
      <c r="Q132" s="3" t="str">
        <f>IF($A132="","",IF(countif('Womens Lineup'!Q$3:Q1000,CONCATENATE("=",$A132))=0,"",Q$2))</f>
        <v/>
      </c>
      <c r="R132" s="3" t="str">
        <f>IF($A132="","",IF(countif('Womens Lineup'!R$3:R1000,CONCATENATE("=",$A132))=0,"",R$2))</f>
        <v/>
      </c>
      <c r="S132" s="3" t="str">
        <f>IF($A132="","",IF(countif('Womens Lineup'!S$3:S1000,CONCATENATE("=",$A132))=0,"",S$2))</f>
        <v/>
      </c>
      <c r="W132" s="3" t="str">
        <f>IFERROR(__xludf.DUMMYFUNCTION("JOIN("","",FILTER(B132:S132,B132:S132&lt;&gt;""""))"),"50 Free,100 Back,100 Breast,200 Breast")</f>
        <v>50 Free,100 Back,100 Breast,200 Breast</v>
      </c>
    </row>
    <row r="133">
      <c r="A133" s="3" t="s">
        <v>448</v>
      </c>
      <c r="B133" s="3" t="str">
        <f>IF($A133="","",IF(countif('Womens Lineup'!B$3:B1000,CONCATENATE("=",$A133))=0,"",B$2))</f>
        <v>50 Free</v>
      </c>
      <c r="C133" s="3" t="str">
        <f>IF($A133="","",IF(countif('Womens Lineup'!C$3:C1000,CONCATENATE("=",$A133))=0,"",C$2))</f>
        <v/>
      </c>
      <c r="D133" s="3" t="str">
        <f>IF($A133="","",IF(countif('Womens Lineup'!D$3:D1000,CONCATENATE("=",$A133))=0,"",D$2))</f>
        <v/>
      </c>
      <c r="E133" s="3" t="str">
        <f>IF($A133="","",IF(countif('Womens Lineup'!E$3:E1000,CONCATENATE("=",$A133))=0,"",E$2))</f>
        <v/>
      </c>
      <c r="F133" s="3" t="str">
        <f>IF($A133="","",IF(countif('Womens Lineup'!F$3:F1000,CONCATENATE("=",$A133))=0,"",F$2))</f>
        <v/>
      </c>
      <c r="G133" s="3" t="str">
        <f>IF($A133="","",IF(countif('Womens Lineup'!G$3:G1000,CONCATENATE("=",$A133))=0,"",G$2))</f>
        <v/>
      </c>
      <c r="H133" s="3" t="str">
        <f>IF($A133="","",IF(countif('Womens Lineup'!H$3:H1000,CONCATENATE("=",$A133))=0,"",H$2))</f>
        <v/>
      </c>
      <c r="I133" s="3" t="str">
        <f>IF($A133="","",IF(countif('Womens Lineup'!I$3:I1000,CONCATENATE("=",$A133))=0,"",I$2))</f>
        <v>100 Breast</v>
      </c>
      <c r="J133" s="3" t="str">
        <f>IF($A133="","",IF(countif('Womens Lineup'!J$3:J1000,CONCATENATE("=",$A133))=0,"",J$2))</f>
        <v/>
      </c>
      <c r="K133" s="3" t="str">
        <f>IF($A133="","",IF(countif('Womens Lineup'!K$3:K1000,CONCATENATE("=",$A133))=0,"",K$2))</f>
        <v/>
      </c>
      <c r="L133" s="3" t="str">
        <f>IF($A133="","",IF(countif('Womens Lineup'!L$3:L1000,CONCATENATE("=",$A133))=0,"",L$2))</f>
        <v/>
      </c>
      <c r="M133" s="3" t="str">
        <f>IF($A133="","",IF(countif('Womens Lineup'!M$3:M1000,CONCATENATE("=",$A133))=0,"",M$2))</f>
        <v>200 IM</v>
      </c>
      <c r="N133" s="3" t="str">
        <f>IF($A133="","",IF(countif('Womens Lineup'!N$3:N1000,CONCATENATE("=",$A133))=0,"",N$2))</f>
        <v/>
      </c>
      <c r="O133" s="3" t="str">
        <f>IF($A133="","",IF(countif('Womens Lineup'!O$3:O1000,CONCATENATE("=",$A133))=0,"",O$2))</f>
        <v/>
      </c>
      <c r="P133" s="3" t="str">
        <f>IF($A133="","",IF(countif('Womens Lineup'!P$3:P1000,CONCATENATE("=",$A133))=0,"",P$2))</f>
        <v/>
      </c>
      <c r="Q133" s="3" t="str">
        <f>IF($A133="","",IF(countif('Womens Lineup'!Q$3:Q1000,CONCATENATE("=",$A133))=0,"",Q$2))</f>
        <v/>
      </c>
      <c r="R133" s="3" t="str">
        <f>IF($A133="","",IF(countif('Womens Lineup'!R$3:R1000,CONCATENATE("=",$A133))=0,"",R$2))</f>
        <v/>
      </c>
      <c r="S133" s="3" t="str">
        <f>IF($A133="","",IF(countif('Womens Lineup'!S$3:S1000,CONCATENATE("=",$A133))=0,"",S$2))</f>
        <v/>
      </c>
      <c r="W133" s="3" t="str">
        <f>IFERROR(__xludf.DUMMYFUNCTION("JOIN("","",FILTER(B133:S133,B133:S133&lt;&gt;""""))"),"50 Free,100 Breast,200 IM")</f>
        <v>50 Free,100 Breast,200 IM</v>
      </c>
    </row>
    <row r="134">
      <c r="A134" s="3" t="s">
        <v>449</v>
      </c>
      <c r="B134" s="3" t="str">
        <f>IF($A134="","",IF(countif('Womens Lineup'!B$3:B1000,CONCATENATE("=",$A134))=0,"",B$2))</f>
        <v>50 Free</v>
      </c>
      <c r="C134" s="3" t="str">
        <f>IF($A134="","",IF(countif('Womens Lineup'!C$3:C1000,CONCATENATE("=",$A134))=0,"",C$2))</f>
        <v/>
      </c>
      <c r="D134" s="3" t="str">
        <f>IF($A134="","",IF(countif('Womens Lineup'!D$3:D1000,CONCATENATE("=",$A134))=0,"",D$2))</f>
        <v/>
      </c>
      <c r="E134" s="3" t="str">
        <f>IF($A134="","",IF(countif('Womens Lineup'!E$3:E1000,CONCATENATE("=",$A134))=0,"",E$2))</f>
        <v/>
      </c>
      <c r="F134" s="3" t="str">
        <f>IF($A134="","",IF(countif('Womens Lineup'!F$3:F1000,CONCATENATE("=",$A134))=0,"",F$2))</f>
        <v/>
      </c>
      <c r="G134" s="3" t="str">
        <f>IF($A134="","",IF(countif('Womens Lineup'!G$3:G1000,CONCATENATE("=",$A134))=0,"",G$2))</f>
        <v>100 Back</v>
      </c>
      <c r="H134" s="3" t="str">
        <f>IF($A134="","",IF(countif('Womens Lineup'!H$3:H1000,CONCATENATE("=",$A134))=0,"",H$2))</f>
        <v>200 Back</v>
      </c>
      <c r="I134" s="3" t="str">
        <f>IF($A134="","",IF(countif('Womens Lineup'!I$3:I1000,CONCATENATE("=",$A134))=0,"",I$2))</f>
        <v>100 Breast</v>
      </c>
      <c r="J134" s="3" t="str">
        <f>IF($A134="","",IF(countif('Womens Lineup'!J$3:J1000,CONCATENATE("=",$A134))=0,"",J$2))</f>
        <v/>
      </c>
      <c r="K134" s="3" t="str">
        <f>IF($A134="","",IF(countif('Womens Lineup'!K$3:K1000,CONCATENATE("=",$A134))=0,"",K$2))</f>
        <v/>
      </c>
      <c r="L134" s="3" t="str">
        <f>IF($A134="","",IF(countif('Womens Lineup'!L$3:L1000,CONCATENATE("=",$A134))=0,"",L$2))</f>
        <v/>
      </c>
      <c r="M134" s="3" t="str">
        <f>IF($A134="","",IF(countif('Womens Lineup'!M$3:M1000,CONCATENATE("=",$A134))=0,"",M$2))</f>
        <v/>
      </c>
      <c r="N134" s="3" t="str">
        <f>IF($A134="","",IF(countif('Womens Lineup'!N$3:N1000,CONCATENATE("=",$A134))=0,"",N$2))</f>
        <v/>
      </c>
      <c r="O134" s="3" t="str">
        <f>IF($A134="","",IF(countif('Womens Lineup'!O$3:O1000,CONCATENATE("=",$A134))=0,"",O$2))</f>
        <v/>
      </c>
      <c r="P134" s="3" t="str">
        <f>IF($A134="","",IF(countif('Womens Lineup'!P$3:P1000,CONCATENATE("=",$A134))=0,"",P$2))</f>
        <v/>
      </c>
      <c r="Q134" s="3" t="str">
        <f>IF($A134="","",IF(countif('Womens Lineup'!Q$3:Q1000,CONCATENATE("=",$A134))=0,"",Q$2))</f>
        <v/>
      </c>
      <c r="R134" s="3" t="str">
        <f>IF($A134="","",IF(countif('Womens Lineup'!R$3:R1000,CONCATENATE("=",$A134))=0,"",R$2))</f>
        <v/>
      </c>
      <c r="S134" s="3" t="str">
        <f>IF($A134="","",IF(countif('Womens Lineup'!S$3:S1000,CONCATENATE("=",$A134))=0,"",S$2))</f>
        <v/>
      </c>
      <c r="W134" s="3" t="str">
        <f>IFERROR(__xludf.DUMMYFUNCTION("JOIN("","",FILTER(B134:S134,B134:S134&lt;&gt;""""))"),"50 Free,100 Back,200 Back,100 Breast")</f>
        <v>50 Free,100 Back,200 Back,100 Breast</v>
      </c>
    </row>
    <row r="135">
      <c r="A135" s="3" t="s">
        <v>450</v>
      </c>
      <c r="B135" s="3" t="str">
        <f>IF($A135="","",IF(countif('Womens Lineup'!B$3:B1000,CONCATENATE("=",$A135))=0,"",B$2))</f>
        <v>50 Free</v>
      </c>
      <c r="C135" s="3" t="str">
        <f>IF($A135="","",IF(countif('Womens Lineup'!C$3:C1000,CONCATENATE("=",$A135))=0,"",C$2))</f>
        <v>100 Free</v>
      </c>
      <c r="D135" s="3" t="str">
        <f>IF($A135="","",IF(countif('Womens Lineup'!D$3:D1000,CONCATENATE("=",$A135))=0,"",D$2))</f>
        <v/>
      </c>
      <c r="E135" s="3" t="str">
        <f>IF($A135="","",IF(countif('Womens Lineup'!E$3:E1000,CONCATENATE("=",$A135))=0,"",E$2))</f>
        <v/>
      </c>
      <c r="F135" s="3" t="str">
        <f>IF($A135="","",IF(countif('Womens Lineup'!F$3:F1000,CONCATENATE("=",$A135))=0,"",F$2))</f>
        <v/>
      </c>
      <c r="G135" s="3" t="str">
        <f>IF($A135="","",IF(countif('Womens Lineup'!G$3:G1000,CONCATENATE("=",$A135))=0,"",G$2))</f>
        <v>100 Back</v>
      </c>
      <c r="H135" s="3" t="str">
        <f>IF($A135="","",IF(countif('Womens Lineup'!H$3:H1000,CONCATENATE("=",$A135))=0,"",H$2))</f>
        <v>200 Back</v>
      </c>
      <c r="I135" s="3" t="str">
        <f>IF($A135="","",IF(countif('Womens Lineup'!I$3:I1000,CONCATENATE("=",$A135))=0,"",I$2))</f>
        <v/>
      </c>
      <c r="J135" s="3" t="str">
        <f>IF($A135="","",IF(countif('Womens Lineup'!J$3:J1000,CONCATENATE("=",$A135))=0,"",J$2))</f>
        <v/>
      </c>
      <c r="K135" s="3" t="str">
        <f>IF($A135="","",IF(countif('Womens Lineup'!K$3:K1000,CONCATENATE("=",$A135))=0,"",K$2))</f>
        <v/>
      </c>
      <c r="L135" s="3" t="str">
        <f>IF($A135="","",IF(countif('Womens Lineup'!L$3:L1000,CONCATENATE("=",$A135))=0,"",L$2))</f>
        <v/>
      </c>
      <c r="M135" s="3" t="str">
        <f>IF($A135="","",IF(countif('Womens Lineup'!M$3:M1000,CONCATENATE("=",$A135))=0,"",M$2))</f>
        <v>200 IM</v>
      </c>
      <c r="N135" s="3" t="str">
        <f>IF($A135="","",IF(countif('Womens Lineup'!N$3:N1000,CONCATENATE("=",$A135))=0,"",N$2))</f>
        <v/>
      </c>
      <c r="O135" s="3" t="str">
        <f>IF($A135="","",IF(countif('Womens Lineup'!O$3:O1000,CONCATENATE("=",$A135))=0,"",O$2))</f>
        <v/>
      </c>
      <c r="P135" s="3" t="str">
        <f>IF($A135="","",IF(countif('Womens Lineup'!P$3:P1000,CONCATENATE("=",$A135))=0,"",P$2))</f>
        <v/>
      </c>
      <c r="Q135" s="3" t="str">
        <f>IF($A135="","",IF(countif('Womens Lineup'!Q$3:Q1000,CONCATENATE("=",$A135))=0,"",Q$2))</f>
        <v/>
      </c>
      <c r="R135" s="3" t="str">
        <f>IF($A135="","",IF(countif('Womens Lineup'!R$3:R1000,CONCATENATE("=",$A135))=0,"",R$2))</f>
        <v/>
      </c>
      <c r="S135" s="3" t="str">
        <f>IF($A135="","",IF(countif('Womens Lineup'!S$3:S1000,CONCATENATE("=",$A135))=0,"",S$2))</f>
        <v/>
      </c>
      <c r="W135" s="3" t="str">
        <f>IFERROR(__xludf.DUMMYFUNCTION("JOIN("","",FILTER(B135:S135,B135:S135&lt;&gt;""""))"),"50 Free,100 Free,100 Back,200 Back,200 IM")</f>
        <v>50 Free,100 Free,100 Back,200 Back,200 IM</v>
      </c>
    </row>
    <row r="136">
      <c r="A136" s="3" t="s">
        <v>451</v>
      </c>
      <c r="B136" s="3" t="str">
        <f>IF($A136="","",IF(countif('Womens Lineup'!B$3:B1000,CONCATENATE("=",$A136))=0,"",B$2))</f>
        <v>50 Free</v>
      </c>
      <c r="C136" s="3" t="str">
        <f>IF($A136="","",IF(countif('Womens Lineup'!C$3:C1000,CONCATENATE("=",$A136))=0,"",C$2))</f>
        <v/>
      </c>
      <c r="D136" s="3" t="str">
        <f>IF($A136="","",IF(countif('Womens Lineup'!D$3:D1000,CONCATENATE("=",$A136))=0,"",D$2))</f>
        <v/>
      </c>
      <c r="E136" s="3" t="str">
        <f>IF($A136="","",IF(countif('Womens Lineup'!E$3:E1000,CONCATENATE("=",$A136))=0,"",E$2))</f>
        <v/>
      </c>
      <c r="F136" s="3" t="str">
        <f>IF($A136="","",IF(countif('Womens Lineup'!F$3:F1000,CONCATENATE("=",$A136))=0,"",F$2))</f>
        <v/>
      </c>
      <c r="G136" s="3" t="str">
        <f>IF($A136="","",IF(countif('Womens Lineup'!G$3:G1000,CONCATENATE("=",$A136))=0,"",G$2))</f>
        <v/>
      </c>
      <c r="H136" s="3" t="str">
        <f>IF($A136="","",IF(countif('Womens Lineup'!H$3:H1000,CONCATENATE("=",$A136))=0,"",H$2))</f>
        <v/>
      </c>
      <c r="I136" s="3" t="str">
        <f>IF($A136="","",IF(countif('Womens Lineup'!I$3:I1000,CONCATENATE("=",$A136))=0,"",I$2))</f>
        <v>100 Breast</v>
      </c>
      <c r="J136" s="3" t="str">
        <f>IF($A136="","",IF(countif('Womens Lineup'!J$3:J1000,CONCATENATE("=",$A136))=0,"",J$2))</f>
        <v/>
      </c>
      <c r="K136" s="3" t="str">
        <f>IF($A136="","",IF(countif('Womens Lineup'!K$3:K1000,CONCATENATE("=",$A136))=0,"",K$2))</f>
        <v/>
      </c>
      <c r="L136" s="3" t="str">
        <f>IF($A136="","",IF(countif('Womens Lineup'!L$3:L1000,CONCATENATE("=",$A136))=0,"",L$2))</f>
        <v/>
      </c>
      <c r="M136" s="3" t="str">
        <f>IF($A136="","",IF(countif('Womens Lineup'!M$3:M1000,CONCATENATE("=",$A136))=0,"",M$2))</f>
        <v/>
      </c>
      <c r="N136" s="3" t="str">
        <f>IF($A136="","",IF(countif('Womens Lineup'!N$3:N1000,CONCATENATE("=",$A136))=0,"",N$2))</f>
        <v/>
      </c>
      <c r="O136" s="3" t="str">
        <f>IF($A136="","",IF(countif('Womens Lineup'!O$3:O1000,CONCATENATE("=",$A136))=0,"",O$2))</f>
        <v/>
      </c>
      <c r="P136" s="3" t="str">
        <f>IF($A136="","",IF(countif('Womens Lineup'!P$3:P1000,CONCATENATE("=",$A136))=0,"",P$2))</f>
        <v/>
      </c>
      <c r="Q136" s="3" t="str">
        <f>IF($A136="","",IF(countif('Womens Lineup'!Q$3:Q1000,CONCATENATE("=",$A136))=0,"",Q$2))</f>
        <v/>
      </c>
      <c r="R136" s="3" t="str">
        <f>IF($A136="","",IF(countif('Womens Lineup'!R$3:R1000,CONCATENATE("=",$A136))=0,"",R$2))</f>
        <v/>
      </c>
      <c r="S136" s="3" t="str">
        <f>IF($A136="","",IF(countif('Womens Lineup'!S$3:S1000,CONCATENATE("=",$A136))=0,"",S$2))</f>
        <v/>
      </c>
      <c r="W136" s="3" t="str">
        <f>IFERROR(__xludf.DUMMYFUNCTION("JOIN("","",FILTER(B136:S136,B136:S136&lt;&gt;""""))"),"50 Free,100 Breast")</f>
        <v>50 Free,100 Breast</v>
      </c>
    </row>
    <row r="137">
      <c r="A137" s="3" t="s">
        <v>452</v>
      </c>
      <c r="B137" s="3" t="str">
        <f>IF($A137="","",IF(countif('Womens Lineup'!B$3:B1000,CONCATENATE("=",$A137))=0,"",B$2))</f>
        <v>50 Free</v>
      </c>
      <c r="C137" s="3" t="str">
        <f>IF($A137="","",IF(countif('Womens Lineup'!C$3:C1000,CONCATENATE("=",$A137))=0,"",C$2))</f>
        <v>100 Free</v>
      </c>
      <c r="D137" s="3" t="str">
        <f>IF($A137="","",IF(countif('Womens Lineup'!D$3:D1000,CONCATENATE("=",$A137))=0,"",D$2))</f>
        <v/>
      </c>
      <c r="E137" s="3" t="str">
        <f>IF($A137="","",IF(countif('Womens Lineup'!E$3:E1000,CONCATENATE("=",$A137))=0,"",E$2))</f>
        <v/>
      </c>
      <c r="F137" s="3" t="str">
        <f>IF($A137="","",IF(countif('Womens Lineup'!F$3:F1000,CONCATENATE("=",$A137))=0,"",F$2))</f>
        <v/>
      </c>
      <c r="G137" s="3" t="str">
        <f>IF($A137="","",IF(countif('Womens Lineup'!G$3:G1000,CONCATENATE("=",$A137))=0,"",G$2))</f>
        <v>100 Back</v>
      </c>
      <c r="H137" s="3" t="str">
        <f>IF($A137="","",IF(countif('Womens Lineup'!H$3:H1000,CONCATENATE("=",$A137))=0,"",H$2))</f>
        <v/>
      </c>
      <c r="I137" s="3" t="str">
        <f>IF($A137="","",IF(countif('Womens Lineup'!I$3:I1000,CONCATENATE("=",$A137))=0,"",I$2))</f>
        <v/>
      </c>
      <c r="J137" s="3" t="str">
        <f>IF($A137="","",IF(countif('Womens Lineup'!J$3:J1000,CONCATENATE("=",$A137))=0,"",J$2))</f>
        <v/>
      </c>
      <c r="K137" s="3" t="str">
        <f>IF($A137="","",IF(countif('Womens Lineup'!K$3:K1000,CONCATENATE("=",$A137))=0,"",K$2))</f>
        <v>100 Fly</v>
      </c>
      <c r="L137" s="3" t="str">
        <f>IF($A137="","",IF(countif('Womens Lineup'!L$3:L1000,CONCATENATE("=",$A137))=0,"",L$2))</f>
        <v/>
      </c>
      <c r="M137" s="3" t="str">
        <f>IF($A137="","",IF(countif('Womens Lineup'!M$3:M1000,CONCATENATE("=",$A137))=0,"",M$2))</f>
        <v>200 IM</v>
      </c>
      <c r="N137" s="3" t="str">
        <f>IF($A137="","",IF(countif('Womens Lineup'!N$3:N1000,CONCATENATE("=",$A137))=0,"",N$2))</f>
        <v/>
      </c>
      <c r="O137" s="3" t="str">
        <f>IF($A137="","",IF(countif('Womens Lineup'!O$3:O1000,CONCATENATE("=",$A137))=0,"",O$2))</f>
        <v/>
      </c>
      <c r="P137" s="3" t="str">
        <f>IF($A137="","",IF(countif('Womens Lineup'!P$3:P1000,CONCATENATE("=",$A137))=0,"",P$2))</f>
        <v/>
      </c>
      <c r="Q137" s="3" t="str">
        <f>IF($A137="","",IF(countif('Womens Lineup'!Q$3:Q1000,CONCATENATE("=",$A137))=0,"",Q$2))</f>
        <v/>
      </c>
      <c r="R137" s="3" t="str">
        <f>IF($A137="","",IF(countif('Womens Lineup'!R$3:R1000,CONCATENATE("=",$A137))=0,"",R$2))</f>
        <v/>
      </c>
      <c r="S137" s="3" t="str">
        <f>IF($A137="","",IF(countif('Womens Lineup'!S$3:S1000,CONCATENATE("=",$A137))=0,"",S$2))</f>
        <v/>
      </c>
      <c r="W137" s="3" t="str">
        <f>IFERROR(__xludf.DUMMYFUNCTION("JOIN("","",FILTER(B137:S137,B137:S137&lt;&gt;""""))"),"50 Free,100 Free,100 Back,100 Fly,200 IM")</f>
        <v>50 Free,100 Free,100 Back,100 Fly,200 IM</v>
      </c>
    </row>
    <row r="138">
      <c r="A138" s="3" t="s">
        <v>453</v>
      </c>
      <c r="B138" s="3" t="str">
        <f>IF($A138="","",IF(countif('Womens Lineup'!B$3:B1000,CONCATENATE("=",$A138))=0,"",B$2))</f>
        <v>50 Free</v>
      </c>
      <c r="C138" s="3" t="str">
        <f>IF($A138="","",IF(countif('Womens Lineup'!C$3:C1000,CONCATENATE("=",$A138))=0,"",C$2))</f>
        <v>100 Free</v>
      </c>
      <c r="D138" s="3" t="str">
        <f>IF($A138="","",IF(countif('Womens Lineup'!D$3:D1000,CONCATENATE("=",$A138))=0,"",D$2))</f>
        <v/>
      </c>
      <c r="E138" s="3" t="str">
        <f>IF($A138="","",IF(countif('Womens Lineup'!E$3:E1000,CONCATENATE("=",$A138))=0,"",E$2))</f>
        <v/>
      </c>
      <c r="F138" s="3" t="str">
        <f>IF($A138="","",IF(countif('Womens Lineup'!F$3:F1000,CONCATENATE("=",$A138))=0,"",F$2))</f>
        <v/>
      </c>
      <c r="G138" s="3" t="str">
        <f>IF($A138="","",IF(countif('Womens Lineup'!G$3:G1000,CONCATENATE("=",$A138))=0,"",G$2))</f>
        <v/>
      </c>
      <c r="H138" s="3" t="str">
        <f>IF($A138="","",IF(countif('Womens Lineup'!H$3:H1000,CONCATENATE("=",$A138))=0,"",H$2))</f>
        <v/>
      </c>
      <c r="I138" s="3" t="str">
        <f>IF($A138="","",IF(countif('Womens Lineup'!I$3:I1000,CONCATENATE("=",$A138))=0,"",I$2))</f>
        <v>100 Breast</v>
      </c>
      <c r="J138" s="3" t="str">
        <f>IF($A138="","",IF(countif('Womens Lineup'!J$3:J1000,CONCATENATE("=",$A138))=0,"",J$2))</f>
        <v/>
      </c>
      <c r="K138" s="3" t="str">
        <f>IF($A138="","",IF(countif('Womens Lineup'!K$3:K1000,CONCATENATE("=",$A138))=0,"",K$2))</f>
        <v>100 Fly</v>
      </c>
      <c r="L138" s="3" t="str">
        <f>IF($A138="","",IF(countif('Womens Lineup'!L$3:L1000,CONCATENATE("=",$A138))=0,"",L$2))</f>
        <v>200 Fly</v>
      </c>
      <c r="M138" s="3" t="str">
        <f>IF($A138="","",IF(countif('Womens Lineup'!M$3:M1000,CONCATENATE("=",$A138))=0,"",M$2))</f>
        <v>200 IM</v>
      </c>
      <c r="N138" s="3" t="str">
        <f>IF($A138="","",IF(countif('Womens Lineup'!N$3:N1000,CONCATENATE("=",$A138))=0,"",N$2))</f>
        <v/>
      </c>
      <c r="O138" s="3" t="str">
        <f>IF($A138="","",IF(countif('Womens Lineup'!O$3:O1000,CONCATENATE("=",$A138))=0,"",O$2))</f>
        <v/>
      </c>
      <c r="P138" s="3" t="str">
        <f>IF($A138="","",IF(countif('Womens Lineup'!P$3:P1000,CONCATENATE("=",$A138))=0,"",P$2))</f>
        <v/>
      </c>
      <c r="Q138" s="3" t="str">
        <f>IF($A138="","",IF(countif('Womens Lineup'!Q$3:Q1000,CONCATENATE("=",$A138))=0,"",Q$2))</f>
        <v/>
      </c>
      <c r="R138" s="3" t="str">
        <f>IF($A138="","",IF(countif('Womens Lineup'!R$3:R1000,CONCATENATE("=",$A138))=0,"",R$2))</f>
        <v/>
      </c>
      <c r="S138" s="3" t="str">
        <f>IF($A138="","",IF(countif('Womens Lineup'!S$3:S1000,CONCATENATE("=",$A138))=0,"",S$2))</f>
        <v/>
      </c>
      <c r="W138" s="3" t="str">
        <f>IFERROR(__xludf.DUMMYFUNCTION("JOIN("","",FILTER(B138:S138,B138:S138&lt;&gt;""""))"),"50 Free,100 Free,100 Breast,100 Fly,200 Fly,200 IM")</f>
        <v>50 Free,100 Free,100 Breast,100 Fly,200 Fly,200 IM</v>
      </c>
    </row>
    <row r="139">
      <c r="A139" s="3" t="s">
        <v>454</v>
      </c>
      <c r="B139" s="3" t="str">
        <f>IF($A139="","",IF(countif('Womens Lineup'!B$3:B1000,CONCATENATE("=",$A139))=0,"",B$2))</f>
        <v>50 Free</v>
      </c>
      <c r="C139" s="3" t="str">
        <f>IF($A139="","",IF(countif('Womens Lineup'!C$3:C1000,CONCATENATE("=",$A139))=0,"",C$2))</f>
        <v/>
      </c>
      <c r="D139" s="3" t="str">
        <f>IF($A139="","",IF(countif('Womens Lineup'!D$3:D1000,CONCATENATE("=",$A139))=0,"",D$2))</f>
        <v>200 Free</v>
      </c>
      <c r="E139" s="3" t="str">
        <f>IF($A139="","",IF(countif('Womens Lineup'!E$3:E1000,CONCATENATE("=",$A139))=0,"",E$2))</f>
        <v>500 Free</v>
      </c>
      <c r="F139" s="3" t="str">
        <f>IF($A139="","",IF(countif('Womens Lineup'!F$3:F1000,CONCATENATE("=",$A139))=0,"",F$2))</f>
        <v>1650 Free</v>
      </c>
      <c r="G139" s="3" t="str">
        <f>IF($A139="","",IF(countif('Womens Lineup'!G$3:G1000,CONCATENATE("=",$A139))=0,"",G$2))</f>
        <v/>
      </c>
      <c r="H139" s="3" t="str">
        <f>IF($A139="","",IF(countif('Womens Lineup'!H$3:H1000,CONCATENATE("=",$A139))=0,"",H$2))</f>
        <v/>
      </c>
      <c r="I139" s="3" t="str">
        <f>IF($A139="","",IF(countif('Womens Lineup'!I$3:I1000,CONCATENATE("=",$A139))=0,"",I$2))</f>
        <v/>
      </c>
      <c r="J139" s="3" t="str">
        <f>IF($A139="","",IF(countif('Womens Lineup'!J$3:J1000,CONCATENATE("=",$A139))=0,"",J$2))</f>
        <v/>
      </c>
      <c r="K139" s="3" t="str">
        <f>IF($A139="","",IF(countif('Womens Lineup'!K$3:K1000,CONCATENATE("=",$A139))=0,"",K$2))</f>
        <v/>
      </c>
      <c r="L139" s="3" t="str">
        <f>IF($A139="","",IF(countif('Womens Lineup'!L$3:L1000,CONCATENATE("=",$A139))=0,"",L$2))</f>
        <v/>
      </c>
      <c r="M139" s="3" t="str">
        <f>IF($A139="","",IF(countif('Womens Lineup'!M$3:M1000,CONCATENATE("=",$A139))=0,"",M$2))</f>
        <v/>
      </c>
      <c r="N139" s="3" t="str">
        <f>IF($A139="","",IF(countif('Womens Lineup'!N$3:N1000,CONCATENATE("=",$A139))=0,"",N$2))</f>
        <v/>
      </c>
      <c r="O139" s="3" t="str">
        <f>IF($A139="","",IF(countif('Womens Lineup'!O$3:O1000,CONCATENATE("=",$A139))=0,"",O$2))</f>
        <v>1000 Free</v>
      </c>
      <c r="P139" s="3" t="str">
        <f>IF($A139="","",IF(countif('Womens Lineup'!P$3:P1000,CONCATENATE("=",$A139))=0,"",P$2))</f>
        <v/>
      </c>
      <c r="Q139" s="3" t="str">
        <f>IF($A139="","",IF(countif('Womens Lineup'!Q$3:Q1000,CONCATENATE("=",$A139))=0,"",Q$2))</f>
        <v/>
      </c>
      <c r="R139" s="3" t="str">
        <f>IF($A139="","",IF(countif('Womens Lineup'!R$3:R1000,CONCATENATE("=",$A139))=0,"",R$2))</f>
        <v/>
      </c>
      <c r="S139" s="3" t="str">
        <f>IF($A139="","",IF(countif('Womens Lineup'!S$3:S1000,CONCATENATE("=",$A139))=0,"",S$2))</f>
        <v/>
      </c>
      <c r="W139" s="3" t="str">
        <f>IFERROR(__xludf.DUMMYFUNCTION("JOIN("","",FILTER(B139:S139,B139:S139&lt;&gt;""""))"),"50 Free,200 Free,500 Free,1650 Free,1000 Free")</f>
        <v>50 Free,200 Free,500 Free,1650 Free,1000 Free</v>
      </c>
    </row>
    <row r="140">
      <c r="A140" s="3" t="s">
        <v>455</v>
      </c>
      <c r="B140" s="3" t="str">
        <f>IF($A140="","",IF(countif('Womens Lineup'!B$3:B1000,CONCATENATE("=",$A140))=0,"",B$2))</f>
        <v>50 Free</v>
      </c>
      <c r="C140" s="3" t="str">
        <f>IF($A140="","",IF(countif('Womens Lineup'!C$3:C1000,CONCATENATE("=",$A140))=0,"",C$2))</f>
        <v>100 Free</v>
      </c>
      <c r="D140" s="3" t="str">
        <f>IF($A140="","",IF(countif('Womens Lineup'!D$3:D1000,CONCATENATE("=",$A140))=0,"",D$2))</f>
        <v/>
      </c>
      <c r="E140" s="3" t="str">
        <f>IF($A140="","",IF(countif('Womens Lineup'!E$3:E1000,CONCATENATE("=",$A140))=0,"",E$2))</f>
        <v/>
      </c>
      <c r="F140" s="3" t="str">
        <f>IF($A140="","",IF(countif('Womens Lineup'!F$3:F1000,CONCATENATE("=",$A140))=0,"",F$2))</f>
        <v/>
      </c>
      <c r="G140" s="3" t="str">
        <f>IF($A140="","",IF(countif('Womens Lineup'!G$3:G1000,CONCATENATE("=",$A140))=0,"",G$2))</f>
        <v/>
      </c>
      <c r="H140" s="3" t="str">
        <f>IF($A140="","",IF(countif('Womens Lineup'!H$3:H1000,CONCATENATE("=",$A140))=0,"",H$2))</f>
        <v/>
      </c>
      <c r="I140" s="3" t="str">
        <f>IF($A140="","",IF(countif('Womens Lineup'!I$3:I1000,CONCATENATE("=",$A140))=0,"",I$2))</f>
        <v/>
      </c>
      <c r="J140" s="3" t="str">
        <f>IF($A140="","",IF(countif('Womens Lineup'!J$3:J1000,CONCATENATE("=",$A140))=0,"",J$2))</f>
        <v/>
      </c>
      <c r="K140" s="3" t="str">
        <f>IF($A140="","",IF(countif('Womens Lineup'!K$3:K1000,CONCATENATE("=",$A140))=0,"",K$2))</f>
        <v/>
      </c>
      <c r="L140" s="3" t="str">
        <f>IF($A140="","",IF(countif('Womens Lineup'!L$3:L1000,CONCATENATE("=",$A140))=0,"",L$2))</f>
        <v/>
      </c>
      <c r="M140" s="3" t="str">
        <f>IF($A140="","",IF(countif('Womens Lineup'!M$3:M1000,CONCATENATE("=",$A140))=0,"",M$2))</f>
        <v/>
      </c>
      <c r="N140" s="3" t="str">
        <f>IF($A140="","",IF(countif('Womens Lineup'!N$3:N1000,CONCATENATE("=",$A140))=0,"",N$2))</f>
        <v/>
      </c>
      <c r="O140" s="3" t="str">
        <f>IF($A140="","",IF(countif('Womens Lineup'!O$3:O1000,CONCATENATE("=",$A140))=0,"",O$2))</f>
        <v/>
      </c>
      <c r="P140" s="3" t="str">
        <f>IF($A140="","",IF(countif('Womens Lineup'!P$3:P1000,CONCATENATE("=",$A140))=0,"",P$2))</f>
        <v/>
      </c>
      <c r="Q140" s="3" t="str">
        <f>IF($A140="","",IF(countif('Womens Lineup'!Q$3:Q1000,CONCATENATE("=",$A140))=0,"",Q$2))</f>
        <v/>
      </c>
      <c r="R140" s="3" t="str">
        <f>IF($A140="","",IF(countif('Womens Lineup'!R$3:R1000,CONCATENATE("=",$A140))=0,"",R$2))</f>
        <v/>
      </c>
      <c r="S140" s="3" t="str">
        <f>IF($A140="","",IF(countif('Womens Lineup'!S$3:S1000,CONCATENATE("=",$A140))=0,"",S$2))</f>
        <v/>
      </c>
      <c r="W140" s="3" t="str">
        <f>IFERROR(__xludf.DUMMYFUNCTION("JOIN("","",FILTER(B140:S140,B140:S140&lt;&gt;""""))"),"50 Free,100 Free")</f>
        <v>50 Free,100 Free</v>
      </c>
    </row>
    <row r="141">
      <c r="A141" s="3" t="s">
        <v>456</v>
      </c>
      <c r="B141" s="3" t="str">
        <f>IF($A141="","",IF(countif('Womens Lineup'!B$3:B1000,CONCATENATE("=",$A141))=0,"",B$2))</f>
        <v>50 Free</v>
      </c>
      <c r="C141" s="3" t="str">
        <f>IF($A141="","",IF(countif('Womens Lineup'!C$3:C1000,CONCATENATE("=",$A141))=0,"",C$2))</f>
        <v>100 Free</v>
      </c>
      <c r="D141" s="3" t="str">
        <f>IF($A141="","",IF(countif('Womens Lineup'!D$3:D1000,CONCATENATE("=",$A141))=0,"",D$2))</f>
        <v>200 Free</v>
      </c>
      <c r="E141" s="3" t="str">
        <f>IF($A141="","",IF(countif('Womens Lineup'!E$3:E1000,CONCATENATE("=",$A141))=0,"",E$2))</f>
        <v/>
      </c>
      <c r="F141" s="3" t="str">
        <f>IF($A141="","",IF(countif('Womens Lineup'!F$3:F1000,CONCATENATE("=",$A141))=0,"",F$2))</f>
        <v/>
      </c>
      <c r="G141" s="3" t="str">
        <f>IF($A141="","",IF(countif('Womens Lineup'!G$3:G1000,CONCATENATE("=",$A141))=0,"",G$2))</f>
        <v/>
      </c>
      <c r="H141" s="3" t="str">
        <f>IF($A141="","",IF(countif('Womens Lineup'!H$3:H1000,CONCATENATE("=",$A141))=0,"",H$2))</f>
        <v/>
      </c>
      <c r="I141" s="3" t="str">
        <f>IF($A141="","",IF(countif('Womens Lineup'!I$3:I1000,CONCATENATE("=",$A141))=0,"",I$2))</f>
        <v>100 Breast</v>
      </c>
      <c r="J141" s="3" t="str">
        <f>IF($A141="","",IF(countif('Womens Lineup'!J$3:J1000,CONCATENATE("=",$A141))=0,"",J$2))</f>
        <v/>
      </c>
      <c r="K141" s="3" t="str">
        <f>IF($A141="","",IF(countif('Womens Lineup'!K$3:K1000,CONCATENATE("=",$A141))=0,"",K$2))</f>
        <v>100 Fly</v>
      </c>
      <c r="L141" s="3" t="str">
        <f>IF($A141="","",IF(countif('Womens Lineup'!L$3:L1000,CONCATENATE("=",$A141))=0,"",L$2))</f>
        <v/>
      </c>
      <c r="M141" s="3" t="str">
        <f>IF($A141="","",IF(countif('Womens Lineup'!M$3:M1000,CONCATENATE("=",$A141))=0,"",M$2))</f>
        <v>200 IM</v>
      </c>
      <c r="N141" s="3" t="str">
        <f>IF($A141="","",IF(countif('Womens Lineup'!N$3:N1000,CONCATENATE("=",$A141))=0,"",N$2))</f>
        <v/>
      </c>
      <c r="O141" s="3" t="str">
        <f>IF($A141="","",IF(countif('Womens Lineup'!O$3:O1000,CONCATENATE("=",$A141))=0,"",O$2))</f>
        <v/>
      </c>
      <c r="P141" s="3" t="str">
        <f>IF($A141="","",IF(countif('Womens Lineup'!P$3:P1000,CONCATENATE("=",$A141))=0,"",P$2))</f>
        <v/>
      </c>
      <c r="Q141" s="3" t="str">
        <f>IF($A141="","",IF(countif('Womens Lineup'!Q$3:Q1000,CONCATENATE("=",$A141))=0,"",Q$2))</f>
        <v/>
      </c>
      <c r="R141" s="3" t="str">
        <f>IF($A141="","",IF(countif('Womens Lineup'!R$3:R1000,CONCATENATE("=",$A141))=0,"",R$2))</f>
        <v/>
      </c>
      <c r="S141" s="3" t="str">
        <f>IF($A141="","",IF(countif('Womens Lineup'!S$3:S1000,CONCATENATE("=",$A141))=0,"",S$2))</f>
        <v/>
      </c>
      <c r="W141" s="3" t="str">
        <f>IFERROR(__xludf.DUMMYFUNCTION("JOIN("","",FILTER(B141:S141,B141:S141&lt;&gt;""""))"),"50 Free,100 Free,200 Free,100 Breast,100 Fly,200 IM")</f>
        <v>50 Free,100 Free,200 Free,100 Breast,100 Fly,200 IM</v>
      </c>
    </row>
    <row r="142">
      <c r="A142" s="3" t="s">
        <v>457</v>
      </c>
      <c r="B142" s="3" t="str">
        <f>IF($A142="","",IF(countif('Womens Lineup'!B$3:B1000,CONCATENATE("=",$A142))=0,"",B$2))</f>
        <v>50 Free</v>
      </c>
      <c r="C142" s="3" t="str">
        <f>IF($A142="","",IF(countif('Womens Lineup'!C$3:C1000,CONCATENATE("=",$A142))=0,"",C$2))</f>
        <v>100 Free</v>
      </c>
      <c r="D142" s="3" t="str">
        <f>IF($A142="","",IF(countif('Womens Lineup'!D$3:D1000,CONCATENATE("=",$A142))=0,"",D$2))</f>
        <v/>
      </c>
      <c r="E142" s="3" t="str">
        <f>IF($A142="","",IF(countif('Womens Lineup'!E$3:E1000,CONCATENATE("=",$A142))=0,"",E$2))</f>
        <v/>
      </c>
      <c r="F142" s="3" t="str">
        <f>IF($A142="","",IF(countif('Womens Lineup'!F$3:F1000,CONCATENATE("=",$A142))=0,"",F$2))</f>
        <v/>
      </c>
      <c r="G142" s="3" t="str">
        <f>IF($A142="","",IF(countif('Womens Lineup'!G$3:G1000,CONCATENATE("=",$A142))=0,"",G$2))</f>
        <v/>
      </c>
      <c r="H142" s="3" t="str">
        <f>IF($A142="","",IF(countif('Womens Lineup'!H$3:H1000,CONCATENATE("=",$A142))=0,"",H$2))</f>
        <v/>
      </c>
      <c r="I142" s="3" t="str">
        <f>IF($A142="","",IF(countif('Womens Lineup'!I$3:I1000,CONCATENATE("=",$A142))=0,"",I$2))</f>
        <v>100 Breast</v>
      </c>
      <c r="J142" s="3" t="str">
        <f>IF($A142="","",IF(countif('Womens Lineup'!J$3:J1000,CONCATENATE("=",$A142))=0,"",J$2))</f>
        <v>200 Breast</v>
      </c>
      <c r="K142" s="3" t="str">
        <f>IF($A142="","",IF(countif('Womens Lineup'!K$3:K1000,CONCATENATE("=",$A142))=0,"",K$2))</f>
        <v/>
      </c>
      <c r="L142" s="3" t="str">
        <f>IF($A142="","",IF(countif('Womens Lineup'!L$3:L1000,CONCATENATE("=",$A142))=0,"",L$2))</f>
        <v/>
      </c>
      <c r="M142" s="3" t="str">
        <f>IF($A142="","",IF(countif('Womens Lineup'!M$3:M1000,CONCATENATE("=",$A142))=0,"",M$2))</f>
        <v/>
      </c>
      <c r="N142" s="3" t="str">
        <f>IF($A142="","",IF(countif('Womens Lineup'!N$3:N1000,CONCATENATE("=",$A142))=0,"",N$2))</f>
        <v/>
      </c>
      <c r="O142" s="3" t="str">
        <f>IF($A142="","",IF(countif('Womens Lineup'!O$3:O1000,CONCATENATE("=",$A142))=0,"",O$2))</f>
        <v/>
      </c>
      <c r="P142" s="3" t="str">
        <f>IF($A142="","",IF(countif('Womens Lineup'!P$3:P1000,CONCATENATE("=",$A142))=0,"",P$2))</f>
        <v/>
      </c>
      <c r="Q142" s="3" t="str">
        <f>IF($A142="","",IF(countif('Womens Lineup'!Q$3:Q1000,CONCATENATE("=",$A142))=0,"",Q$2))</f>
        <v/>
      </c>
      <c r="R142" s="3" t="str">
        <f>IF($A142="","",IF(countif('Womens Lineup'!R$3:R1000,CONCATENATE("=",$A142))=0,"",R$2))</f>
        <v/>
      </c>
      <c r="S142" s="3" t="str">
        <f>IF($A142="","",IF(countif('Womens Lineup'!S$3:S1000,CONCATENATE("=",$A142))=0,"",S$2))</f>
        <v/>
      </c>
      <c r="W142" s="3" t="str">
        <f>IFERROR(__xludf.DUMMYFUNCTION("JOIN("","",FILTER(B142:S142,B142:S142&lt;&gt;""""))"),"50 Free,100 Free,100 Breast,200 Breast")</f>
        <v>50 Free,100 Free,100 Breast,200 Breast</v>
      </c>
    </row>
    <row r="143">
      <c r="A143" s="3" t="s">
        <v>458</v>
      </c>
      <c r="B143" s="3" t="str">
        <f>IF($A143="","",IF(countif('Womens Lineup'!B$3:B1000,CONCATENATE("=",$A143))=0,"",B$2))</f>
        <v>50 Free</v>
      </c>
      <c r="C143" s="3" t="str">
        <f>IF($A143="","",IF(countif('Womens Lineup'!C$3:C1000,CONCATENATE("=",$A143))=0,"",C$2))</f>
        <v/>
      </c>
      <c r="D143" s="3" t="str">
        <f>IF($A143="","",IF(countif('Womens Lineup'!D$3:D1000,CONCATENATE("=",$A143))=0,"",D$2))</f>
        <v/>
      </c>
      <c r="E143" s="3" t="str">
        <f>IF($A143="","",IF(countif('Womens Lineup'!E$3:E1000,CONCATENATE("=",$A143))=0,"",E$2))</f>
        <v/>
      </c>
      <c r="F143" s="3" t="str">
        <f>IF($A143="","",IF(countif('Womens Lineup'!F$3:F1000,CONCATENATE("=",$A143))=0,"",F$2))</f>
        <v/>
      </c>
      <c r="G143" s="3" t="str">
        <f>IF($A143="","",IF(countif('Womens Lineup'!G$3:G1000,CONCATENATE("=",$A143))=0,"",G$2))</f>
        <v>100 Back</v>
      </c>
      <c r="H143" s="3" t="str">
        <f>IF($A143="","",IF(countif('Womens Lineup'!H$3:H1000,CONCATENATE("=",$A143))=0,"",H$2))</f>
        <v>200 Back</v>
      </c>
      <c r="I143" s="3" t="str">
        <f>IF($A143="","",IF(countif('Womens Lineup'!I$3:I1000,CONCATENATE("=",$A143))=0,"",I$2))</f>
        <v/>
      </c>
      <c r="J143" s="3" t="str">
        <f>IF($A143="","",IF(countif('Womens Lineup'!J$3:J1000,CONCATENATE("=",$A143))=0,"",J$2))</f>
        <v/>
      </c>
      <c r="K143" s="3" t="str">
        <f>IF($A143="","",IF(countif('Womens Lineup'!K$3:K1000,CONCATENATE("=",$A143))=0,"",K$2))</f>
        <v/>
      </c>
      <c r="L143" s="3" t="str">
        <f>IF($A143="","",IF(countif('Womens Lineup'!L$3:L1000,CONCATENATE("=",$A143))=0,"",L$2))</f>
        <v/>
      </c>
      <c r="M143" s="3" t="str">
        <f>IF($A143="","",IF(countif('Womens Lineup'!M$3:M1000,CONCATENATE("=",$A143))=0,"",M$2))</f>
        <v/>
      </c>
      <c r="N143" s="3" t="str">
        <f>IF($A143="","",IF(countif('Womens Lineup'!N$3:N1000,CONCATENATE("=",$A143))=0,"",N$2))</f>
        <v/>
      </c>
      <c r="O143" s="3" t="str">
        <f>IF($A143="","",IF(countif('Womens Lineup'!O$3:O1000,CONCATENATE("=",$A143))=0,"",O$2))</f>
        <v/>
      </c>
      <c r="P143" s="3" t="str">
        <f>IF($A143="","",IF(countif('Womens Lineup'!P$3:P1000,CONCATENATE("=",$A143))=0,"",P$2))</f>
        <v/>
      </c>
      <c r="Q143" s="3" t="str">
        <f>IF($A143="","",IF(countif('Womens Lineup'!Q$3:Q1000,CONCATENATE("=",$A143))=0,"",Q$2))</f>
        <v/>
      </c>
      <c r="R143" s="3" t="str">
        <f>IF($A143="","",IF(countif('Womens Lineup'!R$3:R1000,CONCATENATE("=",$A143))=0,"",R$2))</f>
        <v/>
      </c>
      <c r="S143" s="3" t="str">
        <f>IF($A143="","",IF(countif('Womens Lineup'!S$3:S1000,CONCATENATE("=",$A143))=0,"",S$2))</f>
        <v/>
      </c>
      <c r="W143" s="3" t="str">
        <f>IFERROR(__xludf.DUMMYFUNCTION("JOIN("","",FILTER(B143:S143,B143:S143&lt;&gt;""""))"),"50 Free,100 Back,200 Back")</f>
        <v>50 Free,100 Back,200 Back</v>
      </c>
    </row>
    <row r="144">
      <c r="A144" s="3" t="s">
        <v>459</v>
      </c>
      <c r="B144" s="3" t="str">
        <f>IF($A144="","",IF(countif('Womens Lineup'!B$3:B1000,CONCATENATE("=",$A144))=0,"",B$2))</f>
        <v>50 Free</v>
      </c>
      <c r="C144" s="3" t="str">
        <f>IF($A144="","",IF(countif('Womens Lineup'!C$3:C1000,CONCATENATE("=",$A144))=0,"",C$2))</f>
        <v/>
      </c>
      <c r="D144" s="3" t="str">
        <f>IF($A144="","",IF(countif('Womens Lineup'!D$3:D1000,CONCATENATE("=",$A144))=0,"",D$2))</f>
        <v/>
      </c>
      <c r="E144" s="3" t="str">
        <f>IF($A144="","",IF(countif('Womens Lineup'!E$3:E1000,CONCATENATE("=",$A144))=0,"",E$2))</f>
        <v/>
      </c>
      <c r="F144" s="3" t="str">
        <f>IF($A144="","",IF(countif('Womens Lineup'!F$3:F1000,CONCATENATE("=",$A144))=0,"",F$2))</f>
        <v/>
      </c>
      <c r="G144" s="3" t="str">
        <f>IF($A144="","",IF(countif('Womens Lineup'!G$3:G1000,CONCATENATE("=",$A144))=0,"",G$2))</f>
        <v>100 Back</v>
      </c>
      <c r="H144" s="3" t="str">
        <f>IF($A144="","",IF(countif('Womens Lineup'!H$3:H1000,CONCATENATE("=",$A144))=0,"",H$2))</f>
        <v>200 Back</v>
      </c>
      <c r="I144" s="3" t="str">
        <f>IF($A144="","",IF(countif('Womens Lineup'!I$3:I1000,CONCATENATE("=",$A144))=0,"",I$2))</f>
        <v>100 Breast</v>
      </c>
      <c r="J144" s="3" t="str">
        <f>IF($A144="","",IF(countif('Womens Lineup'!J$3:J1000,CONCATENATE("=",$A144))=0,"",J$2))</f>
        <v>200 Breast</v>
      </c>
      <c r="K144" s="3" t="str">
        <f>IF($A144="","",IF(countif('Womens Lineup'!K$3:K1000,CONCATENATE("=",$A144))=0,"",K$2))</f>
        <v/>
      </c>
      <c r="L144" s="3" t="str">
        <f>IF($A144="","",IF(countif('Womens Lineup'!L$3:L1000,CONCATENATE("=",$A144))=0,"",L$2))</f>
        <v/>
      </c>
      <c r="M144" s="3" t="str">
        <f>IF($A144="","",IF(countif('Womens Lineup'!M$3:M1000,CONCATENATE("=",$A144))=0,"",M$2))</f>
        <v>200 IM</v>
      </c>
      <c r="N144" s="3" t="str">
        <f>IF($A144="","",IF(countif('Womens Lineup'!N$3:N1000,CONCATENATE("=",$A144))=0,"",N$2))</f>
        <v/>
      </c>
      <c r="O144" s="3" t="str">
        <f>IF($A144="","",IF(countif('Womens Lineup'!O$3:O1000,CONCATENATE("=",$A144))=0,"",O$2))</f>
        <v/>
      </c>
      <c r="P144" s="3" t="str">
        <f>IF($A144="","",IF(countif('Womens Lineup'!P$3:P1000,CONCATENATE("=",$A144))=0,"",P$2))</f>
        <v/>
      </c>
      <c r="Q144" s="3" t="str">
        <f>IF($A144="","",IF(countif('Womens Lineup'!Q$3:Q1000,CONCATENATE("=",$A144))=0,"",Q$2))</f>
        <v/>
      </c>
      <c r="R144" s="3" t="str">
        <f>IF($A144="","",IF(countif('Womens Lineup'!R$3:R1000,CONCATENATE("=",$A144))=0,"",R$2))</f>
        <v/>
      </c>
      <c r="S144" s="3" t="str">
        <f>IF($A144="","",IF(countif('Womens Lineup'!S$3:S1000,CONCATENATE("=",$A144))=0,"",S$2))</f>
        <v/>
      </c>
      <c r="W144" s="3" t="str">
        <f>IFERROR(__xludf.DUMMYFUNCTION("JOIN("","",FILTER(B144:S144,B144:S144&lt;&gt;""""))"),"50 Free,100 Back,200 Back,100 Breast,200 Breast,200 IM")</f>
        <v>50 Free,100 Back,200 Back,100 Breast,200 Breast,200 IM</v>
      </c>
    </row>
    <row r="145">
      <c r="A145" s="3" t="s">
        <v>460</v>
      </c>
      <c r="B145" s="3" t="str">
        <f>IF($A145="","",IF(countif('Womens Lineup'!B$3:B1000,CONCATENATE("=",$A145))=0,"",B$2))</f>
        <v>50 Free</v>
      </c>
      <c r="C145" s="3" t="str">
        <f>IF($A145="","",IF(countif('Womens Lineup'!C$3:C1000,CONCATENATE("=",$A145))=0,"",C$2))</f>
        <v/>
      </c>
      <c r="D145" s="3" t="str">
        <f>IF($A145="","",IF(countif('Womens Lineup'!D$3:D1000,CONCATENATE("=",$A145))=0,"",D$2))</f>
        <v>200 Free</v>
      </c>
      <c r="E145" s="3" t="str">
        <f>IF($A145="","",IF(countif('Womens Lineup'!E$3:E1000,CONCATENATE("=",$A145))=0,"",E$2))</f>
        <v>500 Free</v>
      </c>
      <c r="F145" s="3" t="str">
        <f>IF($A145="","",IF(countif('Womens Lineup'!F$3:F1000,CONCATENATE("=",$A145))=0,"",F$2))</f>
        <v/>
      </c>
      <c r="G145" s="3" t="str">
        <f>IF($A145="","",IF(countif('Womens Lineup'!G$3:G1000,CONCATENATE("=",$A145))=0,"",G$2))</f>
        <v>100 Back</v>
      </c>
      <c r="H145" s="3" t="str">
        <f>IF($A145="","",IF(countif('Womens Lineup'!H$3:H1000,CONCATENATE("=",$A145))=0,"",H$2))</f>
        <v/>
      </c>
      <c r="I145" s="3" t="str">
        <f>IF($A145="","",IF(countif('Womens Lineup'!I$3:I1000,CONCATENATE("=",$A145))=0,"",I$2))</f>
        <v/>
      </c>
      <c r="J145" s="3" t="str">
        <f>IF($A145="","",IF(countif('Womens Lineup'!J$3:J1000,CONCATENATE("=",$A145))=0,"",J$2))</f>
        <v/>
      </c>
      <c r="K145" s="3" t="str">
        <f>IF($A145="","",IF(countif('Womens Lineup'!K$3:K1000,CONCATENATE("=",$A145))=0,"",K$2))</f>
        <v/>
      </c>
      <c r="L145" s="3" t="str">
        <f>IF($A145="","",IF(countif('Womens Lineup'!L$3:L1000,CONCATENATE("=",$A145))=0,"",L$2))</f>
        <v/>
      </c>
      <c r="M145" s="3" t="str">
        <f>IF($A145="","",IF(countif('Womens Lineup'!M$3:M1000,CONCATENATE("=",$A145))=0,"",M$2))</f>
        <v/>
      </c>
      <c r="N145" s="3" t="str">
        <f>IF($A145="","",IF(countif('Womens Lineup'!N$3:N1000,CONCATENATE("=",$A145))=0,"",N$2))</f>
        <v/>
      </c>
      <c r="O145" s="3" t="str">
        <f>IF($A145="","",IF(countif('Womens Lineup'!O$3:O1000,CONCATENATE("=",$A145))=0,"",O$2))</f>
        <v/>
      </c>
      <c r="P145" s="3" t="str">
        <f>IF($A145="","",IF(countif('Womens Lineup'!P$3:P1000,CONCATENATE("=",$A145))=0,"",P$2))</f>
        <v/>
      </c>
      <c r="Q145" s="3" t="str">
        <f>IF($A145="","",IF(countif('Womens Lineup'!Q$3:Q1000,CONCATENATE("=",$A145))=0,"",Q$2))</f>
        <v/>
      </c>
      <c r="R145" s="3" t="str">
        <f>IF($A145="","",IF(countif('Womens Lineup'!R$3:R1000,CONCATENATE("=",$A145))=0,"",R$2))</f>
        <v/>
      </c>
      <c r="S145" s="3" t="str">
        <f>IF($A145="","",IF(countif('Womens Lineup'!S$3:S1000,CONCATENATE("=",$A145))=0,"",S$2))</f>
        <v/>
      </c>
      <c r="W145" s="3" t="str">
        <f>IFERROR(__xludf.DUMMYFUNCTION("JOIN("","",FILTER(B145:S145,B145:S145&lt;&gt;""""))"),"50 Free,200 Free,500 Free,100 Back")</f>
        <v>50 Free,200 Free,500 Free,100 Back</v>
      </c>
    </row>
    <row r="146">
      <c r="A146" s="3" t="s">
        <v>461</v>
      </c>
      <c r="B146" s="3" t="str">
        <f>IF($A146="","",IF(countif('Womens Lineup'!B$3:B1000,CONCATENATE("=",$A146))=0,"",B$2))</f>
        <v>50 Free</v>
      </c>
      <c r="C146" s="3" t="str">
        <f>IF($A146="","",IF(countif('Womens Lineup'!C$3:C1000,CONCATENATE("=",$A146))=0,"",C$2))</f>
        <v/>
      </c>
      <c r="D146" s="3" t="str">
        <f>IF($A146="","",IF(countif('Womens Lineup'!D$3:D1000,CONCATENATE("=",$A146))=0,"",D$2))</f>
        <v/>
      </c>
      <c r="E146" s="3" t="str">
        <f>IF($A146="","",IF(countif('Womens Lineup'!E$3:E1000,CONCATENATE("=",$A146))=0,"",E$2))</f>
        <v/>
      </c>
      <c r="F146" s="3" t="str">
        <f>IF($A146="","",IF(countif('Womens Lineup'!F$3:F1000,CONCATENATE("=",$A146))=0,"",F$2))</f>
        <v/>
      </c>
      <c r="G146" s="3" t="str">
        <f>IF($A146="","",IF(countif('Womens Lineup'!G$3:G1000,CONCATENATE("=",$A146))=0,"",G$2))</f>
        <v/>
      </c>
      <c r="H146" s="3" t="str">
        <f>IF($A146="","",IF(countif('Womens Lineup'!H$3:H1000,CONCATENATE("=",$A146))=0,"",H$2))</f>
        <v/>
      </c>
      <c r="I146" s="3" t="str">
        <f>IF($A146="","",IF(countif('Womens Lineup'!I$3:I1000,CONCATENATE("=",$A146))=0,"",I$2))</f>
        <v/>
      </c>
      <c r="J146" s="3" t="str">
        <f>IF($A146="","",IF(countif('Womens Lineup'!J$3:J1000,CONCATENATE("=",$A146))=0,"",J$2))</f>
        <v/>
      </c>
      <c r="K146" s="3" t="str">
        <f>IF($A146="","",IF(countif('Womens Lineup'!K$3:K1000,CONCATENATE("=",$A146))=0,"",K$2))</f>
        <v/>
      </c>
      <c r="L146" s="3" t="str">
        <f>IF($A146="","",IF(countif('Womens Lineup'!L$3:L1000,CONCATENATE("=",$A146))=0,"",L$2))</f>
        <v/>
      </c>
      <c r="M146" s="3" t="str">
        <f>IF($A146="","",IF(countif('Womens Lineup'!M$3:M1000,CONCATENATE("=",$A146))=0,"",M$2))</f>
        <v/>
      </c>
      <c r="N146" s="3" t="str">
        <f>IF($A146="","",IF(countif('Womens Lineup'!N$3:N1000,CONCATENATE("=",$A146))=0,"",N$2))</f>
        <v/>
      </c>
      <c r="O146" s="3" t="str">
        <f>IF($A146="","",IF(countif('Womens Lineup'!O$3:O1000,CONCATENATE("=",$A146))=0,"",O$2))</f>
        <v/>
      </c>
      <c r="P146" s="3" t="str">
        <f>IF($A146="","",IF(countif('Womens Lineup'!P$3:P1000,CONCATENATE("=",$A146))=0,"",P$2))</f>
        <v/>
      </c>
      <c r="Q146" s="3" t="str">
        <f>IF($A146="","",IF(countif('Womens Lineup'!Q$3:Q1000,CONCATENATE("=",$A146))=0,"",Q$2))</f>
        <v/>
      </c>
      <c r="R146" s="3" t="str">
        <f>IF($A146="","",IF(countif('Womens Lineup'!R$3:R1000,CONCATENATE("=",$A146))=0,"",R$2))</f>
        <v/>
      </c>
      <c r="S146" s="3" t="str">
        <f>IF($A146="","",IF(countif('Womens Lineup'!S$3:S1000,CONCATENATE("=",$A146))=0,"",S$2))</f>
        <v/>
      </c>
      <c r="W146" s="3" t="str">
        <f>IFERROR(__xludf.DUMMYFUNCTION("JOIN("","",FILTER(B146:S146,B146:S146&lt;&gt;""""))"),"50 Free")</f>
        <v>50 Free</v>
      </c>
    </row>
    <row r="147">
      <c r="A147" s="3" t="s">
        <v>462</v>
      </c>
      <c r="B147" s="3" t="str">
        <f>IF($A147="","",IF(countif('Womens Lineup'!B$3:B1000,CONCATENATE("=",$A147))=0,"",B$2))</f>
        <v>50 Free</v>
      </c>
      <c r="C147" s="3" t="str">
        <f>IF($A147="","",IF(countif('Womens Lineup'!C$3:C1000,CONCATENATE("=",$A147))=0,"",C$2))</f>
        <v/>
      </c>
      <c r="D147" s="3" t="str">
        <f>IF($A147="","",IF(countif('Womens Lineup'!D$3:D1000,CONCATENATE("=",$A147))=0,"",D$2))</f>
        <v/>
      </c>
      <c r="E147" s="3" t="str">
        <f>IF($A147="","",IF(countif('Womens Lineup'!E$3:E1000,CONCATENATE("=",$A147))=0,"",E$2))</f>
        <v/>
      </c>
      <c r="F147" s="3" t="str">
        <f>IF($A147="","",IF(countif('Womens Lineup'!F$3:F1000,CONCATENATE("=",$A147))=0,"",F$2))</f>
        <v/>
      </c>
      <c r="G147" s="3" t="str">
        <f>IF($A147="","",IF(countif('Womens Lineup'!G$3:G1000,CONCATENATE("=",$A147))=0,"",G$2))</f>
        <v/>
      </c>
      <c r="H147" s="3" t="str">
        <f>IF($A147="","",IF(countif('Womens Lineup'!H$3:H1000,CONCATENATE("=",$A147))=0,"",H$2))</f>
        <v/>
      </c>
      <c r="I147" s="3" t="str">
        <f>IF($A147="","",IF(countif('Womens Lineup'!I$3:I1000,CONCATENATE("=",$A147))=0,"",I$2))</f>
        <v/>
      </c>
      <c r="J147" s="3" t="str">
        <f>IF($A147="","",IF(countif('Womens Lineup'!J$3:J1000,CONCATENATE("=",$A147))=0,"",J$2))</f>
        <v/>
      </c>
      <c r="K147" s="3" t="str">
        <f>IF($A147="","",IF(countif('Womens Lineup'!K$3:K1000,CONCATENATE("=",$A147))=0,"",K$2))</f>
        <v/>
      </c>
      <c r="L147" s="3" t="str">
        <f>IF($A147="","",IF(countif('Womens Lineup'!L$3:L1000,CONCATENATE("=",$A147))=0,"",L$2))</f>
        <v/>
      </c>
      <c r="M147" s="3" t="str">
        <f>IF($A147="","",IF(countif('Womens Lineup'!M$3:M1000,CONCATENATE("=",$A147))=0,"",M$2))</f>
        <v/>
      </c>
      <c r="N147" s="3" t="str">
        <f>IF($A147="","",IF(countif('Womens Lineup'!N$3:N1000,CONCATENATE("=",$A147))=0,"",N$2))</f>
        <v/>
      </c>
      <c r="O147" s="3" t="str">
        <f>IF($A147="","",IF(countif('Womens Lineup'!O$3:O1000,CONCATENATE("=",$A147))=0,"",O$2))</f>
        <v/>
      </c>
      <c r="P147" s="3" t="str">
        <f>IF($A147="","",IF(countif('Womens Lineup'!P$3:P1000,CONCATENATE("=",$A147))=0,"",P$2))</f>
        <v/>
      </c>
      <c r="Q147" s="3" t="str">
        <f>IF($A147="","",IF(countif('Womens Lineup'!Q$3:Q1000,CONCATENATE("=",$A147))=0,"",Q$2))</f>
        <v/>
      </c>
      <c r="R147" s="3" t="str">
        <f>IF($A147="","",IF(countif('Womens Lineup'!R$3:R1000,CONCATENATE("=",$A147))=0,"",R$2))</f>
        <v/>
      </c>
      <c r="S147" s="3" t="str">
        <f>IF($A147="","",IF(countif('Womens Lineup'!S$3:S1000,CONCATENATE("=",$A147))=0,"",S$2))</f>
        <v/>
      </c>
      <c r="W147" s="3" t="str">
        <f>IFERROR(__xludf.DUMMYFUNCTION("JOIN("","",FILTER(B147:S147,B147:S147&lt;&gt;""""))"),"50 Free")</f>
        <v>50 Free</v>
      </c>
    </row>
    <row r="148">
      <c r="A148" s="3" t="s">
        <v>463</v>
      </c>
      <c r="B148" s="3" t="str">
        <f>IF($A148="","",IF(countif('Womens Lineup'!B$3:B1000,CONCATENATE("=",$A148))=0,"",B$2))</f>
        <v>50 Free</v>
      </c>
      <c r="C148" s="3" t="str">
        <f>IF($A148="","",IF(countif('Womens Lineup'!C$3:C1000,CONCATENATE("=",$A148))=0,"",C$2))</f>
        <v>100 Free</v>
      </c>
      <c r="D148" s="3" t="str">
        <f>IF($A148="","",IF(countif('Womens Lineup'!D$3:D1000,CONCATENATE("=",$A148))=0,"",D$2))</f>
        <v/>
      </c>
      <c r="E148" s="3" t="str">
        <f>IF($A148="","",IF(countif('Womens Lineup'!E$3:E1000,CONCATENATE("=",$A148))=0,"",E$2))</f>
        <v/>
      </c>
      <c r="F148" s="3" t="str">
        <f>IF($A148="","",IF(countif('Womens Lineup'!F$3:F1000,CONCATENATE("=",$A148))=0,"",F$2))</f>
        <v/>
      </c>
      <c r="G148" s="3" t="str">
        <f>IF($A148="","",IF(countif('Womens Lineup'!G$3:G1000,CONCATENATE("=",$A148))=0,"",G$2))</f>
        <v>100 Back</v>
      </c>
      <c r="H148" s="3" t="str">
        <f>IF($A148="","",IF(countif('Womens Lineup'!H$3:H1000,CONCATENATE("=",$A148))=0,"",H$2))</f>
        <v>200 Back</v>
      </c>
      <c r="I148" s="3" t="str">
        <f>IF($A148="","",IF(countif('Womens Lineup'!I$3:I1000,CONCATENATE("=",$A148))=0,"",I$2))</f>
        <v/>
      </c>
      <c r="J148" s="3" t="str">
        <f>IF($A148="","",IF(countif('Womens Lineup'!J$3:J1000,CONCATENATE("=",$A148))=0,"",J$2))</f>
        <v/>
      </c>
      <c r="K148" s="3" t="str">
        <f>IF($A148="","",IF(countif('Womens Lineup'!K$3:K1000,CONCATENATE("=",$A148))=0,"",K$2))</f>
        <v/>
      </c>
      <c r="L148" s="3" t="str">
        <f>IF($A148="","",IF(countif('Womens Lineup'!L$3:L1000,CONCATENATE("=",$A148))=0,"",L$2))</f>
        <v/>
      </c>
      <c r="M148" s="3" t="str">
        <f>IF($A148="","",IF(countif('Womens Lineup'!M$3:M1000,CONCATENATE("=",$A148))=0,"",M$2))</f>
        <v/>
      </c>
      <c r="N148" s="3" t="str">
        <f>IF($A148="","",IF(countif('Womens Lineup'!N$3:N1000,CONCATENATE("=",$A148))=0,"",N$2))</f>
        <v/>
      </c>
      <c r="O148" s="3" t="str">
        <f>IF($A148="","",IF(countif('Womens Lineup'!O$3:O1000,CONCATENATE("=",$A148))=0,"",O$2))</f>
        <v/>
      </c>
      <c r="P148" s="3" t="str">
        <f>IF($A148="","",IF(countif('Womens Lineup'!P$3:P1000,CONCATENATE("=",$A148))=0,"",P$2))</f>
        <v/>
      </c>
      <c r="Q148" s="3" t="str">
        <f>IF($A148="","",IF(countif('Womens Lineup'!Q$3:Q1000,CONCATENATE("=",$A148))=0,"",Q$2))</f>
        <v/>
      </c>
      <c r="R148" s="3" t="str">
        <f>IF($A148="","",IF(countif('Womens Lineup'!R$3:R1000,CONCATENATE("=",$A148))=0,"",R$2))</f>
        <v/>
      </c>
      <c r="S148" s="3" t="str">
        <f>IF($A148="","",IF(countif('Womens Lineup'!S$3:S1000,CONCATENATE("=",$A148))=0,"",S$2))</f>
        <v/>
      </c>
      <c r="W148" s="3" t="str">
        <f>IFERROR(__xludf.DUMMYFUNCTION("JOIN("","",FILTER(B148:S148,B148:S148&lt;&gt;""""))"),"50 Free,100 Free,100 Back,200 Back")</f>
        <v>50 Free,100 Free,100 Back,200 Back</v>
      </c>
    </row>
    <row r="149">
      <c r="A149" s="3" t="s">
        <v>464</v>
      </c>
      <c r="B149" s="3" t="str">
        <f>IF($A149="","",IF(countif('Womens Lineup'!B$3:B1000,CONCATENATE("=",$A149))=0,"",B$2))</f>
        <v>50 Free</v>
      </c>
      <c r="C149" s="3" t="str">
        <f>IF($A149="","",IF(countif('Womens Lineup'!C$3:C1000,CONCATENATE("=",$A149))=0,"",C$2))</f>
        <v>100 Free</v>
      </c>
      <c r="D149" s="3" t="str">
        <f>IF($A149="","",IF(countif('Womens Lineup'!D$3:D1000,CONCATENATE("=",$A149))=0,"",D$2))</f>
        <v/>
      </c>
      <c r="E149" s="3" t="str">
        <f>IF($A149="","",IF(countif('Womens Lineup'!E$3:E1000,CONCATENATE("=",$A149))=0,"",E$2))</f>
        <v/>
      </c>
      <c r="F149" s="3" t="str">
        <f>IF($A149="","",IF(countif('Womens Lineup'!F$3:F1000,CONCATENATE("=",$A149))=0,"",F$2))</f>
        <v/>
      </c>
      <c r="G149" s="3" t="str">
        <f>IF($A149="","",IF(countif('Womens Lineup'!G$3:G1000,CONCATENATE("=",$A149))=0,"",G$2))</f>
        <v>100 Back</v>
      </c>
      <c r="H149" s="3" t="str">
        <f>IF($A149="","",IF(countif('Womens Lineup'!H$3:H1000,CONCATENATE("=",$A149))=0,"",H$2))</f>
        <v/>
      </c>
      <c r="I149" s="3" t="str">
        <f>IF($A149="","",IF(countif('Womens Lineup'!I$3:I1000,CONCATENATE("=",$A149))=0,"",I$2))</f>
        <v/>
      </c>
      <c r="J149" s="3" t="str">
        <f>IF($A149="","",IF(countif('Womens Lineup'!J$3:J1000,CONCATENATE("=",$A149))=0,"",J$2))</f>
        <v/>
      </c>
      <c r="K149" s="3" t="str">
        <f>IF($A149="","",IF(countif('Womens Lineup'!K$3:K1000,CONCATENATE("=",$A149))=0,"",K$2))</f>
        <v>100 Fly</v>
      </c>
      <c r="L149" s="3" t="str">
        <f>IF($A149="","",IF(countif('Womens Lineup'!L$3:L1000,CONCATENATE("=",$A149))=0,"",L$2))</f>
        <v/>
      </c>
      <c r="M149" s="3" t="str">
        <f>IF($A149="","",IF(countif('Womens Lineup'!M$3:M1000,CONCATENATE("=",$A149))=0,"",M$2))</f>
        <v/>
      </c>
      <c r="N149" s="3" t="str">
        <f>IF($A149="","",IF(countif('Womens Lineup'!N$3:N1000,CONCATENATE("=",$A149))=0,"",N$2))</f>
        <v/>
      </c>
      <c r="O149" s="3" t="str">
        <f>IF($A149="","",IF(countif('Womens Lineup'!O$3:O1000,CONCATENATE("=",$A149))=0,"",O$2))</f>
        <v/>
      </c>
      <c r="P149" s="3" t="str">
        <f>IF($A149="","",IF(countif('Womens Lineup'!P$3:P1000,CONCATENATE("=",$A149))=0,"",P$2))</f>
        <v/>
      </c>
      <c r="Q149" s="3" t="str">
        <f>IF($A149="","",IF(countif('Womens Lineup'!Q$3:Q1000,CONCATENATE("=",$A149))=0,"",Q$2))</f>
        <v/>
      </c>
      <c r="R149" s="3" t="str">
        <f>IF($A149="","",IF(countif('Womens Lineup'!R$3:R1000,CONCATENATE("=",$A149))=0,"",R$2))</f>
        <v/>
      </c>
      <c r="S149" s="3" t="str">
        <f>IF($A149="","",IF(countif('Womens Lineup'!S$3:S1000,CONCATENATE("=",$A149))=0,"",S$2))</f>
        <v/>
      </c>
      <c r="W149" s="3" t="str">
        <f>IFERROR(__xludf.DUMMYFUNCTION("JOIN("","",FILTER(B149:S149,B149:S149&lt;&gt;""""))"),"50 Free,100 Free,100 Back,100 Fly")</f>
        <v>50 Free,100 Free,100 Back,100 Fly</v>
      </c>
    </row>
    <row r="150">
      <c r="A150" s="3"/>
      <c r="B150" s="3" t="str">
        <f>IF($A150="","",IF(countif('Womens Lineup'!B$3:B1000,CONCATENATE("=",$A150))=0,"",B$2))</f>
        <v/>
      </c>
      <c r="C150" s="3" t="str">
        <f>IF($A150="","",IF(countif('Womens Lineup'!C$3:C1000,CONCATENATE("=",$A150))=0,"",C$2))</f>
        <v/>
      </c>
      <c r="D150" s="3" t="str">
        <f>IF($A150="","",IF(countif('Womens Lineup'!D$3:D1000,CONCATENATE("=",$A150))=0,"",D$2))</f>
        <v/>
      </c>
      <c r="E150" s="3" t="str">
        <f>IF($A150="","",IF(countif('Womens Lineup'!E$3:E1000,CONCATENATE("=",$A150))=0,"",E$2))</f>
        <v/>
      </c>
      <c r="F150" s="3" t="str">
        <f>IF($A150="","",IF(countif('Womens Lineup'!F$3:F1000,CONCATENATE("=",$A150))=0,"",F$2))</f>
        <v/>
      </c>
      <c r="G150" s="3" t="str">
        <f>IF($A150="","",IF(countif('Womens Lineup'!G$3:G1000,CONCATENATE("=",$A150))=0,"",G$2))</f>
        <v/>
      </c>
      <c r="H150" s="3" t="str">
        <f>IF($A150="","",IF(countif('Womens Lineup'!H$3:H1000,CONCATENATE("=",$A150))=0,"",H$2))</f>
        <v/>
      </c>
      <c r="I150" s="3" t="str">
        <f>IF($A150="","",IF(countif('Womens Lineup'!I$3:I1000,CONCATENATE("=",$A150))=0,"",I$2))</f>
        <v/>
      </c>
      <c r="J150" s="3" t="str">
        <f>IF($A150="","",IF(countif('Womens Lineup'!J$3:J1000,CONCATENATE("=",$A150))=0,"",J$2))</f>
        <v/>
      </c>
      <c r="K150" s="3" t="str">
        <f>IF($A150="","",IF(countif('Womens Lineup'!K$3:K1000,CONCATENATE("=",$A150))=0,"",K$2))</f>
        <v/>
      </c>
      <c r="L150" s="3" t="str">
        <f>IF($A150="","",IF(countif('Womens Lineup'!L$3:L1000,CONCATENATE("=",$A150))=0,"",L$2))</f>
        <v/>
      </c>
      <c r="M150" s="3" t="str">
        <f>IF($A150="","",IF(countif('Womens Lineup'!M$3:M1000,CONCATENATE("=",$A150))=0,"",M$2))</f>
        <v/>
      </c>
      <c r="N150" s="3" t="str">
        <f>IF($A150="","",IF(countif('Womens Lineup'!N$3:N1000,CONCATENATE("=",$A150))=0,"",N$2))</f>
        <v/>
      </c>
      <c r="O150" s="3" t="str">
        <f>IF($A150="","",IF(countif('Womens Lineup'!O$3:O1000,CONCATENATE("=",$A150))=0,"",O$2))</f>
        <v/>
      </c>
      <c r="P150" s="3" t="str">
        <f>IF($A150="","",IF(countif('Womens Lineup'!P$3:P1000,CONCATENATE("=",$A150))=0,"",P$2))</f>
        <v/>
      </c>
      <c r="Q150" s="3" t="str">
        <f>IF($A150="","",IF(countif('Womens Lineup'!Q$3:Q1000,CONCATENATE("=",$A150))=0,"",Q$2))</f>
        <v/>
      </c>
      <c r="R150" s="3" t="str">
        <f>IF($A150="","",IF(countif('Womens Lineup'!R$3:R1000,CONCATENATE("=",$A150))=0,"",R$2))</f>
        <v/>
      </c>
      <c r="S150" s="3" t="str">
        <f>IF($A150="","",IF(countif('Womens Lineup'!S$3:S1000,CONCATENATE("=",$A150))=0,"",S$2))</f>
        <v/>
      </c>
      <c r="W150" s="3" t="str">
        <f>IFERROR(__xludf.DUMMYFUNCTION("JOIN("","",FILTER(B150:S150,B150:S150&lt;&gt;""""))"),"#N/A")</f>
        <v>#N/A</v>
      </c>
    </row>
    <row r="151">
      <c r="A151" s="3" t="s">
        <v>465</v>
      </c>
      <c r="B151" s="3" t="str">
        <f>IF($A151="","",IF(countif('Womens Lineup'!B$3:B1000,CONCATENATE("=",$A151))=0,"",B$2))</f>
        <v/>
      </c>
      <c r="C151" s="3" t="str">
        <f>IF($A151="","",IF(countif('Womens Lineup'!C$3:C1000,CONCATENATE("=",$A151))=0,"",C$2))</f>
        <v>100 Free</v>
      </c>
      <c r="D151" s="3" t="str">
        <f>IF($A151="","",IF(countif('Womens Lineup'!D$3:D1000,CONCATENATE("=",$A151))=0,"",D$2))</f>
        <v>200 Free</v>
      </c>
      <c r="E151" s="3" t="str">
        <f>IF($A151="","",IF(countif('Womens Lineup'!E$3:E1000,CONCATENATE("=",$A151))=0,"",E$2))</f>
        <v>500 Free</v>
      </c>
      <c r="F151" s="3" t="str">
        <f>IF($A151="","",IF(countif('Womens Lineup'!F$3:F1000,CONCATENATE("=",$A151))=0,"",F$2))</f>
        <v/>
      </c>
      <c r="G151" s="3" t="str">
        <f>IF($A151="","",IF(countif('Womens Lineup'!G$3:G1000,CONCATENATE("=",$A151))=0,"",G$2))</f>
        <v/>
      </c>
      <c r="H151" s="3" t="str">
        <f>IF($A151="","",IF(countif('Womens Lineup'!H$3:H1000,CONCATENATE("=",$A151))=0,"",H$2))</f>
        <v/>
      </c>
      <c r="I151" s="3" t="str">
        <f>IF($A151="","",IF(countif('Womens Lineup'!I$3:I1000,CONCATENATE("=",$A151))=0,"",I$2))</f>
        <v/>
      </c>
      <c r="J151" s="3" t="str">
        <f>IF($A151="","",IF(countif('Womens Lineup'!J$3:J1000,CONCATENATE("=",$A151))=0,"",J$2))</f>
        <v/>
      </c>
      <c r="K151" s="3" t="str">
        <f>IF($A151="","",IF(countif('Womens Lineup'!K$3:K1000,CONCATENATE("=",$A151))=0,"",K$2))</f>
        <v>100 Fly</v>
      </c>
      <c r="L151" s="3" t="str">
        <f>IF($A151="","",IF(countif('Womens Lineup'!L$3:L1000,CONCATENATE("=",$A151))=0,"",L$2))</f>
        <v>200 Fly</v>
      </c>
      <c r="M151" s="3" t="str">
        <f>IF($A151="","",IF(countif('Womens Lineup'!M$3:M1000,CONCATENATE("=",$A151))=0,"",M$2))</f>
        <v>200 IM</v>
      </c>
      <c r="N151" s="3" t="str">
        <f>IF($A151="","",IF(countif('Womens Lineup'!N$3:N1000,CONCATENATE("=",$A151))=0,"",N$2))</f>
        <v/>
      </c>
      <c r="O151" s="3" t="str">
        <f>IF($A151="","",IF(countif('Womens Lineup'!O$3:O1000,CONCATENATE("=",$A151))=0,"",O$2))</f>
        <v/>
      </c>
      <c r="P151" s="3" t="str">
        <f>IF($A151="","",IF(countif('Womens Lineup'!P$3:P1000,CONCATENATE("=",$A151))=0,"",P$2))</f>
        <v/>
      </c>
      <c r="Q151" s="3" t="str">
        <f>IF($A151="","",IF(countif('Womens Lineup'!Q$3:Q1000,CONCATENATE("=",$A151))=0,"",Q$2))</f>
        <v/>
      </c>
      <c r="R151" s="3" t="str">
        <f>IF($A151="","",IF(countif('Womens Lineup'!R$3:R1000,CONCATENATE("=",$A151))=0,"",R$2))</f>
        <v/>
      </c>
      <c r="S151" s="3" t="str">
        <f>IF($A151="","",IF(countif('Womens Lineup'!S$3:S1000,CONCATENATE("=",$A151))=0,"",S$2))</f>
        <v/>
      </c>
      <c r="W151" s="3" t="str">
        <f>IFERROR(__xludf.DUMMYFUNCTION("JOIN("","",FILTER(B151:S151,B151:S151&lt;&gt;""""))"),"100 Free,200 Free,500 Free,100 Fly,200 Fly,200 IM")</f>
        <v>100 Free,200 Free,500 Free,100 Fly,200 Fly,200 IM</v>
      </c>
    </row>
    <row r="152">
      <c r="A152" s="3" t="s">
        <v>466</v>
      </c>
      <c r="B152" s="3" t="str">
        <f>IF($A152="","",IF(countif('Womens Lineup'!B$3:B1000,CONCATENATE("=",$A152))=0,"",B$2))</f>
        <v/>
      </c>
      <c r="C152" s="3" t="str">
        <f>IF($A152="","",IF(countif('Womens Lineup'!C$3:C1000,CONCATENATE("=",$A152))=0,"",C$2))</f>
        <v>100 Free</v>
      </c>
      <c r="D152" s="3" t="str">
        <f>IF($A152="","",IF(countif('Womens Lineup'!D$3:D1000,CONCATENATE("=",$A152))=0,"",D$2))</f>
        <v/>
      </c>
      <c r="E152" s="3" t="str">
        <f>IF($A152="","",IF(countif('Womens Lineup'!E$3:E1000,CONCATENATE("=",$A152))=0,"",E$2))</f>
        <v/>
      </c>
      <c r="F152" s="3" t="str">
        <f>IF($A152="","",IF(countif('Womens Lineup'!F$3:F1000,CONCATENATE("=",$A152))=0,"",F$2))</f>
        <v/>
      </c>
      <c r="G152" s="3" t="str">
        <f>IF($A152="","",IF(countif('Womens Lineup'!G$3:G1000,CONCATENATE("=",$A152))=0,"",G$2))</f>
        <v>100 Back</v>
      </c>
      <c r="H152" s="3" t="str">
        <f>IF($A152="","",IF(countif('Womens Lineup'!H$3:H1000,CONCATENATE("=",$A152))=0,"",H$2))</f>
        <v/>
      </c>
      <c r="I152" s="3" t="str">
        <f>IF($A152="","",IF(countif('Womens Lineup'!I$3:I1000,CONCATENATE("=",$A152))=0,"",I$2))</f>
        <v/>
      </c>
      <c r="J152" s="3" t="str">
        <f>IF($A152="","",IF(countif('Womens Lineup'!J$3:J1000,CONCATENATE("=",$A152))=0,"",J$2))</f>
        <v/>
      </c>
      <c r="K152" s="3" t="str">
        <f>IF($A152="","",IF(countif('Womens Lineup'!K$3:K1000,CONCATENATE("=",$A152))=0,"",K$2))</f>
        <v>100 Fly</v>
      </c>
      <c r="L152" s="3" t="str">
        <f>IF($A152="","",IF(countif('Womens Lineup'!L$3:L1000,CONCATENATE("=",$A152))=0,"",L$2))</f>
        <v>200 Fly</v>
      </c>
      <c r="M152" s="3" t="str">
        <f>IF($A152="","",IF(countif('Womens Lineup'!M$3:M1000,CONCATENATE("=",$A152))=0,"",M$2))</f>
        <v>200 IM</v>
      </c>
      <c r="N152" s="3" t="str">
        <f>IF($A152="","",IF(countif('Womens Lineup'!N$3:N1000,CONCATENATE("=",$A152))=0,"",N$2))</f>
        <v>400 IM</v>
      </c>
      <c r="O152" s="3" t="str">
        <f>IF($A152="","",IF(countif('Womens Lineup'!O$3:O1000,CONCATENATE("=",$A152))=0,"",O$2))</f>
        <v/>
      </c>
      <c r="P152" s="3" t="str">
        <f>IF($A152="","",IF(countif('Womens Lineup'!P$3:P1000,CONCATENATE("=",$A152))=0,"",P$2))</f>
        <v/>
      </c>
      <c r="Q152" s="3" t="str">
        <f>IF($A152="","",IF(countif('Womens Lineup'!Q$3:Q1000,CONCATENATE("=",$A152))=0,"",Q$2))</f>
        <v/>
      </c>
      <c r="R152" s="3" t="str">
        <f>IF($A152="","",IF(countif('Womens Lineup'!R$3:R1000,CONCATENATE("=",$A152))=0,"",R$2))</f>
        <v/>
      </c>
      <c r="S152" s="3" t="str">
        <f>IF($A152="","",IF(countif('Womens Lineup'!S$3:S1000,CONCATENATE("=",$A152))=0,"",S$2))</f>
        <v/>
      </c>
      <c r="W152" s="3" t="str">
        <f>IFERROR(__xludf.DUMMYFUNCTION("JOIN("","",FILTER(B152:S152,B152:S152&lt;&gt;""""))"),"100 Free,100 Back,100 Fly,200 Fly,200 IM,400 IM")</f>
        <v>100 Free,100 Back,100 Fly,200 Fly,200 IM,400 IM</v>
      </c>
    </row>
    <row r="153">
      <c r="A153" s="3" t="s">
        <v>467</v>
      </c>
      <c r="B153" s="3" t="str">
        <f>IF($A153="","",IF(countif('Womens Lineup'!B$3:B1000,CONCATENATE("=",$A153))=0,"",B$2))</f>
        <v/>
      </c>
      <c r="C153" s="3" t="str">
        <f>IF($A153="","",IF(countif('Womens Lineup'!C$3:C1000,CONCATENATE("=",$A153))=0,"",C$2))</f>
        <v>100 Free</v>
      </c>
      <c r="D153" s="3" t="str">
        <f>IF($A153="","",IF(countif('Womens Lineup'!D$3:D1000,CONCATENATE("=",$A153))=0,"",D$2))</f>
        <v>200 Free</v>
      </c>
      <c r="E153" s="3" t="str">
        <f>IF($A153="","",IF(countif('Womens Lineup'!E$3:E1000,CONCATENATE("=",$A153))=0,"",E$2))</f>
        <v>500 Free</v>
      </c>
      <c r="F153" s="3" t="str">
        <f>IF($A153="","",IF(countif('Womens Lineup'!F$3:F1000,CONCATENATE("=",$A153))=0,"",F$2))</f>
        <v/>
      </c>
      <c r="G153" s="3" t="str">
        <f>IF($A153="","",IF(countif('Womens Lineup'!G$3:G1000,CONCATENATE("=",$A153))=0,"",G$2))</f>
        <v/>
      </c>
      <c r="H153" s="3" t="str">
        <f>IF($A153="","",IF(countif('Womens Lineup'!H$3:H1000,CONCATENATE("=",$A153))=0,"",H$2))</f>
        <v/>
      </c>
      <c r="I153" s="3" t="str">
        <f>IF($A153="","",IF(countif('Womens Lineup'!I$3:I1000,CONCATENATE("=",$A153))=0,"",I$2))</f>
        <v/>
      </c>
      <c r="J153" s="3" t="str">
        <f>IF($A153="","",IF(countif('Womens Lineup'!J$3:J1000,CONCATENATE("=",$A153))=0,"",J$2))</f>
        <v/>
      </c>
      <c r="K153" s="3" t="str">
        <f>IF($A153="","",IF(countif('Womens Lineup'!K$3:K1000,CONCATENATE("=",$A153))=0,"",K$2))</f>
        <v>100 Fly</v>
      </c>
      <c r="L153" s="3" t="str">
        <f>IF($A153="","",IF(countif('Womens Lineup'!L$3:L1000,CONCATENATE("=",$A153))=0,"",L$2))</f>
        <v>200 Fly</v>
      </c>
      <c r="M153" s="3" t="str">
        <f>IF($A153="","",IF(countif('Womens Lineup'!M$3:M1000,CONCATENATE("=",$A153))=0,"",M$2))</f>
        <v/>
      </c>
      <c r="N153" s="3" t="str">
        <f>IF($A153="","",IF(countif('Womens Lineup'!N$3:N1000,CONCATENATE("=",$A153))=0,"",N$2))</f>
        <v/>
      </c>
      <c r="O153" s="3" t="str">
        <f>IF($A153="","",IF(countif('Womens Lineup'!O$3:O1000,CONCATENATE("=",$A153))=0,"",O$2))</f>
        <v>1000 Free</v>
      </c>
      <c r="P153" s="3" t="str">
        <f>IF($A153="","",IF(countif('Womens Lineup'!P$3:P1000,CONCATENATE("=",$A153))=0,"",P$2))</f>
        <v/>
      </c>
      <c r="Q153" s="3" t="str">
        <f>IF($A153="","",IF(countif('Womens Lineup'!Q$3:Q1000,CONCATENATE("=",$A153))=0,"",Q$2))</f>
        <v/>
      </c>
      <c r="R153" s="3" t="str">
        <f>IF($A153="","",IF(countif('Womens Lineup'!R$3:R1000,CONCATENATE("=",$A153))=0,"",R$2))</f>
        <v/>
      </c>
      <c r="S153" s="3" t="str">
        <f>IF($A153="","",IF(countif('Womens Lineup'!S$3:S1000,CONCATENATE("=",$A153))=0,"",S$2))</f>
        <v/>
      </c>
      <c r="W153" s="3" t="str">
        <f>IFERROR(__xludf.DUMMYFUNCTION("JOIN("","",FILTER(B153:S153,B153:S153&lt;&gt;""""))"),"100 Free,200 Free,500 Free,100 Fly,200 Fly,1000 Free")</f>
        <v>100 Free,200 Free,500 Free,100 Fly,200 Fly,1000 Free</v>
      </c>
    </row>
    <row r="154">
      <c r="A154" s="3" t="s">
        <v>468</v>
      </c>
      <c r="B154" s="3" t="str">
        <f>IF($A154="","",IF(countif('Womens Lineup'!B$3:B1000,CONCATENATE("=",$A154))=0,"",B$2))</f>
        <v/>
      </c>
      <c r="C154" s="3" t="str">
        <f>IF($A154="","",IF(countif('Womens Lineup'!C$3:C1000,CONCATENATE("=",$A154))=0,"",C$2))</f>
        <v>100 Free</v>
      </c>
      <c r="D154" s="3" t="str">
        <f>IF($A154="","",IF(countif('Womens Lineup'!D$3:D1000,CONCATENATE("=",$A154))=0,"",D$2))</f>
        <v>200 Free</v>
      </c>
      <c r="E154" s="3" t="str">
        <f>IF($A154="","",IF(countif('Womens Lineup'!E$3:E1000,CONCATENATE("=",$A154))=0,"",E$2))</f>
        <v/>
      </c>
      <c r="F154" s="3" t="str">
        <f>IF($A154="","",IF(countif('Womens Lineup'!F$3:F1000,CONCATENATE("=",$A154))=0,"",F$2))</f>
        <v/>
      </c>
      <c r="G154" s="3" t="str">
        <f>IF($A154="","",IF(countif('Womens Lineup'!G$3:G1000,CONCATENATE("=",$A154))=0,"",G$2))</f>
        <v>100 Back</v>
      </c>
      <c r="H154" s="3" t="str">
        <f>IF($A154="","",IF(countif('Womens Lineup'!H$3:H1000,CONCATENATE("=",$A154))=0,"",H$2))</f>
        <v/>
      </c>
      <c r="I154" s="3" t="str">
        <f>IF($A154="","",IF(countif('Womens Lineup'!I$3:I1000,CONCATENATE("=",$A154))=0,"",I$2))</f>
        <v>100 Breast</v>
      </c>
      <c r="J154" s="3" t="str">
        <f>IF($A154="","",IF(countif('Womens Lineup'!J$3:J1000,CONCATENATE("=",$A154))=0,"",J$2))</f>
        <v>200 Breast</v>
      </c>
      <c r="K154" s="3" t="str">
        <f>IF($A154="","",IF(countif('Womens Lineup'!K$3:K1000,CONCATENATE("=",$A154))=0,"",K$2))</f>
        <v/>
      </c>
      <c r="L154" s="3" t="str">
        <f>IF($A154="","",IF(countif('Womens Lineup'!L$3:L1000,CONCATENATE("=",$A154))=0,"",L$2))</f>
        <v/>
      </c>
      <c r="M154" s="3" t="str">
        <f>IF($A154="","",IF(countif('Womens Lineup'!M$3:M1000,CONCATENATE("=",$A154))=0,"",M$2))</f>
        <v>200 IM</v>
      </c>
      <c r="N154" s="3" t="str">
        <f>IF($A154="","",IF(countif('Womens Lineup'!N$3:N1000,CONCATENATE("=",$A154))=0,"",N$2))</f>
        <v/>
      </c>
      <c r="O154" s="3" t="str">
        <f>IF($A154="","",IF(countif('Womens Lineup'!O$3:O1000,CONCATENATE("=",$A154))=0,"",O$2))</f>
        <v/>
      </c>
      <c r="P154" s="3" t="str">
        <f>IF($A154="","",IF(countif('Womens Lineup'!P$3:P1000,CONCATENATE("=",$A154))=0,"",P$2))</f>
        <v/>
      </c>
      <c r="Q154" s="3" t="str">
        <f>IF($A154="","",IF(countif('Womens Lineup'!Q$3:Q1000,CONCATENATE("=",$A154))=0,"",Q$2))</f>
        <v/>
      </c>
      <c r="R154" s="3" t="str">
        <f>IF($A154="","",IF(countif('Womens Lineup'!R$3:R1000,CONCATENATE("=",$A154))=0,"",R$2))</f>
        <v/>
      </c>
      <c r="S154" s="3" t="str">
        <f>IF($A154="","",IF(countif('Womens Lineup'!S$3:S1000,CONCATENATE("=",$A154))=0,"",S$2))</f>
        <v/>
      </c>
      <c r="W154" s="3" t="str">
        <f>IFERROR(__xludf.DUMMYFUNCTION("JOIN("","",FILTER(B154:S154,B154:S154&lt;&gt;""""))"),"100 Free,200 Free,100 Back,100 Breast,200 Breast,200 IM")</f>
        <v>100 Free,200 Free,100 Back,100 Breast,200 Breast,200 IM</v>
      </c>
    </row>
    <row r="155">
      <c r="A155" s="3" t="s">
        <v>469</v>
      </c>
      <c r="B155" s="3" t="str">
        <f>IF($A155="","",IF(countif('Womens Lineup'!B$3:B1000,CONCATENATE("=",$A155))=0,"",B$2))</f>
        <v/>
      </c>
      <c r="C155" s="3" t="str">
        <f>IF($A155="","",IF(countif('Womens Lineup'!C$3:C1000,CONCATENATE("=",$A155))=0,"",C$2))</f>
        <v>100 Free</v>
      </c>
      <c r="D155" s="3" t="str">
        <f>IF($A155="","",IF(countif('Womens Lineup'!D$3:D1000,CONCATENATE("=",$A155))=0,"",D$2))</f>
        <v/>
      </c>
      <c r="E155" s="3" t="str">
        <f>IF($A155="","",IF(countif('Womens Lineup'!E$3:E1000,CONCATENATE("=",$A155))=0,"",E$2))</f>
        <v/>
      </c>
      <c r="F155" s="3" t="str">
        <f>IF($A155="","",IF(countif('Womens Lineup'!F$3:F1000,CONCATENATE("=",$A155))=0,"",F$2))</f>
        <v/>
      </c>
      <c r="G155" s="3" t="str">
        <f>IF($A155="","",IF(countif('Womens Lineup'!G$3:G1000,CONCATENATE("=",$A155))=0,"",G$2))</f>
        <v/>
      </c>
      <c r="H155" s="3" t="str">
        <f>IF($A155="","",IF(countif('Womens Lineup'!H$3:H1000,CONCATENATE("=",$A155))=0,"",H$2))</f>
        <v/>
      </c>
      <c r="I155" s="3" t="str">
        <f>IF($A155="","",IF(countif('Womens Lineup'!I$3:I1000,CONCATENATE("=",$A155))=0,"",I$2))</f>
        <v/>
      </c>
      <c r="J155" s="3" t="str">
        <f>IF($A155="","",IF(countif('Womens Lineup'!J$3:J1000,CONCATENATE("=",$A155))=0,"",J$2))</f>
        <v>200 Breast</v>
      </c>
      <c r="K155" s="3" t="str">
        <f>IF($A155="","",IF(countif('Womens Lineup'!K$3:K1000,CONCATENATE("=",$A155))=0,"",K$2))</f>
        <v>100 Fly</v>
      </c>
      <c r="L155" s="3" t="str">
        <f>IF($A155="","",IF(countif('Womens Lineup'!L$3:L1000,CONCATENATE("=",$A155))=0,"",L$2))</f>
        <v>200 Fly</v>
      </c>
      <c r="M155" s="3" t="str">
        <f>IF($A155="","",IF(countif('Womens Lineup'!M$3:M1000,CONCATENATE("=",$A155))=0,"",M$2))</f>
        <v>200 IM</v>
      </c>
      <c r="N155" s="3" t="str">
        <f>IF($A155="","",IF(countif('Womens Lineup'!N$3:N1000,CONCATENATE("=",$A155))=0,"",N$2))</f>
        <v>400 IM</v>
      </c>
      <c r="O155" s="3" t="str">
        <f>IF($A155="","",IF(countif('Womens Lineup'!O$3:O1000,CONCATENATE("=",$A155))=0,"",O$2))</f>
        <v/>
      </c>
      <c r="P155" s="3" t="str">
        <f>IF($A155="","",IF(countif('Womens Lineup'!P$3:P1000,CONCATENATE("=",$A155))=0,"",P$2))</f>
        <v/>
      </c>
      <c r="Q155" s="3" t="str">
        <f>IF($A155="","",IF(countif('Womens Lineup'!Q$3:Q1000,CONCATENATE("=",$A155))=0,"",Q$2))</f>
        <v/>
      </c>
      <c r="R155" s="3" t="str">
        <f>IF($A155="","",IF(countif('Womens Lineup'!R$3:R1000,CONCATENATE("=",$A155))=0,"",R$2))</f>
        <v/>
      </c>
      <c r="S155" s="3" t="str">
        <f>IF($A155="","",IF(countif('Womens Lineup'!S$3:S1000,CONCATENATE("=",$A155))=0,"",S$2))</f>
        <v/>
      </c>
      <c r="W155" s="3" t="str">
        <f>IFERROR(__xludf.DUMMYFUNCTION("JOIN("","",FILTER(B155:S155,B155:S155&lt;&gt;""""))"),"100 Free,200 Breast,100 Fly,200 Fly,200 IM,400 IM")</f>
        <v>100 Free,200 Breast,100 Fly,200 Fly,200 IM,400 IM</v>
      </c>
    </row>
    <row r="156">
      <c r="A156" s="3" t="s">
        <v>470</v>
      </c>
      <c r="B156" s="3" t="str">
        <f>IF($A156="","",IF(countif('Womens Lineup'!B$3:B1000,CONCATENATE("=",$A156))=0,"",B$2))</f>
        <v/>
      </c>
      <c r="C156" s="3" t="str">
        <f>IF($A156="","",IF(countif('Womens Lineup'!C$3:C1000,CONCATENATE("=",$A156))=0,"",C$2))</f>
        <v>100 Free</v>
      </c>
      <c r="D156" s="3" t="str">
        <f>IF($A156="","",IF(countif('Womens Lineup'!D$3:D1000,CONCATENATE("=",$A156))=0,"",D$2))</f>
        <v/>
      </c>
      <c r="E156" s="3" t="str">
        <f>IF($A156="","",IF(countif('Womens Lineup'!E$3:E1000,CONCATENATE("=",$A156))=0,"",E$2))</f>
        <v/>
      </c>
      <c r="F156" s="3" t="str">
        <f>IF($A156="","",IF(countif('Womens Lineup'!F$3:F1000,CONCATENATE("=",$A156))=0,"",F$2))</f>
        <v/>
      </c>
      <c r="G156" s="3" t="str">
        <f>IF($A156="","",IF(countif('Womens Lineup'!G$3:G1000,CONCATENATE("=",$A156))=0,"",G$2))</f>
        <v/>
      </c>
      <c r="H156" s="3" t="str">
        <f>IF($A156="","",IF(countif('Womens Lineup'!H$3:H1000,CONCATENATE("=",$A156))=0,"",H$2))</f>
        <v/>
      </c>
      <c r="I156" s="3" t="str">
        <f>IF($A156="","",IF(countif('Womens Lineup'!I$3:I1000,CONCATENATE("=",$A156))=0,"",I$2))</f>
        <v/>
      </c>
      <c r="J156" s="3" t="str">
        <f>IF($A156="","",IF(countif('Womens Lineup'!J$3:J1000,CONCATENATE("=",$A156))=0,"",J$2))</f>
        <v/>
      </c>
      <c r="K156" s="3" t="str">
        <f>IF($A156="","",IF(countif('Womens Lineup'!K$3:K1000,CONCATENATE("=",$A156))=0,"",K$2))</f>
        <v/>
      </c>
      <c r="L156" s="3" t="str">
        <f>IF($A156="","",IF(countif('Womens Lineup'!L$3:L1000,CONCATENATE("=",$A156))=0,"",L$2))</f>
        <v/>
      </c>
      <c r="M156" s="3" t="str">
        <f>IF($A156="","",IF(countif('Womens Lineup'!M$3:M1000,CONCATENATE("=",$A156))=0,"",M$2))</f>
        <v>200 IM</v>
      </c>
      <c r="N156" s="3" t="str">
        <f>IF($A156="","",IF(countif('Womens Lineup'!N$3:N1000,CONCATENATE("=",$A156))=0,"",N$2))</f>
        <v/>
      </c>
      <c r="O156" s="3" t="str">
        <f>IF($A156="","",IF(countif('Womens Lineup'!O$3:O1000,CONCATENATE("=",$A156))=0,"",O$2))</f>
        <v/>
      </c>
      <c r="P156" s="3" t="str">
        <f>IF($A156="","",IF(countif('Womens Lineup'!P$3:P1000,CONCATENATE("=",$A156))=0,"",P$2))</f>
        <v/>
      </c>
      <c r="Q156" s="3" t="str">
        <f>IF($A156="","",IF(countif('Womens Lineup'!Q$3:Q1000,CONCATENATE("=",$A156))=0,"",Q$2))</f>
        <v/>
      </c>
      <c r="R156" s="3" t="str">
        <f>IF($A156="","",IF(countif('Womens Lineup'!R$3:R1000,CONCATENATE("=",$A156))=0,"",R$2))</f>
        <v/>
      </c>
      <c r="S156" s="3" t="str">
        <f>IF($A156="","",IF(countif('Womens Lineup'!S$3:S1000,CONCATENATE("=",$A156))=0,"",S$2))</f>
        <v/>
      </c>
      <c r="W156" s="3" t="str">
        <f>IFERROR(__xludf.DUMMYFUNCTION("JOIN("","",FILTER(B156:S156,B156:S156&lt;&gt;""""))"),"100 Free,200 IM")</f>
        <v>100 Free,200 IM</v>
      </c>
    </row>
    <row r="157">
      <c r="A157" s="3" t="s">
        <v>471</v>
      </c>
      <c r="B157" s="3" t="str">
        <f>IF($A157="","",IF(countif('Womens Lineup'!B$3:B1000,CONCATENATE("=",$A157))=0,"",B$2))</f>
        <v/>
      </c>
      <c r="C157" s="3" t="str">
        <f>IF($A157="","",IF(countif('Womens Lineup'!C$3:C1000,CONCATENATE("=",$A157))=0,"",C$2))</f>
        <v>100 Free</v>
      </c>
      <c r="D157" s="3" t="str">
        <f>IF($A157="","",IF(countif('Womens Lineup'!D$3:D1000,CONCATENATE("=",$A157))=0,"",D$2))</f>
        <v>200 Free</v>
      </c>
      <c r="E157" s="3" t="str">
        <f>IF($A157="","",IF(countif('Womens Lineup'!E$3:E1000,CONCATENATE("=",$A157))=0,"",E$2))</f>
        <v>500 Free</v>
      </c>
      <c r="F157" s="3" t="str">
        <f>IF($A157="","",IF(countif('Womens Lineup'!F$3:F1000,CONCATENATE("=",$A157))=0,"",F$2))</f>
        <v/>
      </c>
      <c r="G157" s="3" t="str">
        <f>IF($A157="","",IF(countif('Womens Lineup'!G$3:G1000,CONCATENATE("=",$A157))=0,"",G$2))</f>
        <v>100 Back</v>
      </c>
      <c r="H157" s="3" t="str">
        <f>IF($A157="","",IF(countif('Womens Lineup'!H$3:H1000,CONCATENATE("=",$A157))=0,"",H$2))</f>
        <v>200 Back</v>
      </c>
      <c r="I157" s="3" t="str">
        <f>IF($A157="","",IF(countif('Womens Lineup'!I$3:I1000,CONCATENATE("=",$A157))=0,"",I$2))</f>
        <v/>
      </c>
      <c r="J157" s="3" t="str">
        <f>IF($A157="","",IF(countif('Womens Lineup'!J$3:J1000,CONCATENATE("=",$A157))=0,"",J$2))</f>
        <v/>
      </c>
      <c r="K157" s="3" t="str">
        <f>IF($A157="","",IF(countif('Womens Lineup'!K$3:K1000,CONCATENATE("=",$A157))=0,"",K$2))</f>
        <v/>
      </c>
      <c r="L157" s="3" t="str">
        <f>IF($A157="","",IF(countif('Womens Lineup'!L$3:L1000,CONCATENATE("=",$A157))=0,"",L$2))</f>
        <v/>
      </c>
      <c r="M157" s="3" t="str">
        <f>IF($A157="","",IF(countif('Womens Lineup'!M$3:M1000,CONCATENATE("=",$A157))=0,"",M$2))</f>
        <v/>
      </c>
      <c r="N157" s="3" t="str">
        <f>IF($A157="","",IF(countif('Womens Lineup'!N$3:N1000,CONCATENATE("=",$A157))=0,"",N$2))</f>
        <v/>
      </c>
      <c r="O157" s="3" t="str">
        <f>IF($A157="","",IF(countif('Womens Lineup'!O$3:O1000,CONCATENATE("=",$A157))=0,"",O$2))</f>
        <v>1000 Free</v>
      </c>
      <c r="P157" s="3" t="str">
        <f>IF($A157="","",IF(countif('Womens Lineup'!P$3:P1000,CONCATENATE("=",$A157))=0,"",P$2))</f>
        <v/>
      </c>
      <c r="Q157" s="3" t="str">
        <f>IF($A157="","",IF(countif('Womens Lineup'!Q$3:Q1000,CONCATENATE("=",$A157))=0,"",Q$2))</f>
        <v/>
      </c>
      <c r="R157" s="3" t="str">
        <f>IF($A157="","",IF(countif('Womens Lineup'!R$3:R1000,CONCATENATE("=",$A157))=0,"",R$2))</f>
        <v/>
      </c>
      <c r="S157" s="3" t="str">
        <f>IF($A157="","",IF(countif('Womens Lineup'!S$3:S1000,CONCATENATE("=",$A157))=0,"",S$2))</f>
        <v/>
      </c>
      <c r="W157" s="3" t="str">
        <f>IFERROR(__xludf.DUMMYFUNCTION("JOIN("","",FILTER(B157:S157,B157:S157&lt;&gt;""""))"),"100 Free,200 Free,500 Free,100 Back,200 Back,1000 Free")</f>
        <v>100 Free,200 Free,500 Free,100 Back,200 Back,1000 Free</v>
      </c>
    </row>
    <row r="158">
      <c r="A158" s="3" t="s">
        <v>472</v>
      </c>
      <c r="B158" s="3" t="str">
        <f>IF($A158="","",IF(countif('Womens Lineup'!B$3:B1000,CONCATENATE("=",$A158))=0,"",B$2))</f>
        <v/>
      </c>
      <c r="C158" s="3" t="str">
        <f>IF($A158="","",IF(countif('Womens Lineup'!C$3:C1000,CONCATENATE("=",$A158))=0,"",C$2))</f>
        <v>100 Free</v>
      </c>
      <c r="D158" s="3" t="str">
        <f>IF($A158="","",IF(countif('Womens Lineup'!D$3:D1000,CONCATENATE("=",$A158))=0,"",D$2))</f>
        <v>200 Free</v>
      </c>
      <c r="E158" s="3" t="str">
        <f>IF($A158="","",IF(countif('Womens Lineup'!E$3:E1000,CONCATENATE("=",$A158))=0,"",E$2))</f>
        <v>500 Free</v>
      </c>
      <c r="F158" s="3" t="str">
        <f>IF($A158="","",IF(countif('Womens Lineup'!F$3:F1000,CONCATENATE("=",$A158))=0,"",F$2))</f>
        <v/>
      </c>
      <c r="G158" s="3" t="str">
        <f>IF($A158="","",IF(countif('Womens Lineup'!G$3:G1000,CONCATENATE("=",$A158))=0,"",G$2))</f>
        <v/>
      </c>
      <c r="H158" s="3" t="str">
        <f>IF($A158="","",IF(countif('Womens Lineup'!H$3:H1000,CONCATENATE("=",$A158))=0,"",H$2))</f>
        <v>200 Back</v>
      </c>
      <c r="I158" s="3" t="str">
        <f>IF($A158="","",IF(countif('Womens Lineup'!I$3:I1000,CONCATENATE("=",$A158))=0,"",I$2))</f>
        <v/>
      </c>
      <c r="J158" s="3" t="str">
        <f>IF($A158="","",IF(countif('Womens Lineup'!J$3:J1000,CONCATENATE("=",$A158))=0,"",J$2))</f>
        <v/>
      </c>
      <c r="K158" s="3" t="str">
        <f>IF($A158="","",IF(countif('Womens Lineup'!K$3:K1000,CONCATENATE("=",$A158))=0,"",K$2))</f>
        <v>100 Fly</v>
      </c>
      <c r="L158" s="3" t="str">
        <f>IF($A158="","",IF(countif('Womens Lineup'!L$3:L1000,CONCATENATE("=",$A158))=0,"",L$2))</f>
        <v>200 Fly</v>
      </c>
      <c r="M158" s="3" t="str">
        <f>IF($A158="","",IF(countif('Womens Lineup'!M$3:M1000,CONCATENATE("=",$A158))=0,"",M$2))</f>
        <v/>
      </c>
      <c r="N158" s="3" t="str">
        <f>IF($A158="","",IF(countif('Womens Lineup'!N$3:N1000,CONCATENATE("=",$A158))=0,"",N$2))</f>
        <v/>
      </c>
      <c r="O158" s="3" t="str">
        <f>IF($A158="","",IF(countif('Womens Lineup'!O$3:O1000,CONCATENATE("=",$A158))=0,"",O$2))</f>
        <v/>
      </c>
      <c r="P158" s="3" t="str">
        <f>IF($A158="","",IF(countif('Womens Lineup'!P$3:P1000,CONCATENATE("=",$A158))=0,"",P$2))</f>
        <v/>
      </c>
      <c r="Q158" s="3" t="str">
        <f>IF($A158="","",IF(countif('Womens Lineup'!Q$3:Q1000,CONCATENATE("=",$A158))=0,"",Q$2))</f>
        <v/>
      </c>
      <c r="R158" s="3" t="str">
        <f>IF($A158="","",IF(countif('Womens Lineup'!R$3:R1000,CONCATENATE("=",$A158))=0,"",R$2))</f>
        <v/>
      </c>
      <c r="S158" s="3" t="str">
        <f>IF($A158="","",IF(countif('Womens Lineup'!S$3:S1000,CONCATENATE("=",$A158))=0,"",S$2))</f>
        <v/>
      </c>
      <c r="W158" s="3" t="str">
        <f>IFERROR(__xludf.DUMMYFUNCTION("JOIN("","",FILTER(B158:S158,B158:S158&lt;&gt;""""))"),"100 Free,200 Free,500 Free,200 Back,100 Fly,200 Fly")</f>
        <v>100 Free,200 Free,500 Free,200 Back,100 Fly,200 Fly</v>
      </c>
    </row>
    <row r="159">
      <c r="A159" s="3" t="s">
        <v>473</v>
      </c>
      <c r="B159" s="3" t="str">
        <f>IF($A159="","",IF(countif('Womens Lineup'!B$3:B1000,CONCATENATE("=",$A159))=0,"",B$2))</f>
        <v/>
      </c>
      <c r="C159" s="3" t="str">
        <f>IF($A159="","",IF(countif('Womens Lineup'!C$3:C1000,CONCATENATE("=",$A159))=0,"",C$2))</f>
        <v>100 Free</v>
      </c>
      <c r="D159" s="3" t="str">
        <f>IF($A159="","",IF(countif('Womens Lineup'!D$3:D1000,CONCATENATE("=",$A159))=0,"",D$2))</f>
        <v/>
      </c>
      <c r="E159" s="3" t="str">
        <f>IF($A159="","",IF(countif('Womens Lineup'!E$3:E1000,CONCATENATE("=",$A159))=0,"",E$2))</f>
        <v/>
      </c>
      <c r="F159" s="3" t="str">
        <f>IF($A159="","",IF(countif('Womens Lineup'!F$3:F1000,CONCATENATE("=",$A159))=0,"",F$2))</f>
        <v/>
      </c>
      <c r="G159" s="3" t="str">
        <f>IF($A159="","",IF(countif('Womens Lineup'!G$3:G1000,CONCATENATE("=",$A159))=0,"",G$2))</f>
        <v>100 Back</v>
      </c>
      <c r="H159" s="3" t="str">
        <f>IF($A159="","",IF(countif('Womens Lineup'!H$3:H1000,CONCATENATE("=",$A159))=0,"",H$2))</f>
        <v>200 Back</v>
      </c>
      <c r="I159" s="3" t="str">
        <f>IF($A159="","",IF(countif('Womens Lineup'!I$3:I1000,CONCATENATE("=",$A159))=0,"",I$2))</f>
        <v/>
      </c>
      <c r="J159" s="3" t="str">
        <f>IF($A159="","",IF(countif('Womens Lineup'!J$3:J1000,CONCATENATE("=",$A159))=0,"",J$2))</f>
        <v/>
      </c>
      <c r="K159" s="3" t="str">
        <f>IF($A159="","",IF(countif('Womens Lineup'!K$3:K1000,CONCATENATE("=",$A159))=0,"",K$2))</f>
        <v/>
      </c>
      <c r="L159" s="3" t="str">
        <f>IF($A159="","",IF(countif('Womens Lineup'!L$3:L1000,CONCATENATE("=",$A159))=0,"",L$2))</f>
        <v>200 Fly</v>
      </c>
      <c r="M159" s="3" t="str">
        <f>IF($A159="","",IF(countif('Womens Lineup'!M$3:M1000,CONCATENATE("=",$A159))=0,"",M$2))</f>
        <v/>
      </c>
      <c r="N159" s="3" t="str">
        <f>IF($A159="","",IF(countif('Womens Lineup'!N$3:N1000,CONCATENATE("=",$A159))=0,"",N$2))</f>
        <v/>
      </c>
      <c r="O159" s="3" t="str">
        <f>IF($A159="","",IF(countif('Womens Lineup'!O$3:O1000,CONCATENATE("=",$A159))=0,"",O$2))</f>
        <v/>
      </c>
      <c r="P159" s="3" t="str">
        <f>IF($A159="","",IF(countif('Womens Lineup'!P$3:P1000,CONCATENATE("=",$A159))=0,"",P$2))</f>
        <v/>
      </c>
      <c r="Q159" s="3" t="str">
        <f>IF($A159="","",IF(countif('Womens Lineup'!Q$3:Q1000,CONCATENATE("=",$A159))=0,"",Q$2))</f>
        <v/>
      </c>
      <c r="R159" s="3" t="str">
        <f>IF($A159="","",IF(countif('Womens Lineup'!R$3:R1000,CONCATENATE("=",$A159))=0,"",R$2))</f>
        <v/>
      </c>
      <c r="S159" s="3" t="str">
        <f>IF($A159="","",IF(countif('Womens Lineup'!S$3:S1000,CONCATENATE("=",$A159))=0,"",S$2))</f>
        <v/>
      </c>
      <c r="W159" s="3" t="str">
        <f>IFERROR(__xludf.DUMMYFUNCTION("JOIN("","",FILTER(B159:S159,B159:S159&lt;&gt;""""))"),"100 Free,100 Back,200 Back,200 Fly")</f>
        <v>100 Free,100 Back,200 Back,200 Fly</v>
      </c>
    </row>
    <row r="160">
      <c r="A160" s="3" t="s">
        <v>474</v>
      </c>
      <c r="B160" s="3" t="str">
        <f>IF($A160="","",IF(countif('Womens Lineup'!B$3:B1000,CONCATENATE("=",$A160))=0,"",B$2))</f>
        <v/>
      </c>
      <c r="C160" s="3" t="str">
        <f>IF($A160="","",IF(countif('Womens Lineup'!C$3:C1000,CONCATENATE("=",$A160))=0,"",C$2))</f>
        <v>100 Free</v>
      </c>
      <c r="D160" s="3" t="str">
        <f>IF($A160="","",IF(countif('Womens Lineup'!D$3:D1000,CONCATENATE("=",$A160))=0,"",D$2))</f>
        <v/>
      </c>
      <c r="E160" s="3" t="str">
        <f>IF($A160="","",IF(countif('Womens Lineup'!E$3:E1000,CONCATENATE("=",$A160))=0,"",E$2))</f>
        <v/>
      </c>
      <c r="F160" s="3" t="str">
        <f>IF($A160="","",IF(countif('Womens Lineup'!F$3:F1000,CONCATENATE("=",$A160))=0,"",F$2))</f>
        <v/>
      </c>
      <c r="G160" s="3" t="str">
        <f>IF($A160="","",IF(countif('Womens Lineup'!G$3:G1000,CONCATENATE("=",$A160))=0,"",G$2))</f>
        <v>100 Back</v>
      </c>
      <c r="H160" s="3" t="str">
        <f>IF($A160="","",IF(countif('Womens Lineup'!H$3:H1000,CONCATENATE("=",$A160))=0,"",H$2))</f>
        <v>200 Back</v>
      </c>
      <c r="I160" s="3" t="str">
        <f>IF($A160="","",IF(countif('Womens Lineup'!I$3:I1000,CONCATENATE("=",$A160))=0,"",I$2))</f>
        <v>100 Breast</v>
      </c>
      <c r="J160" s="3" t="str">
        <f>IF($A160="","",IF(countif('Womens Lineup'!J$3:J1000,CONCATENATE("=",$A160))=0,"",J$2))</f>
        <v>200 Breast</v>
      </c>
      <c r="K160" s="3" t="str">
        <f>IF($A160="","",IF(countif('Womens Lineup'!K$3:K1000,CONCATENATE("=",$A160))=0,"",K$2))</f>
        <v>100 Fly</v>
      </c>
      <c r="L160" s="3" t="str">
        <f>IF($A160="","",IF(countif('Womens Lineup'!L$3:L1000,CONCATENATE("=",$A160))=0,"",L$2))</f>
        <v/>
      </c>
      <c r="M160" s="3" t="str">
        <f>IF($A160="","",IF(countif('Womens Lineup'!M$3:M1000,CONCATENATE("=",$A160))=0,"",M$2))</f>
        <v/>
      </c>
      <c r="N160" s="3" t="str">
        <f>IF($A160="","",IF(countif('Womens Lineup'!N$3:N1000,CONCATENATE("=",$A160))=0,"",N$2))</f>
        <v/>
      </c>
      <c r="O160" s="3" t="str">
        <f>IF($A160="","",IF(countif('Womens Lineup'!O$3:O1000,CONCATENATE("=",$A160))=0,"",O$2))</f>
        <v/>
      </c>
      <c r="P160" s="3" t="str">
        <f>IF($A160="","",IF(countif('Womens Lineup'!P$3:P1000,CONCATENATE("=",$A160))=0,"",P$2))</f>
        <v/>
      </c>
      <c r="Q160" s="3" t="str">
        <f>IF($A160="","",IF(countif('Womens Lineup'!Q$3:Q1000,CONCATENATE("=",$A160))=0,"",Q$2))</f>
        <v/>
      </c>
      <c r="R160" s="3" t="str">
        <f>IF($A160="","",IF(countif('Womens Lineup'!R$3:R1000,CONCATENATE("=",$A160))=0,"",R$2))</f>
        <v/>
      </c>
      <c r="S160" s="3" t="str">
        <f>IF($A160="","",IF(countif('Womens Lineup'!S$3:S1000,CONCATENATE("=",$A160))=0,"",S$2))</f>
        <v/>
      </c>
      <c r="W160" s="3" t="str">
        <f>IFERROR(__xludf.DUMMYFUNCTION("JOIN("","",FILTER(B160:S160,B160:S160&lt;&gt;""""))"),"100 Free,100 Back,200 Back,100 Breast,200 Breast,100 Fly")</f>
        <v>100 Free,100 Back,200 Back,100 Breast,200 Breast,100 Fly</v>
      </c>
    </row>
    <row r="161">
      <c r="A161" s="3" t="s">
        <v>475</v>
      </c>
      <c r="B161" s="3" t="str">
        <f>IF($A161="","",IF(countif('Womens Lineup'!B$3:B1000,CONCATENATE("=",$A161))=0,"",B$2))</f>
        <v/>
      </c>
      <c r="C161" s="3" t="str">
        <f>IF($A161="","",IF(countif('Womens Lineup'!C$3:C1000,CONCATENATE("=",$A161))=0,"",C$2))</f>
        <v>100 Free</v>
      </c>
      <c r="D161" s="3" t="str">
        <f>IF($A161="","",IF(countif('Womens Lineup'!D$3:D1000,CONCATENATE("=",$A161))=0,"",D$2))</f>
        <v/>
      </c>
      <c r="E161" s="3" t="str">
        <f>IF($A161="","",IF(countif('Womens Lineup'!E$3:E1000,CONCATENATE("=",$A161))=0,"",E$2))</f>
        <v/>
      </c>
      <c r="F161" s="3" t="str">
        <f>IF($A161="","",IF(countif('Womens Lineup'!F$3:F1000,CONCATENATE("=",$A161))=0,"",F$2))</f>
        <v/>
      </c>
      <c r="G161" s="3" t="str">
        <f>IF($A161="","",IF(countif('Womens Lineup'!G$3:G1000,CONCATENATE("=",$A161))=0,"",G$2))</f>
        <v/>
      </c>
      <c r="H161" s="3" t="str">
        <f>IF($A161="","",IF(countif('Womens Lineup'!H$3:H1000,CONCATENATE("=",$A161))=0,"",H$2))</f>
        <v/>
      </c>
      <c r="I161" s="3" t="str">
        <f>IF($A161="","",IF(countif('Womens Lineup'!I$3:I1000,CONCATENATE("=",$A161))=0,"",I$2))</f>
        <v/>
      </c>
      <c r="J161" s="3" t="str">
        <f>IF($A161="","",IF(countif('Womens Lineup'!J$3:J1000,CONCATENATE("=",$A161))=0,"",J$2))</f>
        <v/>
      </c>
      <c r="K161" s="3" t="str">
        <f>IF($A161="","",IF(countif('Womens Lineup'!K$3:K1000,CONCATENATE("=",$A161))=0,"",K$2))</f>
        <v>100 Fly</v>
      </c>
      <c r="L161" s="3" t="str">
        <f>IF($A161="","",IF(countif('Womens Lineup'!L$3:L1000,CONCATENATE("=",$A161))=0,"",L$2))</f>
        <v>200 Fly</v>
      </c>
      <c r="M161" s="3" t="str">
        <f>IF($A161="","",IF(countif('Womens Lineup'!M$3:M1000,CONCATENATE("=",$A161))=0,"",M$2))</f>
        <v>200 IM</v>
      </c>
      <c r="N161" s="3" t="str">
        <f>IF($A161="","",IF(countif('Womens Lineup'!N$3:N1000,CONCATENATE("=",$A161))=0,"",N$2))</f>
        <v>400 IM</v>
      </c>
      <c r="O161" s="3" t="str">
        <f>IF($A161="","",IF(countif('Womens Lineup'!O$3:O1000,CONCATENATE("=",$A161))=0,"",O$2))</f>
        <v/>
      </c>
      <c r="P161" s="3" t="str">
        <f>IF($A161="","",IF(countif('Womens Lineup'!P$3:P1000,CONCATENATE("=",$A161))=0,"",P$2))</f>
        <v/>
      </c>
      <c r="Q161" s="3" t="str">
        <f>IF($A161="","",IF(countif('Womens Lineup'!Q$3:Q1000,CONCATENATE("=",$A161))=0,"",Q$2))</f>
        <v/>
      </c>
      <c r="R161" s="3" t="str">
        <f>IF($A161="","",IF(countif('Womens Lineup'!R$3:R1000,CONCATENATE("=",$A161))=0,"",R$2))</f>
        <v/>
      </c>
      <c r="S161" s="3" t="str">
        <f>IF($A161="","",IF(countif('Womens Lineup'!S$3:S1000,CONCATENATE("=",$A161))=0,"",S$2))</f>
        <v/>
      </c>
      <c r="W161" s="3" t="str">
        <f>IFERROR(__xludf.DUMMYFUNCTION("JOIN("","",FILTER(B161:S161,B161:S161&lt;&gt;""""))"),"100 Free,100 Fly,200 Fly,200 IM,400 IM")</f>
        <v>100 Free,100 Fly,200 Fly,200 IM,400 IM</v>
      </c>
    </row>
    <row r="162">
      <c r="A162" s="3" t="s">
        <v>476</v>
      </c>
      <c r="B162" s="3" t="str">
        <f>IF($A162="","",IF(countif('Womens Lineup'!B$3:B1000,CONCATENATE("=",$A162))=0,"",B$2))</f>
        <v/>
      </c>
      <c r="C162" s="3" t="str">
        <f>IF($A162="","",IF(countif('Womens Lineup'!C$3:C1000,CONCATENATE("=",$A162))=0,"",C$2))</f>
        <v>100 Free</v>
      </c>
      <c r="D162" s="3" t="str">
        <f>IF($A162="","",IF(countif('Womens Lineup'!D$3:D1000,CONCATENATE("=",$A162))=0,"",D$2))</f>
        <v>200 Free</v>
      </c>
      <c r="E162" s="3" t="str">
        <f>IF($A162="","",IF(countif('Womens Lineup'!E$3:E1000,CONCATENATE("=",$A162))=0,"",E$2))</f>
        <v/>
      </c>
      <c r="F162" s="3" t="str">
        <f>IF($A162="","",IF(countif('Womens Lineup'!F$3:F1000,CONCATENATE("=",$A162))=0,"",F$2))</f>
        <v/>
      </c>
      <c r="G162" s="3" t="str">
        <f>IF($A162="","",IF(countif('Womens Lineup'!G$3:G1000,CONCATENATE("=",$A162))=0,"",G$2))</f>
        <v>100 Back</v>
      </c>
      <c r="H162" s="3" t="str">
        <f>IF($A162="","",IF(countif('Womens Lineup'!H$3:H1000,CONCATENATE("=",$A162))=0,"",H$2))</f>
        <v/>
      </c>
      <c r="I162" s="3" t="str">
        <f>IF($A162="","",IF(countif('Womens Lineup'!I$3:I1000,CONCATENATE("=",$A162))=0,"",I$2))</f>
        <v>100 Breast</v>
      </c>
      <c r="J162" s="3" t="str">
        <f>IF($A162="","",IF(countif('Womens Lineup'!J$3:J1000,CONCATENATE("=",$A162))=0,"",J$2))</f>
        <v>200 Breast</v>
      </c>
      <c r="K162" s="3" t="str">
        <f>IF($A162="","",IF(countif('Womens Lineup'!K$3:K1000,CONCATENATE("=",$A162))=0,"",K$2))</f>
        <v/>
      </c>
      <c r="L162" s="3" t="str">
        <f>IF($A162="","",IF(countif('Womens Lineup'!L$3:L1000,CONCATENATE("=",$A162))=0,"",L$2))</f>
        <v/>
      </c>
      <c r="M162" s="3" t="str">
        <f>IF($A162="","",IF(countif('Womens Lineup'!M$3:M1000,CONCATENATE("=",$A162))=0,"",M$2))</f>
        <v>200 IM</v>
      </c>
      <c r="N162" s="3" t="str">
        <f>IF($A162="","",IF(countif('Womens Lineup'!N$3:N1000,CONCATENATE("=",$A162))=0,"",N$2))</f>
        <v/>
      </c>
      <c r="O162" s="3" t="str">
        <f>IF($A162="","",IF(countif('Womens Lineup'!O$3:O1000,CONCATENATE("=",$A162))=0,"",O$2))</f>
        <v/>
      </c>
      <c r="P162" s="3" t="str">
        <f>IF($A162="","",IF(countif('Womens Lineup'!P$3:P1000,CONCATENATE("=",$A162))=0,"",P$2))</f>
        <v/>
      </c>
      <c r="Q162" s="3" t="str">
        <f>IF($A162="","",IF(countif('Womens Lineup'!Q$3:Q1000,CONCATENATE("=",$A162))=0,"",Q$2))</f>
        <v/>
      </c>
      <c r="R162" s="3" t="str">
        <f>IF($A162="","",IF(countif('Womens Lineup'!R$3:R1000,CONCATENATE("=",$A162))=0,"",R$2))</f>
        <v/>
      </c>
      <c r="S162" s="3" t="str">
        <f>IF($A162="","",IF(countif('Womens Lineup'!S$3:S1000,CONCATENATE("=",$A162))=0,"",S$2))</f>
        <v/>
      </c>
      <c r="W162" s="3" t="str">
        <f>IFERROR(__xludf.DUMMYFUNCTION("JOIN("","",FILTER(B162:S162,B162:S162&lt;&gt;""""))"),"100 Free,200 Free,100 Back,100 Breast,200 Breast,200 IM")</f>
        <v>100 Free,200 Free,100 Back,100 Breast,200 Breast,200 IM</v>
      </c>
    </row>
    <row r="163">
      <c r="A163" s="3" t="s">
        <v>477</v>
      </c>
      <c r="B163" s="3" t="str">
        <f>IF($A163="","",IF(countif('Womens Lineup'!B$3:B1000,CONCATENATE("=",$A163))=0,"",B$2))</f>
        <v/>
      </c>
      <c r="C163" s="3" t="str">
        <f>IF($A163="","",IF(countif('Womens Lineup'!C$3:C1000,CONCATENATE("=",$A163))=0,"",C$2))</f>
        <v>100 Free</v>
      </c>
      <c r="D163" s="3" t="str">
        <f>IF($A163="","",IF(countif('Womens Lineup'!D$3:D1000,CONCATENATE("=",$A163))=0,"",D$2))</f>
        <v>200 Free</v>
      </c>
      <c r="E163" s="3" t="str">
        <f>IF($A163="","",IF(countif('Womens Lineup'!E$3:E1000,CONCATENATE("=",$A163))=0,"",E$2))</f>
        <v>500 Free</v>
      </c>
      <c r="F163" s="3" t="str">
        <f>IF($A163="","",IF(countif('Womens Lineup'!F$3:F1000,CONCATENATE("=",$A163))=0,"",F$2))</f>
        <v>1650 Free</v>
      </c>
      <c r="G163" s="3" t="str">
        <f>IF($A163="","",IF(countif('Womens Lineup'!G$3:G1000,CONCATENATE("=",$A163))=0,"",G$2))</f>
        <v>100 Back</v>
      </c>
      <c r="H163" s="3" t="str">
        <f>IF($A163="","",IF(countif('Womens Lineup'!H$3:H1000,CONCATENATE("=",$A163))=0,"",H$2))</f>
        <v>200 Back</v>
      </c>
      <c r="I163" s="3" t="str">
        <f>IF($A163="","",IF(countif('Womens Lineup'!I$3:I1000,CONCATENATE("=",$A163))=0,"",I$2))</f>
        <v/>
      </c>
      <c r="J163" s="3" t="str">
        <f>IF($A163="","",IF(countif('Womens Lineup'!J$3:J1000,CONCATENATE("=",$A163))=0,"",J$2))</f>
        <v/>
      </c>
      <c r="K163" s="3" t="str">
        <f>IF($A163="","",IF(countif('Womens Lineup'!K$3:K1000,CONCATENATE("=",$A163))=0,"",K$2))</f>
        <v/>
      </c>
      <c r="L163" s="3" t="str">
        <f>IF($A163="","",IF(countif('Womens Lineup'!L$3:L1000,CONCATENATE("=",$A163))=0,"",L$2))</f>
        <v/>
      </c>
      <c r="M163" s="3" t="str">
        <f>IF($A163="","",IF(countif('Womens Lineup'!M$3:M1000,CONCATENATE("=",$A163))=0,"",M$2))</f>
        <v/>
      </c>
      <c r="N163" s="3" t="str">
        <f>IF($A163="","",IF(countif('Womens Lineup'!N$3:N1000,CONCATENATE("=",$A163))=0,"",N$2))</f>
        <v/>
      </c>
      <c r="O163" s="3" t="str">
        <f>IF($A163="","",IF(countif('Womens Lineup'!O$3:O1000,CONCATENATE("=",$A163))=0,"",O$2))</f>
        <v/>
      </c>
      <c r="P163" s="3" t="str">
        <f>IF($A163="","",IF(countif('Womens Lineup'!P$3:P1000,CONCATENATE("=",$A163))=0,"",P$2))</f>
        <v/>
      </c>
      <c r="Q163" s="3" t="str">
        <f>IF($A163="","",IF(countif('Womens Lineup'!Q$3:Q1000,CONCATENATE("=",$A163))=0,"",Q$2))</f>
        <v/>
      </c>
      <c r="R163" s="3" t="str">
        <f>IF($A163="","",IF(countif('Womens Lineup'!R$3:R1000,CONCATENATE("=",$A163))=0,"",R$2))</f>
        <v/>
      </c>
      <c r="S163" s="3" t="str">
        <f>IF($A163="","",IF(countif('Womens Lineup'!S$3:S1000,CONCATENATE("=",$A163))=0,"",S$2))</f>
        <v/>
      </c>
      <c r="W163" s="3" t="str">
        <f>IFERROR(__xludf.DUMMYFUNCTION("JOIN("","",FILTER(B163:S163,B163:S163&lt;&gt;""""))"),"100 Free,200 Free,500 Free,1650 Free,100 Back,200 Back")</f>
        <v>100 Free,200 Free,500 Free,1650 Free,100 Back,200 Back</v>
      </c>
    </row>
    <row r="164">
      <c r="A164" s="3" t="s">
        <v>478</v>
      </c>
      <c r="B164" s="3" t="str">
        <f>IF($A164="","",IF(countif('Womens Lineup'!B$3:B1000,CONCATENATE("=",$A164))=0,"",B$2))</f>
        <v/>
      </c>
      <c r="C164" s="3" t="str">
        <f>IF($A164="","",IF(countif('Womens Lineup'!C$3:C1000,CONCATENATE("=",$A164))=0,"",C$2))</f>
        <v>100 Free</v>
      </c>
      <c r="D164" s="3" t="str">
        <f>IF($A164="","",IF(countif('Womens Lineup'!D$3:D1000,CONCATENATE("=",$A164))=0,"",D$2))</f>
        <v/>
      </c>
      <c r="E164" s="3" t="str">
        <f>IF($A164="","",IF(countif('Womens Lineup'!E$3:E1000,CONCATENATE("=",$A164))=0,"",E$2))</f>
        <v/>
      </c>
      <c r="F164" s="3" t="str">
        <f>IF($A164="","",IF(countif('Womens Lineup'!F$3:F1000,CONCATENATE("=",$A164))=0,"",F$2))</f>
        <v/>
      </c>
      <c r="G164" s="3" t="str">
        <f>IF($A164="","",IF(countif('Womens Lineup'!G$3:G1000,CONCATENATE("=",$A164))=0,"",G$2))</f>
        <v>100 Back</v>
      </c>
      <c r="H164" s="3" t="str">
        <f>IF($A164="","",IF(countif('Womens Lineup'!H$3:H1000,CONCATENATE("=",$A164))=0,"",H$2))</f>
        <v/>
      </c>
      <c r="I164" s="3" t="str">
        <f>IF($A164="","",IF(countif('Womens Lineup'!I$3:I1000,CONCATENATE("=",$A164))=0,"",I$2))</f>
        <v>100 Breast</v>
      </c>
      <c r="J164" s="3" t="str">
        <f>IF($A164="","",IF(countif('Womens Lineup'!J$3:J1000,CONCATENATE("=",$A164))=0,"",J$2))</f>
        <v>200 Breast</v>
      </c>
      <c r="K164" s="3" t="str">
        <f>IF($A164="","",IF(countif('Womens Lineup'!K$3:K1000,CONCATENATE("=",$A164))=0,"",K$2))</f>
        <v/>
      </c>
      <c r="L164" s="3" t="str">
        <f>IF($A164="","",IF(countif('Womens Lineup'!L$3:L1000,CONCATENATE("=",$A164))=0,"",L$2))</f>
        <v/>
      </c>
      <c r="M164" s="3" t="str">
        <f>IF($A164="","",IF(countif('Womens Lineup'!M$3:M1000,CONCATENATE("=",$A164))=0,"",M$2))</f>
        <v>200 IM</v>
      </c>
      <c r="N164" s="3" t="str">
        <f>IF($A164="","",IF(countif('Womens Lineup'!N$3:N1000,CONCATENATE("=",$A164))=0,"",N$2))</f>
        <v>400 IM</v>
      </c>
      <c r="O164" s="3" t="str">
        <f>IF($A164="","",IF(countif('Womens Lineup'!O$3:O1000,CONCATENATE("=",$A164))=0,"",O$2))</f>
        <v/>
      </c>
      <c r="P164" s="3" t="str">
        <f>IF($A164="","",IF(countif('Womens Lineup'!P$3:P1000,CONCATENATE("=",$A164))=0,"",P$2))</f>
        <v/>
      </c>
      <c r="Q164" s="3" t="str">
        <f>IF($A164="","",IF(countif('Womens Lineup'!Q$3:Q1000,CONCATENATE("=",$A164))=0,"",Q$2))</f>
        <v/>
      </c>
      <c r="R164" s="3" t="str">
        <f>IF($A164="","",IF(countif('Womens Lineup'!R$3:R1000,CONCATENATE("=",$A164))=0,"",R$2))</f>
        <v/>
      </c>
      <c r="S164" s="3" t="str">
        <f>IF($A164="","",IF(countif('Womens Lineup'!S$3:S1000,CONCATENATE("=",$A164))=0,"",S$2))</f>
        <v/>
      </c>
      <c r="W164" s="3" t="str">
        <f>IFERROR(__xludf.DUMMYFUNCTION("JOIN("","",FILTER(B164:S164,B164:S164&lt;&gt;""""))"),"100 Free,100 Back,100 Breast,200 Breast,200 IM,400 IM")</f>
        <v>100 Free,100 Back,100 Breast,200 Breast,200 IM,400 IM</v>
      </c>
    </row>
    <row r="165">
      <c r="A165" s="3" t="s">
        <v>479</v>
      </c>
      <c r="B165" s="3" t="str">
        <f>IF($A165="","",IF(countif('Womens Lineup'!B$3:B1000,CONCATENATE("=",$A165))=0,"",B$2))</f>
        <v/>
      </c>
      <c r="C165" s="3" t="str">
        <f>IF($A165="","",IF(countif('Womens Lineup'!C$3:C1000,CONCATENATE("=",$A165))=0,"",C$2))</f>
        <v>100 Free</v>
      </c>
      <c r="D165" s="3" t="str">
        <f>IF($A165="","",IF(countif('Womens Lineup'!D$3:D1000,CONCATENATE("=",$A165))=0,"",D$2))</f>
        <v/>
      </c>
      <c r="E165" s="3" t="str">
        <f>IF($A165="","",IF(countif('Womens Lineup'!E$3:E1000,CONCATENATE("=",$A165))=0,"",E$2))</f>
        <v/>
      </c>
      <c r="F165" s="3" t="str">
        <f>IF($A165="","",IF(countif('Womens Lineup'!F$3:F1000,CONCATENATE("=",$A165))=0,"",F$2))</f>
        <v/>
      </c>
      <c r="G165" s="3" t="str">
        <f>IF($A165="","",IF(countif('Womens Lineup'!G$3:G1000,CONCATENATE("=",$A165))=0,"",G$2))</f>
        <v>100 Back</v>
      </c>
      <c r="H165" s="3" t="str">
        <f>IF($A165="","",IF(countif('Womens Lineup'!H$3:H1000,CONCATENATE("=",$A165))=0,"",H$2))</f>
        <v>200 Back</v>
      </c>
      <c r="I165" s="3" t="str">
        <f>IF($A165="","",IF(countif('Womens Lineup'!I$3:I1000,CONCATENATE("=",$A165))=0,"",I$2))</f>
        <v/>
      </c>
      <c r="J165" s="3" t="str">
        <f>IF($A165="","",IF(countif('Womens Lineup'!J$3:J1000,CONCATENATE("=",$A165))=0,"",J$2))</f>
        <v/>
      </c>
      <c r="K165" s="3" t="str">
        <f>IF($A165="","",IF(countif('Womens Lineup'!K$3:K1000,CONCATENATE("=",$A165))=0,"",K$2))</f>
        <v>100 Fly</v>
      </c>
      <c r="L165" s="3" t="str">
        <f>IF($A165="","",IF(countif('Womens Lineup'!L$3:L1000,CONCATENATE("=",$A165))=0,"",L$2))</f>
        <v>200 Fly</v>
      </c>
      <c r="M165" s="3" t="str">
        <f>IF($A165="","",IF(countif('Womens Lineup'!M$3:M1000,CONCATENATE("=",$A165))=0,"",M$2))</f>
        <v/>
      </c>
      <c r="N165" s="3" t="str">
        <f>IF($A165="","",IF(countif('Womens Lineup'!N$3:N1000,CONCATENATE("=",$A165))=0,"",N$2))</f>
        <v>400 IM</v>
      </c>
      <c r="O165" s="3" t="str">
        <f>IF($A165="","",IF(countif('Womens Lineup'!O$3:O1000,CONCATENATE("=",$A165))=0,"",O$2))</f>
        <v/>
      </c>
      <c r="P165" s="3" t="str">
        <f>IF($A165="","",IF(countif('Womens Lineup'!P$3:P1000,CONCATENATE("=",$A165))=0,"",P$2))</f>
        <v/>
      </c>
      <c r="Q165" s="3" t="str">
        <f>IF($A165="","",IF(countif('Womens Lineup'!Q$3:Q1000,CONCATENATE("=",$A165))=0,"",Q$2))</f>
        <v/>
      </c>
      <c r="R165" s="3" t="str">
        <f>IF($A165="","",IF(countif('Womens Lineup'!R$3:R1000,CONCATENATE("=",$A165))=0,"",R$2))</f>
        <v/>
      </c>
      <c r="S165" s="3" t="str">
        <f>IF($A165="","",IF(countif('Womens Lineup'!S$3:S1000,CONCATENATE("=",$A165))=0,"",S$2))</f>
        <v/>
      </c>
      <c r="W165" s="3" t="str">
        <f>IFERROR(__xludf.DUMMYFUNCTION("JOIN("","",FILTER(B165:S165,B165:S165&lt;&gt;""""))"),"100 Free,100 Back,200 Back,100 Fly,200 Fly,400 IM")</f>
        <v>100 Free,100 Back,200 Back,100 Fly,200 Fly,400 IM</v>
      </c>
    </row>
    <row r="166">
      <c r="A166" s="3" t="s">
        <v>480</v>
      </c>
      <c r="B166" s="3" t="str">
        <f>IF($A166="","",IF(countif('Womens Lineup'!B$3:B1000,CONCATENATE("=",$A166))=0,"",B$2))</f>
        <v/>
      </c>
      <c r="C166" s="3" t="str">
        <f>IF($A166="","",IF(countif('Womens Lineup'!C$3:C1000,CONCATENATE("=",$A166))=0,"",C$2))</f>
        <v>100 Free</v>
      </c>
      <c r="D166" s="3" t="str">
        <f>IF($A166="","",IF(countif('Womens Lineup'!D$3:D1000,CONCATENATE("=",$A166))=0,"",D$2))</f>
        <v/>
      </c>
      <c r="E166" s="3" t="str">
        <f>IF($A166="","",IF(countif('Womens Lineup'!E$3:E1000,CONCATENATE("=",$A166))=0,"",E$2))</f>
        <v/>
      </c>
      <c r="F166" s="3" t="str">
        <f>IF($A166="","",IF(countif('Womens Lineup'!F$3:F1000,CONCATENATE("=",$A166))=0,"",F$2))</f>
        <v/>
      </c>
      <c r="G166" s="3" t="str">
        <f>IF($A166="","",IF(countif('Womens Lineup'!G$3:G1000,CONCATENATE("=",$A166))=0,"",G$2))</f>
        <v/>
      </c>
      <c r="H166" s="3" t="str">
        <f>IF($A166="","",IF(countif('Womens Lineup'!H$3:H1000,CONCATENATE("=",$A166))=0,"",H$2))</f>
        <v>200 Back</v>
      </c>
      <c r="I166" s="3" t="str">
        <f>IF($A166="","",IF(countif('Womens Lineup'!I$3:I1000,CONCATENATE("=",$A166))=0,"",I$2))</f>
        <v>100 Breast</v>
      </c>
      <c r="J166" s="3" t="str">
        <f>IF($A166="","",IF(countif('Womens Lineup'!J$3:J1000,CONCATENATE("=",$A166))=0,"",J$2))</f>
        <v>200 Breast</v>
      </c>
      <c r="K166" s="3" t="str">
        <f>IF($A166="","",IF(countif('Womens Lineup'!K$3:K1000,CONCATENATE("=",$A166))=0,"",K$2))</f>
        <v/>
      </c>
      <c r="L166" s="3" t="str">
        <f>IF($A166="","",IF(countif('Womens Lineup'!L$3:L1000,CONCATENATE("=",$A166))=0,"",L$2))</f>
        <v>200 Fly</v>
      </c>
      <c r="M166" s="3" t="str">
        <f>IF($A166="","",IF(countif('Womens Lineup'!M$3:M1000,CONCATENATE("=",$A166))=0,"",M$2))</f>
        <v/>
      </c>
      <c r="N166" s="3" t="str">
        <f>IF($A166="","",IF(countif('Womens Lineup'!N$3:N1000,CONCATENATE("=",$A166))=0,"",N$2))</f>
        <v>400 IM</v>
      </c>
      <c r="O166" s="3" t="str">
        <f>IF($A166="","",IF(countif('Womens Lineup'!O$3:O1000,CONCATENATE("=",$A166))=0,"",O$2))</f>
        <v/>
      </c>
      <c r="P166" s="3" t="str">
        <f>IF($A166="","",IF(countif('Womens Lineup'!P$3:P1000,CONCATENATE("=",$A166))=0,"",P$2))</f>
        <v/>
      </c>
      <c r="Q166" s="3" t="str">
        <f>IF($A166="","",IF(countif('Womens Lineup'!Q$3:Q1000,CONCATENATE("=",$A166))=0,"",Q$2))</f>
        <v/>
      </c>
      <c r="R166" s="3" t="str">
        <f>IF($A166="","",IF(countif('Womens Lineup'!R$3:R1000,CONCATENATE("=",$A166))=0,"",R$2))</f>
        <v/>
      </c>
      <c r="S166" s="3" t="str">
        <f>IF($A166="","",IF(countif('Womens Lineup'!S$3:S1000,CONCATENATE("=",$A166))=0,"",S$2))</f>
        <v/>
      </c>
      <c r="W166" s="3" t="str">
        <f>IFERROR(__xludf.DUMMYFUNCTION("JOIN("","",FILTER(B166:S166,B166:S166&lt;&gt;""""))"),"100 Free,200 Back,100 Breast,200 Breast,200 Fly,400 IM")</f>
        <v>100 Free,200 Back,100 Breast,200 Breast,200 Fly,400 IM</v>
      </c>
    </row>
    <row r="167">
      <c r="A167" s="3" t="s">
        <v>481</v>
      </c>
      <c r="B167" s="3" t="str">
        <f>IF($A167="","",IF(countif('Womens Lineup'!B$3:B1000,CONCATENATE("=",$A167))=0,"",B$2))</f>
        <v/>
      </c>
      <c r="C167" s="3" t="str">
        <f>IF($A167="","",IF(countif('Womens Lineup'!C$3:C1000,CONCATENATE("=",$A167))=0,"",C$2))</f>
        <v>100 Free</v>
      </c>
      <c r="D167" s="3" t="str">
        <f>IF($A167="","",IF(countif('Womens Lineup'!D$3:D1000,CONCATENATE("=",$A167))=0,"",D$2))</f>
        <v/>
      </c>
      <c r="E167" s="3" t="str">
        <f>IF($A167="","",IF(countif('Womens Lineup'!E$3:E1000,CONCATENATE("=",$A167))=0,"",E$2))</f>
        <v/>
      </c>
      <c r="F167" s="3" t="str">
        <f>IF($A167="","",IF(countif('Womens Lineup'!F$3:F1000,CONCATENATE("=",$A167))=0,"",F$2))</f>
        <v/>
      </c>
      <c r="G167" s="3" t="str">
        <f>IF($A167="","",IF(countif('Womens Lineup'!G$3:G1000,CONCATENATE("=",$A167))=0,"",G$2))</f>
        <v>100 Back</v>
      </c>
      <c r="H167" s="3" t="str">
        <f>IF($A167="","",IF(countif('Womens Lineup'!H$3:H1000,CONCATENATE("=",$A167))=0,"",H$2))</f>
        <v/>
      </c>
      <c r="I167" s="3" t="str">
        <f>IF($A167="","",IF(countif('Womens Lineup'!I$3:I1000,CONCATENATE("=",$A167))=0,"",I$2))</f>
        <v>100 Breast</v>
      </c>
      <c r="J167" s="3" t="str">
        <f>IF($A167="","",IF(countif('Womens Lineup'!J$3:J1000,CONCATENATE("=",$A167))=0,"",J$2))</f>
        <v>200 Breast</v>
      </c>
      <c r="K167" s="3" t="str">
        <f>IF($A167="","",IF(countif('Womens Lineup'!K$3:K1000,CONCATENATE("=",$A167))=0,"",K$2))</f>
        <v>100 Fly</v>
      </c>
      <c r="L167" s="3" t="str">
        <f>IF($A167="","",IF(countif('Womens Lineup'!L$3:L1000,CONCATENATE("=",$A167))=0,"",L$2))</f>
        <v/>
      </c>
      <c r="M167" s="3" t="str">
        <f>IF($A167="","",IF(countif('Womens Lineup'!M$3:M1000,CONCATENATE("=",$A167))=0,"",M$2))</f>
        <v>200 IM</v>
      </c>
      <c r="N167" s="3" t="str">
        <f>IF($A167="","",IF(countif('Womens Lineup'!N$3:N1000,CONCATENATE("=",$A167))=0,"",N$2))</f>
        <v/>
      </c>
      <c r="O167" s="3" t="str">
        <f>IF($A167="","",IF(countif('Womens Lineup'!O$3:O1000,CONCATENATE("=",$A167))=0,"",O$2))</f>
        <v/>
      </c>
      <c r="P167" s="3" t="str">
        <f>IF($A167="","",IF(countif('Womens Lineup'!P$3:P1000,CONCATENATE("=",$A167))=0,"",P$2))</f>
        <v/>
      </c>
      <c r="Q167" s="3" t="str">
        <f>IF($A167="","",IF(countif('Womens Lineup'!Q$3:Q1000,CONCATENATE("=",$A167))=0,"",Q$2))</f>
        <v/>
      </c>
      <c r="R167" s="3" t="str">
        <f>IF($A167="","",IF(countif('Womens Lineup'!R$3:R1000,CONCATENATE("=",$A167))=0,"",R$2))</f>
        <v/>
      </c>
      <c r="S167" s="3" t="str">
        <f>IF($A167="","",IF(countif('Womens Lineup'!S$3:S1000,CONCATENATE("=",$A167))=0,"",S$2))</f>
        <v/>
      </c>
      <c r="W167" s="3" t="str">
        <f>IFERROR(__xludf.DUMMYFUNCTION("JOIN("","",FILTER(B167:S167,B167:S167&lt;&gt;""""))"),"100 Free,100 Back,100 Breast,200 Breast,100 Fly,200 IM")</f>
        <v>100 Free,100 Back,100 Breast,200 Breast,100 Fly,200 IM</v>
      </c>
    </row>
    <row r="168">
      <c r="A168" s="3" t="s">
        <v>482</v>
      </c>
      <c r="B168" s="3" t="str">
        <f>IF($A168="","",IF(countif('Womens Lineup'!B$3:B1000,CONCATENATE("=",$A168))=0,"",B$2))</f>
        <v/>
      </c>
      <c r="C168" s="3" t="str">
        <f>IF($A168="","",IF(countif('Womens Lineup'!C$3:C1000,CONCATENATE("=",$A168))=0,"",C$2))</f>
        <v>100 Free</v>
      </c>
      <c r="D168" s="3" t="str">
        <f>IF($A168="","",IF(countif('Womens Lineup'!D$3:D1000,CONCATENATE("=",$A168))=0,"",D$2))</f>
        <v>200 Free</v>
      </c>
      <c r="E168" s="3" t="str">
        <f>IF($A168="","",IF(countif('Womens Lineup'!E$3:E1000,CONCATENATE("=",$A168))=0,"",E$2))</f>
        <v>500 Free</v>
      </c>
      <c r="F168" s="3" t="str">
        <f>IF($A168="","",IF(countif('Womens Lineup'!F$3:F1000,CONCATENATE("=",$A168))=0,"",F$2))</f>
        <v>1650 Free</v>
      </c>
      <c r="G168" s="3" t="str">
        <f>IF($A168="","",IF(countif('Womens Lineup'!G$3:G1000,CONCATENATE("=",$A168))=0,"",G$2))</f>
        <v/>
      </c>
      <c r="H168" s="3" t="str">
        <f>IF($A168="","",IF(countif('Womens Lineup'!H$3:H1000,CONCATENATE("=",$A168))=0,"",H$2))</f>
        <v/>
      </c>
      <c r="I168" s="3" t="str">
        <f>IF($A168="","",IF(countif('Womens Lineup'!I$3:I1000,CONCATENATE("=",$A168))=0,"",I$2))</f>
        <v>100 Breast</v>
      </c>
      <c r="J168" s="3" t="str">
        <f>IF($A168="","",IF(countif('Womens Lineup'!J$3:J1000,CONCATENATE("=",$A168))=0,"",J$2))</f>
        <v/>
      </c>
      <c r="K168" s="3" t="str">
        <f>IF($A168="","",IF(countif('Womens Lineup'!K$3:K1000,CONCATENATE("=",$A168))=0,"",K$2))</f>
        <v/>
      </c>
      <c r="L168" s="3" t="str">
        <f>IF($A168="","",IF(countif('Womens Lineup'!L$3:L1000,CONCATENATE("=",$A168))=0,"",L$2))</f>
        <v/>
      </c>
      <c r="M168" s="3" t="str">
        <f>IF($A168="","",IF(countif('Womens Lineup'!M$3:M1000,CONCATENATE("=",$A168))=0,"",M$2))</f>
        <v/>
      </c>
      <c r="N168" s="3" t="str">
        <f>IF($A168="","",IF(countif('Womens Lineup'!N$3:N1000,CONCATENATE("=",$A168))=0,"",N$2))</f>
        <v/>
      </c>
      <c r="O168" s="3" t="str">
        <f>IF($A168="","",IF(countif('Womens Lineup'!O$3:O1000,CONCATENATE("=",$A168))=0,"",O$2))</f>
        <v>1000 Free</v>
      </c>
      <c r="P168" s="3" t="str">
        <f>IF($A168="","",IF(countif('Womens Lineup'!P$3:P1000,CONCATENATE("=",$A168))=0,"",P$2))</f>
        <v/>
      </c>
      <c r="Q168" s="3" t="str">
        <f>IF($A168="","",IF(countif('Womens Lineup'!Q$3:Q1000,CONCATENATE("=",$A168))=0,"",Q$2))</f>
        <v/>
      </c>
      <c r="R168" s="3" t="str">
        <f>IF($A168="","",IF(countif('Womens Lineup'!R$3:R1000,CONCATENATE("=",$A168))=0,"",R$2))</f>
        <v/>
      </c>
      <c r="S168" s="3" t="str">
        <f>IF($A168="","",IF(countif('Womens Lineup'!S$3:S1000,CONCATENATE("=",$A168))=0,"",S$2))</f>
        <v/>
      </c>
      <c r="W168" s="3" t="str">
        <f>IFERROR(__xludf.DUMMYFUNCTION("JOIN("","",FILTER(B168:S168,B168:S168&lt;&gt;""""))"),"100 Free,200 Free,500 Free,1650 Free,100 Breast,1000 Free")</f>
        <v>100 Free,200 Free,500 Free,1650 Free,100 Breast,1000 Free</v>
      </c>
    </row>
    <row r="169">
      <c r="A169" s="3" t="s">
        <v>483</v>
      </c>
      <c r="B169" s="3" t="str">
        <f>IF($A169="","",IF(countif('Womens Lineup'!B$3:B1000,CONCATENATE("=",$A169))=0,"",B$2))</f>
        <v/>
      </c>
      <c r="C169" s="3" t="str">
        <f>IF($A169="","",IF(countif('Womens Lineup'!C$3:C1000,CONCATENATE("=",$A169))=0,"",C$2))</f>
        <v>100 Free</v>
      </c>
      <c r="D169" s="3" t="str">
        <f>IF($A169="","",IF(countif('Womens Lineup'!D$3:D1000,CONCATENATE("=",$A169))=0,"",D$2))</f>
        <v/>
      </c>
      <c r="E169" s="3" t="str">
        <f>IF($A169="","",IF(countif('Womens Lineup'!E$3:E1000,CONCATENATE("=",$A169))=0,"",E$2))</f>
        <v>500 Free</v>
      </c>
      <c r="F169" s="3" t="str">
        <f>IF($A169="","",IF(countif('Womens Lineup'!F$3:F1000,CONCATENATE("=",$A169))=0,"",F$2))</f>
        <v/>
      </c>
      <c r="G169" s="3" t="str">
        <f>IF($A169="","",IF(countif('Womens Lineup'!G$3:G1000,CONCATENATE("=",$A169))=0,"",G$2))</f>
        <v/>
      </c>
      <c r="H169" s="3" t="str">
        <f>IF($A169="","",IF(countif('Womens Lineup'!H$3:H1000,CONCATENATE("=",$A169))=0,"",H$2))</f>
        <v/>
      </c>
      <c r="I169" s="3" t="str">
        <f>IF($A169="","",IF(countif('Womens Lineup'!I$3:I1000,CONCATENATE("=",$A169))=0,"",I$2))</f>
        <v/>
      </c>
      <c r="J169" s="3" t="str">
        <f>IF($A169="","",IF(countif('Womens Lineup'!J$3:J1000,CONCATENATE("=",$A169))=0,"",J$2))</f>
        <v/>
      </c>
      <c r="K169" s="3" t="str">
        <f>IF($A169="","",IF(countif('Womens Lineup'!K$3:K1000,CONCATENATE("=",$A169))=0,"",K$2))</f>
        <v>100 Fly</v>
      </c>
      <c r="L169" s="3" t="str">
        <f>IF($A169="","",IF(countif('Womens Lineup'!L$3:L1000,CONCATENATE("=",$A169))=0,"",L$2))</f>
        <v>200 Fly</v>
      </c>
      <c r="M169" s="3" t="str">
        <f>IF($A169="","",IF(countif('Womens Lineup'!M$3:M1000,CONCATENATE("=",$A169))=0,"",M$2))</f>
        <v>200 IM</v>
      </c>
      <c r="N169" s="3" t="str">
        <f>IF($A169="","",IF(countif('Womens Lineup'!N$3:N1000,CONCATENATE("=",$A169))=0,"",N$2))</f>
        <v>400 IM</v>
      </c>
      <c r="O169" s="3" t="str">
        <f>IF($A169="","",IF(countif('Womens Lineup'!O$3:O1000,CONCATENATE("=",$A169))=0,"",O$2))</f>
        <v/>
      </c>
      <c r="P169" s="3" t="str">
        <f>IF($A169="","",IF(countif('Womens Lineup'!P$3:P1000,CONCATENATE("=",$A169))=0,"",P$2))</f>
        <v/>
      </c>
      <c r="Q169" s="3" t="str">
        <f>IF($A169="","",IF(countif('Womens Lineup'!Q$3:Q1000,CONCATENATE("=",$A169))=0,"",Q$2))</f>
        <v/>
      </c>
      <c r="R169" s="3" t="str">
        <f>IF($A169="","",IF(countif('Womens Lineup'!R$3:R1000,CONCATENATE("=",$A169))=0,"",R$2))</f>
        <v/>
      </c>
      <c r="S169" s="3" t="str">
        <f>IF($A169="","",IF(countif('Womens Lineup'!S$3:S1000,CONCATENATE("=",$A169))=0,"",S$2))</f>
        <v/>
      </c>
      <c r="W169" s="3" t="str">
        <f>IFERROR(__xludf.DUMMYFUNCTION("JOIN("","",FILTER(B169:S169,B169:S169&lt;&gt;""""))"),"100 Free,500 Free,100 Fly,200 Fly,200 IM,400 IM")</f>
        <v>100 Free,500 Free,100 Fly,200 Fly,200 IM,400 IM</v>
      </c>
    </row>
    <row r="170">
      <c r="A170" s="3" t="s">
        <v>484</v>
      </c>
      <c r="B170" s="3" t="str">
        <f>IF($A170="","",IF(countif('Womens Lineup'!B$3:B1000,CONCATENATE("=",$A170))=0,"",B$2))</f>
        <v/>
      </c>
      <c r="C170" s="3" t="str">
        <f>IF($A170="","",IF(countif('Womens Lineup'!C$3:C1000,CONCATENATE("=",$A170))=0,"",C$2))</f>
        <v>100 Free</v>
      </c>
      <c r="D170" s="3" t="str">
        <f>IF($A170="","",IF(countif('Womens Lineup'!D$3:D1000,CONCATENATE("=",$A170))=0,"",D$2))</f>
        <v/>
      </c>
      <c r="E170" s="3" t="str">
        <f>IF($A170="","",IF(countif('Womens Lineup'!E$3:E1000,CONCATENATE("=",$A170))=0,"",E$2))</f>
        <v/>
      </c>
      <c r="F170" s="3" t="str">
        <f>IF($A170="","",IF(countif('Womens Lineup'!F$3:F1000,CONCATENATE("=",$A170))=0,"",F$2))</f>
        <v/>
      </c>
      <c r="G170" s="3" t="str">
        <f>IF($A170="","",IF(countif('Womens Lineup'!G$3:G1000,CONCATENATE("=",$A170))=0,"",G$2))</f>
        <v/>
      </c>
      <c r="H170" s="3" t="str">
        <f>IF($A170="","",IF(countif('Womens Lineup'!H$3:H1000,CONCATENATE("=",$A170))=0,"",H$2))</f>
        <v/>
      </c>
      <c r="I170" s="3" t="str">
        <f>IF($A170="","",IF(countif('Womens Lineup'!I$3:I1000,CONCATENATE("=",$A170))=0,"",I$2))</f>
        <v>100 Breast</v>
      </c>
      <c r="J170" s="3" t="str">
        <f>IF($A170="","",IF(countif('Womens Lineup'!J$3:J1000,CONCATENATE("=",$A170))=0,"",J$2))</f>
        <v>200 Breast</v>
      </c>
      <c r="K170" s="3" t="str">
        <f>IF($A170="","",IF(countif('Womens Lineup'!K$3:K1000,CONCATENATE("=",$A170))=0,"",K$2))</f>
        <v/>
      </c>
      <c r="L170" s="3" t="str">
        <f>IF($A170="","",IF(countif('Womens Lineup'!L$3:L1000,CONCATENATE("=",$A170))=0,"",L$2))</f>
        <v>200 Fly</v>
      </c>
      <c r="M170" s="3" t="str">
        <f>IF($A170="","",IF(countif('Womens Lineup'!M$3:M1000,CONCATENATE("=",$A170))=0,"",M$2))</f>
        <v>200 IM</v>
      </c>
      <c r="N170" s="3" t="str">
        <f>IF($A170="","",IF(countif('Womens Lineup'!N$3:N1000,CONCATENATE("=",$A170))=0,"",N$2))</f>
        <v>400 IM</v>
      </c>
      <c r="O170" s="3" t="str">
        <f>IF($A170="","",IF(countif('Womens Lineup'!O$3:O1000,CONCATENATE("=",$A170))=0,"",O$2))</f>
        <v/>
      </c>
      <c r="P170" s="3" t="str">
        <f>IF($A170="","",IF(countif('Womens Lineup'!P$3:P1000,CONCATENATE("=",$A170))=0,"",P$2))</f>
        <v/>
      </c>
      <c r="Q170" s="3" t="str">
        <f>IF($A170="","",IF(countif('Womens Lineup'!Q$3:Q1000,CONCATENATE("=",$A170))=0,"",Q$2))</f>
        <v/>
      </c>
      <c r="R170" s="3" t="str">
        <f>IF($A170="","",IF(countif('Womens Lineup'!R$3:R1000,CONCATENATE("=",$A170))=0,"",R$2))</f>
        <v/>
      </c>
      <c r="S170" s="3" t="str">
        <f>IF($A170="","",IF(countif('Womens Lineup'!S$3:S1000,CONCATENATE("=",$A170))=0,"",S$2))</f>
        <v/>
      </c>
      <c r="W170" s="3" t="str">
        <f>IFERROR(__xludf.DUMMYFUNCTION("JOIN("","",FILTER(B170:S170,B170:S170&lt;&gt;""""))"),"100 Free,100 Breast,200 Breast,200 Fly,200 IM,400 IM")</f>
        <v>100 Free,100 Breast,200 Breast,200 Fly,200 IM,400 IM</v>
      </c>
    </row>
    <row r="171">
      <c r="A171" s="3" t="s">
        <v>485</v>
      </c>
      <c r="B171" s="3" t="str">
        <f>IF($A171="","",IF(countif('Womens Lineup'!B$3:B1000,CONCATENATE("=",$A171))=0,"",B$2))</f>
        <v/>
      </c>
      <c r="C171" s="3" t="str">
        <f>IF($A171="","",IF(countif('Womens Lineup'!C$3:C1000,CONCATENATE("=",$A171))=0,"",C$2))</f>
        <v>100 Free</v>
      </c>
      <c r="D171" s="3" t="str">
        <f>IF($A171="","",IF(countif('Womens Lineup'!D$3:D1000,CONCATENATE("=",$A171))=0,"",D$2))</f>
        <v>200 Free</v>
      </c>
      <c r="E171" s="3" t="str">
        <f>IF($A171="","",IF(countif('Womens Lineup'!E$3:E1000,CONCATENATE("=",$A171))=0,"",E$2))</f>
        <v/>
      </c>
      <c r="F171" s="3" t="str">
        <f>IF($A171="","",IF(countif('Womens Lineup'!F$3:F1000,CONCATENATE("=",$A171))=0,"",F$2))</f>
        <v/>
      </c>
      <c r="G171" s="3" t="str">
        <f>IF($A171="","",IF(countif('Womens Lineup'!G$3:G1000,CONCATENATE("=",$A171))=0,"",G$2))</f>
        <v>100 Back</v>
      </c>
      <c r="H171" s="3" t="str">
        <f>IF($A171="","",IF(countif('Womens Lineup'!H$3:H1000,CONCATENATE("=",$A171))=0,"",H$2))</f>
        <v/>
      </c>
      <c r="I171" s="3" t="str">
        <f>IF($A171="","",IF(countif('Womens Lineup'!I$3:I1000,CONCATENATE("=",$A171))=0,"",I$2))</f>
        <v/>
      </c>
      <c r="J171" s="3" t="str">
        <f>IF($A171="","",IF(countif('Womens Lineup'!J$3:J1000,CONCATENATE("=",$A171))=0,"",J$2))</f>
        <v/>
      </c>
      <c r="K171" s="3" t="str">
        <f>IF($A171="","",IF(countif('Womens Lineup'!K$3:K1000,CONCATENATE("=",$A171))=0,"",K$2))</f>
        <v>100 Fly</v>
      </c>
      <c r="L171" s="3" t="str">
        <f>IF($A171="","",IF(countif('Womens Lineup'!L$3:L1000,CONCATENATE("=",$A171))=0,"",L$2))</f>
        <v>200 Fly</v>
      </c>
      <c r="M171" s="3" t="str">
        <f>IF($A171="","",IF(countif('Womens Lineup'!M$3:M1000,CONCATENATE("=",$A171))=0,"",M$2))</f>
        <v/>
      </c>
      <c r="N171" s="3" t="str">
        <f>IF($A171="","",IF(countif('Womens Lineup'!N$3:N1000,CONCATENATE("=",$A171))=0,"",N$2))</f>
        <v/>
      </c>
      <c r="O171" s="3" t="str">
        <f>IF($A171="","",IF(countif('Womens Lineup'!O$3:O1000,CONCATENATE("=",$A171))=0,"",O$2))</f>
        <v/>
      </c>
      <c r="P171" s="3" t="str">
        <f>IF($A171="","",IF(countif('Womens Lineup'!P$3:P1000,CONCATENATE("=",$A171))=0,"",P$2))</f>
        <v/>
      </c>
      <c r="Q171" s="3" t="str">
        <f>IF($A171="","",IF(countif('Womens Lineup'!Q$3:Q1000,CONCATENATE("=",$A171))=0,"",Q$2))</f>
        <v/>
      </c>
      <c r="R171" s="3" t="str">
        <f>IF($A171="","",IF(countif('Womens Lineup'!R$3:R1000,CONCATENATE("=",$A171))=0,"",R$2))</f>
        <v/>
      </c>
      <c r="S171" s="3" t="str">
        <f>IF($A171="","",IF(countif('Womens Lineup'!S$3:S1000,CONCATENATE("=",$A171))=0,"",S$2))</f>
        <v/>
      </c>
      <c r="W171" s="3" t="str">
        <f>IFERROR(__xludf.DUMMYFUNCTION("JOIN("","",FILTER(B171:S171,B171:S171&lt;&gt;""""))"),"100 Free,200 Free,100 Back,100 Fly,200 Fly")</f>
        <v>100 Free,200 Free,100 Back,100 Fly,200 Fly</v>
      </c>
    </row>
    <row r="172">
      <c r="A172" s="3" t="s">
        <v>486</v>
      </c>
      <c r="B172" s="3" t="str">
        <f>IF($A172="","",IF(countif('Womens Lineup'!B$3:B1000,CONCATENATE("=",$A172))=0,"",B$2))</f>
        <v/>
      </c>
      <c r="C172" s="3" t="str">
        <f>IF($A172="","",IF(countif('Womens Lineup'!C$3:C1000,CONCATENATE("=",$A172))=0,"",C$2))</f>
        <v>100 Free</v>
      </c>
      <c r="D172" s="3" t="str">
        <f>IF($A172="","",IF(countif('Womens Lineup'!D$3:D1000,CONCATENATE("=",$A172))=0,"",D$2))</f>
        <v>200 Free</v>
      </c>
      <c r="E172" s="3" t="str">
        <f>IF($A172="","",IF(countif('Womens Lineup'!E$3:E1000,CONCATENATE("=",$A172))=0,"",E$2))</f>
        <v/>
      </c>
      <c r="F172" s="3" t="str">
        <f>IF($A172="","",IF(countif('Womens Lineup'!F$3:F1000,CONCATENATE("=",$A172))=0,"",F$2))</f>
        <v>1650 Free</v>
      </c>
      <c r="G172" s="3" t="str">
        <f>IF($A172="","",IF(countif('Womens Lineup'!G$3:G1000,CONCATENATE("=",$A172))=0,"",G$2))</f>
        <v/>
      </c>
      <c r="H172" s="3" t="str">
        <f>IF($A172="","",IF(countif('Womens Lineup'!H$3:H1000,CONCATENATE("=",$A172))=0,"",H$2))</f>
        <v/>
      </c>
      <c r="I172" s="3" t="str">
        <f>IF($A172="","",IF(countif('Womens Lineup'!I$3:I1000,CONCATENATE("=",$A172))=0,"",I$2))</f>
        <v/>
      </c>
      <c r="J172" s="3" t="str">
        <f>IF($A172="","",IF(countif('Womens Lineup'!J$3:J1000,CONCATENATE("=",$A172))=0,"",J$2))</f>
        <v/>
      </c>
      <c r="K172" s="3" t="str">
        <f>IF($A172="","",IF(countif('Womens Lineup'!K$3:K1000,CONCATENATE("=",$A172))=0,"",K$2))</f>
        <v/>
      </c>
      <c r="L172" s="3" t="str">
        <f>IF($A172="","",IF(countif('Womens Lineup'!L$3:L1000,CONCATENATE("=",$A172))=0,"",L$2))</f>
        <v/>
      </c>
      <c r="M172" s="3" t="str">
        <f>IF($A172="","",IF(countif('Womens Lineup'!M$3:M1000,CONCATENATE("=",$A172))=0,"",M$2))</f>
        <v/>
      </c>
      <c r="N172" s="3" t="str">
        <f>IF($A172="","",IF(countif('Womens Lineup'!N$3:N1000,CONCATENATE("=",$A172))=0,"",N$2))</f>
        <v/>
      </c>
      <c r="O172" s="3" t="str">
        <f>IF($A172="","",IF(countif('Womens Lineup'!O$3:O1000,CONCATENATE("=",$A172))=0,"",O$2))</f>
        <v>1000 Free</v>
      </c>
      <c r="P172" s="3" t="str">
        <f>IF($A172="","",IF(countif('Womens Lineup'!P$3:P1000,CONCATENATE("=",$A172))=0,"",P$2))</f>
        <v/>
      </c>
      <c r="Q172" s="3" t="str">
        <f>IF($A172="","",IF(countif('Womens Lineup'!Q$3:Q1000,CONCATENATE("=",$A172))=0,"",Q$2))</f>
        <v/>
      </c>
      <c r="R172" s="3" t="str">
        <f>IF($A172="","",IF(countif('Womens Lineup'!R$3:R1000,CONCATENATE("=",$A172))=0,"",R$2))</f>
        <v/>
      </c>
      <c r="S172" s="3" t="str">
        <f>IF($A172="","",IF(countif('Womens Lineup'!S$3:S1000,CONCATENATE("=",$A172))=0,"",S$2))</f>
        <v/>
      </c>
      <c r="W172" s="3" t="str">
        <f>IFERROR(__xludf.DUMMYFUNCTION("JOIN("","",FILTER(B172:S172,B172:S172&lt;&gt;""""))"),"100 Free,200 Free,1650 Free,1000 Free")</f>
        <v>100 Free,200 Free,1650 Free,1000 Free</v>
      </c>
    </row>
    <row r="173">
      <c r="A173" s="3" t="s">
        <v>487</v>
      </c>
      <c r="B173" s="3" t="str">
        <f>IF($A173="","",IF(countif('Womens Lineup'!B$3:B1000,CONCATENATE("=",$A173))=0,"",B$2))</f>
        <v/>
      </c>
      <c r="C173" s="3" t="str">
        <f>IF($A173="","",IF(countif('Womens Lineup'!C$3:C1000,CONCATENATE("=",$A173))=0,"",C$2))</f>
        <v>100 Free</v>
      </c>
      <c r="D173" s="3" t="str">
        <f>IF($A173="","",IF(countif('Womens Lineup'!D$3:D1000,CONCATENATE("=",$A173))=0,"",D$2))</f>
        <v>200 Free</v>
      </c>
      <c r="E173" s="3" t="str">
        <f>IF($A173="","",IF(countif('Womens Lineup'!E$3:E1000,CONCATENATE("=",$A173))=0,"",E$2))</f>
        <v>500 Free</v>
      </c>
      <c r="F173" s="3" t="str">
        <f>IF($A173="","",IF(countif('Womens Lineup'!F$3:F1000,CONCATENATE("=",$A173))=0,"",F$2))</f>
        <v/>
      </c>
      <c r="G173" s="3" t="str">
        <f>IF($A173="","",IF(countif('Womens Lineup'!G$3:G1000,CONCATENATE("=",$A173))=0,"",G$2))</f>
        <v/>
      </c>
      <c r="H173" s="3" t="str">
        <f>IF($A173="","",IF(countif('Womens Lineup'!H$3:H1000,CONCATENATE("=",$A173))=0,"",H$2))</f>
        <v/>
      </c>
      <c r="I173" s="3" t="str">
        <f>IF($A173="","",IF(countif('Womens Lineup'!I$3:I1000,CONCATENATE("=",$A173))=0,"",I$2))</f>
        <v>100 Breast</v>
      </c>
      <c r="J173" s="3" t="str">
        <f>IF($A173="","",IF(countif('Womens Lineup'!J$3:J1000,CONCATENATE("=",$A173))=0,"",J$2))</f>
        <v/>
      </c>
      <c r="K173" s="3" t="str">
        <f>IF($A173="","",IF(countif('Womens Lineup'!K$3:K1000,CONCATENATE("=",$A173))=0,"",K$2))</f>
        <v/>
      </c>
      <c r="L173" s="3" t="str">
        <f>IF($A173="","",IF(countif('Womens Lineup'!L$3:L1000,CONCATENATE("=",$A173))=0,"",L$2))</f>
        <v/>
      </c>
      <c r="M173" s="3" t="str">
        <f>IF($A173="","",IF(countif('Womens Lineup'!M$3:M1000,CONCATENATE("=",$A173))=0,"",M$2))</f>
        <v/>
      </c>
      <c r="N173" s="3" t="str">
        <f>IF($A173="","",IF(countif('Womens Lineup'!N$3:N1000,CONCATENATE("=",$A173))=0,"",N$2))</f>
        <v/>
      </c>
      <c r="O173" s="3" t="str">
        <f>IF($A173="","",IF(countif('Womens Lineup'!O$3:O1000,CONCATENATE("=",$A173))=0,"",O$2))</f>
        <v>1000 Free</v>
      </c>
      <c r="P173" s="3" t="str">
        <f>IF($A173="","",IF(countif('Womens Lineup'!P$3:P1000,CONCATENATE("=",$A173))=0,"",P$2))</f>
        <v/>
      </c>
      <c r="Q173" s="3" t="str">
        <f>IF($A173="","",IF(countif('Womens Lineup'!Q$3:Q1000,CONCATENATE("=",$A173))=0,"",Q$2))</f>
        <v/>
      </c>
      <c r="R173" s="3" t="str">
        <f>IF($A173="","",IF(countif('Womens Lineup'!R$3:R1000,CONCATENATE("=",$A173))=0,"",R$2))</f>
        <v/>
      </c>
      <c r="S173" s="3" t="str">
        <f>IF($A173="","",IF(countif('Womens Lineup'!S$3:S1000,CONCATENATE("=",$A173))=0,"",S$2))</f>
        <v/>
      </c>
      <c r="W173" s="3" t="str">
        <f>IFERROR(__xludf.DUMMYFUNCTION("JOIN("","",FILTER(B173:S173,B173:S173&lt;&gt;""""))"),"100 Free,200 Free,500 Free,100 Breast,1000 Free")</f>
        <v>100 Free,200 Free,500 Free,100 Breast,1000 Free</v>
      </c>
    </row>
    <row r="174">
      <c r="A174" s="3" t="s">
        <v>488</v>
      </c>
      <c r="B174" s="3" t="str">
        <f>IF($A174="","",IF(countif('Womens Lineup'!B$3:B1000,CONCATENATE("=",$A174))=0,"",B$2))</f>
        <v/>
      </c>
      <c r="C174" s="3" t="str">
        <f>IF($A174="","",IF(countif('Womens Lineup'!C$3:C1000,CONCATENATE("=",$A174))=0,"",C$2))</f>
        <v>100 Free</v>
      </c>
      <c r="D174" s="3" t="str">
        <f>IF($A174="","",IF(countif('Womens Lineup'!D$3:D1000,CONCATENATE("=",$A174))=0,"",D$2))</f>
        <v>200 Free</v>
      </c>
      <c r="E174" s="3" t="str">
        <f>IF($A174="","",IF(countif('Womens Lineup'!E$3:E1000,CONCATENATE("=",$A174))=0,"",E$2))</f>
        <v/>
      </c>
      <c r="F174" s="3" t="str">
        <f>IF($A174="","",IF(countif('Womens Lineup'!F$3:F1000,CONCATENATE("=",$A174))=0,"",F$2))</f>
        <v>1650 Free</v>
      </c>
      <c r="G174" s="3" t="str">
        <f>IF($A174="","",IF(countif('Womens Lineup'!G$3:G1000,CONCATENATE("=",$A174))=0,"",G$2))</f>
        <v/>
      </c>
      <c r="H174" s="3" t="str">
        <f>IF($A174="","",IF(countif('Womens Lineup'!H$3:H1000,CONCATENATE("=",$A174))=0,"",H$2))</f>
        <v>200 Back</v>
      </c>
      <c r="I174" s="3" t="str">
        <f>IF($A174="","",IF(countif('Womens Lineup'!I$3:I1000,CONCATENATE("=",$A174))=0,"",I$2))</f>
        <v>100 Breast</v>
      </c>
      <c r="J174" s="3" t="str">
        <f>IF($A174="","",IF(countif('Womens Lineup'!J$3:J1000,CONCATENATE("=",$A174))=0,"",J$2))</f>
        <v>200 Breast</v>
      </c>
      <c r="K174" s="3" t="str">
        <f>IF($A174="","",IF(countif('Womens Lineup'!K$3:K1000,CONCATENATE("=",$A174))=0,"",K$2))</f>
        <v/>
      </c>
      <c r="L174" s="3" t="str">
        <f>IF($A174="","",IF(countif('Womens Lineup'!L$3:L1000,CONCATENATE("=",$A174))=0,"",L$2))</f>
        <v/>
      </c>
      <c r="M174" s="3" t="str">
        <f>IF($A174="","",IF(countif('Womens Lineup'!M$3:M1000,CONCATENATE("=",$A174))=0,"",M$2))</f>
        <v/>
      </c>
      <c r="N174" s="3" t="str">
        <f>IF($A174="","",IF(countif('Womens Lineup'!N$3:N1000,CONCATENATE("=",$A174))=0,"",N$2))</f>
        <v/>
      </c>
      <c r="O174" s="3" t="str">
        <f>IF($A174="","",IF(countif('Womens Lineup'!O$3:O1000,CONCATENATE("=",$A174))=0,"",O$2))</f>
        <v/>
      </c>
      <c r="P174" s="3" t="str">
        <f>IF($A174="","",IF(countif('Womens Lineup'!P$3:P1000,CONCATENATE("=",$A174))=0,"",P$2))</f>
        <v/>
      </c>
      <c r="Q174" s="3" t="str">
        <f>IF($A174="","",IF(countif('Womens Lineup'!Q$3:Q1000,CONCATENATE("=",$A174))=0,"",Q$2))</f>
        <v/>
      </c>
      <c r="R174" s="3" t="str">
        <f>IF($A174="","",IF(countif('Womens Lineup'!R$3:R1000,CONCATENATE("=",$A174))=0,"",R$2))</f>
        <v/>
      </c>
      <c r="S174" s="3" t="str">
        <f>IF($A174="","",IF(countif('Womens Lineup'!S$3:S1000,CONCATENATE("=",$A174))=0,"",S$2))</f>
        <v/>
      </c>
      <c r="W174" s="3" t="str">
        <f>IFERROR(__xludf.DUMMYFUNCTION("JOIN("","",FILTER(B174:S174,B174:S174&lt;&gt;""""))"),"100 Free,200 Free,1650 Free,200 Back,100 Breast,200 Breast")</f>
        <v>100 Free,200 Free,1650 Free,200 Back,100 Breast,200 Breast</v>
      </c>
    </row>
    <row r="175">
      <c r="A175" s="3" t="s">
        <v>489</v>
      </c>
      <c r="B175" s="3" t="str">
        <f>IF($A175="","",IF(countif('Womens Lineup'!B$3:B1000,CONCATENATE("=",$A175))=0,"",B$2))</f>
        <v/>
      </c>
      <c r="C175" s="3" t="str">
        <f>IF($A175="","",IF(countif('Womens Lineup'!C$3:C1000,CONCATENATE("=",$A175))=0,"",C$2))</f>
        <v>100 Free</v>
      </c>
      <c r="D175" s="3" t="str">
        <f>IF($A175="","",IF(countif('Womens Lineup'!D$3:D1000,CONCATENATE("=",$A175))=0,"",D$2))</f>
        <v/>
      </c>
      <c r="E175" s="3" t="str">
        <f>IF($A175="","",IF(countif('Womens Lineup'!E$3:E1000,CONCATENATE("=",$A175))=0,"",E$2))</f>
        <v>500 Free</v>
      </c>
      <c r="F175" s="3" t="str">
        <f>IF($A175="","",IF(countif('Womens Lineup'!F$3:F1000,CONCATENATE("=",$A175))=0,"",F$2))</f>
        <v/>
      </c>
      <c r="G175" s="3" t="str">
        <f>IF($A175="","",IF(countif('Womens Lineup'!G$3:G1000,CONCATENATE("=",$A175))=0,"",G$2))</f>
        <v/>
      </c>
      <c r="H175" s="3" t="str">
        <f>IF($A175="","",IF(countif('Womens Lineup'!H$3:H1000,CONCATENATE("=",$A175))=0,"",H$2))</f>
        <v/>
      </c>
      <c r="I175" s="3" t="str">
        <f>IF($A175="","",IF(countif('Womens Lineup'!I$3:I1000,CONCATENATE("=",$A175))=0,"",I$2))</f>
        <v/>
      </c>
      <c r="J175" s="3" t="str">
        <f>IF($A175="","",IF(countif('Womens Lineup'!J$3:J1000,CONCATENATE("=",$A175))=0,"",J$2))</f>
        <v/>
      </c>
      <c r="K175" s="3" t="str">
        <f>IF($A175="","",IF(countif('Womens Lineup'!K$3:K1000,CONCATENATE("=",$A175))=0,"",K$2))</f>
        <v>100 Fly</v>
      </c>
      <c r="L175" s="3" t="str">
        <f>IF($A175="","",IF(countif('Womens Lineup'!L$3:L1000,CONCATENATE("=",$A175))=0,"",L$2))</f>
        <v>200 Fly</v>
      </c>
      <c r="M175" s="3" t="str">
        <f>IF($A175="","",IF(countif('Womens Lineup'!M$3:M1000,CONCATENATE("=",$A175))=0,"",M$2))</f>
        <v>200 IM</v>
      </c>
      <c r="N175" s="3" t="str">
        <f>IF($A175="","",IF(countif('Womens Lineup'!N$3:N1000,CONCATENATE("=",$A175))=0,"",N$2))</f>
        <v>400 IM</v>
      </c>
      <c r="O175" s="3" t="str">
        <f>IF($A175="","",IF(countif('Womens Lineup'!O$3:O1000,CONCATENATE("=",$A175))=0,"",O$2))</f>
        <v/>
      </c>
      <c r="P175" s="3" t="str">
        <f>IF($A175="","",IF(countif('Womens Lineup'!P$3:P1000,CONCATENATE("=",$A175))=0,"",P$2))</f>
        <v/>
      </c>
      <c r="Q175" s="3" t="str">
        <f>IF($A175="","",IF(countif('Womens Lineup'!Q$3:Q1000,CONCATENATE("=",$A175))=0,"",Q$2))</f>
        <v/>
      </c>
      <c r="R175" s="3" t="str">
        <f>IF($A175="","",IF(countif('Womens Lineup'!R$3:R1000,CONCATENATE("=",$A175))=0,"",R$2))</f>
        <v/>
      </c>
      <c r="S175" s="3" t="str">
        <f>IF($A175="","",IF(countif('Womens Lineup'!S$3:S1000,CONCATENATE("=",$A175))=0,"",S$2))</f>
        <v/>
      </c>
      <c r="W175" s="3" t="str">
        <f>IFERROR(__xludf.DUMMYFUNCTION("JOIN("","",FILTER(B175:S175,B175:S175&lt;&gt;""""))"),"100 Free,500 Free,100 Fly,200 Fly,200 IM,400 IM")</f>
        <v>100 Free,500 Free,100 Fly,200 Fly,200 IM,400 IM</v>
      </c>
    </row>
    <row r="176">
      <c r="A176" s="3" t="s">
        <v>490</v>
      </c>
      <c r="B176" s="3" t="str">
        <f>IF($A176="","",IF(countif('Womens Lineup'!B$3:B1000,CONCATENATE("=",$A176))=0,"",B$2))</f>
        <v/>
      </c>
      <c r="C176" s="3" t="str">
        <f>IF($A176="","",IF(countif('Womens Lineup'!C$3:C1000,CONCATENATE("=",$A176))=0,"",C$2))</f>
        <v>100 Free</v>
      </c>
      <c r="D176" s="3" t="str">
        <f>IF($A176="","",IF(countif('Womens Lineup'!D$3:D1000,CONCATENATE("=",$A176))=0,"",D$2))</f>
        <v/>
      </c>
      <c r="E176" s="3" t="str">
        <f>IF($A176="","",IF(countif('Womens Lineup'!E$3:E1000,CONCATENATE("=",$A176))=0,"",E$2))</f>
        <v/>
      </c>
      <c r="F176" s="3" t="str">
        <f>IF($A176="","",IF(countif('Womens Lineup'!F$3:F1000,CONCATENATE("=",$A176))=0,"",F$2))</f>
        <v/>
      </c>
      <c r="G176" s="3" t="str">
        <f>IF($A176="","",IF(countif('Womens Lineup'!G$3:G1000,CONCATENATE("=",$A176))=0,"",G$2))</f>
        <v/>
      </c>
      <c r="H176" s="3" t="str">
        <f>IF($A176="","",IF(countif('Womens Lineup'!H$3:H1000,CONCATENATE("=",$A176))=0,"",H$2))</f>
        <v/>
      </c>
      <c r="I176" s="3" t="str">
        <f>IF($A176="","",IF(countif('Womens Lineup'!I$3:I1000,CONCATENATE("=",$A176))=0,"",I$2))</f>
        <v/>
      </c>
      <c r="J176" s="3" t="str">
        <f>IF($A176="","",IF(countif('Womens Lineup'!J$3:J1000,CONCATENATE("=",$A176))=0,"",J$2))</f>
        <v/>
      </c>
      <c r="K176" s="3" t="str">
        <f>IF($A176="","",IF(countif('Womens Lineup'!K$3:K1000,CONCATENATE("=",$A176))=0,"",K$2))</f>
        <v/>
      </c>
      <c r="L176" s="3" t="str">
        <f>IF($A176="","",IF(countif('Womens Lineup'!L$3:L1000,CONCATENATE("=",$A176))=0,"",L$2))</f>
        <v/>
      </c>
      <c r="M176" s="3" t="str">
        <f>IF($A176="","",IF(countif('Womens Lineup'!M$3:M1000,CONCATENATE("=",$A176))=0,"",M$2))</f>
        <v/>
      </c>
      <c r="N176" s="3" t="str">
        <f>IF($A176="","",IF(countif('Womens Lineup'!N$3:N1000,CONCATENATE("=",$A176))=0,"",N$2))</f>
        <v/>
      </c>
      <c r="O176" s="3" t="str">
        <f>IF($A176="","",IF(countif('Womens Lineup'!O$3:O1000,CONCATENATE("=",$A176))=0,"",O$2))</f>
        <v/>
      </c>
      <c r="P176" s="3" t="str">
        <f>IF($A176="","",IF(countif('Womens Lineup'!P$3:P1000,CONCATENATE("=",$A176))=0,"",P$2))</f>
        <v/>
      </c>
      <c r="Q176" s="3" t="str">
        <f>IF($A176="","",IF(countif('Womens Lineup'!Q$3:Q1000,CONCATENATE("=",$A176))=0,"",Q$2))</f>
        <v/>
      </c>
      <c r="R176" s="3" t="str">
        <f>IF($A176="","",IF(countif('Womens Lineup'!R$3:R1000,CONCATENATE("=",$A176))=0,"",R$2))</f>
        <v/>
      </c>
      <c r="S176" s="3" t="str">
        <f>IF($A176="","",IF(countif('Womens Lineup'!S$3:S1000,CONCATENATE("=",$A176))=0,"",S$2))</f>
        <v/>
      </c>
      <c r="W176" s="3" t="str">
        <f>IFERROR(__xludf.DUMMYFUNCTION("JOIN("","",FILTER(B176:S176,B176:S176&lt;&gt;""""))"),"100 Free")</f>
        <v>100 Free</v>
      </c>
    </row>
    <row r="177">
      <c r="A177" s="3" t="s">
        <v>491</v>
      </c>
      <c r="B177" s="3" t="str">
        <f>IF($A177="","",IF(countif('Womens Lineup'!B$3:B1000,CONCATENATE("=",$A177))=0,"",B$2))</f>
        <v/>
      </c>
      <c r="C177" s="3" t="str">
        <f>IF($A177="","",IF(countif('Womens Lineup'!C$3:C1000,CONCATENATE("=",$A177))=0,"",C$2))</f>
        <v>100 Free</v>
      </c>
      <c r="D177" s="3" t="str">
        <f>IF($A177="","",IF(countif('Womens Lineup'!D$3:D1000,CONCATENATE("=",$A177))=0,"",D$2))</f>
        <v/>
      </c>
      <c r="E177" s="3" t="str">
        <f>IF($A177="","",IF(countif('Womens Lineup'!E$3:E1000,CONCATENATE("=",$A177))=0,"",E$2))</f>
        <v/>
      </c>
      <c r="F177" s="3" t="str">
        <f>IF($A177="","",IF(countif('Womens Lineup'!F$3:F1000,CONCATENATE("=",$A177))=0,"",F$2))</f>
        <v/>
      </c>
      <c r="G177" s="3" t="str">
        <f>IF($A177="","",IF(countif('Womens Lineup'!G$3:G1000,CONCATENATE("=",$A177))=0,"",G$2))</f>
        <v/>
      </c>
      <c r="H177" s="3" t="str">
        <f>IF($A177="","",IF(countif('Womens Lineup'!H$3:H1000,CONCATENATE("=",$A177))=0,"",H$2))</f>
        <v/>
      </c>
      <c r="I177" s="3" t="str">
        <f>IF($A177="","",IF(countif('Womens Lineup'!I$3:I1000,CONCATENATE("=",$A177))=0,"",I$2))</f>
        <v/>
      </c>
      <c r="J177" s="3" t="str">
        <f>IF($A177="","",IF(countif('Womens Lineup'!J$3:J1000,CONCATENATE("=",$A177))=0,"",J$2))</f>
        <v/>
      </c>
      <c r="K177" s="3" t="str">
        <f>IF($A177="","",IF(countif('Womens Lineup'!K$3:K1000,CONCATENATE("=",$A177))=0,"",K$2))</f>
        <v/>
      </c>
      <c r="L177" s="3" t="str">
        <f>IF($A177="","",IF(countif('Womens Lineup'!L$3:L1000,CONCATENATE("=",$A177))=0,"",L$2))</f>
        <v/>
      </c>
      <c r="M177" s="3" t="str">
        <f>IF($A177="","",IF(countif('Womens Lineup'!M$3:M1000,CONCATENATE("=",$A177))=0,"",M$2))</f>
        <v/>
      </c>
      <c r="N177" s="3" t="str">
        <f>IF($A177="","",IF(countif('Womens Lineup'!N$3:N1000,CONCATENATE("=",$A177))=0,"",N$2))</f>
        <v/>
      </c>
      <c r="O177" s="3" t="str">
        <f>IF($A177="","",IF(countif('Womens Lineup'!O$3:O1000,CONCATENATE("=",$A177))=0,"",O$2))</f>
        <v/>
      </c>
      <c r="P177" s="3" t="str">
        <f>IF($A177="","",IF(countif('Womens Lineup'!P$3:P1000,CONCATENATE("=",$A177))=0,"",P$2))</f>
        <v/>
      </c>
      <c r="Q177" s="3" t="str">
        <f>IF($A177="","",IF(countif('Womens Lineup'!Q$3:Q1000,CONCATENATE("=",$A177))=0,"",Q$2))</f>
        <v/>
      </c>
      <c r="R177" s="3" t="str">
        <f>IF($A177="","",IF(countif('Womens Lineup'!R$3:R1000,CONCATENATE("=",$A177))=0,"",R$2))</f>
        <v/>
      </c>
      <c r="S177" s="3" t="str">
        <f>IF($A177="","",IF(countif('Womens Lineup'!S$3:S1000,CONCATENATE("=",$A177))=0,"",S$2))</f>
        <v/>
      </c>
      <c r="W177" s="3" t="str">
        <f>IFERROR(__xludf.DUMMYFUNCTION("JOIN("","",FILTER(B177:S177,B177:S177&lt;&gt;""""))"),"100 Free")</f>
        <v>100 Free</v>
      </c>
    </row>
    <row r="178">
      <c r="A178" s="3" t="s">
        <v>492</v>
      </c>
      <c r="B178" s="3" t="str">
        <f>IF($A178="","",IF(countif('Womens Lineup'!B$3:B1000,CONCATENATE("=",$A178))=0,"",B$2))</f>
        <v/>
      </c>
      <c r="C178" s="3" t="str">
        <f>IF($A178="","",IF(countif('Womens Lineup'!C$3:C1000,CONCATENATE("=",$A178))=0,"",C$2))</f>
        <v>100 Free</v>
      </c>
      <c r="D178" s="3" t="str">
        <f>IF($A178="","",IF(countif('Womens Lineup'!D$3:D1000,CONCATENATE("=",$A178))=0,"",D$2))</f>
        <v>200 Free</v>
      </c>
      <c r="E178" s="3" t="str">
        <f>IF($A178="","",IF(countif('Womens Lineup'!E$3:E1000,CONCATENATE("=",$A178))=0,"",E$2))</f>
        <v/>
      </c>
      <c r="F178" s="3" t="str">
        <f>IF($A178="","",IF(countif('Womens Lineup'!F$3:F1000,CONCATENATE("=",$A178))=0,"",F$2))</f>
        <v/>
      </c>
      <c r="G178" s="3" t="str">
        <f>IF($A178="","",IF(countif('Womens Lineup'!G$3:G1000,CONCATENATE("=",$A178))=0,"",G$2))</f>
        <v/>
      </c>
      <c r="H178" s="3" t="str">
        <f>IF($A178="","",IF(countif('Womens Lineup'!H$3:H1000,CONCATENATE("=",$A178))=0,"",H$2))</f>
        <v/>
      </c>
      <c r="I178" s="3" t="str">
        <f>IF($A178="","",IF(countif('Womens Lineup'!I$3:I1000,CONCATENATE("=",$A178))=0,"",I$2))</f>
        <v/>
      </c>
      <c r="J178" s="3" t="str">
        <f>IF($A178="","",IF(countif('Womens Lineup'!J$3:J1000,CONCATENATE("=",$A178))=0,"",J$2))</f>
        <v>200 Breast</v>
      </c>
      <c r="K178" s="3" t="str">
        <f>IF($A178="","",IF(countif('Womens Lineup'!K$3:K1000,CONCATENATE("=",$A178))=0,"",K$2))</f>
        <v/>
      </c>
      <c r="L178" s="3" t="str">
        <f>IF($A178="","",IF(countif('Womens Lineup'!L$3:L1000,CONCATENATE("=",$A178))=0,"",L$2))</f>
        <v/>
      </c>
      <c r="M178" s="3" t="str">
        <f>IF($A178="","",IF(countif('Womens Lineup'!M$3:M1000,CONCATENATE("=",$A178))=0,"",M$2))</f>
        <v>200 IM</v>
      </c>
      <c r="N178" s="3" t="str">
        <f>IF($A178="","",IF(countif('Womens Lineup'!N$3:N1000,CONCATENATE("=",$A178))=0,"",N$2))</f>
        <v/>
      </c>
      <c r="O178" s="3" t="str">
        <f>IF($A178="","",IF(countif('Womens Lineup'!O$3:O1000,CONCATENATE("=",$A178))=0,"",O$2))</f>
        <v/>
      </c>
      <c r="P178" s="3" t="str">
        <f>IF($A178="","",IF(countif('Womens Lineup'!P$3:P1000,CONCATENATE("=",$A178))=0,"",P$2))</f>
        <v/>
      </c>
      <c r="Q178" s="3" t="str">
        <f>IF($A178="","",IF(countif('Womens Lineup'!Q$3:Q1000,CONCATENATE("=",$A178))=0,"",Q$2))</f>
        <v/>
      </c>
      <c r="R178" s="3" t="str">
        <f>IF($A178="","",IF(countif('Womens Lineup'!R$3:R1000,CONCATENATE("=",$A178))=0,"",R$2))</f>
        <v/>
      </c>
      <c r="S178" s="3" t="str">
        <f>IF($A178="","",IF(countif('Womens Lineup'!S$3:S1000,CONCATENATE("=",$A178))=0,"",S$2))</f>
        <v/>
      </c>
      <c r="W178" s="3" t="str">
        <f>IFERROR(__xludf.DUMMYFUNCTION("JOIN("","",FILTER(B178:S178,B178:S178&lt;&gt;""""))"),"100 Free,200 Free,200 Breast,200 IM")</f>
        <v>100 Free,200 Free,200 Breast,200 IM</v>
      </c>
    </row>
    <row r="179">
      <c r="A179" s="3" t="s">
        <v>493</v>
      </c>
      <c r="B179" s="3" t="str">
        <f>IF($A179="","",IF(countif('Womens Lineup'!B$3:B1000,CONCATENATE("=",$A179))=0,"",B$2))</f>
        <v/>
      </c>
      <c r="C179" s="3" t="str">
        <f>IF($A179="","",IF(countif('Womens Lineup'!C$3:C1000,CONCATENATE("=",$A179))=0,"",C$2))</f>
        <v>100 Free</v>
      </c>
      <c r="D179" s="3" t="str">
        <f>IF($A179="","",IF(countif('Womens Lineup'!D$3:D1000,CONCATENATE("=",$A179))=0,"",D$2))</f>
        <v>200 Free</v>
      </c>
      <c r="E179" s="3" t="str">
        <f>IF($A179="","",IF(countif('Womens Lineup'!E$3:E1000,CONCATENATE("=",$A179))=0,"",E$2))</f>
        <v/>
      </c>
      <c r="F179" s="3" t="str">
        <f>IF($A179="","",IF(countif('Womens Lineup'!F$3:F1000,CONCATENATE("=",$A179))=0,"",F$2))</f>
        <v/>
      </c>
      <c r="G179" s="3" t="str">
        <f>IF($A179="","",IF(countif('Womens Lineup'!G$3:G1000,CONCATENATE("=",$A179))=0,"",G$2))</f>
        <v/>
      </c>
      <c r="H179" s="3" t="str">
        <f>IF($A179="","",IF(countif('Womens Lineup'!H$3:H1000,CONCATENATE("=",$A179))=0,"",H$2))</f>
        <v/>
      </c>
      <c r="I179" s="3" t="str">
        <f>IF($A179="","",IF(countif('Womens Lineup'!I$3:I1000,CONCATENATE("=",$A179))=0,"",I$2))</f>
        <v/>
      </c>
      <c r="J179" s="3" t="str">
        <f>IF($A179="","",IF(countif('Womens Lineup'!J$3:J1000,CONCATENATE("=",$A179))=0,"",J$2))</f>
        <v/>
      </c>
      <c r="K179" s="3" t="str">
        <f>IF($A179="","",IF(countif('Womens Lineup'!K$3:K1000,CONCATENATE("=",$A179))=0,"",K$2))</f>
        <v/>
      </c>
      <c r="L179" s="3" t="str">
        <f>IF($A179="","",IF(countif('Womens Lineup'!L$3:L1000,CONCATENATE("=",$A179))=0,"",L$2))</f>
        <v/>
      </c>
      <c r="M179" s="3" t="str">
        <f>IF($A179="","",IF(countif('Womens Lineup'!M$3:M1000,CONCATENATE("=",$A179))=0,"",M$2))</f>
        <v/>
      </c>
      <c r="N179" s="3" t="str">
        <f>IF($A179="","",IF(countif('Womens Lineup'!N$3:N1000,CONCATENATE("=",$A179))=0,"",N$2))</f>
        <v/>
      </c>
      <c r="O179" s="3" t="str">
        <f>IF($A179="","",IF(countif('Womens Lineup'!O$3:O1000,CONCATENATE("=",$A179))=0,"",O$2))</f>
        <v/>
      </c>
      <c r="P179" s="3" t="str">
        <f>IF($A179="","",IF(countif('Womens Lineup'!P$3:P1000,CONCATENATE("=",$A179))=0,"",P$2))</f>
        <v/>
      </c>
      <c r="Q179" s="3" t="str">
        <f>IF($A179="","",IF(countif('Womens Lineup'!Q$3:Q1000,CONCATENATE("=",$A179))=0,"",Q$2))</f>
        <v/>
      </c>
      <c r="R179" s="3" t="str">
        <f>IF($A179="","",IF(countif('Womens Lineup'!R$3:R1000,CONCATENATE("=",$A179))=0,"",R$2))</f>
        <v/>
      </c>
      <c r="S179" s="3" t="str">
        <f>IF($A179="","",IF(countif('Womens Lineup'!S$3:S1000,CONCATENATE("=",$A179))=0,"",S$2))</f>
        <v/>
      </c>
      <c r="W179" s="3" t="str">
        <f>IFERROR(__xludf.DUMMYFUNCTION("JOIN("","",FILTER(B179:S179,B179:S179&lt;&gt;""""))"),"100 Free,200 Free")</f>
        <v>100 Free,200 Free</v>
      </c>
    </row>
    <row r="180">
      <c r="A180" s="3" t="s">
        <v>494</v>
      </c>
      <c r="B180" s="3" t="str">
        <f>IF($A180="","",IF(countif('Womens Lineup'!B$3:B1000,CONCATENATE("=",$A180))=0,"",B$2))</f>
        <v/>
      </c>
      <c r="C180" s="3" t="str">
        <f>IF($A180="","",IF(countif('Womens Lineup'!C$3:C1000,CONCATENATE("=",$A180))=0,"",C$2))</f>
        <v>100 Free</v>
      </c>
      <c r="D180" s="3" t="str">
        <f>IF($A180="","",IF(countif('Womens Lineup'!D$3:D1000,CONCATENATE("=",$A180))=0,"",D$2))</f>
        <v>200 Free</v>
      </c>
      <c r="E180" s="3" t="str">
        <f>IF($A180="","",IF(countif('Womens Lineup'!E$3:E1000,CONCATENATE("=",$A180))=0,"",E$2))</f>
        <v/>
      </c>
      <c r="F180" s="3" t="str">
        <f>IF($A180="","",IF(countif('Womens Lineup'!F$3:F1000,CONCATENATE("=",$A180))=0,"",F$2))</f>
        <v/>
      </c>
      <c r="G180" s="3" t="str">
        <f>IF($A180="","",IF(countif('Womens Lineup'!G$3:G1000,CONCATENATE("=",$A180))=0,"",G$2))</f>
        <v/>
      </c>
      <c r="H180" s="3" t="str">
        <f>IF($A180="","",IF(countif('Womens Lineup'!H$3:H1000,CONCATENATE("=",$A180))=0,"",H$2))</f>
        <v/>
      </c>
      <c r="I180" s="3" t="str">
        <f>IF($A180="","",IF(countif('Womens Lineup'!I$3:I1000,CONCATENATE("=",$A180))=0,"",I$2))</f>
        <v/>
      </c>
      <c r="J180" s="3" t="str">
        <f>IF($A180="","",IF(countif('Womens Lineup'!J$3:J1000,CONCATENATE("=",$A180))=0,"",J$2))</f>
        <v/>
      </c>
      <c r="K180" s="3" t="str">
        <f>IF($A180="","",IF(countif('Womens Lineup'!K$3:K1000,CONCATENATE("=",$A180))=0,"",K$2))</f>
        <v>100 Fly</v>
      </c>
      <c r="L180" s="3" t="str">
        <f>IF($A180="","",IF(countif('Womens Lineup'!L$3:L1000,CONCATENATE("=",$A180))=0,"",L$2))</f>
        <v>200 Fly</v>
      </c>
      <c r="M180" s="3" t="str">
        <f>IF($A180="","",IF(countif('Womens Lineup'!M$3:M1000,CONCATENATE("=",$A180))=0,"",M$2))</f>
        <v/>
      </c>
      <c r="N180" s="3" t="str">
        <f>IF($A180="","",IF(countif('Womens Lineup'!N$3:N1000,CONCATENATE("=",$A180))=0,"",N$2))</f>
        <v/>
      </c>
      <c r="O180" s="3" t="str">
        <f>IF($A180="","",IF(countif('Womens Lineup'!O$3:O1000,CONCATENATE("=",$A180))=0,"",O$2))</f>
        <v/>
      </c>
      <c r="P180" s="3" t="str">
        <f>IF($A180="","",IF(countif('Womens Lineup'!P$3:P1000,CONCATENATE("=",$A180))=0,"",P$2))</f>
        <v/>
      </c>
      <c r="Q180" s="3" t="str">
        <f>IF($A180="","",IF(countif('Womens Lineup'!Q$3:Q1000,CONCATENATE("=",$A180))=0,"",Q$2))</f>
        <v/>
      </c>
      <c r="R180" s="3" t="str">
        <f>IF($A180="","",IF(countif('Womens Lineup'!R$3:R1000,CONCATENATE("=",$A180))=0,"",R$2))</f>
        <v/>
      </c>
      <c r="S180" s="3" t="str">
        <f>IF($A180="","",IF(countif('Womens Lineup'!S$3:S1000,CONCATENATE("=",$A180))=0,"",S$2))</f>
        <v/>
      </c>
      <c r="W180" s="3" t="str">
        <f>IFERROR(__xludf.DUMMYFUNCTION("JOIN("","",FILTER(B180:S180,B180:S180&lt;&gt;""""))"),"100 Free,200 Free,100 Fly,200 Fly")</f>
        <v>100 Free,200 Free,100 Fly,200 Fly</v>
      </c>
    </row>
    <row r="181">
      <c r="A181" s="3" t="s">
        <v>495</v>
      </c>
      <c r="B181" s="3" t="str">
        <f>IF($A181="","",IF(countif('Womens Lineup'!B$3:B1000,CONCATENATE("=",$A181))=0,"",B$2))</f>
        <v/>
      </c>
      <c r="C181" s="3" t="str">
        <f>IF($A181="","",IF(countif('Womens Lineup'!C$3:C1000,CONCATENATE("=",$A181))=0,"",C$2))</f>
        <v>100 Free</v>
      </c>
      <c r="D181" s="3" t="str">
        <f>IF($A181="","",IF(countif('Womens Lineup'!D$3:D1000,CONCATENATE("=",$A181))=0,"",D$2))</f>
        <v>200 Free</v>
      </c>
      <c r="E181" s="3" t="str">
        <f>IF($A181="","",IF(countif('Womens Lineup'!E$3:E1000,CONCATENATE("=",$A181))=0,"",E$2))</f>
        <v/>
      </c>
      <c r="F181" s="3" t="str">
        <f>IF($A181="","",IF(countif('Womens Lineup'!F$3:F1000,CONCATENATE("=",$A181))=0,"",F$2))</f>
        <v/>
      </c>
      <c r="G181" s="3" t="str">
        <f>IF($A181="","",IF(countif('Womens Lineup'!G$3:G1000,CONCATENATE("=",$A181))=0,"",G$2))</f>
        <v>100 Back</v>
      </c>
      <c r="H181" s="3" t="str">
        <f>IF($A181="","",IF(countif('Womens Lineup'!H$3:H1000,CONCATENATE("=",$A181))=0,"",H$2))</f>
        <v/>
      </c>
      <c r="I181" s="3" t="str">
        <f>IF($A181="","",IF(countif('Womens Lineup'!I$3:I1000,CONCATENATE("=",$A181))=0,"",I$2))</f>
        <v>100 Breast</v>
      </c>
      <c r="J181" s="3" t="str">
        <f>IF($A181="","",IF(countif('Womens Lineup'!J$3:J1000,CONCATENATE("=",$A181))=0,"",J$2))</f>
        <v>200 Breast</v>
      </c>
      <c r="K181" s="3" t="str">
        <f>IF($A181="","",IF(countif('Womens Lineup'!K$3:K1000,CONCATENATE("=",$A181))=0,"",K$2))</f>
        <v/>
      </c>
      <c r="L181" s="3" t="str">
        <f>IF($A181="","",IF(countif('Womens Lineup'!L$3:L1000,CONCATENATE("=",$A181))=0,"",L$2))</f>
        <v/>
      </c>
      <c r="M181" s="3" t="str">
        <f>IF($A181="","",IF(countif('Womens Lineup'!M$3:M1000,CONCATENATE("=",$A181))=0,"",M$2))</f>
        <v>200 IM</v>
      </c>
      <c r="N181" s="3" t="str">
        <f>IF($A181="","",IF(countif('Womens Lineup'!N$3:N1000,CONCATENATE("=",$A181))=0,"",N$2))</f>
        <v/>
      </c>
      <c r="O181" s="3" t="str">
        <f>IF($A181="","",IF(countif('Womens Lineup'!O$3:O1000,CONCATENATE("=",$A181))=0,"",O$2))</f>
        <v/>
      </c>
      <c r="P181" s="3" t="str">
        <f>IF($A181="","",IF(countif('Womens Lineup'!P$3:P1000,CONCATENATE("=",$A181))=0,"",P$2))</f>
        <v/>
      </c>
      <c r="Q181" s="3" t="str">
        <f>IF($A181="","",IF(countif('Womens Lineup'!Q$3:Q1000,CONCATENATE("=",$A181))=0,"",Q$2))</f>
        <v/>
      </c>
      <c r="R181" s="3" t="str">
        <f>IF($A181="","",IF(countif('Womens Lineup'!R$3:R1000,CONCATENATE("=",$A181))=0,"",R$2))</f>
        <v/>
      </c>
      <c r="S181" s="3" t="str">
        <f>IF($A181="","",IF(countif('Womens Lineup'!S$3:S1000,CONCATENATE("=",$A181))=0,"",S$2))</f>
        <v/>
      </c>
      <c r="W181" s="3" t="str">
        <f>IFERROR(__xludf.DUMMYFUNCTION("JOIN("","",FILTER(B181:S181,B181:S181&lt;&gt;""""))"),"100 Free,200 Free,100 Back,100 Breast,200 Breast,200 IM")</f>
        <v>100 Free,200 Free,100 Back,100 Breast,200 Breast,200 IM</v>
      </c>
    </row>
    <row r="182">
      <c r="A182" s="3" t="s">
        <v>496</v>
      </c>
      <c r="B182" s="3" t="str">
        <f>IF($A182="","",IF(countif('Womens Lineup'!B$3:B1000,CONCATENATE("=",$A182))=0,"",B$2))</f>
        <v/>
      </c>
      <c r="C182" s="3" t="str">
        <f>IF($A182="","",IF(countif('Womens Lineup'!C$3:C1000,CONCATENATE("=",$A182))=0,"",C$2))</f>
        <v>100 Free</v>
      </c>
      <c r="D182" s="3" t="str">
        <f>IF($A182="","",IF(countif('Womens Lineup'!D$3:D1000,CONCATENATE("=",$A182))=0,"",D$2))</f>
        <v>200 Free</v>
      </c>
      <c r="E182" s="3" t="str">
        <f>IF($A182="","",IF(countif('Womens Lineup'!E$3:E1000,CONCATENATE("=",$A182))=0,"",E$2))</f>
        <v/>
      </c>
      <c r="F182" s="3" t="str">
        <f>IF($A182="","",IF(countif('Womens Lineup'!F$3:F1000,CONCATENATE("=",$A182))=0,"",F$2))</f>
        <v/>
      </c>
      <c r="G182" s="3" t="str">
        <f>IF($A182="","",IF(countif('Womens Lineup'!G$3:G1000,CONCATENATE("=",$A182))=0,"",G$2))</f>
        <v>100 Back</v>
      </c>
      <c r="H182" s="3" t="str">
        <f>IF($A182="","",IF(countif('Womens Lineup'!H$3:H1000,CONCATENATE("=",$A182))=0,"",H$2))</f>
        <v>200 Back</v>
      </c>
      <c r="I182" s="3" t="str">
        <f>IF($A182="","",IF(countif('Womens Lineup'!I$3:I1000,CONCATENATE("=",$A182))=0,"",I$2))</f>
        <v/>
      </c>
      <c r="J182" s="3" t="str">
        <f>IF($A182="","",IF(countif('Womens Lineup'!J$3:J1000,CONCATENATE("=",$A182))=0,"",J$2))</f>
        <v/>
      </c>
      <c r="K182" s="3" t="str">
        <f>IF($A182="","",IF(countif('Womens Lineup'!K$3:K1000,CONCATENATE("=",$A182))=0,"",K$2))</f>
        <v>100 Fly</v>
      </c>
      <c r="L182" s="3" t="str">
        <f>IF($A182="","",IF(countif('Womens Lineup'!L$3:L1000,CONCATENATE("=",$A182))=0,"",L$2))</f>
        <v>200 Fly</v>
      </c>
      <c r="M182" s="3" t="str">
        <f>IF($A182="","",IF(countif('Womens Lineup'!M$3:M1000,CONCATENATE("=",$A182))=0,"",M$2))</f>
        <v/>
      </c>
      <c r="N182" s="3" t="str">
        <f>IF($A182="","",IF(countif('Womens Lineup'!N$3:N1000,CONCATENATE("=",$A182))=0,"",N$2))</f>
        <v/>
      </c>
      <c r="O182" s="3" t="str">
        <f>IF($A182="","",IF(countif('Womens Lineup'!O$3:O1000,CONCATENATE("=",$A182))=0,"",O$2))</f>
        <v/>
      </c>
      <c r="P182" s="3" t="str">
        <f>IF($A182="","",IF(countif('Womens Lineup'!P$3:P1000,CONCATENATE("=",$A182))=0,"",P$2))</f>
        <v/>
      </c>
      <c r="Q182" s="3" t="str">
        <f>IF($A182="","",IF(countif('Womens Lineup'!Q$3:Q1000,CONCATENATE("=",$A182))=0,"",Q$2))</f>
        <v/>
      </c>
      <c r="R182" s="3" t="str">
        <f>IF($A182="","",IF(countif('Womens Lineup'!R$3:R1000,CONCATENATE("=",$A182))=0,"",R$2))</f>
        <v/>
      </c>
      <c r="S182" s="3" t="str">
        <f>IF($A182="","",IF(countif('Womens Lineup'!S$3:S1000,CONCATENATE("=",$A182))=0,"",S$2))</f>
        <v/>
      </c>
      <c r="W182" s="3" t="str">
        <f>IFERROR(__xludf.DUMMYFUNCTION("JOIN("","",FILTER(B182:S182,B182:S182&lt;&gt;""""))"),"100 Free,200 Free,100 Back,200 Back,100 Fly,200 Fly")</f>
        <v>100 Free,200 Free,100 Back,200 Back,100 Fly,200 Fly</v>
      </c>
    </row>
    <row r="183">
      <c r="A183" s="3" t="s">
        <v>497</v>
      </c>
      <c r="B183" s="3" t="str">
        <f>IF($A183="","",IF(countif('Womens Lineup'!B$3:B1000,CONCATENATE("=",$A183))=0,"",B$2))</f>
        <v/>
      </c>
      <c r="C183" s="3" t="str">
        <f>IF($A183="","",IF(countif('Womens Lineup'!C$3:C1000,CONCATENATE("=",$A183))=0,"",C$2))</f>
        <v>100 Free</v>
      </c>
      <c r="D183" s="3" t="str">
        <f>IF($A183="","",IF(countif('Womens Lineup'!D$3:D1000,CONCATENATE("=",$A183))=0,"",D$2))</f>
        <v/>
      </c>
      <c r="E183" s="3" t="str">
        <f>IF($A183="","",IF(countif('Womens Lineup'!E$3:E1000,CONCATENATE("=",$A183))=0,"",E$2))</f>
        <v/>
      </c>
      <c r="F183" s="3" t="str">
        <f>IF($A183="","",IF(countif('Womens Lineup'!F$3:F1000,CONCATENATE("=",$A183))=0,"",F$2))</f>
        <v/>
      </c>
      <c r="G183" s="3" t="str">
        <f>IF($A183="","",IF(countif('Womens Lineup'!G$3:G1000,CONCATENATE("=",$A183))=0,"",G$2))</f>
        <v/>
      </c>
      <c r="H183" s="3" t="str">
        <f>IF($A183="","",IF(countif('Womens Lineup'!H$3:H1000,CONCATENATE("=",$A183))=0,"",H$2))</f>
        <v/>
      </c>
      <c r="I183" s="3" t="str">
        <f>IF($A183="","",IF(countif('Womens Lineup'!I$3:I1000,CONCATENATE("=",$A183))=0,"",I$2))</f>
        <v/>
      </c>
      <c r="J183" s="3" t="str">
        <f>IF($A183="","",IF(countif('Womens Lineup'!J$3:J1000,CONCATENATE("=",$A183))=0,"",J$2))</f>
        <v/>
      </c>
      <c r="K183" s="3" t="str">
        <f>IF($A183="","",IF(countif('Womens Lineup'!K$3:K1000,CONCATENATE("=",$A183))=0,"",K$2))</f>
        <v>100 Fly</v>
      </c>
      <c r="L183" s="3" t="str">
        <f>IF($A183="","",IF(countif('Womens Lineup'!L$3:L1000,CONCATENATE("=",$A183))=0,"",L$2))</f>
        <v/>
      </c>
      <c r="M183" s="3" t="str">
        <f>IF($A183="","",IF(countif('Womens Lineup'!M$3:M1000,CONCATENATE("=",$A183))=0,"",M$2))</f>
        <v/>
      </c>
      <c r="N183" s="3" t="str">
        <f>IF($A183="","",IF(countif('Womens Lineup'!N$3:N1000,CONCATENATE("=",$A183))=0,"",N$2))</f>
        <v/>
      </c>
      <c r="O183" s="3" t="str">
        <f>IF($A183="","",IF(countif('Womens Lineup'!O$3:O1000,CONCATENATE("=",$A183))=0,"",O$2))</f>
        <v/>
      </c>
      <c r="P183" s="3" t="str">
        <f>IF($A183="","",IF(countif('Womens Lineup'!P$3:P1000,CONCATENATE("=",$A183))=0,"",P$2))</f>
        <v/>
      </c>
      <c r="Q183" s="3" t="str">
        <f>IF($A183="","",IF(countif('Womens Lineup'!Q$3:Q1000,CONCATENATE("=",$A183))=0,"",Q$2))</f>
        <v/>
      </c>
      <c r="R183" s="3" t="str">
        <f>IF($A183="","",IF(countif('Womens Lineup'!R$3:R1000,CONCATENATE("=",$A183))=0,"",R$2))</f>
        <v/>
      </c>
      <c r="S183" s="3" t="str">
        <f>IF($A183="","",IF(countif('Womens Lineup'!S$3:S1000,CONCATENATE("=",$A183))=0,"",S$2))</f>
        <v/>
      </c>
      <c r="W183" s="3" t="str">
        <f>IFERROR(__xludf.DUMMYFUNCTION("JOIN("","",FILTER(B183:S183,B183:S183&lt;&gt;""""))"),"100 Free,100 Fly")</f>
        <v>100 Free,100 Fly</v>
      </c>
    </row>
    <row r="184">
      <c r="A184" s="3" t="s">
        <v>498</v>
      </c>
      <c r="B184" s="3" t="str">
        <f>IF($A184="","",IF(countif('Womens Lineup'!B$3:B1000,CONCATENATE("=",$A184))=0,"",B$2))</f>
        <v/>
      </c>
      <c r="C184" s="3" t="str">
        <f>IF($A184="","",IF(countif('Womens Lineup'!C$3:C1000,CONCATENATE("=",$A184))=0,"",C$2))</f>
        <v>100 Free</v>
      </c>
      <c r="D184" s="3" t="str">
        <f>IF($A184="","",IF(countif('Womens Lineup'!D$3:D1000,CONCATENATE("=",$A184))=0,"",D$2))</f>
        <v/>
      </c>
      <c r="E184" s="3" t="str">
        <f>IF($A184="","",IF(countif('Womens Lineup'!E$3:E1000,CONCATENATE("=",$A184))=0,"",E$2))</f>
        <v/>
      </c>
      <c r="F184" s="3" t="str">
        <f>IF($A184="","",IF(countif('Womens Lineup'!F$3:F1000,CONCATENATE("=",$A184))=0,"",F$2))</f>
        <v/>
      </c>
      <c r="G184" s="3" t="str">
        <f>IF($A184="","",IF(countif('Womens Lineup'!G$3:G1000,CONCATENATE("=",$A184))=0,"",G$2))</f>
        <v/>
      </c>
      <c r="H184" s="3" t="str">
        <f>IF($A184="","",IF(countif('Womens Lineup'!H$3:H1000,CONCATENATE("=",$A184))=0,"",H$2))</f>
        <v/>
      </c>
      <c r="I184" s="3" t="str">
        <f>IF($A184="","",IF(countif('Womens Lineup'!I$3:I1000,CONCATENATE("=",$A184))=0,"",I$2))</f>
        <v/>
      </c>
      <c r="J184" s="3" t="str">
        <f>IF($A184="","",IF(countif('Womens Lineup'!J$3:J1000,CONCATENATE("=",$A184))=0,"",J$2))</f>
        <v>200 Breast</v>
      </c>
      <c r="K184" s="3" t="str">
        <f>IF($A184="","",IF(countif('Womens Lineup'!K$3:K1000,CONCATENATE("=",$A184))=0,"",K$2))</f>
        <v/>
      </c>
      <c r="L184" s="3" t="str">
        <f>IF($A184="","",IF(countif('Womens Lineup'!L$3:L1000,CONCATENATE("=",$A184))=0,"",L$2))</f>
        <v/>
      </c>
      <c r="M184" s="3" t="str">
        <f>IF($A184="","",IF(countif('Womens Lineup'!M$3:M1000,CONCATENATE("=",$A184))=0,"",M$2))</f>
        <v/>
      </c>
      <c r="N184" s="3" t="str">
        <f>IF($A184="","",IF(countif('Womens Lineup'!N$3:N1000,CONCATENATE("=",$A184))=0,"",N$2))</f>
        <v/>
      </c>
      <c r="O184" s="3" t="str">
        <f>IF($A184="","",IF(countif('Womens Lineup'!O$3:O1000,CONCATENATE("=",$A184))=0,"",O$2))</f>
        <v/>
      </c>
      <c r="P184" s="3" t="str">
        <f>IF($A184="","",IF(countif('Womens Lineup'!P$3:P1000,CONCATENATE("=",$A184))=0,"",P$2))</f>
        <v/>
      </c>
      <c r="Q184" s="3" t="str">
        <f>IF($A184="","",IF(countif('Womens Lineup'!Q$3:Q1000,CONCATENATE("=",$A184))=0,"",Q$2))</f>
        <v/>
      </c>
      <c r="R184" s="3" t="str">
        <f>IF($A184="","",IF(countif('Womens Lineup'!R$3:R1000,CONCATENATE("=",$A184))=0,"",R$2))</f>
        <v/>
      </c>
      <c r="S184" s="3" t="str">
        <f>IF($A184="","",IF(countif('Womens Lineup'!S$3:S1000,CONCATENATE("=",$A184))=0,"",S$2))</f>
        <v/>
      </c>
      <c r="W184" s="3" t="str">
        <f>IFERROR(__xludf.DUMMYFUNCTION("JOIN("","",FILTER(B184:S184,B184:S184&lt;&gt;""""))"),"100 Free,200 Breast")</f>
        <v>100 Free,200 Breast</v>
      </c>
    </row>
    <row r="185">
      <c r="A185" s="3" t="s">
        <v>499</v>
      </c>
      <c r="B185" s="3" t="str">
        <f>IF($A185="","",IF(countif('Womens Lineup'!B$3:B1000,CONCATENATE("=",$A185))=0,"",B$2))</f>
        <v/>
      </c>
      <c r="C185" s="3" t="str">
        <f>IF($A185="","",IF(countif('Womens Lineup'!C$3:C1000,CONCATENATE("=",$A185))=0,"",C$2))</f>
        <v>100 Free</v>
      </c>
      <c r="D185" s="3" t="str">
        <f>IF($A185="","",IF(countif('Womens Lineup'!D$3:D1000,CONCATENATE("=",$A185))=0,"",D$2))</f>
        <v/>
      </c>
      <c r="E185" s="3" t="str">
        <f>IF($A185="","",IF(countif('Womens Lineup'!E$3:E1000,CONCATENATE("=",$A185))=0,"",E$2))</f>
        <v/>
      </c>
      <c r="F185" s="3" t="str">
        <f>IF($A185="","",IF(countif('Womens Lineup'!F$3:F1000,CONCATENATE("=",$A185))=0,"",F$2))</f>
        <v/>
      </c>
      <c r="G185" s="3" t="str">
        <f>IF($A185="","",IF(countif('Womens Lineup'!G$3:G1000,CONCATENATE("=",$A185))=0,"",G$2))</f>
        <v/>
      </c>
      <c r="H185" s="3" t="str">
        <f>IF($A185="","",IF(countif('Womens Lineup'!H$3:H1000,CONCATENATE("=",$A185))=0,"",H$2))</f>
        <v/>
      </c>
      <c r="I185" s="3" t="str">
        <f>IF($A185="","",IF(countif('Womens Lineup'!I$3:I1000,CONCATENATE("=",$A185))=0,"",I$2))</f>
        <v>100 Breast</v>
      </c>
      <c r="J185" s="3" t="str">
        <f>IF($A185="","",IF(countif('Womens Lineup'!J$3:J1000,CONCATENATE("=",$A185))=0,"",J$2))</f>
        <v>200 Breast</v>
      </c>
      <c r="K185" s="3" t="str">
        <f>IF($A185="","",IF(countif('Womens Lineup'!K$3:K1000,CONCATENATE("=",$A185))=0,"",K$2))</f>
        <v>100 Fly</v>
      </c>
      <c r="L185" s="3" t="str">
        <f>IF($A185="","",IF(countif('Womens Lineup'!L$3:L1000,CONCATENATE("=",$A185))=0,"",L$2))</f>
        <v>200 Fly</v>
      </c>
      <c r="M185" s="3" t="str">
        <f>IF($A185="","",IF(countif('Womens Lineup'!M$3:M1000,CONCATENATE("=",$A185))=0,"",M$2))</f>
        <v>200 IM</v>
      </c>
      <c r="N185" s="3" t="str">
        <f>IF($A185="","",IF(countif('Womens Lineup'!N$3:N1000,CONCATENATE("=",$A185))=0,"",N$2))</f>
        <v/>
      </c>
      <c r="O185" s="3" t="str">
        <f>IF($A185="","",IF(countif('Womens Lineup'!O$3:O1000,CONCATENATE("=",$A185))=0,"",O$2))</f>
        <v/>
      </c>
      <c r="P185" s="3" t="str">
        <f>IF($A185="","",IF(countif('Womens Lineup'!P$3:P1000,CONCATENATE("=",$A185))=0,"",P$2))</f>
        <v/>
      </c>
      <c r="Q185" s="3" t="str">
        <f>IF($A185="","",IF(countif('Womens Lineup'!Q$3:Q1000,CONCATENATE("=",$A185))=0,"",Q$2))</f>
        <v/>
      </c>
      <c r="R185" s="3" t="str">
        <f>IF($A185="","",IF(countif('Womens Lineup'!R$3:R1000,CONCATENATE("=",$A185))=0,"",R$2))</f>
        <v/>
      </c>
      <c r="S185" s="3" t="str">
        <f>IF($A185="","",IF(countif('Womens Lineup'!S$3:S1000,CONCATENATE("=",$A185))=0,"",S$2))</f>
        <v/>
      </c>
      <c r="W185" s="3" t="str">
        <f>IFERROR(__xludf.DUMMYFUNCTION("JOIN("","",FILTER(B185:S185,B185:S185&lt;&gt;""""))"),"100 Free,100 Breast,200 Breast,100 Fly,200 Fly,200 IM")</f>
        <v>100 Free,100 Breast,200 Breast,100 Fly,200 Fly,200 IM</v>
      </c>
    </row>
    <row r="186">
      <c r="A186" s="3" t="s">
        <v>500</v>
      </c>
      <c r="B186" s="3" t="str">
        <f>IF($A186="","",IF(countif('Womens Lineup'!B$3:B1000,CONCATENATE("=",$A186))=0,"",B$2))</f>
        <v/>
      </c>
      <c r="C186" s="3" t="str">
        <f>IF($A186="","",IF(countif('Womens Lineup'!C$3:C1000,CONCATENATE("=",$A186))=0,"",C$2))</f>
        <v>100 Free</v>
      </c>
      <c r="D186" s="3" t="str">
        <f>IF($A186="","",IF(countif('Womens Lineup'!D$3:D1000,CONCATENATE("=",$A186))=0,"",D$2))</f>
        <v/>
      </c>
      <c r="E186" s="3" t="str">
        <f>IF($A186="","",IF(countif('Womens Lineup'!E$3:E1000,CONCATENATE("=",$A186))=0,"",E$2))</f>
        <v/>
      </c>
      <c r="F186" s="3" t="str">
        <f>IF($A186="","",IF(countif('Womens Lineup'!F$3:F1000,CONCATENATE("=",$A186))=0,"",F$2))</f>
        <v/>
      </c>
      <c r="G186" s="3" t="str">
        <f>IF($A186="","",IF(countif('Womens Lineup'!G$3:G1000,CONCATENATE("=",$A186))=0,"",G$2))</f>
        <v>100 Back</v>
      </c>
      <c r="H186" s="3" t="str">
        <f>IF($A186="","",IF(countif('Womens Lineup'!H$3:H1000,CONCATENATE("=",$A186))=0,"",H$2))</f>
        <v>200 Back</v>
      </c>
      <c r="I186" s="3" t="str">
        <f>IF($A186="","",IF(countif('Womens Lineup'!I$3:I1000,CONCATENATE("=",$A186))=0,"",I$2))</f>
        <v/>
      </c>
      <c r="J186" s="3" t="str">
        <f>IF($A186="","",IF(countif('Womens Lineup'!J$3:J1000,CONCATENATE("=",$A186))=0,"",J$2))</f>
        <v/>
      </c>
      <c r="K186" s="3" t="str">
        <f>IF($A186="","",IF(countif('Womens Lineup'!K$3:K1000,CONCATENATE("=",$A186))=0,"",K$2))</f>
        <v/>
      </c>
      <c r="L186" s="3" t="str">
        <f>IF($A186="","",IF(countif('Womens Lineup'!L$3:L1000,CONCATENATE("=",$A186))=0,"",L$2))</f>
        <v/>
      </c>
      <c r="M186" s="3" t="str">
        <f>IF($A186="","",IF(countif('Womens Lineup'!M$3:M1000,CONCATENATE("=",$A186))=0,"",M$2))</f>
        <v/>
      </c>
      <c r="N186" s="3" t="str">
        <f>IF($A186="","",IF(countif('Womens Lineup'!N$3:N1000,CONCATENATE("=",$A186))=0,"",N$2))</f>
        <v/>
      </c>
      <c r="O186" s="3" t="str">
        <f>IF($A186="","",IF(countif('Womens Lineup'!O$3:O1000,CONCATENATE("=",$A186))=0,"",O$2))</f>
        <v/>
      </c>
      <c r="P186" s="3" t="str">
        <f>IF($A186="","",IF(countif('Womens Lineup'!P$3:P1000,CONCATENATE("=",$A186))=0,"",P$2))</f>
        <v/>
      </c>
      <c r="Q186" s="3" t="str">
        <f>IF($A186="","",IF(countif('Womens Lineup'!Q$3:Q1000,CONCATENATE("=",$A186))=0,"",Q$2))</f>
        <v/>
      </c>
      <c r="R186" s="3" t="str">
        <f>IF($A186="","",IF(countif('Womens Lineup'!R$3:R1000,CONCATENATE("=",$A186))=0,"",R$2))</f>
        <v/>
      </c>
      <c r="S186" s="3" t="str">
        <f>IF($A186="","",IF(countif('Womens Lineup'!S$3:S1000,CONCATENATE("=",$A186))=0,"",S$2))</f>
        <v/>
      </c>
      <c r="W186" s="3" t="str">
        <f>IFERROR(__xludf.DUMMYFUNCTION("JOIN("","",FILTER(B186:S186,B186:S186&lt;&gt;""""))"),"100 Free,100 Back,200 Back")</f>
        <v>100 Free,100 Back,200 Back</v>
      </c>
    </row>
    <row r="187">
      <c r="A187" s="3" t="s">
        <v>501</v>
      </c>
      <c r="B187" s="3" t="str">
        <f>IF($A187="","",IF(countif('Womens Lineup'!B$3:B1000,CONCATENATE("=",$A187))=0,"",B$2))</f>
        <v/>
      </c>
      <c r="C187" s="3" t="str">
        <f>IF($A187="","",IF(countif('Womens Lineup'!C$3:C1000,CONCATENATE("=",$A187))=0,"",C$2))</f>
        <v>100 Free</v>
      </c>
      <c r="D187" s="3" t="str">
        <f>IF($A187="","",IF(countif('Womens Lineup'!D$3:D1000,CONCATENATE("=",$A187))=0,"",D$2))</f>
        <v>200 Free</v>
      </c>
      <c r="E187" s="3" t="str">
        <f>IF($A187="","",IF(countif('Womens Lineup'!E$3:E1000,CONCATENATE("=",$A187))=0,"",E$2))</f>
        <v/>
      </c>
      <c r="F187" s="3" t="str">
        <f>IF($A187="","",IF(countif('Womens Lineup'!F$3:F1000,CONCATENATE("=",$A187))=0,"",F$2))</f>
        <v/>
      </c>
      <c r="G187" s="3" t="str">
        <f>IF($A187="","",IF(countif('Womens Lineup'!G$3:G1000,CONCATENATE("=",$A187))=0,"",G$2))</f>
        <v/>
      </c>
      <c r="H187" s="3" t="str">
        <f>IF($A187="","",IF(countif('Womens Lineup'!H$3:H1000,CONCATENATE("=",$A187))=0,"",H$2))</f>
        <v/>
      </c>
      <c r="I187" s="3" t="str">
        <f>IF($A187="","",IF(countif('Womens Lineup'!I$3:I1000,CONCATENATE("=",$A187))=0,"",I$2))</f>
        <v>100 Breast</v>
      </c>
      <c r="J187" s="3" t="str">
        <f>IF($A187="","",IF(countif('Womens Lineup'!J$3:J1000,CONCATENATE("=",$A187))=0,"",J$2))</f>
        <v/>
      </c>
      <c r="K187" s="3" t="str">
        <f>IF($A187="","",IF(countif('Womens Lineup'!K$3:K1000,CONCATENATE("=",$A187))=0,"",K$2))</f>
        <v/>
      </c>
      <c r="L187" s="3" t="str">
        <f>IF($A187="","",IF(countif('Womens Lineup'!L$3:L1000,CONCATENATE("=",$A187))=0,"",L$2))</f>
        <v/>
      </c>
      <c r="M187" s="3" t="str">
        <f>IF($A187="","",IF(countif('Womens Lineup'!M$3:M1000,CONCATENATE("=",$A187))=0,"",M$2))</f>
        <v>200 IM</v>
      </c>
      <c r="N187" s="3" t="str">
        <f>IF($A187="","",IF(countif('Womens Lineup'!N$3:N1000,CONCATENATE("=",$A187))=0,"",N$2))</f>
        <v/>
      </c>
      <c r="O187" s="3" t="str">
        <f>IF($A187="","",IF(countif('Womens Lineup'!O$3:O1000,CONCATENATE("=",$A187))=0,"",O$2))</f>
        <v/>
      </c>
      <c r="P187" s="3" t="str">
        <f>IF($A187="","",IF(countif('Womens Lineup'!P$3:P1000,CONCATENATE("=",$A187))=0,"",P$2))</f>
        <v/>
      </c>
      <c r="Q187" s="3" t="str">
        <f>IF($A187="","",IF(countif('Womens Lineup'!Q$3:Q1000,CONCATENATE("=",$A187))=0,"",Q$2))</f>
        <v/>
      </c>
      <c r="R187" s="3" t="str">
        <f>IF($A187="","",IF(countif('Womens Lineup'!R$3:R1000,CONCATENATE("=",$A187))=0,"",R$2))</f>
        <v/>
      </c>
      <c r="S187" s="3" t="str">
        <f>IF($A187="","",IF(countif('Womens Lineup'!S$3:S1000,CONCATENATE("=",$A187))=0,"",S$2))</f>
        <v/>
      </c>
      <c r="W187" s="3" t="str">
        <f>IFERROR(__xludf.DUMMYFUNCTION("JOIN("","",FILTER(B187:S187,B187:S187&lt;&gt;""""))"),"100 Free,200 Free,100 Breast,200 IM")</f>
        <v>100 Free,200 Free,100 Breast,200 IM</v>
      </c>
    </row>
    <row r="188">
      <c r="A188" s="3" t="s">
        <v>502</v>
      </c>
      <c r="B188" s="3" t="str">
        <f>IF($A188="","",IF(countif('Womens Lineup'!B$3:B1000,CONCATENATE("=",$A188))=0,"",B$2))</f>
        <v/>
      </c>
      <c r="C188" s="3" t="str">
        <f>IF($A188="","",IF(countif('Womens Lineup'!C$3:C1000,CONCATENATE("=",$A188))=0,"",C$2))</f>
        <v/>
      </c>
      <c r="D188" s="3" t="str">
        <f>IF($A188="","",IF(countif('Womens Lineup'!D$3:D1000,CONCATENATE("=",$A188))=0,"",D$2))</f>
        <v>200 Free</v>
      </c>
      <c r="E188" s="3" t="str">
        <f>IF($A188="","",IF(countif('Womens Lineup'!E$3:E1000,CONCATENATE("=",$A188))=0,"",E$2))</f>
        <v/>
      </c>
      <c r="F188" s="3" t="str">
        <f>IF($A188="","",IF(countif('Womens Lineup'!F$3:F1000,CONCATENATE("=",$A188))=0,"",F$2))</f>
        <v/>
      </c>
      <c r="G188" s="3" t="str">
        <f>IF($A188="","",IF(countif('Womens Lineup'!G$3:G1000,CONCATENATE("=",$A188))=0,"",G$2))</f>
        <v>100 Back</v>
      </c>
      <c r="H188" s="3" t="str">
        <f>IF($A188="","",IF(countif('Womens Lineup'!H$3:H1000,CONCATENATE("=",$A188))=0,"",H$2))</f>
        <v>200 Back</v>
      </c>
      <c r="I188" s="3" t="str">
        <f>IF($A188="","",IF(countif('Womens Lineup'!I$3:I1000,CONCATENATE("=",$A188))=0,"",I$2))</f>
        <v/>
      </c>
      <c r="J188" s="3" t="str">
        <f>IF($A188="","",IF(countif('Womens Lineup'!J$3:J1000,CONCATENATE("=",$A188))=0,"",J$2))</f>
        <v/>
      </c>
      <c r="K188" s="3" t="str">
        <f>IF($A188="","",IF(countif('Womens Lineup'!K$3:K1000,CONCATENATE("=",$A188))=0,"",K$2))</f>
        <v>100 Fly</v>
      </c>
      <c r="L188" s="3" t="str">
        <f>IF($A188="","",IF(countif('Womens Lineup'!L$3:L1000,CONCATENATE("=",$A188))=0,"",L$2))</f>
        <v>200 Fly</v>
      </c>
      <c r="M188" s="3" t="str">
        <f>IF($A188="","",IF(countif('Womens Lineup'!M$3:M1000,CONCATENATE("=",$A188))=0,"",M$2))</f>
        <v>200 IM</v>
      </c>
      <c r="N188" s="3" t="str">
        <f>IF($A188="","",IF(countif('Womens Lineup'!N$3:N1000,CONCATENATE("=",$A188))=0,"",N$2))</f>
        <v/>
      </c>
      <c r="O188" s="3" t="str">
        <f>IF($A188="","",IF(countif('Womens Lineup'!O$3:O1000,CONCATENATE("=",$A188))=0,"",O$2))</f>
        <v/>
      </c>
      <c r="P188" s="3" t="str">
        <f>IF($A188="","",IF(countif('Womens Lineup'!P$3:P1000,CONCATENATE("=",$A188))=0,"",P$2))</f>
        <v/>
      </c>
      <c r="Q188" s="3" t="str">
        <f>IF($A188="","",IF(countif('Womens Lineup'!Q$3:Q1000,CONCATENATE("=",$A188))=0,"",Q$2))</f>
        <v/>
      </c>
      <c r="R188" s="3" t="str">
        <f>IF($A188="","",IF(countif('Womens Lineup'!R$3:R1000,CONCATENATE("=",$A188))=0,"",R$2))</f>
        <v/>
      </c>
      <c r="S188" s="3" t="str">
        <f>IF($A188="","",IF(countif('Womens Lineup'!S$3:S1000,CONCATENATE("=",$A188))=0,"",S$2))</f>
        <v/>
      </c>
      <c r="W188" s="3" t="str">
        <f>IFERROR(__xludf.DUMMYFUNCTION("JOIN("","",FILTER(B188:S188,B188:S188&lt;&gt;""""))"),"200 Free,100 Back,200 Back,100 Fly,200 Fly,200 IM")</f>
        <v>200 Free,100 Back,200 Back,100 Fly,200 Fly,200 IM</v>
      </c>
    </row>
    <row r="189">
      <c r="A189" s="3" t="s">
        <v>503</v>
      </c>
      <c r="B189" s="3" t="str">
        <f>IF($A189="","",IF(countif('Womens Lineup'!B$3:B1000,CONCATENATE("=",$A189))=0,"",B$2))</f>
        <v/>
      </c>
      <c r="C189" s="3" t="str">
        <f>IF($A189="","",IF(countif('Womens Lineup'!C$3:C1000,CONCATENATE("=",$A189))=0,"",C$2))</f>
        <v/>
      </c>
      <c r="D189" s="3" t="str">
        <f>IF($A189="","",IF(countif('Womens Lineup'!D$3:D1000,CONCATENATE("=",$A189))=0,"",D$2))</f>
        <v>200 Free</v>
      </c>
      <c r="E189" s="3" t="str">
        <f>IF($A189="","",IF(countif('Womens Lineup'!E$3:E1000,CONCATENATE("=",$A189))=0,"",E$2))</f>
        <v>500 Free</v>
      </c>
      <c r="F189" s="3" t="str">
        <f>IF($A189="","",IF(countif('Womens Lineup'!F$3:F1000,CONCATENATE("=",$A189))=0,"",F$2))</f>
        <v/>
      </c>
      <c r="G189" s="3" t="str">
        <f>IF($A189="","",IF(countif('Womens Lineup'!G$3:G1000,CONCATENATE("=",$A189))=0,"",G$2))</f>
        <v>100 Back</v>
      </c>
      <c r="H189" s="3" t="str">
        <f>IF($A189="","",IF(countif('Womens Lineup'!H$3:H1000,CONCATENATE("=",$A189))=0,"",H$2))</f>
        <v>200 Back</v>
      </c>
      <c r="I189" s="3" t="str">
        <f>IF($A189="","",IF(countif('Womens Lineup'!I$3:I1000,CONCATENATE("=",$A189))=0,"",I$2))</f>
        <v/>
      </c>
      <c r="J189" s="3" t="str">
        <f>IF($A189="","",IF(countif('Womens Lineup'!J$3:J1000,CONCATENATE("=",$A189))=0,"",J$2))</f>
        <v/>
      </c>
      <c r="K189" s="3" t="str">
        <f>IF($A189="","",IF(countif('Womens Lineup'!K$3:K1000,CONCATENATE("=",$A189))=0,"",K$2))</f>
        <v/>
      </c>
      <c r="L189" s="3" t="str">
        <f>IF($A189="","",IF(countif('Womens Lineup'!L$3:L1000,CONCATENATE("=",$A189))=0,"",L$2))</f>
        <v/>
      </c>
      <c r="M189" s="3" t="str">
        <f>IF($A189="","",IF(countif('Womens Lineup'!M$3:M1000,CONCATENATE("=",$A189))=0,"",M$2))</f>
        <v>200 IM</v>
      </c>
      <c r="N189" s="3" t="str">
        <f>IF($A189="","",IF(countif('Womens Lineup'!N$3:N1000,CONCATENATE("=",$A189))=0,"",N$2))</f>
        <v>400 IM</v>
      </c>
      <c r="O189" s="3" t="str">
        <f>IF($A189="","",IF(countif('Womens Lineup'!O$3:O1000,CONCATENATE("=",$A189))=0,"",O$2))</f>
        <v/>
      </c>
      <c r="P189" s="3" t="str">
        <f>IF($A189="","",IF(countif('Womens Lineup'!P$3:P1000,CONCATENATE("=",$A189))=0,"",P$2))</f>
        <v/>
      </c>
      <c r="Q189" s="3" t="str">
        <f>IF($A189="","",IF(countif('Womens Lineup'!Q$3:Q1000,CONCATENATE("=",$A189))=0,"",Q$2))</f>
        <v/>
      </c>
      <c r="R189" s="3" t="str">
        <f>IF($A189="","",IF(countif('Womens Lineup'!R$3:R1000,CONCATENATE("=",$A189))=0,"",R$2))</f>
        <v/>
      </c>
      <c r="S189" s="3" t="str">
        <f>IF($A189="","",IF(countif('Womens Lineup'!S$3:S1000,CONCATENATE("=",$A189))=0,"",S$2))</f>
        <v/>
      </c>
      <c r="W189" s="3" t="str">
        <f>IFERROR(__xludf.DUMMYFUNCTION("JOIN("","",FILTER(B189:S189,B189:S189&lt;&gt;""""))"),"200 Free,500 Free,100 Back,200 Back,200 IM,400 IM")</f>
        <v>200 Free,500 Free,100 Back,200 Back,200 IM,400 IM</v>
      </c>
    </row>
    <row r="190">
      <c r="A190" s="3" t="s">
        <v>504</v>
      </c>
      <c r="B190" s="3" t="str">
        <f>IF($A190="","",IF(countif('Womens Lineup'!B$3:B1000,CONCATENATE("=",$A190))=0,"",B$2))</f>
        <v/>
      </c>
      <c r="C190" s="3" t="str">
        <f>IF($A190="","",IF(countif('Womens Lineup'!C$3:C1000,CONCATENATE("=",$A190))=0,"",C$2))</f>
        <v/>
      </c>
      <c r="D190" s="3" t="str">
        <f>IF($A190="","",IF(countif('Womens Lineup'!D$3:D1000,CONCATENATE("=",$A190))=0,"",D$2))</f>
        <v>200 Free</v>
      </c>
      <c r="E190" s="3" t="str">
        <f>IF($A190="","",IF(countif('Womens Lineup'!E$3:E1000,CONCATENATE("=",$A190))=0,"",E$2))</f>
        <v>500 Free</v>
      </c>
      <c r="F190" s="3" t="str">
        <f>IF($A190="","",IF(countif('Womens Lineup'!F$3:F1000,CONCATENATE("=",$A190))=0,"",F$2))</f>
        <v/>
      </c>
      <c r="G190" s="3" t="str">
        <f>IF($A190="","",IF(countif('Womens Lineup'!G$3:G1000,CONCATENATE("=",$A190))=0,"",G$2))</f>
        <v/>
      </c>
      <c r="H190" s="3" t="str">
        <f>IF($A190="","",IF(countif('Womens Lineup'!H$3:H1000,CONCATENATE("=",$A190))=0,"",H$2))</f>
        <v>200 Back</v>
      </c>
      <c r="I190" s="3" t="str">
        <f>IF($A190="","",IF(countif('Womens Lineup'!I$3:I1000,CONCATENATE("=",$A190))=0,"",I$2))</f>
        <v/>
      </c>
      <c r="J190" s="3" t="str">
        <f>IF($A190="","",IF(countif('Womens Lineup'!J$3:J1000,CONCATENATE("=",$A190))=0,"",J$2))</f>
        <v/>
      </c>
      <c r="K190" s="3" t="str">
        <f>IF($A190="","",IF(countif('Womens Lineup'!K$3:K1000,CONCATENATE("=",$A190))=0,"",K$2))</f>
        <v/>
      </c>
      <c r="L190" s="3" t="str">
        <f>IF($A190="","",IF(countif('Womens Lineup'!L$3:L1000,CONCATENATE("=",$A190))=0,"",L$2))</f>
        <v>200 Fly</v>
      </c>
      <c r="M190" s="3" t="str">
        <f>IF($A190="","",IF(countif('Womens Lineup'!M$3:M1000,CONCATENATE("=",$A190))=0,"",M$2))</f>
        <v>200 IM</v>
      </c>
      <c r="N190" s="3" t="str">
        <f>IF($A190="","",IF(countif('Womens Lineup'!N$3:N1000,CONCATENATE("=",$A190))=0,"",N$2))</f>
        <v>400 IM</v>
      </c>
      <c r="O190" s="3" t="str">
        <f>IF($A190="","",IF(countif('Womens Lineup'!O$3:O1000,CONCATENATE("=",$A190))=0,"",O$2))</f>
        <v/>
      </c>
      <c r="P190" s="3" t="str">
        <f>IF($A190="","",IF(countif('Womens Lineup'!P$3:P1000,CONCATENATE("=",$A190))=0,"",P$2))</f>
        <v/>
      </c>
      <c r="Q190" s="3" t="str">
        <f>IF($A190="","",IF(countif('Womens Lineup'!Q$3:Q1000,CONCATENATE("=",$A190))=0,"",Q$2))</f>
        <v/>
      </c>
      <c r="R190" s="3" t="str">
        <f>IF($A190="","",IF(countif('Womens Lineup'!R$3:R1000,CONCATENATE("=",$A190))=0,"",R$2))</f>
        <v/>
      </c>
      <c r="S190" s="3" t="str">
        <f>IF($A190="","",IF(countif('Womens Lineup'!S$3:S1000,CONCATENATE("=",$A190))=0,"",S$2))</f>
        <v/>
      </c>
      <c r="W190" s="3" t="str">
        <f>IFERROR(__xludf.DUMMYFUNCTION("JOIN("","",FILTER(B190:S190,B190:S190&lt;&gt;""""))"),"200 Free,500 Free,200 Back,200 Fly,200 IM,400 IM")</f>
        <v>200 Free,500 Free,200 Back,200 Fly,200 IM,400 IM</v>
      </c>
    </row>
    <row r="191">
      <c r="A191" s="3" t="s">
        <v>505</v>
      </c>
      <c r="B191" s="3" t="str">
        <f>IF($A191="","",IF(countif('Womens Lineup'!B$3:B1000,CONCATENATE("=",$A191))=0,"",B$2))</f>
        <v/>
      </c>
      <c r="C191" s="3" t="str">
        <f>IF($A191="","",IF(countif('Womens Lineup'!C$3:C1000,CONCATENATE("=",$A191))=0,"",C$2))</f>
        <v/>
      </c>
      <c r="D191" s="3" t="str">
        <f>IF($A191="","",IF(countif('Womens Lineup'!D$3:D1000,CONCATENATE("=",$A191))=0,"",D$2))</f>
        <v>200 Free</v>
      </c>
      <c r="E191" s="3" t="str">
        <f>IF($A191="","",IF(countif('Womens Lineup'!E$3:E1000,CONCATENATE("=",$A191))=0,"",E$2))</f>
        <v/>
      </c>
      <c r="F191" s="3" t="str">
        <f>IF($A191="","",IF(countif('Womens Lineup'!F$3:F1000,CONCATENATE("=",$A191))=0,"",F$2))</f>
        <v/>
      </c>
      <c r="G191" s="3" t="str">
        <f>IF($A191="","",IF(countif('Womens Lineup'!G$3:G1000,CONCATENATE("=",$A191))=0,"",G$2))</f>
        <v>100 Back</v>
      </c>
      <c r="H191" s="3" t="str">
        <f>IF($A191="","",IF(countif('Womens Lineup'!H$3:H1000,CONCATENATE("=",$A191))=0,"",H$2))</f>
        <v>200 Back</v>
      </c>
      <c r="I191" s="3" t="str">
        <f>IF($A191="","",IF(countif('Womens Lineup'!I$3:I1000,CONCATENATE("=",$A191))=0,"",I$2))</f>
        <v/>
      </c>
      <c r="J191" s="3" t="str">
        <f>IF($A191="","",IF(countif('Womens Lineup'!J$3:J1000,CONCATENATE("=",$A191))=0,"",J$2))</f>
        <v/>
      </c>
      <c r="K191" s="3" t="str">
        <f>IF($A191="","",IF(countif('Womens Lineup'!K$3:K1000,CONCATENATE("=",$A191))=0,"",K$2))</f>
        <v/>
      </c>
      <c r="L191" s="3" t="str">
        <f>IF($A191="","",IF(countif('Womens Lineup'!L$3:L1000,CONCATENATE("=",$A191))=0,"",L$2))</f>
        <v>200 Fly</v>
      </c>
      <c r="M191" s="3" t="str">
        <f>IF($A191="","",IF(countif('Womens Lineup'!M$3:M1000,CONCATENATE("=",$A191))=0,"",M$2))</f>
        <v>200 IM</v>
      </c>
      <c r="N191" s="3" t="str">
        <f>IF($A191="","",IF(countif('Womens Lineup'!N$3:N1000,CONCATENATE("=",$A191))=0,"",N$2))</f>
        <v>400 IM</v>
      </c>
      <c r="O191" s="3" t="str">
        <f>IF($A191="","",IF(countif('Womens Lineup'!O$3:O1000,CONCATENATE("=",$A191))=0,"",O$2))</f>
        <v/>
      </c>
      <c r="P191" s="3" t="str">
        <f>IF($A191="","",IF(countif('Womens Lineup'!P$3:P1000,CONCATENATE("=",$A191))=0,"",P$2))</f>
        <v/>
      </c>
      <c r="Q191" s="3" t="str">
        <f>IF($A191="","",IF(countif('Womens Lineup'!Q$3:Q1000,CONCATENATE("=",$A191))=0,"",Q$2))</f>
        <v/>
      </c>
      <c r="R191" s="3" t="str">
        <f>IF($A191="","",IF(countif('Womens Lineup'!R$3:R1000,CONCATENATE("=",$A191))=0,"",R$2))</f>
        <v/>
      </c>
      <c r="S191" s="3" t="str">
        <f>IF($A191="","",IF(countif('Womens Lineup'!S$3:S1000,CONCATENATE("=",$A191))=0,"",S$2))</f>
        <v/>
      </c>
      <c r="W191" s="3" t="str">
        <f>IFERROR(__xludf.DUMMYFUNCTION("JOIN("","",FILTER(B191:S191,B191:S191&lt;&gt;""""))"),"200 Free,100 Back,200 Back,200 Fly,200 IM,400 IM")</f>
        <v>200 Free,100 Back,200 Back,200 Fly,200 IM,400 IM</v>
      </c>
    </row>
    <row r="192">
      <c r="A192" s="3" t="s">
        <v>506</v>
      </c>
      <c r="B192" s="3" t="str">
        <f>IF($A192="","",IF(countif('Womens Lineup'!B$3:B1000,CONCATENATE("=",$A192))=0,"",B$2))</f>
        <v/>
      </c>
      <c r="C192" s="3" t="str">
        <f>IF($A192="","",IF(countif('Womens Lineup'!C$3:C1000,CONCATENATE("=",$A192))=0,"",C$2))</f>
        <v/>
      </c>
      <c r="D192" s="3" t="str">
        <f>IF($A192="","",IF(countif('Womens Lineup'!D$3:D1000,CONCATENATE("=",$A192))=0,"",D$2))</f>
        <v>200 Free</v>
      </c>
      <c r="E192" s="3" t="str">
        <f>IF($A192="","",IF(countif('Womens Lineup'!E$3:E1000,CONCATENATE("=",$A192))=0,"",E$2))</f>
        <v>500 Free</v>
      </c>
      <c r="F192" s="3" t="str">
        <f>IF($A192="","",IF(countif('Womens Lineup'!F$3:F1000,CONCATENATE("=",$A192))=0,"",F$2))</f>
        <v>1650 Free</v>
      </c>
      <c r="G192" s="3" t="str">
        <f>IF($A192="","",IF(countif('Womens Lineup'!G$3:G1000,CONCATENATE("=",$A192))=0,"",G$2))</f>
        <v/>
      </c>
      <c r="H192" s="3" t="str">
        <f>IF($A192="","",IF(countif('Womens Lineup'!H$3:H1000,CONCATENATE("=",$A192))=0,"",H$2))</f>
        <v/>
      </c>
      <c r="I192" s="3" t="str">
        <f>IF($A192="","",IF(countif('Womens Lineup'!I$3:I1000,CONCATENATE("=",$A192))=0,"",I$2))</f>
        <v/>
      </c>
      <c r="J192" s="3" t="str">
        <f>IF($A192="","",IF(countif('Womens Lineup'!J$3:J1000,CONCATENATE("=",$A192))=0,"",J$2))</f>
        <v/>
      </c>
      <c r="K192" s="3" t="str">
        <f>IF($A192="","",IF(countif('Womens Lineup'!K$3:K1000,CONCATENATE("=",$A192))=0,"",K$2))</f>
        <v/>
      </c>
      <c r="L192" s="3" t="str">
        <f>IF($A192="","",IF(countif('Womens Lineup'!L$3:L1000,CONCATENATE("=",$A192))=0,"",L$2))</f>
        <v>200 Fly</v>
      </c>
      <c r="M192" s="3" t="str">
        <f>IF($A192="","",IF(countif('Womens Lineup'!M$3:M1000,CONCATENATE("=",$A192))=0,"",M$2))</f>
        <v>200 IM</v>
      </c>
      <c r="N192" s="3" t="str">
        <f>IF($A192="","",IF(countif('Womens Lineup'!N$3:N1000,CONCATENATE("=",$A192))=0,"",N$2))</f>
        <v/>
      </c>
      <c r="O192" s="3" t="str">
        <f>IF($A192="","",IF(countif('Womens Lineup'!O$3:O1000,CONCATENATE("=",$A192))=0,"",O$2))</f>
        <v>1000 Free</v>
      </c>
      <c r="P192" s="3" t="str">
        <f>IF($A192="","",IF(countif('Womens Lineup'!P$3:P1000,CONCATENATE("=",$A192))=0,"",P$2))</f>
        <v/>
      </c>
      <c r="Q192" s="3" t="str">
        <f>IF($A192="","",IF(countif('Womens Lineup'!Q$3:Q1000,CONCATENATE("=",$A192))=0,"",Q$2))</f>
        <v/>
      </c>
      <c r="R192" s="3" t="str">
        <f>IF($A192="","",IF(countif('Womens Lineup'!R$3:R1000,CONCATENATE("=",$A192))=0,"",R$2))</f>
        <v/>
      </c>
      <c r="S192" s="3" t="str">
        <f>IF($A192="","",IF(countif('Womens Lineup'!S$3:S1000,CONCATENATE("=",$A192))=0,"",S$2))</f>
        <v/>
      </c>
      <c r="W192" s="3" t="str">
        <f>IFERROR(__xludf.DUMMYFUNCTION("JOIN("","",FILTER(B192:S192,B192:S192&lt;&gt;""""))"),"200 Free,500 Free,1650 Free,200 Fly,200 IM,1000 Free")</f>
        <v>200 Free,500 Free,1650 Free,200 Fly,200 IM,1000 Free</v>
      </c>
    </row>
    <row r="193">
      <c r="A193" s="3" t="s">
        <v>507</v>
      </c>
      <c r="B193" s="3" t="str">
        <f>IF($A193="","",IF(countif('Womens Lineup'!B$3:B1000,CONCATENATE("=",$A193))=0,"",B$2))</f>
        <v/>
      </c>
      <c r="C193" s="3" t="str">
        <f>IF($A193="","",IF(countif('Womens Lineup'!C$3:C1000,CONCATENATE("=",$A193))=0,"",C$2))</f>
        <v/>
      </c>
      <c r="D193" s="3" t="str">
        <f>IF($A193="","",IF(countif('Womens Lineup'!D$3:D1000,CONCATENATE("=",$A193))=0,"",D$2))</f>
        <v>200 Free</v>
      </c>
      <c r="E193" s="3" t="str">
        <f>IF($A193="","",IF(countif('Womens Lineup'!E$3:E1000,CONCATENATE("=",$A193))=0,"",E$2))</f>
        <v/>
      </c>
      <c r="F193" s="3" t="str">
        <f>IF($A193="","",IF(countif('Womens Lineup'!F$3:F1000,CONCATENATE("=",$A193))=0,"",F$2))</f>
        <v/>
      </c>
      <c r="G193" s="3" t="str">
        <f>IF($A193="","",IF(countif('Womens Lineup'!G$3:G1000,CONCATENATE("=",$A193))=0,"",G$2))</f>
        <v>100 Back</v>
      </c>
      <c r="H193" s="3" t="str">
        <f>IF($A193="","",IF(countif('Womens Lineup'!H$3:H1000,CONCATENATE("=",$A193))=0,"",H$2))</f>
        <v>200 Back</v>
      </c>
      <c r="I193" s="3" t="str">
        <f>IF($A193="","",IF(countif('Womens Lineup'!I$3:I1000,CONCATENATE("=",$A193))=0,"",I$2))</f>
        <v/>
      </c>
      <c r="J193" s="3" t="str">
        <f>IF($A193="","",IF(countif('Womens Lineup'!J$3:J1000,CONCATENATE("=",$A193))=0,"",J$2))</f>
        <v/>
      </c>
      <c r="K193" s="3" t="str">
        <f>IF($A193="","",IF(countif('Womens Lineup'!K$3:K1000,CONCATENATE("=",$A193))=0,"",K$2))</f>
        <v>100 Fly</v>
      </c>
      <c r="L193" s="3" t="str">
        <f>IF($A193="","",IF(countif('Womens Lineup'!L$3:L1000,CONCATENATE("=",$A193))=0,"",L$2))</f>
        <v>200 Fly</v>
      </c>
      <c r="M193" s="3" t="str">
        <f>IF($A193="","",IF(countif('Womens Lineup'!M$3:M1000,CONCATENATE("=",$A193))=0,"",M$2))</f>
        <v>200 IM</v>
      </c>
      <c r="N193" s="3" t="str">
        <f>IF($A193="","",IF(countif('Womens Lineup'!N$3:N1000,CONCATENATE("=",$A193))=0,"",N$2))</f>
        <v/>
      </c>
      <c r="O193" s="3" t="str">
        <f>IF($A193="","",IF(countif('Womens Lineup'!O$3:O1000,CONCATENATE("=",$A193))=0,"",O$2))</f>
        <v/>
      </c>
      <c r="P193" s="3" t="str">
        <f>IF($A193="","",IF(countif('Womens Lineup'!P$3:P1000,CONCATENATE("=",$A193))=0,"",P$2))</f>
        <v/>
      </c>
      <c r="Q193" s="3" t="str">
        <f>IF($A193="","",IF(countif('Womens Lineup'!Q$3:Q1000,CONCATENATE("=",$A193))=0,"",Q$2))</f>
        <v/>
      </c>
      <c r="R193" s="3" t="str">
        <f>IF($A193="","",IF(countif('Womens Lineup'!R$3:R1000,CONCATENATE("=",$A193))=0,"",R$2))</f>
        <v/>
      </c>
      <c r="S193" s="3" t="str">
        <f>IF($A193="","",IF(countif('Womens Lineup'!S$3:S1000,CONCATENATE("=",$A193))=0,"",S$2))</f>
        <v/>
      </c>
      <c r="W193" s="3" t="str">
        <f>IFERROR(__xludf.DUMMYFUNCTION("JOIN("","",FILTER(B193:S193,B193:S193&lt;&gt;""""))"),"200 Free,100 Back,200 Back,100 Fly,200 Fly,200 IM")</f>
        <v>200 Free,100 Back,200 Back,100 Fly,200 Fly,200 IM</v>
      </c>
    </row>
    <row r="194">
      <c r="A194" s="3" t="s">
        <v>508</v>
      </c>
      <c r="B194" s="3" t="str">
        <f>IF($A194="","",IF(countif('Womens Lineup'!B$3:B1000,CONCATENATE("=",$A194))=0,"",B$2))</f>
        <v/>
      </c>
      <c r="C194" s="3" t="str">
        <f>IF($A194="","",IF(countif('Womens Lineup'!C$3:C1000,CONCATENATE("=",$A194))=0,"",C$2))</f>
        <v/>
      </c>
      <c r="D194" s="3" t="str">
        <f>IF($A194="","",IF(countif('Womens Lineup'!D$3:D1000,CONCATENATE("=",$A194))=0,"",D$2))</f>
        <v>200 Free</v>
      </c>
      <c r="E194" s="3" t="str">
        <f>IF($A194="","",IF(countif('Womens Lineup'!E$3:E1000,CONCATENATE("=",$A194))=0,"",E$2))</f>
        <v>500 Free</v>
      </c>
      <c r="F194" s="3" t="str">
        <f>IF($A194="","",IF(countif('Womens Lineup'!F$3:F1000,CONCATENATE("=",$A194))=0,"",F$2))</f>
        <v>1650 Free</v>
      </c>
      <c r="G194" s="3" t="str">
        <f>IF($A194="","",IF(countif('Womens Lineup'!G$3:G1000,CONCATENATE("=",$A194))=0,"",G$2))</f>
        <v/>
      </c>
      <c r="H194" s="3" t="str">
        <f>IF($A194="","",IF(countif('Womens Lineup'!H$3:H1000,CONCATENATE("=",$A194))=0,"",H$2))</f>
        <v/>
      </c>
      <c r="I194" s="3" t="str">
        <f>IF($A194="","",IF(countif('Womens Lineup'!I$3:I1000,CONCATENATE("=",$A194))=0,"",I$2))</f>
        <v>100 Breast</v>
      </c>
      <c r="J194" s="3" t="str">
        <f>IF($A194="","",IF(countif('Womens Lineup'!J$3:J1000,CONCATENATE("=",$A194))=0,"",J$2))</f>
        <v>200 Breast</v>
      </c>
      <c r="K194" s="3" t="str">
        <f>IF($A194="","",IF(countif('Womens Lineup'!K$3:K1000,CONCATENATE("=",$A194))=0,"",K$2))</f>
        <v/>
      </c>
      <c r="L194" s="3" t="str">
        <f>IF($A194="","",IF(countif('Womens Lineup'!L$3:L1000,CONCATENATE("=",$A194))=0,"",L$2))</f>
        <v/>
      </c>
      <c r="M194" s="3" t="str">
        <f>IF($A194="","",IF(countif('Womens Lineup'!M$3:M1000,CONCATENATE("=",$A194))=0,"",M$2))</f>
        <v/>
      </c>
      <c r="N194" s="3" t="str">
        <f>IF($A194="","",IF(countif('Womens Lineup'!N$3:N1000,CONCATENATE("=",$A194))=0,"",N$2))</f>
        <v/>
      </c>
      <c r="O194" s="3" t="str">
        <f>IF($A194="","",IF(countif('Womens Lineup'!O$3:O1000,CONCATENATE("=",$A194))=0,"",O$2))</f>
        <v>1000 Free</v>
      </c>
      <c r="P194" s="3" t="str">
        <f>IF($A194="","",IF(countif('Womens Lineup'!P$3:P1000,CONCATENATE("=",$A194))=0,"",P$2))</f>
        <v/>
      </c>
      <c r="Q194" s="3" t="str">
        <f>IF($A194="","",IF(countif('Womens Lineup'!Q$3:Q1000,CONCATENATE("=",$A194))=0,"",Q$2))</f>
        <v/>
      </c>
      <c r="R194" s="3" t="str">
        <f>IF($A194="","",IF(countif('Womens Lineup'!R$3:R1000,CONCATENATE("=",$A194))=0,"",R$2))</f>
        <v/>
      </c>
      <c r="S194" s="3" t="str">
        <f>IF($A194="","",IF(countif('Womens Lineup'!S$3:S1000,CONCATENATE("=",$A194))=0,"",S$2))</f>
        <v/>
      </c>
      <c r="W194" s="3" t="str">
        <f>IFERROR(__xludf.DUMMYFUNCTION("JOIN("","",FILTER(B194:S194,B194:S194&lt;&gt;""""))"),"200 Free,500 Free,1650 Free,100 Breast,200 Breast,1000 Free")</f>
        <v>200 Free,500 Free,1650 Free,100 Breast,200 Breast,1000 Free</v>
      </c>
    </row>
    <row r="195">
      <c r="A195" s="3" t="s">
        <v>509</v>
      </c>
      <c r="B195" s="3" t="str">
        <f>IF($A195="","",IF(countif('Womens Lineup'!B$3:B1000,CONCATENATE("=",$A195))=0,"",B$2))</f>
        <v/>
      </c>
      <c r="C195" s="3" t="str">
        <f>IF($A195="","",IF(countif('Womens Lineup'!C$3:C1000,CONCATENATE("=",$A195))=0,"",C$2))</f>
        <v/>
      </c>
      <c r="D195" s="3" t="str">
        <f>IF($A195="","",IF(countif('Womens Lineup'!D$3:D1000,CONCATENATE("=",$A195))=0,"",D$2))</f>
        <v>200 Free</v>
      </c>
      <c r="E195" s="3" t="str">
        <f>IF($A195="","",IF(countif('Womens Lineup'!E$3:E1000,CONCATENATE("=",$A195))=0,"",E$2))</f>
        <v>500 Free</v>
      </c>
      <c r="F195" s="3" t="str">
        <f>IF($A195="","",IF(countif('Womens Lineup'!F$3:F1000,CONCATENATE("=",$A195))=0,"",F$2))</f>
        <v/>
      </c>
      <c r="G195" s="3" t="str">
        <f>IF($A195="","",IF(countif('Womens Lineup'!G$3:G1000,CONCATENATE("=",$A195))=0,"",G$2))</f>
        <v/>
      </c>
      <c r="H195" s="3" t="str">
        <f>IF($A195="","",IF(countif('Womens Lineup'!H$3:H1000,CONCATENATE("=",$A195))=0,"",H$2))</f>
        <v>200 Back</v>
      </c>
      <c r="I195" s="3" t="str">
        <f>IF($A195="","",IF(countif('Womens Lineup'!I$3:I1000,CONCATENATE("=",$A195))=0,"",I$2))</f>
        <v/>
      </c>
      <c r="J195" s="3" t="str">
        <f>IF($A195="","",IF(countif('Womens Lineup'!J$3:J1000,CONCATENATE("=",$A195))=0,"",J$2))</f>
        <v/>
      </c>
      <c r="K195" s="3" t="str">
        <f>IF($A195="","",IF(countif('Womens Lineup'!K$3:K1000,CONCATENATE("=",$A195))=0,"",K$2))</f>
        <v/>
      </c>
      <c r="L195" s="3" t="str">
        <f>IF($A195="","",IF(countif('Womens Lineup'!L$3:L1000,CONCATENATE("=",$A195))=0,"",L$2))</f>
        <v>200 Fly</v>
      </c>
      <c r="M195" s="3" t="str">
        <f>IF($A195="","",IF(countif('Womens Lineup'!M$3:M1000,CONCATENATE("=",$A195))=0,"",M$2))</f>
        <v/>
      </c>
      <c r="N195" s="3" t="str">
        <f>IF($A195="","",IF(countif('Womens Lineup'!N$3:N1000,CONCATENATE("=",$A195))=0,"",N$2))</f>
        <v>400 IM</v>
      </c>
      <c r="O195" s="3" t="str">
        <f>IF($A195="","",IF(countif('Womens Lineup'!O$3:O1000,CONCATENATE("=",$A195))=0,"",O$2))</f>
        <v>1000 Free</v>
      </c>
      <c r="P195" s="3" t="str">
        <f>IF($A195="","",IF(countif('Womens Lineup'!P$3:P1000,CONCATENATE("=",$A195))=0,"",P$2))</f>
        <v/>
      </c>
      <c r="Q195" s="3" t="str">
        <f>IF($A195="","",IF(countif('Womens Lineup'!Q$3:Q1000,CONCATENATE("=",$A195))=0,"",Q$2))</f>
        <v/>
      </c>
      <c r="R195" s="3" t="str">
        <f>IF($A195="","",IF(countif('Womens Lineup'!R$3:R1000,CONCATENATE("=",$A195))=0,"",R$2))</f>
        <v/>
      </c>
      <c r="S195" s="3" t="str">
        <f>IF($A195="","",IF(countif('Womens Lineup'!S$3:S1000,CONCATENATE("=",$A195))=0,"",S$2))</f>
        <v/>
      </c>
      <c r="W195" s="3" t="str">
        <f>IFERROR(__xludf.DUMMYFUNCTION("JOIN("","",FILTER(B195:S195,B195:S195&lt;&gt;""""))"),"200 Free,500 Free,200 Back,200 Fly,400 IM,1000 Free")</f>
        <v>200 Free,500 Free,200 Back,200 Fly,400 IM,1000 Free</v>
      </c>
    </row>
    <row r="196">
      <c r="A196" s="3" t="s">
        <v>510</v>
      </c>
      <c r="B196" s="3" t="str">
        <f>IF($A196="","",IF(countif('Womens Lineup'!B$3:B1000,CONCATENATE("=",$A196))=0,"",B$2))</f>
        <v/>
      </c>
      <c r="C196" s="3" t="str">
        <f>IF($A196="","",IF(countif('Womens Lineup'!C$3:C1000,CONCATENATE("=",$A196))=0,"",C$2))</f>
        <v/>
      </c>
      <c r="D196" s="3" t="str">
        <f>IF($A196="","",IF(countif('Womens Lineup'!D$3:D1000,CONCATENATE("=",$A196))=0,"",D$2))</f>
        <v>200 Free</v>
      </c>
      <c r="E196" s="3" t="str">
        <f>IF($A196="","",IF(countif('Womens Lineup'!E$3:E1000,CONCATENATE("=",$A196))=0,"",E$2))</f>
        <v>500 Free</v>
      </c>
      <c r="F196" s="3" t="str">
        <f>IF($A196="","",IF(countif('Womens Lineup'!F$3:F1000,CONCATENATE("=",$A196))=0,"",F$2))</f>
        <v>1650 Free</v>
      </c>
      <c r="G196" s="3" t="str">
        <f>IF($A196="","",IF(countif('Womens Lineup'!G$3:G1000,CONCATENATE("=",$A196))=0,"",G$2))</f>
        <v/>
      </c>
      <c r="H196" s="3" t="str">
        <f>IF($A196="","",IF(countif('Womens Lineup'!H$3:H1000,CONCATENATE("=",$A196))=0,"",H$2))</f>
        <v>200 Back</v>
      </c>
      <c r="I196" s="3" t="str">
        <f>IF($A196="","",IF(countif('Womens Lineup'!I$3:I1000,CONCATENATE("=",$A196))=0,"",I$2))</f>
        <v/>
      </c>
      <c r="J196" s="3" t="str">
        <f>IF($A196="","",IF(countif('Womens Lineup'!J$3:J1000,CONCATENATE("=",$A196))=0,"",J$2))</f>
        <v/>
      </c>
      <c r="K196" s="3" t="str">
        <f>IF($A196="","",IF(countif('Womens Lineup'!K$3:K1000,CONCATENATE("=",$A196))=0,"",K$2))</f>
        <v/>
      </c>
      <c r="L196" s="3" t="str">
        <f>IF($A196="","",IF(countif('Womens Lineup'!L$3:L1000,CONCATENATE("=",$A196))=0,"",L$2))</f>
        <v/>
      </c>
      <c r="M196" s="3" t="str">
        <f>IF($A196="","",IF(countif('Womens Lineup'!M$3:M1000,CONCATENATE("=",$A196))=0,"",M$2))</f>
        <v/>
      </c>
      <c r="N196" s="3" t="str">
        <f>IF($A196="","",IF(countif('Womens Lineup'!N$3:N1000,CONCATENATE("=",$A196))=0,"",N$2))</f>
        <v>400 IM</v>
      </c>
      <c r="O196" s="3" t="str">
        <f>IF($A196="","",IF(countif('Womens Lineup'!O$3:O1000,CONCATENATE("=",$A196))=0,"",O$2))</f>
        <v>1000 Free</v>
      </c>
      <c r="P196" s="3" t="str">
        <f>IF($A196="","",IF(countif('Womens Lineup'!P$3:P1000,CONCATENATE("=",$A196))=0,"",P$2))</f>
        <v/>
      </c>
      <c r="Q196" s="3" t="str">
        <f>IF($A196="","",IF(countif('Womens Lineup'!Q$3:Q1000,CONCATENATE("=",$A196))=0,"",Q$2))</f>
        <v/>
      </c>
      <c r="R196" s="3" t="str">
        <f>IF($A196="","",IF(countif('Womens Lineup'!R$3:R1000,CONCATENATE("=",$A196))=0,"",R$2))</f>
        <v/>
      </c>
      <c r="S196" s="3" t="str">
        <f>IF($A196="","",IF(countif('Womens Lineup'!S$3:S1000,CONCATENATE("=",$A196))=0,"",S$2))</f>
        <v/>
      </c>
      <c r="W196" s="3" t="str">
        <f>IFERROR(__xludf.DUMMYFUNCTION("JOIN("","",FILTER(B196:S196,B196:S196&lt;&gt;""""))"),"200 Free,500 Free,1650 Free,200 Back,400 IM,1000 Free")</f>
        <v>200 Free,500 Free,1650 Free,200 Back,400 IM,1000 Free</v>
      </c>
    </row>
    <row r="197">
      <c r="A197" s="3" t="s">
        <v>511</v>
      </c>
      <c r="B197" s="3" t="str">
        <f>IF($A197="","",IF(countif('Womens Lineup'!B$3:B1000,CONCATENATE("=",$A197))=0,"",B$2))</f>
        <v/>
      </c>
      <c r="C197" s="3" t="str">
        <f>IF($A197="","",IF(countif('Womens Lineup'!C$3:C1000,CONCATENATE("=",$A197))=0,"",C$2))</f>
        <v/>
      </c>
      <c r="D197" s="3" t="str">
        <f>IF($A197="","",IF(countif('Womens Lineup'!D$3:D1000,CONCATENATE("=",$A197))=0,"",D$2))</f>
        <v>200 Free</v>
      </c>
      <c r="E197" s="3" t="str">
        <f>IF($A197="","",IF(countif('Womens Lineup'!E$3:E1000,CONCATENATE("=",$A197))=0,"",E$2))</f>
        <v>500 Free</v>
      </c>
      <c r="F197" s="3" t="str">
        <f>IF($A197="","",IF(countif('Womens Lineup'!F$3:F1000,CONCATENATE("=",$A197))=0,"",F$2))</f>
        <v>1650 Free</v>
      </c>
      <c r="G197" s="3" t="str">
        <f>IF($A197="","",IF(countif('Womens Lineup'!G$3:G1000,CONCATENATE("=",$A197))=0,"",G$2))</f>
        <v/>
      </c>
      <c r="H197" s="3" t="str">
        <f>IF($A197="","",IF(countif('Womens Lineup'!H$3:H1000,CONCATENATE("=",$A197))=0,"",H$2))</f>
        <v>200 Back</v>
      </c>
      <c r="I197" s="3" t="str">
        <f>IF($A197="","",IF(countif('Womens Lineup'!I$3:I1000,CONCATENATE("=",$A197))=0,"",I$2))</f>
        <v/>
      </c>
      <c r="J197" s="3" t="str">
        <f>IF($A197="","",IF(countif('Womens Lineup'!J$3:J1000,CONCATENATE("=",$A197))=0,"",J$2))</f>
        <v/>
      </c>
      <c r="K197" s="3" t="str">
        <f>IF($A197="","",IF(countif('Womens Lineup'!K$3:K1000,CONCATENATE("=",$A197))=0,"",K$2))</f>
        <v/>
      </c>
      <c r="L197" s="3" t="str">
        <f>IF($A197="","",IF(countif('Womens Lineup'!L$3:L1000,CONCATENATE("=",$A197))=0,"",L$2))</f>
        <v>200 Fly</v>
      </c>
      <c r="M197" s="3" t="str">
        <f>IF($A197="","",IF(countif('Womens Lineup'!M$3:M1000,CONCATENATE("=",$A197))=0,"",M$2))</f>
        <v/>
      </c>
      <c r="N197" s="3" t="str">
        <f>IF($A197="","",IF(countif('Womens Lineup'!N$3:N1000,CONCATENATE("=",$A197))=0,"",N$2))</f>
        <v>400 IM</v>
      </c>
      <c r="O197" s="3" t="str">
        <f>IF($A197="","",IF(countif('Womens Lineup'!O$3:O1000,CONCATENATE("=",$A197))=0,"",O$2))</f>
        <v/>
      </c>
      <c r="P197" s="3" t="str">
        <f>IF($A197="","",IF(countif('Womens Lineup'!P$3:P1000,CONCATENATE("=",$A197))=0,"",P$2))</f>
        <v/>
      </c>
      <c r="Q197" s="3" t="str">
        <f>IF($A197="","",IF(countif('Womens Lineup'!Q$3:Q1000,CONCATENATE("=",$A197))=0,"",Q$2))</f>
        <v/>
      </c>
      <c r="R197" s="3" t="str">
        <f>IF($A197="","",IF(countif('Womens Lineup'!R$3:R1000,CONCATENATE("=",$A197))=0,"",R$2))</f>
        <v/>
      </c>
      <c r="S197" s="3" t="str">
        <f>IF($A197="","",IF(countif('Womens Lineup'!S$3:S1000,CONCATENATE("=",$A197))=0,"",S$2))</f>
        <v/>
      </c>
      <c r="W197" s="3" t="str">
        <f>IFERROR(__xludf.DUMMYFUNCTION("JOIN("","",FILTER(B197:S197,B197:S197&lt;&gt;""""))"),"200 Free,500 Free,1650 Free,200 Back,200 Fly,400 IM")</f>
        <v>200 Free,500 Free,1650 Free,200 Back,200 Fly,400 IM</v>
      </c>
    </row>
    <row r="198">
      <c r="A198" s="3" t="s">
        <v>512</v>
      </c>
      <c r="B198" s="3" t="str">
        <f>IF($A198="","",IF(countif('Womens Lineup'!B$3:B1000,CONCATENATE("=",$A198))=0,"",B$2))</f>
        <v/>
      </c>
      <c r="C198" s="3" t="str">
        <f>IF($A198="","",IF(countif('Womens Lineup'!C$3:C1000,CONCATENATE("=",$A198))=0,"",C$2))</f>
        <v/>
      </c>
      <c r="D198" s="3" t="str">
        <f>IF($A198="","",IF(countif('Womens Lineup'!D$3:D1000,CONCATENATE("=",$A198))=0,"",D$2))</f>
        <v>200 Free</v>
      </c>
      <c r="E198" s="3" t="str">
        <f>IF($A198="","",IF(countif('Womens Lineup'!E$3:E1000,CONCATENATE("=",$A198))=0,"",E$2))</f>
        <v/>
      </c>
      <c r="F198" s="3" t="str">
        <f>IF($A198="","",IF(countif('Womens Lineup'!F$3:F1000,CONCATENATE("=",$A198))=0,"",F$2))</f>
        <v/>
      </c>
      <c r="G198" s="3" t="str">
        <f>IF($A198="","",IF(countif('Womens Lineup'!G$3:G1000,CONCATENATE("=",$A198))=0,"",G$2))</f>
        <v/>
      </c>
      <c r="H198" s="3" t="str">
        <f>IF($A198="","",IF(countif('Womens Lineup'!H$3:H1000,CONCATENATE("=",$A198))=0,"",H$2))</f>
        <v/>
      </c>
      <c r="I198" s="3" t="str">
        <f>IF($A198="","",IF(countif('Womens Lineup'!I$3:I1000,CONCATENATE("=",$A198))=0,"",I$2))</f>
        <v/>
      </c>
      <c r="J198" s="3" t="str">
        <f>IF($A198="","",IF(countif('Womens Lineup'!J$3:J1000,CONCATENATE("=",$A198))=0,"",J$2))</f>
        <v/>
      </c>
      <c r="K198" s="3" t="str">
        <f>IF($A198="","",IF(countif('Womens Lineup'!K$3:K1000,CONCATENATE("=",$A198))=0,"",K$2))</f>
        <v>100 Fly</v>
      </c>
      <c r="L198" s="3" t="str">
        <f>IF($A198="","",IF(countif('Womens Lineup'!L$3:L1000,CONCATENATE("=",$A198))=0,"",L$2))</f>
        <v/>
      </c>
      <c r="M198" s="3" t="str">
        <f>IF($A198="","",IF(countif('Womens Lineup'!M$3:M1000,CONCATENATE("=",$A198))=0,"",M$2))</f>
        <v/>
      </c>
      <c r="N198" s="3" t="str">
        <f>IF($A198="","",IF(countif('Womens Lineup'!N$3:N1000,CONCATENATE("=",$A198))=0,"",N$2))</f>
        <v/>
      </c>
      <c r="O198" s="3" t="str">
        <f>IF($A198="","",IF(countif('Womens Lineup'!O$3:O1000,CONCATENATE("=",$A198))=0,"",O$2))</f>
        <v/>
      </c>
      <c r="P198" s="3" t="str">
        <f>IF($A198="","",IF(countif('Womens Lineup'!P$3:P1000,CONCATENATE("=",$A198))=0,"",P$2))</f>
        <v/>
      </c>
      <c r="Q198" s="3" t="str">
        <f>IF($A198="","",IF(countif('Womens Lineup'!Q$3:Q1000,CONCATENATE("=",$A198))=0,"",Q$2))</f>
        <v/>
      </c>
      <c r="R198" s="3" t="str">
        <f>IF($A198="","",IF(countif('Womens Lineup'!R$3:R1000,CONCATENATE("=",$A198))=0,"",R$2))</f>
        <v/>
      </c>
      <c r="S198" s="3" t="str">
        <f>IF($A198="","",IF(countif('Womens Lineup'!S$3:S1000,CONCATENATE("=",$A198))=0,"",S$2))</f>
        <v/>
      </c>
      <c r="W198" s="3" t="str">
        <f>IFERROR(__xludf.DUMMYFUNCTION("JOIN("","",FILTER(B198:S198,B198:S198&lt;&gt;""""))"),"200 Free,100 Fly")</f>
        <v>200 Free,100 Fly</v>
      </c>
    </row>
    <row r="199">
      <c r="A199" s="3" t="s">
        <v>513</v>
      </c>
      <c r="B199" s="3" t="str">
        <f>IF($A199="","",IF(countif('Womens Lineup'!B$3:B1000,CONCATENATE("=",$A199))=0,"",B$2))</f>
        <v/>
      </c>
      <c r="C199" s="3" t="str">
        <f>IF($A199="","",IF(countif('Womens Lineup'!C$3:C1000,CONCATENATE("=",$A199))=0,"",C$2))</f>
        <v/>
      </c>
      <c r="D199" s="3" t="str">
        <f>IF($A199="","",IF(countif('Womens Lineup'!D$3:D1000,CONCATENATE("=",$A199))=0,"",D$2))</f>
        <v>200 Free</v>
      </c>
      <c r="E199" s="3" t="str">
        <f>IF($A199="","",IF(countif('Womens Lineup'!E$3:E1000,CONCATENATE("=",$A199))=0,"",E$2))</f>
        <v>500 Free</v>
      </c>
      <c r="F199" s="3" t="str">
        <f>IF($A199="","",IF(countif('Womens Lineup'!F$3:F1000,CONCATENATE("=",$A199))=0,"",F$2))</f>
        <v>1650 Free</v>
      </c>
      <c r="G199" s="3" t="str">
        <f>IF($A199="","",IF(countif('Womens Lineup'!G$3:G1000,CONCATENATE("=",$A199))=0,"",G$2))</f>
        <v>100 Back</v>
      </c>
      <c r="H199" s="3" t="str">
        <f>IF($A199="","",IF(countif('Womens Lineup'!H$3:H1000,CONCATENATE("=",$A199))=0,"",H$2))</f>
        <v>200 Back</v>
      </c>
      <c r="I199" s="3" t="str">
        <f>IF($A199="","",IF(countif('Womens Lineup'!I$3:I1000,CONCATENATE("=",$A199))=0,"",I$2))</f>
        <v/>
      </c>
      <c r="J199" s="3" t="str">
        <f>IF($A199="","",IF(countif('Womens Lineup'!J$3:J1000,CONCATENATE("=",$A199))=0,"",J$2))</f>
        <v/>
      </c>
      <c r="K199" s="3" t="str">
        <f>IF($A199="","",IF(countif('Womens Lineup'!K$3:K1000,CONCATENATE("=",$A199))=0,"",K$2))</f>
        <v/>
      </c>
      <c r="L199" s="3" t="str">
        <f>IF($A199="","",IF(countif('Womens Lineup'!L$3:L1000,CONCATENATE("=",$A199))=0,"",L$2))</f>
        <v/>
      </c>
      <c r="M199" s="3" t="str">
        <f>IF($A199="","",IF(countif('Womens Lineup'!M$3:M1000,CONCATENATE("=",$A199))=0,"",M$2))</f>
        <v/>
      </c>
      <c r="N199" s="3" t="str">
        <f>IF($A199="","",IF(countif('Womens Lineup'!N$3:N1000,CONCATENATE("=",$A199))=0,"",N$2))</f>
        <v>400 IM</v>
      </c>
      <c r="O199" s="3" t="str">
        <f>IF($A199="","",IF(countif('Womens Lineup'!O$3:O1000,CONCATENATE("=",$A199))=0,"",O$2))</f>
        <v/>
      </c>
      <c r="P199" s="3" t="str">
        <f>IF($A199="","",IF(countif('Womens Lineup'!P$3:P1000,CONCATENATE("=",$A199))=0,"",P$2))</f>
        <v/>
      </c>
      <c r="Q199" s="3" t="str">
        <f>IF($A199="","",IF(countif('Womens Lineup'!Q$3:Q1000,CONCATENATE("=",$A199))=0,"",Q$2))</f>
        <v/>
      </c>
      <c r="R199" s="3" t="str">
        <f>IF($A199="","",IF(countif('Womens Lineup'!R$3:R1000,CONCATENATE("=",$A199))=0,"",R$2))</f>
        <v/>
      </c>
      <c r="S199" s="3" t="str">
        <f>IF($A199="","",IF(countif('Womens Lineup'!S$3:S1000,CONCATENATE("=",$A199))=0,"",S$2))</f>
        <v/>
      </c>
      <c r="W199" s="3" t="str">
        <f>IFERROR(__xludf.DUMMYFUNCTION("JOIN("","",FILTER(B199:S199,B199:S199&lt;&gt;""""))"),"200 Free,500 Free,1650 Free,100 Back,200 Back,400 IM")</f>
        <v>200 Free,500 Free,1650 Free,100 Back,200 Back,400 IM</v>
      </c>
    </row>
    <row r="200">
      <c r="A200" s="3" t="s">
        <v>514</v>
      </c>
      <c r="B200" s="3" t="str">
        <f>IF($A200="","",IF(countif('Womens Lineup'!B$3:B1000,CONCATENATE("=",$A200))=0,"",B$2))</f>
        <v/>
      </c>
      <c r="C200" s="3" t="str">
        <f>IF($A200="","",IF(countif('Womens Lineup'!C$3:C1000,CONCATENATE("=",$A200))=0,"",C$2))</f>
        <v/>
      </c>
      <c r="D200" s="3" t="str">
        <f>IF($A200="","",IF(countif('Womens Lineup'!D$3:D1000,CONCATENATE("=",$A200))=0,"",D$2))</f>
        <v>200 Free</v>
      </c>
      <c r="E200" s="3" t="str">
        <f>IF($A200="","",IF(countif('Womens Lineup'!E$3:E1000,CONCATENATE("=",$A200))=0,"",E$2))</f>
        <v/>
      </c>
      <c r="F200" s="3" t="str">
        <f>IF($A200="","",IF(countif('Womens Lineup'!F$3:F1000,CONCATENATE("=",$A200))=0,"",F$2))</f>
        <v/>
      </c>
      <c r="G200" s="3" t="str">
        <f>IF($A200="","",IF(countif('Womens Lineup'!G$3:G1000,CONCATENATE("=",$A200))=0,"",G$2))</f>
        <v>100 Back</v>
      </c>
      <c r="H200" s="3" t="str">
        <f>IF($A200="","",IF(countif('Womens Lineup'!H$3:H1000,CONCATENATE("=",$A200))=0,"",H$2))</f>
        <v>200 Back</v>
      </c>
      <c r="I200" s="3" t="str">
        <f>IF($A200="","",IF(countif('Womens Lineup'!I$3:I1000,CONCATENATE("=",$A200))=0,"",I$2))</f>
        <v>100 Breast</v>
      </c>
      <c r="J200" s="3" t="str">
        <f>IF($A200="","",IF(countif('Womens Lineup'!J$3:J1000,CONCATENATE("=",$A200))=0,"",J$2))</f>
        <v>200 Breast</v>
      </c>
      <c r="K200" s="3" t="str">
        <f>IF($A200="","",IF(countif('Womens Lineup'!K$3:K1000,CONCATENATE("=",$A200))=0,"",K$2))</f>
        <v/>
      </c>
      <c r="L200" s="3" t="str">
        <f>IF($A200="","",IF(countif('Womens Lineup'!L$3:L1000,CONCATENATE("=",$A200))=0,"",L$2))</f>
        <v/>
      </c>
      <c r="M200" s="3" t="str">
        <f>IF($A200="","",IF(countif('Womens Lineup'!M$3:M1000,CONCATENATE("=",$A200))=0,"",M$2))</f>
        <v>200 IM</v>
      </c>
      <c r="N200" s="3" t="str">
        <f>IF($A200="","",IF(countif('Womens Lineup'!N$3:N1000,CONCATENATE("=",$A200))=0,"",N$2))</f>
        <v/>
      </c>
      <c r="O200" s="3" t="str">
        <f>IF($A200="","",IF(countif('Womens Lineup'!O$3:O1000,CONCATENATE("=",$A200))=0,"",O$2))</f>
        <v/>
      </c>
      <c r="P200" s="3" t="str">
        <f>IF($A200="","",IF(countif('Womens Lineup'!P$3:P1000,CONCATENATE("=",$A200))=0,"",P$2))</f>
        <v/>
      </c>
      <c r="Q200" s="3" t="str">
        <f>IF($A200="","",IF(countif('Womens Lineup'!Q$3:Q1000,CONCATENATE("=",$A200))=0,"",Q$2))</f>
        <v/>
      </c>
      <c r="R200" s="3" t="str">
        <f>IF($A200="","",IF(countif('Womens Lineup'!R$3:R1000,CONCATENATE("=",$A200))=0,"",R$2))</f>
        <v/>
      </c>
      <c r="S200" s="3" t="str">
        <f>IF($A200="","",IF(countif('Womens Lineup'!S$3:S1000,CONCATENATE("=",$A200))=0,"",S$2))</f>
        <v/>
      </c>
      <c r="W200" s="3" t="str">
        <f>IFERROR(__xludf.DUMMYFUNCTION("JOIN("","",FILTER(B200:S200,B200:S200&lt;&gt;""""))"),"200 Free,100 Back,200 Back,100 Breast,200 Breast,200 IM")</f>
        <v>200 Free,100 Back,200 Back,100 Breast,200 Breast,200 IM</v>
      </c>
    </row>
    <row r="201">
      <c r="A201" s="3" t="s">
        <v>515</v>
      </c>
      <c r="B201" s="3" t="str">
        <f>IF($A201="","",IF(countif('Womens Lineup'!B$3:B1000,CONCATENATE("=",$A201))=0,"",B$2))</f>
        <v/>
      </c>
      <c r="C201" s="3" t="str">
        <f>IF($A201="","",IF(countif('Womens Lineup'!C$3:C1000,CONCATENATE("=",$A201))=0,"",C$2))</f>
        <v/>
      </c>
      <c r="D201" s="3" t="str">
        <f>IF($A201="","",IF(countif('Womens Lineup'!D$3:D1000,CONCATENATE("=",$A201))=0,"",D$2))</f>
        <v>200 Free</v>
      </c>
      <c r="E201" s="3" t="str">
        <f>IF($A201="","",IF(countif('Womens Lineup'!E$3:E1000,CONCATENATE("=",$A201))=0,"",E$2))</f>
        <v>500 Free</v>
      </c>
      <c r="F201" s="3" t="str">
        <f>IF($A201="","",IF(countif('Womens Lineup'!F$3:F1000,CONCATENATE("=",$A201))=0,"",F$2))</f>
        <v>1650 Free</v>
      </c>
      <c r="G201" s="3" t="str">
        <f>IF($A201="","",IF(countif('Womens Lineup'!G$3:G1000,CONCATENATE("=",$A201))=0,"",G$2))</f>
        <v/>
      </c>
      <c r="H201" s="3" t="str">
        <f>IF($A201="","",IF(countif('Womens Lineup'!H$3:H1000,CONCATENATE("=",$A201))=0,"",H$2))</f>
        <v>200 Back</v>
      </c>
      <c r="I201" s="3" t="str">
        <f>IF($A201="","",IF(countif('Womens Lineup'!I$3:I1000,CONCATENATE("=",$A201))=0,"",I$2))</f>
        <v/>
      </c>
      <c r="J201" s="3" t="str">
        <f>IF($A201="","",IF(countif('Womens Lineup'!J$3:J1000,CONCATENATE("=",$A201))=0,"",J$2))</f>
        <v/>
      </c>
      <c r="K201" s="3" t="str">
        <f>IF($A201="","",IF(countif('Womens Lineup'!K$3:K1000,CONCATENATE("=",$A201))=0,"",K$2))</f>
        <v/>
      </c>
      <c r="L201" s="3" t="str">
        <f>IF($A201="","",IF(countif('Womens Lineup'!L$3:L1000,CONCATENATE("=",$A201))=0,"",L$2))</f>
        <v/>
      </c>
      <c r="M201" s="3" t="str">
        <f>IF($A201="","",IF(countif('Womens Lineup'!M$3:M1000,CONCATENATE("=",$A201))=0,"",M$2))</f>
        <v/>
      </c>
      <c r="N201" s="3" t="str">
        <f>IF($A201="","",IF(countif('Womens Lineup'!N$3:N1000,CONCATENATE("=",$A201))=0,"",N$2))</f>
        <v>400 IM</v>
      </c>
      <c r="O201" s="3" t="str">
        <f>IF($A201="","",IF(countif('Womens Lineup'!O$3:O1000,CONCATENATE("=",$A201))=0,"",O$2))</f>
        <v>1000 Free</v>
      </c>
      <c r="P201" s="3" t="str">
        <f>IF($A201="","",IF(countif('Womens Lineup'!P$3:P1000,CONCATENATE("=",$A201))=0,"",P$2))</f>
        <v/>
      </c>
      <c r="Q201" s="3" t="str">
        <f>IF($A201="","",IF(countif('Womens Lineup'!Q$3:Q1000,CONCATENATE("=",$A201))=0,"",Q$2))</f>
        <v/>
      </c>
      <c r="R201" s="3" t="str">
        <f>IF($A201="","",IF(countif('Womens Lineup'!R$3:R1000,CONCATENATE("=",$A201))=0,"",R$2))</f>
        <v/>
      </c>
      <c r="S201" s="3" t="str">
        <f>IF($A201="","",IF(countif('Womens Lineup'!S$3:S1000,CONCATENATE("=",$A201))=0,"",S$2))</f>
        <v/>
      </c>
      <c r="W201" s="3" t="str">
        <f>IFERROR(__xludf.DUMMYFUNCTION("JOIN("","",FILTER(B201:S201,B201:S201&lt;&gt;""""))"),"200 Free,500 Free,1650 Free,200 Back,400 IM,1000 Free")</f>
        <v>200 Free,500 Free,1650 Free,200 Back,400 IM,1000 Free</v>
      </c>
    </row>
    <row r="202">
      <c r="A202" s="3" t="s">
        <v>516</v>
      </c>
      <c r="B202" s="3" t="str">
        <f>IF($A202="","",IF(countif('Womens Lineup'!B$3:B1000,CONCATENATE("=",$A202))=0,"",B$2))</f>
        <v/>
      </c>
      <c r="C202" s="3" t="str">
        <f>IF($A202="","",IF(countif('Womens Lineup'!C$3:C1000,CONCATENATE("=",$A202))=0,"",C$2))</f>
        <v/>
      </c>
      <c r="D202" s="3" t="str">
        <f>IF($A202="","",IF(countif('Womens Lineup'!D$3:D1000,CONCATENATE("=",$A202))=0,"",D$2))</f>
        <v>200 Free</v>
      </c>
      <c r="E202" s="3" t="str">
        <f>IF($A202="","",IF(countif('Womens Lineup'!E$3:E1000,CONCATENATE("=",$A202))=0,"",E$2))</f>
        <v/>
      </c>
      <c r="F202" s="3" t="str">
        <f>IF($A202="","",IF(countif('Womens Lineup'!F$3:F1000,CONCATENATE("=",$A202))=0,"",F$2))</f>
        <v/>
      </c>
      <c r="G202" s="3" t="str">
        <f>IF($A202="","",IF(countif('Womens Lineup'!G$3:G1000,CONCATENATE("=",$A202))=0,"",G$2))</f>
        <v>100 Back</v>
      </c>
      <c r="H202" s="3" t="str">
        <f>IF($A202="","",IF(countif('Womens Lineup'!H$3:H1000,CONCATENATE("=",$A202))=0,"",H$2))</f>
        <v>200 Back</v>
      </c>
      <c r="I202" s="3" t="str">
        <f>IF($A202="","",IF(countif('Womens Lineup'!I$3:I1000,CONCATENATE("=",$A202))=0,"",I$2))</f>
        <v>100 Breast</v>
      </c>
      <c r="J202" s="3" t="str">
        <f>IF($A202="","",IF(countif('Womens Lineup'!J$3:J1000,CONCATENATE("=",$A202))=0,"",J$2))</f>
        <v/>
      </c>
      <c r="K202" s="3" t="str">
        <f>IF($A202="","",IF(countif('Womens Lineup'!K$3:K1000,CONCATENATE("=",$A202))=0,"",K$2))</f>
        <v/>
      </c>
      <c r="L202" s="3" t="str">
        <f>IF($A202="","",IF(countif('Womens Lineup'!L$3:L1000,CONCATENATE("=",$A202))=0,"",L$2))</f>
        <v/>
      </c>
      <c r="M202" s="3" t="str">
        <f>IF($A202="","",IF(countif('Womens Lineup'!M$3:M1000,CONCATENATE("=",$A202))=0,"",M$2))</f>
        <v/>
      </c>
      <c r="N202" s="3" t="str">
        <f>IF($A202="","",IF(countif('Womens Lineup'!N$3:N1000,CONCATENATE("=",$A202))=0,"",N$2))</f>
        <v/>
      </c>
      <c r="O202" s="3" t="str">
        <f>IF($A202="","",IF(countif('Womens Lineup'!O$3:O1000,CONCATENATE("=",$A202))=0,"",O$2))</f>
        <v/>
      </c>
      <c r="P202" s="3" t="str">
        <f>IF($A202="","",IF(countif('Womens Lineup'!P$3:P1000,CONCATENATE("=",$A202))=0,"",P$2))</f>
        <v/>
      </c>
      <c r="Q202" s="3" t="str">
        <f>IF($A202="","",IF(countif('Womens Lineup'!Q$3:Q1000,CONCATENATE("=",$A202))=0,"",Q$2))</f>
        <v/>
      </c>
      <c r="R202" s="3" t="str">
        <f>IF($A202="","",IF(countif('Womens Lineup'!R$3:R1000,CONCATENATE("=",$A202))=0,"",R$2))</f>
        <v/>
      </c>
      <c r="S202" s="3" t="str">
        <f>IF($A202="","",IF(countif('Womens Lineup'!S$3:S1000,CONCATENATE("=",$A202))=0,"",S$2))</f>
        <v/>
      </c>
      <c r="W202" s="3" t="str">
        <f>IFERROR(__xludf.DUMMYFUNCTION("JOIN("","",FILTER(B202:S202,B202:S202&lt;&gt;""""))"),"200 Free,100 Back,200 Back,100 Breast")</f>
        <v>200 Free,100 Back,200 Back,100 Breast</v>
      </c>
    </row>
    <row r="203">
      <c r="A203" s="3" t="s">
        <v>517</v>
      </c>
      <c r="B203" s="3" t="str">
        <f>IF($A203="","",IF(countif('Womens Lineup'!B$3:B1000,CONCATENATE("=",$A203))=0,"",B$2))</f>
        <v/>
      </c>
      <c r="C203" s="3" t="str">
        <f>IF($A203="","",IF(countif('Womens Lineup'!C$3:C1000,CONCATENATE("=",$A203))=0,"",C$2))</f>
        <v/>
      </c>
      <c r="D203" s="3" t="str">
        <f>IF($A203="","",IF(countif('Womens Lineup'!D$3:D1000,CONCATENATE("=",$A203))=0,"",D$2))</f>
        <v>200 Free</v>
      </c>
      <c r="E203" s="3" t="str">
        <f>IF($A203="","",IF(countif('Womens Lineup'!E$3:E1000,CONCATENATE("=",$A203))=0,"",E$2))</f>
        <v/>
      </c>
      <c r="F203" s="3" t="str">
        <f>IF($A203="","",IF(countif('Womens Lineup'!F$3:F1000,CONCATENATE("=",$A203))=0,"",F$2))</f>
        <v/>
      </c>
      <c r="G203" s="3" t="str">
        <f>IF($A203="","",IF(countif('Womens Lineup'!G$3:G1000,CONCATENATE("=",$A203))=0,"",G$2))</f>
        <v>100 Back</v>
      </c>
      <c r="H203" s="3" t="str">
        <f>IF($A203="","",IF(countif('Womens Lineup'!H$3:H1000,CONCATENATE("=",$A203))=0,"",H$2))</f>
        <v>200 Back</v>
      </c>
      <c r="I203" s="3" t="str">
        <f>IF($A203="","",IF(countif('Womens Lineup'!I$3:I1000,CONCATENATE("=",$A203))=0,"",I$2))</f>
        <v/>
      </c>
      <c r="J203" s="3" t="str">
        <f>IF($A203="","",IF(countif('Womens Lineup'!J$3:J1000,CONCATENATE("=",$A203))=0,"",J$2))</f>
        <v/>
      </c>
      <c r="K203" s="3" t="str">
        <f>IF($A203="","",IF(countif('Womens Lineup'!K$3:K1000,CONCATENATE("=",$A203))=0,"",K$2))</f>
        <v>100 Fly</v>
      </c>
      <c r="L203" s="3" t="str">
        <f>IF($A203="","",IF(countif('Womens Lineup'!L$3:L1000,CONCATENATE("=",$A203))=0,"",L$2))</f>
        <v>200 Fly</v>
      </c>
      <c r="M203" s="3" t="str">
        <f>IF($A203="","",IF(countif('Womens Lineup'!M$3:M1000,CONCATENATE("=",$A203))=0,"",M$2))</f>
        <v>200 IM</v>
      </c>
      <c r="N203" s="3" t="str">
        <f>IF($A203="","",IF(countif('Womens Lineup'!N$3:N1000,CONCATENATE("=",$A203))=0,"",N$2))</f>
        <v/>
      </c>
      <c r="O203" s="3" t="str">
        <f>IF($A203="","",IF(countif('Womens Lineup'!O$3:O1000,CONCATENATE("=",$A203))=0,"",O$2))</f>
        <v/>
      </c>
      <c r="P203" s="3" t="str">
        <f>IF($A203="","",IF(countif('Womens Lineup'!P$3:P1000,CONCATENATE("=",$A203))=0,"",P$2))</f>
        <v/>
      </c>
      <c r="Q203" s="3" t="str">
        <f>IF($A203="","",IF(countif('Womens Lineup'!Q$3:Q1000,CONCATENATE("=",$A203))=0,"",Q$2))</f>
        <v/>
      </c>
      <c r="R203" s="3" t="str">
        <f>IF($A203="","",IF(countif('Womens Lineup'!R$3:R1000,CONCATENATE("=",$A203))=0,"",R$2))</f>
        <v/>
      </c>
      <c r="S203" s="3" t="str">
        <f>IF($A203="","",IF(countif('Womens Lineup'!S$3:S1000,CONCATENATE("=",$A203))=0,"",S$2))</f>
        <v/>
      </c>
      <c r="W203" s="3" t="str">
        <f>IFERROR(__xludf.DUMMYFUNCTION("JOIN("","",FILTER(B203:S203,B203:S203&lt;&gt;""""))"),"200 Free,100 Back,200 Back,100 Fly,200 Fly,200 IM")</f>
        <v>200 Free,100 Back,200 Back,100 Fly,200 Fly,200 IM</v>
      </c>
    </row>
    <row r="204">
      <c r="A204" s="3" t="s">
        <v>518</v>
      </c>
      <c r="B204" s="3" t="str">
        <f>IF($A204="","",IF(countif('Womens Lineup'!B$3:B1000,CONCATENATE("=",$A204))=0,"",B$2))</f>
        <v/>
      </c>
      <c r="C204" s="3" t="str">
        <f>IF($A204="","",IF(countif('Womens Lineup'!C$3:C1000,CONCATENATE("=",$A204))=0,"",C$2))</f>
        <v/>
      </c>
      <c r="D204" s="3" t="str">
        <f>IF($A204="","",IF(countif('Womens Lineup'!D$3:D1000,CONCATENATE("=",$A204))=0,"",D$2))</f>
        <v>200 Free</v>
      </c>
      <c r="E204" s="3" t="str">
        <f>IF($A204="","",IF(countif('Womens Lineup'!E$3:E1000,CONCATENATE("=",$A204))=0,"",E$2))</f>
        <v/>
      </c>
      <c r="F204" s="3" t="str">
        <f>IF($A204="","",IF(countif('Womens Lineup'!F$3:F1000,CONCATENATE("=",$A204))=0,"",F$2))</f>
        <v/>
      </c>
      <c r="G204" s="3" t="str">
        <f>IF($A204="","",IF(countif('Womens Lineup'!G$3:G1000,CONCATENATE("=",$A204))=0,"",G$2))</f>
        <v>100 Back</v>
      </c>
      <c r="H204" s="3" t="str">
        <f>IF($A204="","",IF(countif('Womens Lineup'!H$3:H1000,CONCATENATE("=",$A204))=0,"",H$2))</f>
        <v>200 Back</v>
      </c>
      <c r="I204" s="3" t="str">
        <f>IF($A204="","",IF(countif('Womens Lineup'!I$3:I1000,CONCATENATE("=",$A204))=0,"",I$2))</f>
        <v/>
      </c>
      <c r="J204" s="3" t="str">
        <f>IF($A204="","",IF(countif('Womens Lineup'!J$3:J1000,CONCATENATE("=",$A204))=0,"",J$2))</f>
        <v/>
      </c>
      <c r="K204" s="3" t="str">
        <f>IF($A204="","",IF(countif('Womens Lineup'!K$3:K1000,CONCATENATE("=",$A204))=0,"",K$2))</f>
        <v>100 Fly</v>
      </c>
      <c r="L204" s="3" t="str">
        <f>IF($A204="","",IF(countif('Womens Lineup'!L$3:L1000,CONCATENATE("=",$A204))=0,"",L$2))</f>
        <v>200 Fly</v>
      </c>
      <c r="M204" s="3" t="str">
        <f>IF($A204="","",IF(countif('Womens Lineup'!M$3:M1000,CONCATENATE("=",$A204))=0,"",M$2))</f>
        <v>200 IM</v>
      </c>
      <c r="N204" s="3" t="str">
        <f>IF($A204="","",IF(countif('Womens Lineup'!N$3:N1000,CONCATENATE("=",$A204))=0,"",N$2))</f>
        <v/>
      </c>
      <c r="O204" s="3" t="str">
        <f>IF($A204="","",IF(countif('Womens Lineup'!O$3:O1000,CONCATENATE("=",$A204))=0,"",O$2))</f>
        <v/>
      </c>
      <c r="P204" s="3" t="str">
        <f>IF($A204="","",IF(countif('Womens Lineup'!P$3:P1000,CONCATENATE("=",$A204))=0,"",P$2))</f>
        <v/>
      </c>
      <c r="Q204" s="3" t="str">
        <f>IF($A204="","",IF(countif('Womens Lineup'!Q$3:Q1000,CONCATENATE("=",$A204))=0,"",Q$2))</f>
        <v/>
      </c>
      <c r="R204" s="3" t="str">
        <f>IF($A204="","",IF(countif('Womens Lineup'!R$3:R1000,CONCATENATE("=",$A204))=0,"",R$2))</f>
        <v/>
      </c>
      <c r="S204" s="3" t="str">
        <f>IF($A204="","",IF(countif('Womens Lineup'!S$3:S1000,CONCATENATE("=",$A204))=0,"",S$2))</f>
        <v/>
      </c>
      <c r="W204" s="3" t="str">
        <f>IFERROR(__xludf.DUMMYFUNCTION("JOIN("","",FILTER(B204:S204,B204:S204&lt;&gt;""""))"),"200 Free,100 Back,200 Back,100 Fly,200 Fly,200 IM")</f>
        <v>200 Free,100 Back,200 Back,100 Fly,200 Fly,200 IM</v>
      </c>
    </row>
    <row r="205">
      <c r="A205" s="3" t="s">
        <v>519</v>
      </c>
      <c r="B205" s="3" t="str">
        <f>IF($A205="","",IF(countif('Womens Lineup'!B$3:B1000,CONCATENATE("=",$A205))=0,"",B$2))</f>
        <v/>
      </c>
      <c r="C205" s="3" t="str">
        <f>IF($A205="","",IF(countif('Womens Lineup'!C$3:C1000,CONCATENATE("=",$A205))=0,"",C$2))</f>
        <v/>
      </c>
      <c r="D205" s="3" t="str">
        <f>IF($A205="","",IF(countif('Womens Lineup'!D$3:D1000,CONCATENATE("=",$A205))=0,"",D$2))</f>
        <v>200 Free</v>
      </c>
      <c r="E205" s="3" t="str">
        <f>IF($A205="","",IF(countif('Womens Lineup'!E$3:E1000,CONCATENATE("=",$A205))=0,"",E$2))</f>
        <v>500 Free</v>
      </c>
      <c r="F205" s="3" t="str">
        <f>IF($A205="","",IF(countif('Womens Lineup'!F$3:F1000,CONCATENATE("=",$A205))=0,"",F$2))</f>
        <v>1650 Free</v>
      </c>
      <c r="G205" s="3" t="str">
        <f>IF($A205="","",IF(countif('Womens Lineup'!G$3:G1000,CONCATENATE("=",$A205))=0,"",G$2))</f>
        <v>100 Back</v>
      </c>
      <c r="H205" s="3" t="str">
        <f>IF($A205="","",IF(countif('Womens Lineup'!H$3:H1000,CONCATENATE("=",$A205))=0,"",H$2))</f>
        <v>200 Back</v>
      </c>
      <c r="I205" s="3" t="str">
        <f>IF($A205="","",IF(countif('Womens Lineup'!I$3:I1000,CONCATENATE("=",$A205))=0,"",I$2))</f>
        <v/>
      </c>
      <c r="J205" s="3" t="str">
        <f>IF($A205="","",IF(countif('Womens Lineup'!J$3:J1000,CONCATENATE("=",$A205))=0,"",J$2))</f>
        <v/>
      </c>
      <c r="K205" s="3" t="str">
        <f>IF($A205="","",IF(countif('Womens Lineup'!K$3:K1000,CONCATENATE("=",$A205))=0,"",K$2))</f>
        <v/>
      </c>
      <c r="L205" s="3" t="str">
        <f>IF($A205="","",IF(countif('Womens Lineup'!L$3:L1000,CONCATENATE("=",$A205))=0,"",L$2))</f>
        <v>200 Fly</v>
      </c>
      <c r="M205" s="3" t="str">
        <f>IF($A205="","",IF(countif('Womens Lineup'!M$3:M1000,CONCATENATE("=",$A205))=0,"",M$2))</f>
        <v/>
      </c>
      <c r="N205" s="3" t="str">
        <f>IF($A205="","",IF(countif('Womens Lineup'!N$3:N1000,CONCATENATE("=",$A205))=0,"",N$2))</f>
        <v/>
      </c>
      <c r="O205" s="3" t="str">
        <f>IF($A205="","",IF(countif('Womens Lineup'!O$3:O1000,CONCATENATE("=",$A205))=0,"",O$2))</f>
        <v/>
      </c>
      <c r="P205" s="3" t="str">
        <f>IF($A205="","",IF(countif('Womens Lineup'!P$3:P1000,CONCATENATE("=",$A205))=0,"",P$2))</f>
        <v/>
      </c>
      <c r="Q205" s="3" t="str">
        <f>IF($A205="","",IF(countif('Womens Lineup'!Q$3:Q1000,CONCATENATE("=",$A205))=0,"",Q$2))</f>
        <v/>
      </c>
      <c r="R205" s="3" t="str">
        <f>IF($A205="","",IF(countif('Womens Lineup'!R$3:R1000,CONCATENATE("=",$A205))=0,"",R$2))</f>
        <v/>
      </c>
      <c r="S205" s="3" t="str">
        <f>IF($A205="","",IF(countif('Womens Lineup'!S$3:S1000,CONCATENATE("=",$A205))=0,"",S$2))</f>
        <v/>
      </c>
      <c r="W205" s="3" t="str">
        <f>IFERROR(__xludf.DUMMYFUNCTION("JOIN("","",FILTER(B205:S205,B205:S205&lt;&gt;""""))"),"200 Free,500 Free,1650 Free,100 Back,200 Back,200 Fly")</f>
        <v>200 Free,500 Free,1650 Free,100 Back,200 Back,200 Fly</v>
      </c>
    </row>
    <row r="206">
      <c r="A206" s="3" t="s">
        <v>520</v>
      </c>
      <c r="B206" s="3" t="str">
        <f>IF($A206="","",IF(countif('Womens Lineup'!B$3:B1000,CONCATENATE("=",$A206))=0,"",B$2))</f>
        <v/>
      </c>
      <c r="C206" s="3" t="str">
        <f>IF($A206="","",IF(countif('Womens Lineup'!C$3:C1000,CONCATENATE("=",$A206))=0,"",C$2))</f>
        <v/>
      </c>
      <c r="D206" s="3" t="str">
        <f>IF($A206="","",IF(countif('Womens Lineup'!D$3:D1000,CONCATENATE("=",$A206))=0,"",D$2))</f>
        <v>200 Free</v>
      </c>
      <c r="E206" s="3" t="str">
        <f>IF($A206="","",IF(countif('Womens Lineup'!E$3:E1000,CONCATENATE("=",$A206))=0,"",E$2))</f>
        <v>500 Free</v>
      </c>
      <c r="F206" s="3" t="str">
        <f>IF($A206="","",IF(countif('Womens Lineup'!F$3:F1000,CONCATENATE("=",$A206))=0,"",F$2))</f>
        <v>1650 Free</v>
      </c>
      <c r="G206" s="3" t="str">
        <f>IF($A206="","",IF(countif('Womens Lineup'!G$3:G1000,CONCATENATE("=",$A206))=0,"",G$2))</f>
        <v/>
      </c>
      <c r="H206" s="3" t="str">
        <f>IF($A206="","",IF(countif('Womens Lineup'!H$3:H1000,CONCATENATE("=",$A206))=0,"",H$2))</f>
        <v>200 Back</v>
      </c>
      <c r="I206" s="3" t="str">
        <f>IF($A206="","",IF(countif('Womens Lineup'!I$3:I1000,CONCATENATE("=",$A206))=0,"",I$2))</f>
        <v/>
      </c>
      <c r="J206" s="3" t="str">
        <f>IF($A206="","",IF(countif('Womens Lineup'!J$3:J1000,CONCATENATE("=",$A206))=0,"",J$2))</f>
        <v/>
      </c>
      <c r="K206" s="3" t="str">
        <f>IF($A206="","",IF(countif('Womens Lineup'!K$3:K1000,CONCATENATE("=",$A206))=0,"",K$2))</f>
        <v/>
      </c>
      <c r="L206" s="3" t="str">
        <f>IF($A206="","",IF(countif('Womens Lineup'!L$3:L1000,CONCATENATE("=",$A206))=0,"",L$2))</f>
        <v/>
      </c>
      <c r="M206" s="3" t="str">
        <f>IF($A206="","",IF(countif('Womens Lineup'!M$3:M1000,CONCATENATE("=",$A206))=0,"",M$2))</f>
        <v/>
      </c>
      <c r="N206" s="3" t="str">
        <f>IF($A206="","",IF(countif('Womens Lineup'!N$3:N1000,CONCATENATE("=",$A206))=0,"",N$2))</f>
        <v>400 IM</v>
      </c>
      <c r="O206" s="3" t="str">
        <f>IF($A206="","",IF(countif('Womens Lineup'!O$3:O1000,CONCATENATE("=",$A206))=0,"",O$2))</f>
        <v>1000 Free</v>
      </c>
      <c r="P206" s="3" t="str">
        <f>IF($A206="","",IF(countif('Womens Lineup'!P$3:P1000,CONCATENATE("=",$A206))=0,"",P$2))</f>
        <v/>
      </c>
      <c r="Q206" s="3" t="str">
        <f>IF($A206="","",IF(countif('Womens Lineup'!Q$3:Q1000,CONCATENATE("=",$A206))=0,"",Q$2))</f>
        <v/>
      </c>
      <c r="R206" s="3" t="str">
        <f>IF($A206="","",IF(countif('Womens Lineup'!R$3:R1000,CONCATENATE("=",$A206))=0,"",R$2))</f>
        <v/>
      </c>
      <c r="S206" s="3" t="str">
        <f>IF($A206="","",IF(countif('Womens Lineup'!S$3:S1000,CONCATENATE("=",$A206))=0,"",S$2))</f>
        <v/>
      </c>
      <c r="W206" s="3" t="str">
        <f>IFERROR(__xludf.DUMMYFUNCTION("JOIN("","",FILTER(B206:S206,B206:S206&lt;&gt;""""))"),"200 Free,500 Free,1650 Free,200 Back,400 IM,1000 Free")</f>
        <v>200 Free,500 Free,1650 Free,200 Back,400 IM,1000 Free</v>
      </c>
    </row>
    <row r="207">
      <c r="A207" s="3" t="s">
        <v>521</v>
      </c>
      <c r="B207" s="3" t="str">
        <f>IF($A207="","",IF(countif('Womens Lineup'!B$3:B1000,CONCATENATE("=",$A207))=0,"",B$2))</f>
        <v/>
      </c>
      <c r="C207" s="3" t="str">
        <f>IF($A207="","",IF(countif('Womens Lineup'!C$3:C1000,CONCATENATE("=",$A207))=0,"",C$2))</f>
        <v/>
      </c>
      <c r="D207" s="3" t="str">
        <f>IF($A207="","",IF(countif('Womens Lineup'!D$3:D1000,CONCATENATE("=",$A207))=0,"",D$2))</f>
        <v>200 Free</v>
      </c>
      <c r="E207" s="3" t="str">
        <f>IF($A207="","",IF(countif('Womens Lineup'!E$3:E1000,CONCATENATE("=",$A207))=0,"",E$2))</f>
        <v>500 Free</v>
      </c>
      <c r="F207" s="3" t="str">
        <f>IF($A207="","",IF(countif('Womens Lineup'!F$3:F1000,CONCATENATE("=",$A207))=0,"",F$2))</f>
        <v>1650 Free</v>
      </c>
      <c r="G207" s="3" t="str">
        <f>IF($A207="","",IF(countif('Womens Lineup'!G$3:G1000,CONCATENATE("=",$A207))=0,"",G$2))</f>
        <v>100 Back</v>
      </c>
      <c r="H207" s="3" t="str">
        <f>IF($A207="","",IF(countif('Womens Lineup'!H$3:H1000,CONCATENATE("=",$A207))=0,"",H$2))</f>
        <v/>
      </c>
      <c r="I207" s="3" t="str">
        <f>IF($A207="","",IF(countif('Womens Lineup'!I$3:I1000,CONCATENATE("=",$A207))=0,"",I$2))</f>
        <v/>
      </c>
      <c r="J207" s="3" t="str">
        <f>IF($A207="","",IF(countif('Womens Lineup'!J$3:J1000,CONCATENATE("=",$A207))=0,"",J$2))</f>
        <v/>
      </c>
      <c r="K207" s="3" t="str">
        <f>IF($A207="","",IF(countif('Womens Lineup'!K$3:K1000,CONCATENATE("=",$A207))=0,"",K$2))</f>
        <v>100 Fly</v>
      </c>
      <c r="L207" s="3" t="str">
        <f>IF($A207="","",IF(countif('Womens Lineup'!L$3:L1000,CONCATENATE("=",$A207))=0,"",L$2))</f>
        <v/>
      </c>
      <c r="M207" s="3" t="str">
        <f>IF($A207="","",IF(countif('Womens Lineup'!M$3:M1000,CONCATENATE("=",$A207))=0,"",M$2))</f>
        <v/>
      </c>
      <c r="N207" s="3" t="str">
        <f>IF($A207="","",IF(countif('Womens Lineup'!N$3:N1000,CONCATENATE("=",$A207))=0,"",N$2))</f>
        <v/>
      </c>
      <c r="O207" s="3" t="str">
        <f>IF($A207="","",IF(countif('Womens Lineup'!O$3:O1000,CONCATENATE("=",$A207))=0,"",O$2))</f>
        <v>1000 Free</v>
      </c>
      <c r="P207" s="3" t="str">
        <f>IF($A207="","",IF(countif('Womens Lineup'!P$3:P1000,CONCATENATE("=",$A207))=0,"",P$2))</f>
        <v/>
      </c>
      <c r="Q207" s="3" t="str">
        <f>IF($A207="","",IF(countif('Womens Lineup'!Q$3:Q1000,CONCATENATE("=",$A207))=0,"",Q$2))</f>
        <v/>
      </c>
      <c r="R207" s="3" t="str">
        <f>IF($A207="","",IF(countif('Womens Lineup'!R$3:R1000,CONCATENATE("=",$A207))=0,"",R$2))</f>
        <v/>
      </c>
      <c r="S207" s="3" t="str">
        <f>IF($A207="","",IF(countif('Womens Lineup'!S$3:S1000,CONCATENATE("=",$A207))=0,"",S$2))</f>
        <v/>
      </c>
      <c r="W207" s="3" t="str">
        <f>IFERROR(__xludf.DUMMYFUNCTION("JOIN("","",FILTER(B207:S207,B207:S207&lt;&gt;""""))"),"200 Free,500 Free,1650 Free,100 Back,100 Fly,1000 Free")</f>
        <v>200 Free,500 Free,1650 Free,100 Back,100 Fly,1000 Free</v>
      </c>
    </row>
    <row r="208">
      <c r="A208" s="3" t="s">
        <v>522</v>
      </c>
      <c r="B208" s="3" t="str">
        <f>IF($A208="","",IF(countif('Womens Lineup'!B$3:B1000,CONCATENATE("=",$A208))=0,"",B$2))</f>
        <v/>
      </c>
      <c r="C208" s="3" t="str">
        <f>IF($A208="","",IF(countif('Womens Lineup'!C$3:C1000,CONCATENATE("=",$A208))=0,"",C$2))</f>
        <v/>
      </c>
      <c r="D208" s="3" t="str">
        <f>IF($A208="","",IF(countif('Womens Lineup'!D$3:D1000,CONCATENATE("=",$A208))=0,"",D$2))</f>
        <v>200 Free</v>
      </c>
      <c r="E208" s="3" t="str">
        <f>IF($A208="","",IF(countif('Womens Lineup'!E$3:E1000,CONCATENATE("=",$A208))=0,"",E$2))</f>
        <v>500 Free</v>
      </c>
      <c r="F208" s="3" t="str">
        <f>IF($A208="","",IF(countif('Womens Lineup'!F$3:F1000,CONCATENATE("=",$A208))=0,"",F$2))</f>
        <v>1650 Free</v>
      </c>
      <c r="G208" s="3" t="str">
        <f>IF($A208="","",IF(countif('Womens Lineup'!G$3:G1000,CONCATENATE("=",$A208))=0,"",G$2))</f>
        <v/>
      </c>
      <c r="H208" s="3" t="str">
        <f>IF($A208="","",IF(countif('Womens Lineup'!H$3:H1000,CONCATENATE("=",$A208))=0,"",H$2))</f>
        <v>200 Back</v>
      </c>
      <c r="I208" s="3" t="str">
        <f>IF($A208="","",IF(countif('Womens Lineup'!I$3:I1000,CONCATENATE("=",$A208))=0,"",I$2))</f>
        <v/>
      </c>
      <c r="J208" s="3" t="str">
        <f>IF($A208="","",IF(countif('Womens Lineup'!J$3:J1000,CONCATENATE("=",$A208))=0,"",J$2))</f>
        <v/>
      </c>
      <c r="K208" s="3" t="str">
        <f>IF($A208="","",IF(countif('Womens Lineup'!K$3:K1000,CONCATENATE("=",$A208))=0,"",K$2))</f>
        <v/>
      </c>
      <c r="L208" s="3" t="str">
        <f>IF($A208="","",IF(countif('Womens Lineup'!L$3:L1000,CONCATENATE("=",$A208))=0,"",L$2))</f>
        <v/>
      </c>
      <c r="M208" s="3" t="str">
        <f>IF($A208="","",IF(countif('Womens Lineup'!M$3:M1000,CONCATENATE("=",$A208))=0,"",M$2))</f>
        <v/>
      </c>
      <c r="N208" s="3" t="str">
        <f>IF($A208="","",IF(countif('Womens Lineup'!N$3:N1000,CONCATENATE("=",$A208))=0,"",N$2))</f>
        <v>400 IM</v>
      </c>
      <c r="O208" s="3" t="str">
        <f>IF($A208="","",IF(countif('Womens Lineup'!O$3:O1000,CONCATENATE("=",$A208))=0,"",O$2))</f>
        <v>1000 Free</v>
      </c>
      <c r="P208" s="3" t="str">
        <f>IF($A208="","",IF(countif('Womens Lineup'!P$3:P1000,CONCATENATE("=",$A208))=0,"",P$2))</f>
        <v/>
      </c>
      <c r="Q208" s="3" t="str">
        <f>IF($A208="","",IF(countif('Womens Lineup'!Q$3:Q1000,CONCATENATE("=",$A208))=0,"",Q$2))</f>
        <v/>
      </c>
      <c r="R208" s="3" t="str">
        <f>IF($A208="","",IF(countif('Womens Lineup'!R$3:R1000,CONCATENATE("=",$A208))=0,"",R$2))</f>
        <v/>
      </c>
      <c r="S208" s="3" t="str">
        <f>IF($A208="","",IF(countif('Womens Lineup'!S$3:S1000,CONCATENATE("=",$A208))=0,"",S$2))</f>
        <v/>
      </c>
      <c r="W208" s="3" t="str">
        <f>IFERROR(__xludf.DUMMYFUNCTION("JOIN("","",FILTER(B208:S208,B208:S208&lt;&gt;""""))"),"200 Free,500 Free,1650 Free,200 Back,400 IM,1000 Free")</f>
        <v>200 Free,500 Free,1650 Free,200 Back,400 IM,1000 Free</v>
      </c>
    </row>
    <row r="209">
      <c r="A209" s="3" t="s">
        <v>523</v>
      </c>
      <c r="B209" s="3" t="str">
        <f>IF($A209="","",IF(countif('Womens Lineup'!B$3:B1000,CONCATENATE("=",$A209))=0,"",B$2))</f>
        <v/>
      </c>
      <c r="C209" s="3" t="str">
        <f>IF($A209="","",IF(countif('Womens Lineup'!C$3:C1000,CONCATENATE("=",$A209))=0,"",C$2))</f>
        <v/>
      </c>
      <c r="D209" s="3" t="str">
        <f>IF($A209="","",IF(countif('Womens Lineup'!D$3:D1000,CONCATENATE("=",$A209))=0,"",D$2))</f>
        <v>200 Free</v>
      </c>
      <c r="E209" s="3" t="str">
        <f>IF($A209="","",IF(countif('Womens Lineup'!E$3:E1000,CONCATENATE("=",$A209))=0,"",E$2))</f>
        <v/>
      </c>
      <c r="F209" s="3" t="str">
        <f>IF($A209="","",IF(countif('Womens Lineup'!F$3:F1000,CONCATENATE("=",$A209))=0,"",F$2))</f>
        <v/>
      </c>
      <c r="G209" s="3" t="str">
        <f>IF($A209="","",IF(countif('Womens Lineup'!G$3:G1000,CONCATENATE("=",$A209))=0,"",G$2))</f>
        <v/>
      </c>
      <c r="H209" s="3" t="str">
        <f>IF($A209="","",IF(countif('Womens Lineup'!H$3:H1000,CONCATENATE("=",$A209))=0,"",H$2))</f>
        <v/>
      </c>
      <c r="I209" s="3" t="str">
        <f>IF($A209="","",IF(countif('Womens Lineup'!I$3:I1000,CONCATENATE("=",$A209))=0,"",I$2))</f>
        <v>100 Breast</v>
      </c>
      <c r="J209" s="3" t="str">
        <f>IF($A209="","",IF(countif('Womens Lineup'!J$3:J1000,CONCATENATE("=",$A209))=0,"",J$2))</f>
        <v>200 Breast</v>
      </c>
      <c r="K209" s="3" t="str">
        <f>IF($A209="","",IF(countif('Womens Lineup'!K$3:K1000,CONCATENATE("=",$A209))=0,"",K$2))</f>
        <v/>
      </c>
      <c r="L209" s="3" t="str">
        <f>IF($A209="","",IF(countif('Womens Lineup'!L$3:L1000,CONCATENATE("=",$A209))=0,"",L$2))</f>
        <v>200 Fly</v>
      </c>
      <c r="M209" s="3" t="str">
        <f>IF($A209="","",IF(countif('Womens Lineup'!M$3:M1000,CONCATENATE("=",$A209))=0,"",M$2))</f>
        <v>200 IM</v>
      </c>
      <c r="N209" s="3" t="str">
        <f>IF($A209="","",IF(countif('Womens Lineup'!N$3:N1000,CONCATENATE("=",$A209))=0,"",N$2))</f>
        <v>400 IM</v>
      </c>
      <c r="O209" s="3" t="str">
        <f>IF($A209="","",IF(countif('Womens Lineup'!O$3:O1000,CONCATENATE("=",$A209))=0,"",O$2))</f>
        <v/>
      </c>
      <c r="P209" s="3" t="str">
        <f>IF($A209="","",IF(countif('Womens Lineup'!P$3:P1000,CONCATENATE("=",$A209))=0,"",P$2))</f>
        <v/>
      </c>
      <c r="Q209" s="3" t="str">
        <f>IF($A209="","",IF(countif('Womens Lineup'!Q$3:Q1000,CONCATENATE("=",$A209))=0,"",Q$2))</f>
        <v/>
      </c>
      <c r="R209" s="3" t="str">
        <f>IF($A209="","",IF(countif('Womens Lineup'!R$3:R1000,CONCATENATE("=",$A209))=0,"",R$2))</f>
        <v/>
      </c>
      <c r="S209" s="3" t="str">
        <f>IF($A209="","",IF(countif('Womens Lineup'!S$3:S1000,CONCATENATE("=",$A209))=0,"",S$2))</f>
        <v/>
      </c>
      <c r="W209" s="3" t="str">
        <f>IFERROR(__xludf.DUMMYFUNCTION("JOIN("","",FILTER(B209:S209,B209:S209&lt;&gt;""""))"),"200 Free,100 Breast,200 Breast,200 Fly,200 IM,400 IM")</f>
        <v>200 Free,100 Breast,200 Breast,200 Fly,200 IM,400 IM</v>
      </c>
    </row>
    <row r="210">
      <c r="A210" s="3" t="s">
        <v>524</v>
      </c>
      <c r="B210" s="3" t="str">
        <f>IF($A210="","",IF(countif('Womens Lineup'!B$3:B1000,CONCATENATE("=",$A210))=0,"",B$2))</f>
        <v/>
      </c>
      <c r="C210" s="3" t="str">
        <f>IF($A210="","",IF(countif('Womens Lineup'!C$3:C1000,CONCATENATE("=",$A210))=0,"",C$2))</f>
        <v/>
      </c>
      <c r="D210" s="3" t="str">
        <f>IF($A210="","",IF(countif('Womens Lineup'!D$3:D1000,CONCATENATE("=",$A210))=0,"",D$2))</f>
        <v>200 Free</v>
      </c>
      <c r="E210" s="3" t="str">
        <f>IF($A210="","",IF(countif('Womens Lineup'!E$3:E1000,CONCATENATE("=",$A210))=0,"",E$2))</f>
        <v/>
      </c>
      <c r="F210" s="3" t="str">
        <f>IF($A210="","",IF(countif('Womens Lineup'!F$3:F1000,CONCATENATE("=",$A210))=0,"",F$2))</f>
        <v>1650 Free</v>
      </c>
      <c r="G210" s="3" t="str">
        <f>IF($A210="","",IF(countif('Womens Lineup'!G$3:G1000,CONCATENATE("=",$A210))=0,"",G$2))</f>
        <v/>
      </c>
      <c r="H210" s="3" t="str">
        <f>IF($A210="","",IF(countif('Womens Lineup'!H$3:H1000,CONCATENATE("=",$A210))=0,"",H$2))</f>
        <v>200 Back</v>
      </c>
      <c r="I210" s="3" t="str">
        <f>IF($A210="","",IF(countif('Womens Lineup'!I$3:I1000,CONCATENATE("=",$A210))=0,"",I$2))</f>
        <v/>
      </c>
      <c r="J210" s="3" t="str">
        <f>IF($A210="","",IF(countif('Womens Lineup'!J$3:J1000,CONCATENATE("=",$A210))=0,"",J$2))</f>
        <v/>
      </c>
      <c r="K210" s="3" t="str">
        <f>IF($A210="","",IF(countif('Womens Lineup'!K$3:K1000,CONCATENATE("=",$A210))=0,"",K$2))</f>
        <v>100 Fly</v>
      </c>
      <c r="L210" s="3" t="str">
        <f>IF($A210="","",IF(countif('Womens Lineup'!L$3:L1000,CONCATENATE("=",$A210))=0,"",L$2))</f>
        <v>200 Fly</v>
      </c>
      <c r="M210" s="3" t="str">
        <f>IF($A210="","",IF(countif('Womens Lineup'!M$3:M1000,CONCATENATE("=",$A210))=0,"",M$2))</f>
        <v/>
      </c>
      <c r="N210" s="3" t="str">
        <f>IF($A210="","",IF(countif('Womens Lineup'!N$3:N1000,CONCATENATE("=",$A210))=0,"",N$2))</f>
        <v/>
      </c>
      <c r="O210" s="3" t="str">
        <f>IF($A210="","",IF(countif('Womens Lineup'!O$3:O1000,CONCATENATE("=",$A210))=0,"",O$2))</f>
        <v>1000 Free</v>
      </c>
      <c r="P210" s="3" t="str">
        <f>IF($A210="","",IF(countif('Womens Lineup'!P$3:P1000,CONCATENATE("=",$A210))=0,"",P$2))</f>
        <v/>
      </c>
      <c r="Q210" s="3" t="str">
        <f>IF($A210="","",IF(countif('Womens Lineup'!Q$3:Q1000,CONCATENATE("=",$A210))=0,"",Q$2))</f>
        <v/>
      </c>
      <c r="R210" s="3" t="str">
        <f>IF($A210="","",IF(countif('Womens Lineup'!R$3:R1000,CONCATENATE("=",$A210))=0,"",R$2))</f>
        <v/>
      </c>
      <c r="S210" s="3" t="str">
        <f>IF($A210="","",IF(countif('Womens Lineup'!S$3:S1000,CONCATENATE("=",$A210))=0,"",S$2))</f>
        <v/>
      </c>
      <c r="W210" s="3" t="str">
        <f>IFERROR(__xludf.DUMMYFUNCTION("JOIN("","",FILTER(B210:S210,B210:S210&lt;&gt;""""))"),"200 Free,1650 Free,200 Back,100 Fly,200 Fly,1000 Free")</f>
        <v>200 Free,1650 Free,200 Back,100 Fly,200 Fly,1000 Free</v>
      </c>
    </row>
    <row r="211">
      <c r="A211" s="3" t="s">
        <v>525</v>
      </c>
      <c r="B211" s="3" t="str">
        <f>IF($A211="","",IF(countif('Womens Lineup'!B$3:B1000,CONCATENATE("=",$A211))=0,"",B$2))</f>
        <v/>
      </c>
      <c r="C211" s="3" t="str">
        <f>IF($A211="","",IF(countif('Womens Lineup'!C$3:C1000,CONCATENATE("=",$A211))=0,"",C$2))</f>
        <v/>
      </c>
      <c r="D211" s="3" t="str">
        <f>IF($A211="","",IF(countif('Womens Lineup'!D$3:D1000,CONCATENATE("=",$A211))=0,"",D$2))</f>
        <v>200 Free</v>
      </c>
      <c r="E211" s="3" t="str">
        <f>IF($A211="","",IF(countif('Womens Lineup'!E$3:E1000,CONCATENATE("=",$A211))=0,"",E$2))</f>
        <v/>
      </c>
      <c r="F211" s="3" t="str">
        <f>IF($A211="","",IF(countif('Womens Lineup'!F$3:F1000,CONCATENATE("=",$A211))=0,"",F$2))</f>
        <v/>
      </c>
      <c r="G211" s="3" t="str">
        <f>IF($A211="","",IF(countif('Womens Lineup'!G$3:G1000,CONCATENATE("=",$A211))=0,"",G$2))</f>
        <v>100 Back</v>
      </c>
      <c r="H211" s="3" t="str">
        <f>IF($A211="","",IF(countif('Womens Lineup'!H$3:H1000,CONCATENATE("=",$A211))=0,"",H$2))</f>
        <v>200 Back</v>
      </c>
      <c r="I211" s="3" t="str">
        <f>IF($A211="","",IF(countif('Womens Lineup'!I$3:I1000,CONCATENATE("=",$A211))=0,"",I$2))</f>
        <v/>
      </c>
      <c r="J211" s="3" t="str">
        <f>IF($A211="","",IF(countif('Womens Lineup'!J$3:J1000,CONCATENATE("=",$A211))=0,"",J$2))</f>
        <v/>
      </c>
      <c r="K211" s="3" t="str">
        <f>IF($A211="","",IF(countif('Womens Lineup'!K$3:K1000,CONCATENATE("=",$A211))=0,"",K$2))</f>
        <v/>
      </c>
      <c r="L211" s="3" t="str">
        <f>IF($A211="","",IF(countif('Womens Lineup'!L$3:L1000,CONCATENATE("=",$A211))=0,"",L$2))</f>
        <v/>
      </c>
      <c r="M211" s="3" t="str">
        <f>IF($A211="","",IF(countif('Womens Lineup'!M$3:M1000,CONCATENATE("=",$A211))=0,"",M$2))</f>
        <v/>
      </c>
      <c r="N211" s="3" t="str">
        <f>IF($A211="","",IF(countif('Womens Lineup'!N$3:N1000,CONCATENATE("=",$A211))=0,"",N$2))</f>
        <v/>
      </c>
      <c r="O211" s="3" t="str">
        <f>IF($A211="","",IF(countif('Womens Lineup'!O$3:O1000,CONCATENATE("=",$A211))=0,"",O$2))</f>
        <v/>
      </c>
      <c r="P211" s="3" t="str">
        <f>IF($A211="","",IF(countif('Womens Lineup'!P$3:P1000,CONCATENATE("=",$A211))=0,"",P$2))</f>
        <v/>
      </c>
      <c r="Q211" s="3" t="str">
        <f>IF($A211="","",IF(countif('Womens Lineup'!Q$3:Q1000,CONCATENATE("=",$A211))=0,"",Q$2))</f>
        <v/>
      </c>
      <c r="R211" s="3" t="str">
        <f>IF($A211="","",IF(countif('Womens Lineup'!R$3:R1000,CONCATENATE("=",$A211))=0,"",R$2))</f>
        <v/>
      </c>
      <c r="S211" s="3" t="str">
        <f>IF($A211="","",IF(countif('Womens Lineup'!S$3:S1000,CONCATENATE("=",$A211))=0,"",S$2))</f>
        <v/>
      </c>
      <c r="W211" s="3" t="str">
        <f>IFERROR(__xludf.DUMMYFUNCTION("JOIN("","",FILTER(B211:S211,B211:S211&lt;&gt;""""))"),"200 Free,100 Back,200 Back")</f>
        <v>200 Free,100 Back,200 Back</v>
      </c>
    </row>
    <row r="212">
      <c r="A212" s="3" t="s">
        <v>526</v>
      </c>
      <c r="B212" s="3" t="str">
        <f>IF($A212="","",IF(countif('Womens Lineup'!B$3:B1000,CONCATENATE("=",$A212))=0,"",B$2))</f>
        <v/>
      </c>
      <c r="C212" s="3" t="str">
        <f>IF($A212="","",IF(countif('Womens Lineup'!C$3:C1000,CONCATENATE("=",$A212))=0,"",C$2))</f>
        <v/>
      </c>
      <c r="D212" s="3" t="str">
        <f>IF($A212="","",IF(countif('Womens Lineup'!D$3:D1000,CONCATENATE("=",$A212))=0,"",D$2))</f>
        <v>200 Free</v>
      </c>
      <c r="E212" s="3" t="str">
        <f>IF($A212="","",IF(countif('Womens Lineup'!E$3:E1000,CONCATENATE("=",$A212))=0,"",E$2))</f>
        <v>500 Free</v>
      </c>
      <c r="F212" s="3" t="str">
        <f>IF($A212="","",IF(countif('Womens Lineup'!F$3:F1000,CONCATENATE("=",$A212))=0,"",F$2))</f>
        <v>1650 Free</v>
      </c>
      <c r="G212" s="3" t="str">
        <f>IF($A212="","",IF(countif('Womens Lineup'!G$3:G1000,CONCATENATE("=",$A212))=0,"",G$2))</f>
        <v/>
      </c>
      <c r="H212" s="3" t="str">
        <f>IF($A212="","",IF(countif('Womens Lineup'!H$3:H1000,CONCATENATE("=",$A212))=0,"",H$2))</f>
        <v/>
      </c>
      <c r="I212" s="3" t="str">
        <f>IF($A212="","",IF(countif('Womens Lineup'!I$3:I1000,CONCATENATE("=",$A212))=0,"",I$2))</f>
        <v/>
      </c>
      <c r="J212" s="3" t="str">
        <f>IF($A212="","",IF(countif('Womens Lineup'!J$3:J1000,CONCATENATE("=",$A212))=0,"",J$2))</f>
        <v/>
      </c>
      <c r="K212" s="3" t="str">
        <f>IF($A212="","",IF(countif('Womens Lineup'!K$3:K1000,CONCATENATE("=",$A212))=0,"",K$2))</f>
        <v/>
      </c>
      <c r="L212" s="3" t="str">
        <f>IF($A212="","",IF(countif('Womens Lineup'!L$3:L1000,CONCATENATE("=",$A212))=0,"",L$2))</f>
        <v/>
      </c>
      <c r="M212" s="3" t="str">
        <f>IF($A212="","",IF(countif('Womens Lineup'!M$3:M1000,CONCATENATE("=",$A212))=0,"",M$2))</f>
        <v/>
      </c>
      <c r="N212" s="3" t="str">
        <f>IF($A212="","",IF(countif('Womens Lineup'!N$3:N1000,CONCATENATE("=",$A212))=0,"",N$2))</f>
        <v/>
      </c>
      <c r="O212" s="3" t="str">
        <f>IF($A212="","",IF(countif('Womens Lineup'!O$3:O1000,CONCATENATE("=",$A212))=0,"",O$2))</f>
        <v>1000 Free</v>
      </c>
      <c r="P212" s="3" t="str">
        <f>IF($A212="","",IF(countif('Womens Lineup'!P$3:P1000,CONCATENATE("=",$A212))=0,"",P$2))</f>
        <v/>
      </c>
      <c r="Q212" s="3" t="str">
        <f>IF($A212="","",IF(countif('Womens Lineup'!Q$3:Q1000,CONCATENATE("=",$A212))=0,"",Q$2))</f>
        <v/>
      </c>
      <c r="R212" s="3" t="str">
        <f>IF($A212="","",IF(countif('Womens Lineup'!R$3:R1000,CONCATENATE("=",$A212))=0,"",R$2))</f>
        <v/>
      </c>
      <c r="S212" s="3" t="str">
        <f>IF($A212="","",IF(countif('Womens Lineup'!S$3:S1000,CONCATENATE("=",$A212))=0,"",S$2))</f>
        <v/>
      </c>
      <c r="W212" s="3" t="str">
        <f>IFERROR(__xludf.DUMMYFUNCTION("JOIN("","",FILTER(B212:S212,B212:S212&lt;&gt;""""))"),"200 Free,500 Free,1650 Free,1000 Free")</f>
        <v>200 Free,500 Free,1650 Free,1000 Free</v>
      </c>
    </row>
    <row r="213">
      <c r="A213" s="3" t="s">
        <v>527</v>
      </c>
      <c r="B213" s="3" t="str">
        <f>IF($A213="","",IF(countif('Womens Lineup'!B$3:B1000,CONCATENATE("=",$A213))=0,"",B$2))</f>
        <v/>
      </c>
      <c r="C213" s="3" t="str">
        <f>IF($A213="","",IF(countif('Womens Lineup'!C$3:C1000,CONCATENATE("=",$A213))=0,"",C$2))</f>
        <v/>
      </c>
      <c r="D213" s="3" t="str">
        <f>IF($A213="","",IF(countif('Womens Lineup'!D$3:D1000,CONCATENATE("=",$A213))=0,"",D$2))</f>
        <v>200 Free</v>
      </c>
      <c r="E213" s="3" t="str">
        <f>IF($A213="","",IF(countif('Womens Lineup'!E$3:E1000,CONCATENATE("=",$A213))=0,"",E$2))</f>
        <v>500 Free</v>
      </c>
      <c r="F213" s="3" t="str">
        <f>IF($A213="","",IF(countif('Womens Lineup'!F$3:F1000,CONCATENATE("=",$A213))=0,"",F$2))</f>
        <v>1650 Free</v>
      </c>
      <c r="G213" s="3" t="str">
        <f>IF($A213="","",IF(countif('Womens Lineup'!G$3:G1000,CONCATENATE("=",$A213))=0,"",G$2))</f>
        <v/>
      </c>
      <c r="H213" s="3" t="str">
        <f>IF($A213="","",IF(countif('Womens Lineup'!H$3:H1000,CONCATENATE("=",$A213))=0,"",H$2))</f>
        <v/>
      </c>
      <c r="I213" s="3" t="str">
        <f>IF($A213="","",IF(countif('Womens Lineup'!I$3:I1000,CONCATENATE("=",$A213))=0,"",I$2))</f>
        <v/>
      </c>
      <c r="J213" s="3" t="str">
        <f>IF($A213="","",IF(countif('Womens Lineup'!J$3:J1000,CONCATENATE("=",$A213))=0,"",J$2))</f>
        <v/>
      </c>
      <c r="K213" s="3" t="str">
        <f>IF($A213="","",IF(countif('Womens Lineup'!K$3:K1000,CONCATENATE("=",$A213))=0,"",K$2))</f>
        <v>100 Fly</v>
      </c>
      <c r="L213" s="3" t="str">
        <f>IF($A213="","",IF(countif('Womens Lineup'!L$3:L1000,CONCATENATE("=",$A213))=0,"",L$2))</f>
        <v>200 Fly</v>
      </c>
      <c r="M213" s="3" t="str">
        <f>IF($A213="","",IF(countif('Womens Lineup'!M$3:M1000,CONCATENATE("=",$A213))=0,"",M$2))</f>
        <v/>
      </c>
      <c r="N213" s="3" t="str">
        <f>IF($A213="","",IF(countif('Womens Lineup'!N$3:N1000,CONCATENATE("=",$A213))=0,"",N$2))</f>
        <v/>
      </c>
      <c r="O213" s="3" t="str">
        <f>IF($A213="","",IF(countif('Womens Lineup'!O$3:O1000,CONCATENATE("=",$A213))=0,"",O$2))</f>
        <v>1000 Free</v>
      </c>
      <c r="P213" s="3" t="str">
        <f>IF($A213="","",IF(countif('Womens Lineup'!P$3:P1000,CONCATENATE("=",$A213))=0,"",P$2))</f>
        <v/>
      </c>
      <c r="Q213" s="3" t="str">
        <f>IF($A213="","",IF(countif('Womens Lineup'!Q$3:Q1000,CONCATENATE("=",$A213))=0,"",Q$2))</f>
        <v/>
      </c>
      <c r="R213" s="3" t="str">
        <f>IF($A213="","",IF(countif('Womens Lineup'!R$3:R1000,CONCATENATE("=",$A213))=0,"",R$2))</f>
        <v/>
      </c>
      <c r="S213" s="3" t="str">
        <f>IF($A213="","",IF(countif('Womens Lineup'!S$3:S1000,CONCATENATE("=",$A213))=0,"",S$2))</f>
        <v/>
      </c>
      <c r="W213" s="3" t="str">
        <f>IFERROR(__xludf.DUMMYFUNCTION("JOIN("","",FILTER(B213:S213,B213:S213&lt;&gt;""""))"),"200 Free,500 Free,1650 Free,100 Fly,200 Fly,1000 Free")</f>
        <v>200 Free,500 Free,1650 Free,100 Fly,200 Fly,1000 Free</v>
      </c>
    </row>
    <row r="214">
      <c r="A214" s="3" t="s">
        <v>528</v>
      </c>
      <c r="B214" s="3" t="str">
        <f>IF($A214="","",IF(countif('Womens Lineup'!B$3:B1000,CONCATENATE("=",$A214))=0,"",B$2))</f>
        <v/>
      </c>
      <c r="C214" s="3" t="str">
        <f>IF($A214="","",IF(countif('Womens Lineup'!C$3:C1000,CONCATENATE("=",$A214))=0,"",C$2))</f>
        <v/>
      </c>
      <c r="D214" s="3" t="str">
        <f>IF($A214="","",IF(countif('Womens Lineup'!D$3:D1000,CONCATENATE("=",$A214))=0,"",D$2))</f>
        <v>200 Free</v>
      </c>
      <c r="E214" s="3" t="str">
        <f>IF($A214="","",IF(countif('Womens Lineup'!E$3:E1000,CONCATENATE("=",$A214))=0,"",E$2))</f>
        <v/>
      </c>
      <c r="F214" s="3" t="str">
        <f>IF($A214="","",IF(countif('Womens Lineup'!F$3:F1000,CONCATENATE("=",$A214))=0,"",F$2))</f>
        <v/>
      </c>
      <c r="G214" s="3" t="str">
        <f>IF($A214="","",IF(countif('Womens Lineup'!G$3:G1000,CONCATENATE("=",$A214))=0,"",G$2))</f>
        <v>100 Back</v>
      </c>
      <c r="H214" s="3" t="str">
        <f>IF($A214="","",IF(countif('Womens Lineup'!H$3:H1000,CONCATENATE("=",$A214))=0,"",H$2))</f>
        <v>200 Back</v>
      </c>
      <c r="I214" s="3" t="str">
        <f>IF($A214="","",IF(countif('Womens Lineup'!I$3:I1000,CONCATENATE("=",$A214))=0,"",I$2))</f>
        <v/>
      </c>
      <c r="J214" s="3" t="str">
        <f>IF($A214="","",IF(countif('Womens Lineup'!J$3:J1000,CONCATENATE("=",$A214))=0,"",J$2))</f>
        <v/>
      </c>
      <c r="K214" s="3" t="str">
        <f>IF($A214="","",IF(countif('Womens Lineup'!K$3:K1000,CONCATENATE("=",$A214))=0,"",K$2))</f>
        <v/>
      </c>
      <c r="L214" s="3" t="str">
        <f>IF($A214="","",IF(countif('Womens Lineup'!L$3:L1000,CONCATENATE("=",$A214))=0,"",L$2))</f>
        <v/>
      </c>
      <c r="M214" s="3" t="str">
        <f>IF($A214="","",IF(countif('Womens Lineup'!M$3:M1000,CONCATENATE("=",$A214))=0,"",M$2))</f>
        <v/>
      </c>
      <c r="N214" s="3" t="str">
        <f>IF($A214="","",IF(countif('Womens Lineup'!N$3:N1000,CONCATENATE("=",$A214))=0,"",N$2))</f>
        <v>400 IM</v>
      </c>
      <c r="O214" s="3" t="str">
        <f>IF($A214="","",IF(countif('Womens Lineup'!O$3:O1000,CONCATENATE("=",$A214))=0,"",O$2))</f>
        <v/>
      </c>
      <c r="P214" s="3" t="str">
        <f>IF($A214="","",IF(countif('Womens Lineup'!P$3:P1000,CONCATENATE("=",$A214))=0,"",P$2))</f>
        <v/>
      </c>
      <c r="Q214" s="3" t="str">
        <f>IF($A214="","",IF(countif('Womens Lineup'!Q$3:Q1000,CONCATENATE("=",$A214))=0,"",Q$2))</f>
        <v/>
      </c>
      <c r="R214" s="3" t="str">
        <f>IF($A214="","",IF(countif('Womens Lineup'!R$3:R1000,CONCATENATE("=",$A214))=0,"",R$2))</f>
        <v/>
      </c>
      <c r="S214" s="3" t="str">
        <f>IF($A214="","",IF(countif('Womens Lineup'!S$3:S1000,CONCATENATE("=",$A214))=0,"",S$2))</f>
        <v/>
      </c>
      <c r="W214" s="3" t="str">
        <f>IFERROR(__xludf.DUMMYFUNCTION("JOIN("","",FILTER(B214:S214,B214:S214&lt;&gt;""""))"),"200 Free,100 Back,200 Back,400 IM")</f>
        <v>200 Free,100 Back,200 Back,400 IM</v>
      </c>
    </row>
    <row r="215">
      <c r="A215" s="3" t="s">
        <v>529</v>
      </c>
      <c r="B215" s="3" t="str">
        <f>IF($A215="","",IF(countif('Womens Lineup'!B$3:B1000,CONCATENATE("=",$A215))=0,"",B$2))</f>
        <v/>
      </c>
      <c r="C215" s="3" t="str">
        <f>IF($A215="","",IF(countif('Womens Lineup'!C$3:C1000,CONCATENATE("=",$A215))=0,"",C$2))</f>
        <v/>
      </c>
      <c r="D215" s="3" t="str">
        <f>IF($A215="","",IF(countif('Womens Lineup'!D$3:D1000,CONCATENATE("=",$A215))=0,"",D$2))</f>
        <v>200 Free</v>
      </c>
      <c r="E215" s="3" t="str">
        <f>IF($A215="","",IF(countif('Womens Lineup'!E$3:E1000,CONCATENATE("=",$A215))=0,"",E$2))</f>
        <v/>
      </c>
      <c r="F215" s="3" t="str">
        <f>IF($A215="","",IF(countif('Womens Lineup'!F$3:F1000,CONCATENATE("=",$A215))=0,"",F$2))</f>
        <v/>
      </c>
      <c r="G215" s="3" t="str">
        <f>IF($A215="","",IF(countif('Womens Lineup'!G$3:G1000,CONCATENATE("=",$A215))=0,"",G$2))</f>
        <v/>
      </c>
      <c r="H215" s="3" t="str">
        <f>IF($A215="","",IF(countif('Womens Lineup'!H$3:H1000,CONCATENATE("=",$A215))=0,"",H$2))</f>
        <v/>
      </c>
      <c r="I215" s="3" t="str">
        <f>IF($A215="","",IF(countif('Womens Lineup'!I$3:I1000,CONCATENATE("=",$A215))=0,"",I$2))</f>
        <v/>
      </c>
      <c r="J215" s="3" t="str">
        <f>IF($A215="","",IF(countif('Womens Lineup'!J$3:J1000,CONCATENATE("=",$A215))=0,"",J$2))</f>
        <v/>
      </c>
      <c r="K215" s="3" t="str">
        <f>IF($A215="","",IF(countif('Womens Lineup'!K$3:K1000,CONCATENATE("=",$A215))=0,"",K$2))</f>
        <v/>
      </c>
      <c r="L215" s="3" t="str">
        <f>IF($A215="","",IF(countif('Womens Lineup'!L$3:L1000,CONCATENATE("=",$A215))=0,"",L$2))</f>
        <v/>
      </c>
      <c r="M215" s="3" t="str">
        <f>IF($A215="","",IF(countif('Womens Lineup'!M$3:M1000,CONCATENATE("=",$A215))=0,"",M$2))</f>
        <v/>
      </c>
      <c r="N215" s="3" t="str">
        <f>IF($A215="","",IF(countif('Womens Lineup'!N$3:N1000,CONCATENATE("=",$A215))=0,"",N$2))</f>
        <v/>
      </c>
      <c r="O215" s="3" t="str">
        <f>IF($A215="","",IF(countif('Womens Lineup'!O$3:O1000,CONCATENATE("=",$A215))=0,"",O$2))</f>
        <v/>
      </c>
      <c r="P215" s="3" t="str">
        <f>IF($A215="","",IF(countif('Womens Lineup'!P$3:P1000,CONCATENATE("=",$A215))=0,"",P$2))</f>
        <v/>
      </c>
      <c r="Q215" s="3" t="str">
        <f>IF($A215="","",IF(countif('Womens Lineup'!Q$3:Q1000,CONCATENATE("=",$A215))=0,"",Q$2))</f>
        <v/>
      </c>
      <c r="R215" s="3" t="str">
        <f>IF($A215="","",IF(countif('Womens Lineup'!R$3:R1000,CONCATENATE("=",$A215))=0,"",R$2))</f>
        <v/>
      </c>
      <c r="S215" s="3" t="str">
        <f>IF($A215="","",IF(countif('Womens Lineup'!S$3:S1000,CONCATENATE("=",$A215))=0,"",S$2))</f>
        <v/>
      </c>
      <c r="W215" s="3" t="str">
        <f>IFERROR(__xludf.DUMMYFUNCTION("JOIN("","",FILTER(B215:S215,B215:S215&lt;&gt;""""))"),"200 Free")</f>
        <v>200 Free</v>
      </c>
    </row>
    <row r="216">
      <c r="A216" s="3" t="s">
        <v>530</v>
      </c>
      <c r="B216" s="3" t="str">
        <f>IF($A216="","",IF(countif('Womens Lineup'!B$3:B1000,CONCATENATE("=",$A216))=0,"",B$2))</f>
        <v/>
      </c>
      <c r="C216" s="3" t="str">
        <f>IF($A216="","",IF(countif('Womens Lineup'!C$3:C1000,CONCATENATE("=",$A216))=0,"",C$2))</f>
        <v/>
      </c>
      <c r="D216" s="3" t="str">
        <f>IF($A216="","",IF(countif('Womens Lineup'!D$3:D1000,CONCATENATE("=",$A216))=0,"",D$2))</f>
        <v/>
      </c>
      <c r="E216" s="3" t="str">
        <f>IF($A216="","",IF(countif('Womens Lineup'!E$3:E1000,CONCATENATE("=",$A216))=0,"",E$2))</f>
        <v>500 Free</v>
      </c>
      <c r="F216" s="3" t="str">
        <f>IF($A216="","",IF(countif('Womens Lineup'!F$3:F1000,CONCATENATE("=",$A216))=0,"",F$2))</f>
        <v/>
      </c>
      <c r="G216" s="3" t="str">
        <f>IF($A216="","",IF(countif('Womens Lineup'!G$3:G1000,CONCATENATE("=",$A216))=0,"",G$2))</f>
        <v/>
      </c>
      <c r="H216" s="3" t="str">
        <f>IF($A216="","",IF(countif('Womens Lineup'!H$3:H1000,CONCATENATE("=",$A216))=0,"",H$2))</f>
        <v>200 Back</v>
      </c>
      <c r="I216" s="3" t="str">
        <f>IF($A216="","",IF(countif('Womens Lineup'!I$3:I1000,CONCATENATE("=",$A216))=0,"",I$2))</f>
        <v>100 Breast</v>
      </c>
      <c r="J216" s="3" t="str">
        <f>IF($A216="","",IF(countif('Womens Lineup'!J$3:J1000,CONCATENATE("=",$A216))=0,"",J$2))</f>
        <v/>
      </c>
      <c r="K216" s="3" t="str">
        <f>IF($A216="","",IF(countif('Womens Lineup'!K$3:K1000,CONCATENATE("=",$A216))=0,"",K$2))</f>
        <v/>
      </c>
      <c r="L216" s="3" t="str">
        <f>IF($A216="","",IF(countif('Womens Lineup'!L$3:L1000,CONCATENATE("=",$A216))=0,"",L$2))</f>
        <v>200 Fly</v>
      </c>
      <c r="M216" s="3" t="str">
        <f>IF($A216="","",IF(countif('Womens Lineup'!M$3:M1000,CONCATENATE("=",$A216))=0,"",M$2))</f>
        <v>200 IM</v>
      </c>
      <c r="N216" s="3" t="str">
        <f>IF($A216="","",IF(countif('Womens Lineup'!N$3:N1000,CONCATENATE("=",$A216))=0,"",N$2))</f>
        <v>400 IM</v>
      </c>
      <c r="O216" s="3" t="str">
        <f>IF($A216="","",IF(countif('Womens Lineup'!O$3:O1000,CONCATENATE("=",$A216))=0,"",O$2))</f>
        <v/>
      </c>
      <c r="P216" s="3" t="str">
        <f>IF($A216="","",IF(countif('Womens Lineup'!P$3:P1000,CONCATENATE("=",$A216))=0,"",P$2))</f>
        <v/>
      </c>
      <c r="Q216" s="3" t="str">
        <f>IF($A216="","",IF(countif('Womens Lineup'!Q$3:Q1000,CONCATENATE("=",$A216))=0,"",Q$2))</f>
        <v/>
      </c>
      <c r="R216" s="3" t="str">
        <f>IF($A216="","",IF(countif('Womens Lineup'!R$3:R1000,CONCATENATE("=",$A216))=0,"",R$2))</f>
        <v/>
      </c>
      <c r="S216" s="3" t="str">
        <f>IF($A216="","",IF(countif('Womens Lineup'!S$3:S1000,CONCATENATE("=",$A216))=0,"",S$2))</f>
        <v/>
      </c>
      <c r="W216" s="3" t="str">
        <f>IFERROR(__xludf.DUMMYFUNCTION("JOIN("","",FILTER(B216:S216,B216:S216&lt;&gt;""""))"),"500 Free,200 Back,100 Breast,200 Fly,200 IM,400 IM")</f>
        <v>500 Free,200 Back,100 Breast,200 Fly,200 IM,400 IM</v>
      </c>
    </row>
    <row r="217">
      <c r="A217" s="3" t="s">
        <v>531</v>
      </c>
      <c r="B217" s="3" t="str">
        <f>IF($A217="","",IF(countif('Womens Lineup'!B$3:B1000,CONCATENATE("=",$A217))=0,"",B$2))</f>
        <v/>
      </c>
      <c r="C217" s="3" t="str">
        <f>IF($A217="","",IF(countif('Womens Lineup'!C$3:C1000,CONCATENATE("=",$A217))=0,"",C$2))</f>
        <v/>
      </c>
      <c r="D217" s="3" t="str">
        <f>IF($A217="","",IF(countif('Womens Lineup'!D$3:D1000,CONCATENATE("=",$A217))=0,"",D$2))</f>
        <v/>
      </c>
      <c r="E217" s="3" t="str">
        <f>IF($A217="","",IF(countif('Womens Lineup'!E$3:E1000,CONCATENATE("=",$A217))=0,"",E$2))</f>
        <v>500 Free</v>
      </c>
      <c r="F217" s="3" t="str">
        <f>IF($A217="","",IF(countif('Womens Lineup'!F$3:F1000,CONCATENATE("=",$A217))=0,"",F$2))</f>
        <v/>
      </c>
      <c r="G217" s="3" t="str">
        <f>IF($A217="","",IF(countif('Womens Lineup'!G$3:G1000,CONCATENATE("=",$A217))=0,"",G$2))</f>
        <v/>
      </c>
      <c r="H217" s="3" t="str">
        <f>IF($A217="","",IF(countif('Womens Lineup'!H$3:H1000,CONCATENATE("=",$A217))=0,"",H$2))</f>
        <v>200 Back</v>
      </c>
      <c r="I217" s="3" t="str">
        <f>IF($A217="","",IF(countif('Womens Lineup'!I$3:I1000,CONCATENATE("=",$A217))=0,"",I$2))</f>
        <v/>
      </c>
      <c r="J217" s="3" t="str">
        <f>IF($A217="","",IF(countif('Womens Lineup'!J$3:J1000,CONCATENATE("=",$A217))=0,"",J$2))</f>
        <v/>
      </c>
      <c r="K217" s="3" t="str">
        <f>IF($A217="","",IF(countif('Womens Lineup'!K$3:K1000,CONCATENATE("=",$A217))=0,"",K$2))</f>
        <v>100 Fly</v>
      </c>
      <c r="L217" s="3" t="str">
        <f>IF($A217="","",IF(countif('Womens Lineup'!L$3:L1000,CONCATENATE("=",$A217))=0,"",L$2))</f>
        <v>200 Fly</v>
      </c>
      <c r="M217" s="3" t="str">
        <f>IF($A217="","",IF(countif('Womens Lineup'!M$3:M1000,CONCATENATE("=",$A217))=0,"",M$2))</f>
        <v>200 IM</v>
      </c>
      <c r="N217" s="3" t="str">
        <f>IF($A217="","",IF(countif('Womens Lineup'!N$3:N1000,CONCATENATE("=",$A217))=0,"",N$2))</f>
        <v>400 IM</v>
      </c>
      <c r="O217" s="3" t="str">
        <f>IF($A217="","",IF(countif('Womens Lineup'!O$3:O1000,CONCATENATE("=",$A217))=0,"",O$2))</f>
        <v/>
      </c>
      <c r="P217" s="3" t="str">
        <f>IF($A217="","",IF(countif('Womens Lineup'!P$3:P1000,CONCATENATE("=",$A217))=0,"",P$2))</f>
        <v/>
      </c>
      <c r="Q217" s="3" t="str">
        <f>IF($A217="","",IF(countif('Womens Lineup'!Q$3:Q1000,CONCATENATE("=",$A217))=0,"",Q$2))</f>
        <v/>
      </c>
      <c r="R217" s="3" t="str">
        <f>IF($A217="","",IF(countif('Womens Lineup'!R$3:R1000,CONCATENATE("=",$A217))=0,"",R$2))</f>
        <v/>
      </c>
      <c r="S217" s="3" t="str">
        <f>IF($A217="","",IF(countif('Womens Lineup'!S$3:S1000,CONCATENATE("=",$A217))=0,"",S$2))</f>
        <v/>
      </c>
      <c r="W217" s="3" t="str">
        <f>IFERROR(__xludf.DUMMYFUNCTION("JOIN("","",FILTER(B217:S217,B217:S217&lt;&gt;""""))"),"500 Free,200 Back,100 Fly,200 Fly,200 IM,400 IM")</f>
        <v>500 Free,200 Back,100 Fly,200 Fly,200 IM,400 IM</v>
      </c>
    </row>
    <row r="218">
      <c r="A218" s="3" t="s">
        <v>532</v>
      </c>
      <c r="B218" s="3" t="str">
        <f>IF($A218="","",IF(countif('Womens Lineup'!B$3:B1000,CONCATENATE("=",$A218))=0,"",B$2))</f>
        <v/>
      </c>
      <c r="C218" s="3" t="str">
        <f>IF($A218="","",IF(countif('Womens Lineup'!C$3:C1000,CONCATENATE("=",$A218))=0,"",C$2))</f>
        <v/>
      </c>
      <c r="D218" s="3" t="str">
        <f>IF($A218="","",IF(countif('Womens Lineup'!D$3:D1000,CONCATENATE("=",$A218))=0,"",D$2))</f>
        <v/>
      </c>
      <c r="E218" s="3" t="str">
        <f>IF($A218="","",IF(countif('Womens Lineup'!E$3:E1000,CONCATENATE("=",$A218))=0,"",E$2))</f>
        <v>500 Free</v>
      </c>
      <c r="F218" s="3" t="str">
        <f>IF($A218="","",IF(countif('Womens Lineup'!F$3:F1000,CONCATENATE("=",$A218))=0,"",F$2))</f>
        <v/>
      </c>
      <c r="G218" s="3" t="str">
        <f>IF($A218="","",IF(countif('Womens Lineup'!G$3:G1000,CONCATENATE("=",$A218))=0,"",G$2))</f>
        <v/>
      </c>
      <c r="H218" s="3" t="str">
        <f>IF($A218="","",IF(countif('Womens Lineup'!H$3:H1000,CONCATENATE("=",$A218))=0,"",H$2))</f>
        <v/>
      </c>
      <c r="I218" s="3" t="str">
        <f>IF($A218="","",IF(countif('Womens Lineup'!I$3:I1000,CONCATENATE("=",$A218))=0,"",I$2))</f>
        <v>100 Breast</v>
      </c>
      <c r="J218" s="3" t="str">
        <f>IF($A218="","",IF(countif('Womens Lineup'!J$3:J1000,CONCATENATE("=",$A218))=0,"",J$2))</f>
        <v>200 Breast</v>
      </c>
      <c r="K218" s="3" t="str">
        <f>IF($A218="","",IF(countif('Womens Lineup'!K$3:K1000,CONCATENATE("=",$A218))=0,"",K$2))</f>
        <v/>
      </c>
      <c r="L218" s="3" t="str">
        <f>IF($A218="","",IF(countif('Womens Lineup'!L$3:L1000,CONCATENATE("=",$A218))=0,"",L$2))</f>
        <v/>
      </c>
      <c r="M218" s="3" t="str">
        <f>IF($A218="","",IF(countif('Womens Lineup'!M$3:M1000,CONCATENATE("=",$A218))=0,"",M$2))</f>
        <v>200 IM</v>
      </c>
      <c r="N218" s="3" t="str">
        <f>IF($A218="","",IF(countif('Womens Lineup'!N$3:N1000,CONCATENATE("=",$A218))=0,"",N$2))</f>
        <v>400 IM</v>
      </c>
      <c r="O218" s="3" t="str">
        <f>IF($A218="","",IF(countif('Womens Lineup'!O$3:O1000,CONCATENATE("=",$A218))=0,"",O$2))</f>
        <v>1000 Free</v>
      </c>
      <c r="P218" s="3" t="str">
        <f>IF($A218="","",IF(countif('Womens Lineup'!P$3:P1000,CONCATENATE("=",$A218))=0,"",P$2))</f>
        <v/>
      </c>
      <c r="Q218" s="3" t="str">
        <f>IF($A218="","",IF(countif('Womens Lineup'!Q$3:Q1000,CONCATENATE("=",$A218))=0,"",Q$2))</f>
        <v/>
      </c>
      <c r="R218" s="3" t="str">
        <f>IF($A218="","",IF(countif('Womens Lineup'!R$3:R1000,CONCATENATE("=",$A218))=0,"",R$2))</f>
        <v/>
      </c>
      <c r="S218" s="3" t="str">
        <f>IF($A218="","",IF(countif('Womens Lineup'!S$3:S1000,CONCATENATE("=",$A218))=0,"",S$2))</f>
        <v/>
      </c>
      <c r="W218" s="3" t="str">
        <f>IFERROR(__xludf.DUMMYFUNCTION("JOIN("","",FILTER(B218:S218,B218:S218&lt;&gt;""""))"),"500 Free,100 Breast,200 Breast,200 IM,400 IM,1000 Free")</f>
        <v>500 Free,100 Breast,200 Breast,200 IM,400 IM,1000 Free</v>
      </c>
    </row>
    <row r="219">
      <c r="A219" s="3" t="s">
        <v>533</v>
      </c>
      <c r="B219" s="3" t="str">
        <f>IF($A219="","",IF(countif('Womens Lineup'!B$3:B1000,CONCATENATE("=",$A219))=0,"",B$2))</f>
        <v/>
      </c>
      <c r="C219" s="3" t="str">
        <f>IF($A219="","",IF(countif('Womens Lineup'!C$3:C1000,CONCATENATE("=",$A219))=0,"",C$2))</f>
        <v/>
      </c>
      <c r="D219" s="3" t="str">
        <f>IF($A219="","",IF(countif('Womens Lineup'!D$3:D1000,CONCATENATE("=",$A219))=0,"",D$2))</f>
        <v/>
      </c>
      <c r="E219" s="3" t="str">
        <f>IF($A219="","",IF(countif('Womens Lineup'!E$3:E1000,CONCATENATE("=",$A219))=0,"",E$2))</f>
        <v>500 Free</v>
      </c>
      <c r="F219" s="3" t="str">
        <f>IF($A219="","",IF(countif('Womens Lineup'!F$3:F1000,CONCATENATE("=",$A219))=0,"",F$2))</f>
        <v>1650 Free</v>
      </c>
      <c r="G219" s="3" t="str">
        <f>IF($A219="","",IF(countif('Womens Lineup'!G$3:G1000,CONCATENATE("=",$A219))=0,"",G$2))</f>
        <v>100 Back</v>
      </c>
      <c r="H219" s="3" t="str">
        <f>IF($A219="","",IF(countif('Womens Lineup'!H$3:H1000,CONCATENATE("=",$A219))=0,"",H$2))</f>
        <v>200 Back</v>
      </c>
      <c r="I219" s="3" t="str">
        <f>IF($A219="","",IF(countif('Womens Lineup'!I$3:I1000,CONCATENATE("=",$A219))=0,"",I$2))</f>
        <v/>
      </c>
      <c r="J219" s="3" t="str">
        <f>IF($A219="","",IF(countif('Womens Lineup'!J$3:J1000,CONCATENATE("=",$A219))=0,"",J$2))</f>
        <v/>
      </c>
      <c r="K219" s="3" t="str">
        <f>IF($A219="","",IF(countif('Womens Lineup'!K$3:K1000,CONCATENATE("=",$A219))=0,"",K$2))</f>
        <v/>
      </c>
      <c r="L219" s="3" t="str">
        <f>IF($A219="","",IF(countif('Womens Lineup'!L$3:L1000,CONCATENATE("=",$A219))=0,"",L$2))</f>
        <v/>
      </c>
      <c r="M219" s="3" t="str">
        <f>IF($A219="","",IF(countif('Womens Lineup'!M$3:M1000,CONCATENATE("=",$A219))=0,"",M$2))</f>
        <v>200 IM</v>
      </c>
      <c r="N219" s="3" t="str">
        <f>IF($A219="","",IF(countif('Womens Lineup'!N$3:N1000,CONCATENATE("=",$A219))=0,"",N$2))</f>
        <v>400 IM</v>
      </c>
      <c r="O219" s="3" t="str">
        <f>IF($A219="","",IF(countif('Womens Lineup'!O$3:O1000,CONCATENATE("=",$A219))=0,"",O$2))</f>
        <v/>
      </c>
      <c r="P219" s="3" t="str">
        <f>IF($A219="","",IF(countif('Womens Lineup'!P$3:P1000,CONCATENATE("=",$A219))=0,"",P$2))</f>
        <v/>
      </c>
      <c r="Q219" s="3" t="str">
        <f>IF($A219="","",IF(countif('Womens Lineup'!Q$3:Q1000,CONCATENATE("=",$A219))=0,"",Q$2))</f>
        <v/>
      </c>
      <c r="R219" s="3" t="str">
        <f>IF($A219="","",IF(countif('Womens Lineup'!R$3:R1000,CONCATENATE("=",$A219))=0,"",R$2))</f>
        <v/>
      </c>
      <c r="S219" s="3" t="str">
        <f>IF($A219="","",IF(countif('Womens Lineup'!S$3:S1000,CONCATENATE("=",$A219))=0,"",S$2))</f>
        <v/>
      </c>
      <c r="W219" s="3" t="str">
        <f>IFERROR(__xludf.DUMMYFUNCTION("JOIN("","",FILTER(B219:S219,B219:S219&lt;&gt;""""))"),"500 Free,1650 Free,100 Back,200 Back,200 IM,400 IM")</f>
        <v>500 Free,1650 Free,100 Back,200 Back,200 IM,400 IM</v>
      </c>
    </row>
    <row r="220">
      <c r="A220" s="3" t="s">
        <v>534</v>
      </c>
      <c r="B220" s="3" t="str">
        <f>IF($A220="","",IF(countif('Womens Lineup'!B$3:B1000,CONCATENATE("=",$A220))=0,"",B$2))</f>
        <v/>
      </c>
      <c r="C220" s="3" t="str">
        <f>IF($A220="","",IF(countif('Womens Lineup'!C$3:C1000,CONCATENATE("=",$A220))=0,"",C$2))</f>
        <v/>
      </c>
      <c r="D220" s="3" t="str">
        <f>IF($A220="","",IF(countif('Womens Lineup'!D$3:D1000,CONCATENATE("=",$A220))=0,"",D$2))</f>
        <v/>
      </c>
      <c r="E220" s="3" t="str">
        <f>IF($A220="","",IF(countif('Womens Lineup'!E$3:E1000,CONCATENATE("=",$A220))=0,"",E$2))</f>
        <v>500 Free</v>
      </c>
      <c r="F220" s="3" t="str">
        <f>IF($A220="","",IF(countif('Womens Lineup'!F$3:F1000,CONCATENATE("=",$A220))=0,"",F$2))</f>
        <v/>
      </c>
      <c r="G220" s="3" t="str">
        <f>IF($A220="","",IF(countif('Womens Lineup'!G$3:G1000,CONCATENATE("=",$A220))=0,"",G$2))</f>
        <v/>
      </c>
      <c r="H220" s="3" t="str">
        <f>IF($A220="","",IF(countif('Womens Lineup'!H$3:H1000,CONCATENATE("=",$A220))=0,"",H$2))</f>
        <v/>
      </c>
      <c r="I220" s="3" t="str">
        <f>IF($A220="","",IF(countif('Womens Lineup'!I$3:I1000,CONCATENATE("=",$A220))=0,"",I$2))</f>
        <v>100 Breast</v>
      </c>
      <c r="J220" s="3" t="str">
        <f>IF($A220="","",IF(countif('Womens Lineup'!J$3:J1000,CONCATENATE("=",$A220))=0,"",J$2))</f>
        <v>200 Breast</v>
      </c>
      <c r="K220" s="3" t="str">
        <f>IF($A220="","",IF(countif('Womens Lineup'!K$3:K1000,CONCATENATE("=",$A220))=0,"",K$2))</f>
        <v/>
      </c>
      <c r="L220" s="3" t="str">
        <f>IF($A220="","",IF(countif('Womens Lineup'!L$3:L1000,CONCATENATE("=",$A220))=0,"",L$2))</f>
        <v/>
      </c>
      <c r="M220" s="3" t="str">
        <f>IF($A220="","",IF(countif('Womens Lineup'!M$3:M1000,CONCATENATE("=",$A220))=0,"",M$2))</f>
        <v>200 IM</v>
      </c>
      <c r="N220" s="3" t="str">
        <f>IF($A220="","",IF(countif('Womens Lineup'!N$3:N1000,CONCATENATE("=",$A220))=0,"",N$2))</f>
        <v>400 IM</v>
      </c>
      <c r="O220" s="3" t="str">
        <f>IF($A220="","",IF(countif('Womens Lineup'!O$3:O1000,CONCATENATE("=",$A220))=0,"",O$2))</f>
        <v>1000 Free</v>
      </c>
      <c r="P220" s="3" t="str">
        <f>IF($A220="","",IF(countif('Womens Lineup'!P$3:P1000,CONCATENATE("=",$A220))=0,"",P$2))</f>
        <v/>
      </c>
      <c r="Q220" s="3" t="str">
        <f>IF($A220="","",IF(countif('Womens Lineup'!Q$3:Q1000,CONCATENATE("=",$A220))=0,"",Q$2))</f>
        <v/>
      </c>
      <c r="R220" s="3" t="str">
        <f>IF($A220="","",IF(countif('Womens Lineup'!R$3:R1000,CONCATENATE("=",$A220))=0,"",R$2))</f>
        <v/>
      </c>
      <c r="S220" s="3" t="str">
        <f>IF($A220="","",IF(countif('Womens Lineup'!S$3:S1000,CONCATENATE("=",$A220))=0,"",S$2))</f>
        <v/>
      </c>
      <c r="W220" s="3" t="str">
        <f>IFERROR(__xludf.DUMMYFUNCTION("JOIN("","",FILTER(B220:S220,B220:S220&lt;&gt;""""))"),"500 Free,100 Breast,200 Breast,200 IM,400 IM,1000 Free")</f>
        <v>500 Free,100 Breast,200 Breast,200 IM,400 IM,1000 Free</v>
      </c>
    </row>
    <row r="221">
      <c r="A221" s="3" t="s">
        <v>535</v>
      </c>
      <c r="B221" s="3" t="str">
        <f>IF($A221="","",IF(countif('Womens Lineup'!B$3:B1000,CONCATENATE("=",$A221))=0,"",B$2))</f>
        <v/>
      </c>
      <c r="C221" s="3" t="str">
        <f>IF($A221="","",IF(countif('Womens Lineup'!C$3:C1000,CONCATENATE("=",$A221))=0,"",C$2))</f>
        <v/>
      </c>
      <c r="D221" s="3" t="str">
        <f>IF($A221="","",IF(countif('Womens Lineup'!D$3:D1000,CONCATENATE("=",$A221))=0,"",D$2))</f>
        <v/>
      </c>
      <c r="E221" s="3" t="str">
        <f>IF($A221="","",IF(countif('Womens Lineup'!E$3:E1000,CONCATENATE("=",$A221))=0,"",E$2))</f>
        <v>500 Free</v>
      </c>
      <c r="F221" s="3" t="str">
        <f>IF($A221="","",IF(countif('Womens Lineup'!F$3:F1000,CONCATENATE("=",$A221))=0,"",F$2))</f>
        <v>1650 Free</v>
      </c>
      <c r="G221" s="3" t="str">
        <f>IF($A221="","",IF(countif('Womens Lineup'!G$3:G1000,CONCATENATE("=",$A221))=0,"",G$2))</f>
        <v/>
      </c>
      <c r="H221" s="3" t="str">
        <f>IF($A221="","",IF(countif('Womens Lineup'!H$3:H1000,CONCATENATE("=",$A221))=0,"",H$2))</f>
        <v>200 Back</v>
      </c>
      <c r="I221" s="3" t="str">
        <f>IF($A221="","",IF(countif('Womens Lineup'!I$3:I1000,CONCATENATE("=",$A221))=0,"",I$2))</f>
        <v/>
      </c>
      <c r="J221" s="3" t="str">
        <f>IF($A221="","",IF(countif('Womens Lineup'!J$3:J1000,CONCATENATE("=",$A221))=0,"",J$2))</f>
        <v/>
      </c>
      <c r="K221" s="3" t="str">
        <f>IF($A221="","",IF(countif('Womens Lineup'!K$3:K1000,CONCATENATE("=",$A221))=0,"",K$2))</f>
        <v>100 Fly</v>
      </c>
      <c r="L221" s="3" t="str">
        <f>IF($A221="","",IF(countif('Womens Lineup'!L$3:L1000,CONCATENATE("=",$A221))=0,"",L$2))</f>
        <v>200 Fly</v>
      </c>
      <c r="M221" s="3" t="str">
        <f>IF($A221="","",IF(countif('Womens Lineup'!M$3:M1000,CONCATENATE("=",$A221))=0,"",M$2))</f>
        <v/>
      </c>
      <c r="N221" s="3" t="str">
        <f>IF($A221="","",IF(countif('Womens Lineup'!N$3:N1000,CONCATENATE("=",$A221))=0,"",N$2))</f>
        <v/>
      </c>
      <c r="O221" s="3" t="str">
        <f>IF($A221="","",IF(countif('Womens Lineup'!O$3:O1000,CONCATENATE("=",$A221))=0,"",O$2))</f>
        <v>1000 Free</v>
      </c>
      <c r="P221" s="3" t="str">
        <f>IF($A221="","",IF(countif('Womens Lineup'!P$3:P1000,CONCATENATE("=",$A221))=0,"",P$2))</f>
        <v/>
      </c>
      <c r="Q221" s="3" t="str">
        <f>IF($A221="","",IF(countif('Womens Lineup'!Q$3:Q1000,CONCATENATE("=",$A221))=0,"",Q$2))</f>
        <v/>
      </c>
      <c r="R221" s="3" t="str">
        <f>IF($A221="","",IF(countif('Womens Lineup'!R$3:R1000,CONCATENATE("=",$A221))=0,"",R$2))</f>
        <v/>
      </c>
      <c r="S221" s="3" t="str">
        <f>IF($A221="","",IF(countif('Womens Lineup'!S$3:S1000,CONCATENATE("=",$A221))=0,"",S$2))</f>
        <v/>
      </c>
      <c r="W221" s="3" t="str">
        <f>IFERROR(__xludf.DUMMYFUNCTION("JOIN("","",FILTER(B221:S221,B221:S221&lt;&gt;""""))"),"500 Free,1650 Free,200 Back,100 Fly,200 Fly,1000 Free")</f>
        <v>500 Free,1650 Free,200 Back,100 Fly,200 Fly,1000 Free</v>
      </c>
    </row>
    <row r="222">
      <c r="A222" s="3" t="s">
        <v>536</v>
      </c>
      <c r="B222" s="3" t="str">
        <f>IF($A222="","",IF(countif('Womens Lineup'!B$3:B1000,CONCATENATE("=",$A222))=0,"",B$2))</f>
        <v/>
      </c>
      <c r="C222" s="3" t="str">
        <f>IF($A222="","",IF(countif('Womens Lineup'!C$3:C1000,CONCATENATE("=",$A222))=0,"",C$2))</f>
        <v/>
      </c>
      <c r="D222" s="3" t="str">
        <f>IF($A222="","",IF(countif('Womens Lineup'!D$3:D1000,CONCATENATE("=",$A222))=0,"",D$2))</f>
        <v/>
      </c>
      <c r="E222" s="3" t="str">
        <f>IF($A222="","",IF(countif('Womens Lineup'!E$3:E1000,CONCATENATE("=",$A222))=0,"",E$2))</f>
        <v>500 Free</v>
      </c>
      <c r="F222" s="3" t="str">
        <f>IF($A222="","",IF(countif('Womens Lineup'!F$3:F1000,CONCATENATE("=",$A222))=0,"",F$2))</f>
        <v>1650 Free</v>
      </c>
      <c r="G222" s="3" t="str">
        <f>IF($A222="","",IF(countif('Womens Lineup'!G$3:G1000,CONCATENATE("=",$A222))=0,"",G$2))</f>
        <v/>
      </c>
      <c r="H222" s="3" t="str">
        <f>IF($A222="","",IF(countif('Womens Lineup'!H$3:H1000,CONCATENATE("=",$A222))=0,"",H$2))</f>
        <v/>
      </c>
      <c r="I222" s="3" t="str">
        <f>IF($A222="","",IF(countif('Womens Lineup'!I$3:I1000,CONCATENATE("=",$A222))=0,"",I$2))</f>
        <v/>
      </c>
      <c r="J222" s="3" t="str">
        <f>IF($A222="","",IF(countif('Womens Lineup'!J$3:J1000,CONCATENATE("=",$A222))=0,"",J$2))</f>
        <v/>
      </c>
      <c r="K222" s="3" t="str">
        <f>IF($A222="","",IF(countif('Womens Lineup'!K$3:K1000,CONCATENATE("=",$A222))=0,"",K$2))</f>
        <v/>
      </c>
      <c r="L222" s="3" t="str">
        <f>IF($A222="","",IF(countif('Womens Lineup'!L$3:L1000,CONCATENATE("=",$A222))=0,"",L$2))</f>
        <v>200 Fly</v>
      </c>
      <c r="M222" s="3" t="str">
        <f>IF($A222="","",IF(countif('Womens Lineup'!M$3:M1000,CONCATENATE("=",$A222))=0,"",M$2))</f>
        <v>200 IM</v>
      </c>
      <c r="N222" s="3" t="str">
        <f>IF($A222="","",IF(countif('Womens Lineup'!N$3:N1000,CONCATENATE("=",$A222))=0,"",N$2))</f>
        <v>400 IM</v>
      </c>
      <c r="O222" s="3" t="str">
        <f>IF($A222="","",IF(countif('Womens Lineup'!O$3:O1000,CONCATENATE("=",$A222))=0,"",O$2))</f>
        <v>1000 Free</v>
      </c>
      <c r="P222" s="3" t="str">
        <f>IF($A222="","",IF(countif('Womens Lineup'!P$3:P1000,CONCATENATE("=",$A222))=0,"",P$2))</f>
        <v/>
      </c>
      <c r="Q222" s="3" t="str">
        <f>IF($A222="","",IF(countif('Womens Lineup'!Q$3:Q1000,CONCATENATE("=",$A222))=0,"",Q$2))</f>
        <v/>
      </c>
      <c r="R222" s="3" t="str">
        <f>IF($A222="","",IF(countif('Womens Lineup'!R$3:R1000,CONCATENATE("=",$A222))=0,"",R$2))</f>
        <v/>
      </c>
      <c r="S222" s="3" t="str">
        <f>IF($A222="","",IF(countif('Womens Lineup'!S$3:S1000,CONCATENATE("=",$A222))=0,"",S$2))</f>
        <v/>
      </c>
      <c r="W222" s="3" t="str">
        <f>IFERROR(__xludf.DUMMYFUNCTION("JOIN("","",FILTER(B222:S222,B222:S222&lt;&gt;""""))"),"500 Free,1650 Free,200 Fly,200 IM,400 IM,1000 Free")</f>
        <v>500 Free,1650 Free,200 Fly,200 IM,400 IM,1000 Free</v>
      </c>
    </row>
    <row r="223">
      <c r="A223" s="3" t="s">
        <v>537</v>
      </c>
      <c r="B223" s="3" t="str">
        <f>IF($A223="","",IF(countif('Womens Lineup'!B$3:B1000,CONCATENATE("=",$A223))=0,"",B$2))</f>
        <v/>
      </c>
      <c r="C223" s="3" t="str">
        <f>IF($A223="","",IF(countif('Womens Lineup'!C$3:C1000,CONCATENATE("=",$A223))=0,"",C$2))</f>
        <v/>
      </c>
      <c r="D223" s="3" t="str">
        <f>IF($A223="","",IF(countif('Womens Lineup'!D$3:D1000,CONCATENATE("=",$A223))=0,"",D$2))</f>
        <v/>
      </c>
      <c r="E223" s="3" t="str">
        <f>IF($A223="","",IF(countif('Womens Lineup'!E$3:E1000,CONCATENATE("=",$A223))=0,"",E$2))</f>
        <v>500 Free</v>
      </c>
      <c r="F223" s="3" t="str">
        <f>IF($A223="","",IF(countif('Womens Lineup'!F$3:F1000,CONCATENATE("=",$A223))=0,"",F$2))</f>
        <v/>
      </c>
      <c r="G223" s="3" t="str">
        <f>IF($A223="","",IF(countif('Womens Lineup'!G$3:G1000,CONCATENATE("=",$A223))=0,"",G$2))</f>
        <v/>
      </c>
      <c r="H223" s="3" t="str">
        <f>IF($A223="","",IF(countif('Womens Lineup'!H$3:H1000,CONCATENATE("=",$A223))=0,"",H$2))</f>
        <v>200 Back</v>
      </c>
      <c r="I223" s="3" t="str">
        <f>IF($A223="","",IF(countif('Womens Lineup'!I$3:I1000,CONCATENATE("=",$A223))=0,"",I$2))</f>
        <v/>
      </c>
      <c r="J223" s="3" t="str">
        <f>IF($A223="","",IF(countif('Womens Lineup'!J$3:J1000,CONCATENATE("=",$A223))=0,"",J$2))</f>
        <v/>
      </c>
      <c r="K223" s="3" t="str">
        <f>IF($A223="","",IF(countif('Womens Lineup'!K$3:K1000,CONCATENATE("=",$A223))=0,"",K$2))</f>
        <v>100 Fly</v>
      </c>
      <c r="L223" s="3" t="str">
        <f>IF($A223="","",IF(countif('Womens Lineup'!L$3:L1000,CONCATENATE("=",$A223))=0,"",L$2))</f>
        <v>200 Fly</v>
      </c>
      <c r="M223" s="3" t="str">
        <f>IF($A223="","",IF(countif('Womens Lineup'!M$3:M1000,CONCATENATE("=",$A223))=0,"",M$2))</f>
        <v>200 IM</v>
      </c>
      <c r="N223" s="3" t="str">
        <f>IF($A223="","",IF(countif('Womens Lineup'!N$3:N1000,CONCATENATE("=",$A223))=0,"",N$2))</f>
        <v>400 IM</v>
      </c>
      <c r="O223" s="3" t="str">
        <f>IF($A223="","",IF(countif('Womens Lineup'!O$3:O1000,CONCATENATE("=",$A223))=0,"",O$2))</f>
        <v/>
      </c>
      <c r="P223" s="3" t="str">
        <f>IF($A223="","",IF(countif('Womens Lineup'!P$3:P1000,CONCATENATE("=",$A223))=0,"",P$2))</f>
        <v/>
      </c>
      <c r="Q223" s="3" t="str">
        <f>IF($A223="","",IF(countif('Womens Lineup'!Q$3:Q1000,CONCATENATE("=",$A223))=0,"",Q$2))</f>
        <v/>
      </c>
      <c r="R223" s="3" t="str">
        <f>IF($A223="","",IF(countif('Womens Lineup'!R$3:R1000,CONCATENATE("=",$A223))=0,"",R$2))</f>
        <v/>
      </c>
      <c r="S223" s="3" t="str">
        <f>IF($A223="","",IF(countif('Womens Lineup'!S$3:S1000,CONCATENATE("=",$A223))=0,"",S$2))</f>
        <v/>
      </c>
      <c r="W223" s="3" t="str">
        <f>IFERROR(__xludf.DUMMYFUNCTION("JOIN("","",FILTER(B223:S223,B223:S223&lt;&gt;""""))"),"500 Free,200 Back,100 Fly,200 Fly,200 IM,400 IM")</f>
        <v>500 Free,200 Back,100 Fly,200 Fly,200 IM,400 IM</v>
      </c>
    </row>
    <row r="224">
      <c r="A224" s="3" t="s">
        <v>538</v>
      </c>
      <c r="B224" s="3" t="str">
        <f>IF($A224="","",IF(countif('Womens Lineup'!B$3:B1000,CONCATENATE("=",$A224))=0,"",B$2))</f>
        <v/>
      </c>
      <c r="C224" s="3" t="str">
        <f>IF($A224="","",IF(countif('Womens Lineup'!C$3:C1000,CONCATENATE("=",$A224))=0,"",C$2))</f>
        <v/>
      </c>
      <c r="D224" s="3" t="str">
        <f>IF($A224="","",IF(countif('Womens Lineup'!D$3:D1000,CONCATENATE("=",$A224))=0,"",D$2))</f>
        <v/>
      </c>
      <c r="E224" s="3" t="str">
        <f>IF($A224="","",IF(countif('Womens Lineup'!E$3:E1000,CONCATENATE("=",$A224))=0,"",E$2))</f>
        <v>500 Free</v>
      </c>
      <c r="F224" s="3" t="str">
        <f>IF($A224="","",IF(countif('Womens Lineup'!F$3:F1000,CONCATENATE("=",$A224))=0,"",F$2))</f>
        <v>1650 Free</v>
      </c>
      <c r="G224" s="3" t="str">
        <f>IF($A224="","",IF(countif('Womens Lineup'!G$3:G1000,CONCATENATE("=",$A224))=0,"",G$2))</f>
        <v/>
      </c>
      <c r="H224" s="3" t="str">
        <f>IF($A224="","",IF(countif('Womens Lineup'!H$3:H1000,CONCATENATE("=",$A224))=0,"",H$2))</f>
        <v/>
      </c>
      <c r="I224" s="3" t="str">
        <f>IF($A224="","",IF(countif('Womens Lineup'!I$3:I1000,CONCATENATE("=",$A224))=0,"",I$2))</f>
        <v/>
      </c>
      <c r="J224" s="3" t="str">
        <f>IF($A224="","",IF(countif('Womens Lineup'!J$3:J1000,CONCATENATE("=",$A224))=0,"",J$2))</f>
        <v/>
      </c>
      <c r="K224" s="3" t="str">
        <f>IF($A224="","",IF(countif('Womens Lineup'!K$3:K1000,CONCATENATE("=",$A224))=0,"",K$2))</f>
        <v/>
      </c>
      <c r="L224" s="3" t="str">
        <f>IF($A224="","",IF(countif('Womens Lineup'!L$3:L1000,CONCATENATE("=",$A224))=0,"",L$2))</f>
        <v/>
      </c>
      <c r="M224" s="3" t="str">
        <f>IF($A224="","",IF(countif('Womens Lineup'!M$3:M1000,CONCATENATE("=",$A224))=0,"",M$2))</f>
        <v/>
      </c>
      <c r="N224" s="3" t="str">
        <f>IF($A224="","",IF(countif('Womens Lineup'!N$3:N1000,CONCATENATE("=",$A224))=0,"",N$2))</f>
        <v/>
      </c>
      <c r="O224" s="3" t="str">
        <f>IF($A224="","",IF(countif('Womens Lineup'!O$3:O1000,CONCATENATE("=",$A224))=0,"",O$2))</f>
        <v>1000 Free</v>
      </c>
      <c r="P224" s="3" t="str">
        <f>IF($A224="","",IF(countif('Womens Lineup'!P$3:P1000,CONCATENATE("=",$A224))=0,"",P$2))</f>
        <v/>
      </c>
      <c r="Q224" s="3" t="str">
        <f>IF($A224="","",IF(countif('Womens Lineup'!Q$3:Q1000,CONCATENATE("=",$A224))=0,"",Q$2))</f>
        <v/>
      </c>
      <c r="R224" s="3" t="str">
        <f>IF($A224="","",IF(countif('Womens Lineup'!R$3:R1000,CONCATENATE("=",$A224))=0,"",R$2))</f>
        <v/>
      </c>
      <c r="S224" s="3" t="str">
        <f>IF($A224="","",IF(countif('Womens Lineup'!S$3:S1000,CONCATENATE("=",$A224))=0,"",S$2))</f>
        <v/>
      </c>
      <c r="W224" s="3" t="str">
        <f>IFERROR(__xludf.DUMMYFUNCTION("JOIN("","",FILTER(B224:S224,B224:S224&lt;&gt;""""))"),"500 Free,1650 Free,1000 Free")</f>
        <v>500 Free,1650 Free,1000 Free</v>
      </c>
    </row>
    <row r="225">
      <c r="A225" s="3" t="s">
        <v>539</v>
      </c>
      <c r="B225" s="3" t="str">
        <f>IF($A225="","",IF(countif('Womens Lineup'!B$3:B1000,CONCATENATE("=",$A225))=0,"",B$2))</f>
        <v/>
      </c>
      <c r="C225" s="3" t="str">
        <f>IF($A225="","",IF(countif('Womens Lineup'!C$3:C1000,CONCATENATE("=",$A225))=0,"",C$2))</f>
        <v/>
      </c>
      <c r="D225" s="3" t="str">
        <f>IF($A225="","",IF(countif('Womens Lineup'!D$3:D1000,CONCATENATE("=",$A225))=0,"",D$2))</f>
        <v/>
      </c>
      <c r="E225" s="3" t="str">
        <f>IF($A225="","",IF(countif('Womens Lineup'!E$3:E1000,CONCATENATE("=",$A225))=0,"",E$2))</f>
        <v>500 Free</v>
      </c>
      <c r="F225" s="3" t="str">
        <f>IF($A225="","",IF(countif('Womens Lineup'!F$3:F1000,CONCATENATE("=",$A225))=0,"",F$2))</f>
        <v/>
      </c>
      <c r="G225" s="3" t="str">
        <f>IF($A225="","",IF(countif('Womens Lineup'!G$3:G1000,CONCATENATE("=",$A225))=0,"",G$2))</f>
        <v/>
      </c>
      <c r="H225" s="3" t="str">
        <f>IF($A225="","",IF(countif('Womens Lineup'!H$3:H1000,CONCATENATE("=",$A225))=0,"",H$2))</f>
        <v/>
      </c>
      <c r="I225" s="3" t="str">
        <f>IF($A225="","",IF(countif('Womens Lineup'!I$3:I1000,CONCATENATE("=",$A225))=0,"",I$2))</f>
        <v>100 Breast</v>
      </c>
      <c r="J225" s="3" t="str">
        <f>IF($A225="","",IF(countif('Womens Lineup'!J$3:J1000,CONCATENATE("=",$A225))=0,"",J$2))</f>
        <v>200 Breast</v>
      </c>
      <c r="K225" s="3" t="str">
        <f>IF($A225="","",IF(countif('Womens Lineup'!K$3:K1000,CONCATENATE("=",$A225))=0,"",K$2))</f>
        <v/>
      </c>
      <c r="L225" s="3" t="str">
        <f>IF($A225="","",IF(countif('Womens Lineup'!L$3:L1000,CONCATENATE("=",$A225))=0,"",L$2))</f>
        <v/>
      </c>
      <c r="M225" s="3" t="str">
        <f>IF($A225="","",IF(countif('Womens Lineup'!M$3:M1000,CONCATENATE("=",$A225))=0,"",M$2))</f>
        <v>200 IM</v>
      </c>
      <c r="N225" s="3" t="str">
        <f>IF($A225="","",IF(countif('Womens Lineup'!N$3:N1000,CONCATENATE("=",$A225))=0,"",N$2))</f>
        <v>400 IM</v>
      </c>
      <c r="O225" s="3" t="str">
        <f>IF($A225="","",IF(countif('Womens Lineup'!O$3:O1000,CONCATENATE("=",$A225))=0,"",O$2))</f>
        <v>1000 Free</v>
      </c>
      <c r="P225" s="3" t="str">
        <f>IF($A225="","",IF(countif('Womens Lineup'!P$3:P1000,CONCATENATE("=",$A225))=0,"",P$2))</f>
        <v/>
      </c>
      <c r="Q225" s="3" t="str">
        <f>IF($A225="","",IF(countif('Womens Lineup'!Q$3:Q1000,CONCATENATE("=",$A225))=0,"",Q$2))</f>
        <v/>
      </c>
      <c r="R225" s="3" t="str">
        <f>IF($A225="","",IF(countif('Womens Lineup'!R$3:R1000,CONCATENATE("=",$A225))=0,"",R$2))</f>
        <v/>
      </c>
      <c r="S225" s="3" t="str">
        <f>IF($A225="","",IF(countif('Womens Lineup'!S$3:S1000,CONCATENATE("=",$A225))=0,"",S$2))</f>
        <v/>
      </c>
      <c r="W225" s="3" t="str">
        <f>IFERROR(__xludf.DUMMYFUNCTION("JOIN("","",FILTER(B225:S225,B225:S225&lt;&gt;""""))"),"500 Free,100 Breast,200 Breast,200 IM,400 IM,1000 Free")</f>
        <v>500 Free,100 Breast,200 Breast,200 IM,400 IM,1000 Free</v>
      </c>
    </row>
    <row r="226">
      <c r="A226" s="3" t="s">
        <v>540</v>
      </c>
      <c r="B226" s="3" t="str">
        <f>IF($A226="","",IF(countif('Womens Lineup'!B$3:B1000,CONCATENATE("=",$A226))=0,"",B$2))</f>
        <v/>
      </c>
      <c r="C226" s="3" t="str">
        <f>IF($A226="","",IF(countif('Womens Lineup'!C$3:C1000,CONCATENATE("=",$A226))=0,"",C$2))</f>
        <v/>
      </c>
      <c r="D226" s="3" t="str">
        <f>IF($A226="","",IF(countif('Womens Lineup'!D$3:D1000,CONCATENATE("=",$A226))=0,"",D$2))</f>
        <v/>
      </c>
      <c r="E226" s="3" t="str">
        <f>IF($A226="","",IF(countif('Womens Lineup'!E$3:E1000,CONCATENATE("=",$A226))=0,"",E$2))</f>
        <v>500 Free</v>
      </c>
      <c r="F226" s="3" t="str">
        <f>IF($A226="","",IF(countif('Womens Lineup'!F$3:F1000,CONCATENATE("=",$A226))=0,"",F$2))</f>
        <v/>
      </c>
      <c r="G226" s="3" t="str">
        <f>IF($A226="","",IF(countif('Womens Lineup'!G$3:G1000,CONCATENATE("=",$A226))=0,"",G$2))</f>
        <v>100 Back</v>
      </c>
      <c r="H226" s="3" t="str">
        <f>IF($A226="","",IF(countif('Womens Lineup'!H$3:H1000,CONCATENATE("=",$A226))=0,"",H$2))</f>
        <v>200 Back</v>
      </c>
      <c r="I226" s="3" t="str">
        <f>IF($A226="","",IF(countif('Womens Lineup'!I$3:I1000,CONCATENATE("=",$A226))=0,"",I$2))</f>
        <v/>
      </c>
      <c r="J226" s="3" t="str">
        <f>IF($A226="","",IF(countif('Womens Lineup'!J$3:J1000,CONCATENATE("=",$A226))=0,"",J$2))</f>
        <v/>
      </c>
      <c r="K226" s="3" t="str">
        <f>IF($A226="","",IF(countif('Womens Lineup'!K$3:K1000,CONCATENATE("=",$A226))=0,"",K$2))</f>
        <v/>
      </c>
      <c r="L226" s="3" t="str">
        <f>IF($A226="","",IF(countif('Womens Lineup'!L$3:L1000,CONCATENATE("=",$A226))=0,"",L$2))</f>
        <v/>
      </c>
      <c r="M226" s="3" t="str">
        <f>IF($A226="","",IF(countif('Womens Lineup'!M$3:M1000,CONCATENATE("=",$A226))=0,"",M$2))</f>
        <v>200 IM</v>
      </c>
      <c r="N226" s="3" t="str">
        <f>IF($A226="","",IF(countif('Womens Lineup'!N$3:N1000,CONCATENATE("=",$A226))=0,"",N$2))</f>
        <v>400 IM</v>
      </c>
      <c r="O226" s="3" t="str">
        <f>IF($A226="","",IF(countif('Womens Lineup'!O$3:O1000,CONCATENATE("=",$A226))=0,"",O$2))</f>
        <v/>
      </c>
      <c r="P226" s="3" t="str">
        <f>IF($A226="","",IF(countif('Womens Lineup'!P$3:P1000,CONCATENATE("=",$A226))=0,"",P$2))</f>
        <v/>
      </c>
      <c r="Q226" s="3" t="str">
        <f>IF($A226="","",IF(countif('Womens Lineup'!Q$3:Q1000,CONCATENATE("=",$A226))=0,"",Q$2))</f>
        <v/>
      </c>
      <c r="R226" s="3" t="str">
        <f>IF($A226="","",IF(countif('Womens Lineup'!R$3:R1000,CONCATENATE("=",$A226))=0,"",R$2))</f>
        <v/>
      </c>
      <c r="S226" s="3" t="str">
        <f>IF($A226="","",IF(countif('Womens Lineup'!S$3:S1000,CONCATENATE("=",$A226))=0,"",S$2))</f>
        <v/>
      </c>
      <c r="W226" s="3" t="str">
        <f>IFERROR(__xludf.DUMMYFUNCTION("JOIN("","",FILTER(B226:S226,B226:S226&lt;&gt;""""))"),"500 Free,100 Back,200 Back,200 IM,400 IM")</f>
        <v>500 Free,100 Back,200 Back,200 IM,400 IM</v>
      </c>
    </row>
    <row r="227">
      <c r="A227" s="3" t="s">
        <v>541</v>
      </c>
      <c r="B227" s="3" t="str">
        <f>IF($A227="","",IF(countif('Womens Lineup'!B$3:B1000,CONCATENATE("=",$A227))=0,"",B$2))</f>
        <v/>
      </c>
      <c r="C227" s="3" t="str">
        <f>IF($A227="","",IF(countif('Womens Lineup'!C$3:C1000,CONCATENATE("=",$A227))=0,"",C$2))</f>
        <v/>
      </c>
      <c r="D227" s="3" t="str">
        <f>IF($A227="","",IF(countif('Womens Lineup'!D$3:D1000,CONCATENATE("=",$A227))=0,"",D$2))</f>
        <v/>
      </c>
      <c r="E227" s="3" t="str">
        <f>IF($A227="","",IF(countif('Womens Lineup'!E$3:E1000,CONCATENATE("=",$A227))=0,"",E$2))</f>
        <v>500 Free</v>
      </c>
      <c r="F227" s="3" t="str">
        <f>IF($A227="","",IF(countif('Womens Lineup'!F$3:F1000,CONCATENATE("=",$A227))=0,"",F$2))</f>
        <v/>
      </c>
      <c r="G227" s="3" t="str">
        <f>IF($A227="","",IF(countif('Womens Lineup'!G$3:G1000,CONCATENATE("=",$A227))=0,"",G$2))</f>
        <v>100 Back</v>
      </c>
      <c r="H227" s="3" t="str">
        <f>IF($A227="","",IF(countif('Womens Lineup'!H$3:H1000,CONCATENATE("=",$A227))=0,"",H$2))</f>
        <v>200 Back</v>
      </c>
      <c r="I227" s="3" t="str">
        <f>IF($A227="","",IF(countif('Womens Lineup'!I$3:I1000,CONCATENATE("=",$A227))=0,"",I$2))</f>
        <v/>
      </c>
      <c r="J227" s="3" t="str">
        <f>IF($A227="","",IF(countif('Womens Lineup'!J$3:J1000,CONCATENATE("=",$A227))=0,"",J$2))</f>
        <v/>
      </c>
      <c r="K227" s="3" t="str">
        <f>IF($A227="","",IF(countif('Womens Lineup'!K$3:K1000,CONCATENATE("=",$A227))=0,"",K$2))</f>
        <v>100 Fly</v>
      </c>
      <c r="L227" s="3" t="str">
        <f>IF($A227="","",IF(countif('Womens Lineup'!L$3:L1000,CONCATENATE("=",$A227))=0,"",L$2))</f>
        <v>200 Fly</v>
      </c>
      <c r="M227" s="3" t="str">
        <f>IF($A227="","",IF(countif('Womens Lineup'!M$3:M1000,CONCATENATE("=",$A227))=0,"",M$2))</f>
        <v/>
      </c>
      <c r="N227" s="3" t="str">
        <f>IF($A227="","",IF(countif('Womens Lineup'!N$3:N1000,CONCATENATE("=",$A227))=0,"",N$2))</f>
        <v/>
      </c>
      <c r="O227" s="3" t="str">
        <f>IF($A227="","",IF(countif('Womens Lineup'!O$3:O1000,CONCATENATE("=",$A227))=0,"",O$2))</f>
        <v/>
      </c>
      <c r="P227" s="3" t="str">
        <f>IF($A227="","",IF(countif('Womens Lineup'!P$3:P1000,CONCATENATE("=",$A227))=0,"",P$2))</f>
        <v/>
      </c>
      <c r="Q227" s="3" t="str">
        <f>IF($A227="","",IF(countif('Womens Lineup'!Q$3:Q1000,CONCATENATE("=",$A227))=0,"",Q$2))</f>
        <v/>
      </c>
      <c r="R227" s="3" t="str">
        <f>IF($A227="","",IF(countif('Womens Lineup'!R$3:R1000,CONCATENATE("=",$A227))=0,"",R$2))</f>
        <v/>
      </c>
      <c r="S227" s="3" t="str">
        <f>IF($A227="","",IF(countif('Womens Lineup'!S$3:S1000,CONCATENATE("=",$A227))=0,"",S$2))</f>
        <v/>
      </c>
      <c r="W227" s="3" t="str">
        <f>IFERROR(__xludf.DUMMYFUNCTION("JOIN("","",FILTER(B227:S227,B227:S227&lt;&gt;""""))"),"500 Free,100 Back,200 Back,100 Fly,200 Fly")</f>
        <v>500 Free,100 Back,200 Back,100 Fly,200 Fly</v>
      </c>
    </row>
    <row r="228">
      <c r="A228" s="3" t="s">
        <v>542</v>
      </c>
      <c r="B228" s="3" t="str">
        <f>IF($A228="","",IF(countif('Womens Lineup'!B$3:B1000,CONCATENATE("=",$A228))=0,"",B$2))</f>
        <v/>
      </c>
      <c r="C228" s="3" t="str">
        <f>IF($A228="","",IF(countif('Womens Lineup'!C$3:C1000,CONCATENATE("=",$A228))=0,"",C$2))</f>
        <v/>
      </c>
      <c r="D228" s="3" t="str">
        <f>IF($A228="","",IF(countif('Womens Lineup'!D$3:D1000,CONCATENATE("=",$A228))=0,"",D$2))</f>
        <v/>
      </c>
      <c r="E228" s="3" t="str">
        <f>IF($A228="","",IF(countif('Womens Lineup'!E$3:E1000,CONCATENATE("=",$A228))=0,"",E$2))</f>
        <v>500 Free</v>
      </c>
      <c r="F228" s="3" t="str">
        <f>IF($A228="","",IF(countif('Womens Lineup'!F$3:F1000,CONCATENATE("=",$A228))=0,"",F$2))</f>
        <v/>
      </c>
      <c r="G228" s="3" t="str">
        <f>IF($A228="","",IF(countif('Womens Lineup'!G$3:G1000,CONCATENATE("=",$A228))=0,"",G$2))</f>
        <v/>
      </c>
      <c r="H228" s="3" t="str">
        <f>IF($A228="","",IF(countif('Womens Lineup'!H$3:H1000,CONCATENATE("=",$A228))=0,"",H$2))</f>
        <v>200 Back</v>
      </c>
      <c r="I228" s="3" t="str">
        <f>IF($A228="","",IF(countif('Womens Lineup'!I$3:I1000,CONCATENATE("=",$A228))=0,"",I$2))</f>
        <v>100 Breast</v>
      </c>
      <c r="J228" s="3" t="str">
        <f>IF($A228="","",IF(countif('Womens Lineup'!J$3:J1000,CONCATENATE("=",$A228))=0,"",J$2))</f>
        <v>200 Breast</v>
      </c>
      <c r="K228" s="3" t="str">
        <f>IF($A228="","",IF(countif('Womens Lineup'!K$3:K1000,CONCATENATE("=",$A228))=0,"",K$2))</f>
        <v/>
      </c>
      <c r="L228" s="3" t="str">
        <f>IF($A228="","",IF(countif('Womens Lineup'!L$3:L1000,CONCATENATE("=",$A228))=0,"",L$2))</f>
        <v/>
      </c>
      <c r="M228" s="3" t="str">
        <f>IF($A228="","",IF(countif('Womens Lineup'!M$3:M1000,CONCATENATE("=",$A228))=0,"",M$2))</f>
        <v>200 IM</v>
      </c>
      <c r="N228" s="3" t="str">
        <f>IF($A228="","",IF(countif('Womens Lineup'!N$3:N1000,CONCATENATE("=",$A228))=0,"",N$2))</f>
        <v>400 IM</v>
      </c>
      <c r="O228" s="3" t="str">
        <f>IF($A228="","",IF(countif('Womens Lineup'!O$3:O1000,CONCATENATE("=",$A228))=0,"",O$2))</f>
        <v/>
      </c>
      <c r="P228" s="3" t="str">
        <f>IF($A228="","",IF(countif('Womens Lineup'!P$3:P1000,CONCATENATE("=",$A228))=0,"",P$2))</f>
        <v/>
      </c>
      <c r="Q228" s="3" t="str">
        <f>IF($A228="","",IF(countif('Womens Lineup'!Q$3:Q1000,CONCATENATE("=",$A228))=0,"",Q$2))</f>
        <v/>
      </c>
      <c r="R228" s="3" t="str">
        <f>IF($A228="","",IF(countif('Womens Lineup'!R$3:R1000,CONCATENATE("=",$A228))=0,"",R$2))</f>
        <v/>
      </c>
      <c r="S228" s="3" t="str">
        <f>IF($A228="","",IF(countif('Womens Lineup'!S$3:S1000,CONCATENATE("=",$A228))=0,"",S$2))</f>
        <v/>
      </c>
      <c r="W228" s="3" t="str">
        <f>IFERROR(__xludf.DUMMYFUNCTION("JOIN("","",FILTER(B228:S228,B228:S228&lt;&gt;""""))"),"500 Free,200 Back,100 Breast,200 Breast,200 IM,400 IM")</f>
        <v>500 Free,200 Back,100 Breast,200 Breast,200 IM,400 IM</v>
      </c>
    </row>
    <row r="229">
      <c r="A229" s="3" t="s">
        <v>543</v>
      </c>
      <c r="B229" s="3" t="str">
        <f>IF($A229="","",IF(countif('Womens Lineup'!B$3:B1000,CONCATENATE("=",$A229))=0,"",B$2))</f>
        <v/>
      </c>
      <c r="C229" s="3" t="str">
        <f>IF($A229="","",IF(countif('Womens Lineup'!C$3:C1000,CONCATENATE("=",$A229))=0,"",C$2))</f>
        <v/>
      </c>
      <c r="D229" s="3" t="str">
        <f>IF($A229="","",IF(countif('Womens Lineup'!D$3:D1000,CONCATENATE("=",$A229))=0,"",D$2))</f>
        <v/>
      </c>
      <c r="E229" s="3" t="str">
        <f>IF($A229="","",IF(countif('Womens Lineup'!E$3:E1000,CONCATENATE("=",$A229))=0,"",E$2))</f>
        <v/>
      </c>
      <c r="F229" s="3" t="str">
        <f>IF($A229="","",IF(countif('Womens Lineup'!F$3:F1000,CONCATENATE("=",$A229))=0,"",F$2))</f>
        <v>1650 Free</v>
      </c>
      <c r="G229" s="3" t="str">
        <f>IF($A229="","",IF(countif('Womens Lineup'!G$3:G1000,CONCATENATE("=",$A229))=0,"",G$2))</f>
        <v/>
      </c>
      <c r="H229" s="3" t="str">
        <f>IF($A229="","",IF(countif('Womens Lineup'!H$3:H1000,CONCATENATE("=",$A229))=0,"",H$2))</f>
        <v/>
      </c>
      <c r="I229" s="3" t="str">
        <f>IF($A229="","",IF(countif('Womens Lineup'!I$3:I1000,CONCATENATE("=",$A229))=0,"",I$2))</f>
        <v/>
      </c>
      <c r="J229" s="3" t="str">
        <f>IF($A229="","",IF(countif('Womens Lineup'!J$3:J1000,CONCATENATE("=",$A229))=0,"",J$2))</f>
        <v>200 Breast</v>
      </c>
      <c r="K229" s="3" t="str">
        <f>IF($A229="","",IF(countif('Womens Lineup'!K$3:K1000,CONCATENATE("=",$A229))=0,"",K$2))</f>
        <v/>
      </c>
      <c r="L229" s="3" t="str">
        <f>IF($A229="","",IF(countif('Womens Lineup'!L$3:L1000,CONCATENATE("=",$A229))=0,"",L$2))</f>
        <v>200 Fly</v>
      </c>
      <c r="M229" s="3" t="str">
        <f>IF($A229="","",IF(countif('Womens Lineup'!M$3:M1000,CONCATENATE("=",$A229))=0,"",M$2))</f>
        <v>200 IM</v>
      </c>
      <c r="N229" s="3" t="str">
        <f>IF($A229="","",IF(countif('Womens Lineup'!N$3:N1000,CONCATENATE("=",$A229))=0,"",N$2))</f>
        <v>400 IM</v>
      </c>
      <c r="O229" s="3" t="str">
        <f>IF($A229="","",IF(countif('Womens Lineup'!O$3:O1000,CONCATENATE("=",$A229))=0,"",O$2))</f>
        <v>1000 Free</v>
      </c>
      <c r="P229" s="3" t="str">
        <f>IF($A229="","",IF(countif('Womens Lineup'!P$3:P1000,CONCATENATE("=",$A229))=0,"",P$2))</f>
        <v/>
      </c>
      <c r="Q229" s="3" t="str">
        <f>IF($A229="","",IF(countif('Womens Lineup'!Q$3:Q1000,CONCATENATE("=",$A229))=0,"",Q$2))</f>
        <v/>
      </c>
      <c r="R229" s="3" t="str">
        <f>IF($A229="","",IF(countif('Womens Lineup'!R$3:R1000,CONCATENATE("=",$A229))=0,"",R$2))</f>
        <v/>
      </c>
      <c r="S229" s="3" t="str">
        <f>IF($A229="","",IF(countif('Womens Lineup'!S$3:S1000,CONCATENATE("=",$A229))=0,"",S$2))</f>
        <v/>
      </c>
      <c r="W229" s="3" t="str">
        <f>IFERROR(__xludf.DUMMYFUNCTION("JOIN("","",FILTER(B229:S229,B229:S229&lt;&gt;""""))"),"1650 Free,200 Breast,200 Fly,200 IM,400 IM,1000 Free")</f>
        <v>1650 Free,200 Breast,200 Fly,200 IM,400 IM,1000 Free</v>
      </c>
    </row>
    <row r="230">
      <c r="A230" s="3" t="s">
        <v>544</v>
      </c>
      <c r="B230" s="3" t="str">
        <f>IF($A230="","",IF(countif('Womens Lineup'!B$3:B1000,CONCATENATE("=",$A230))=0,"",B$2))</f>
        <v/>
      </c>
      <c r="C230" s="3" t="str">
        <f>IF($A230="","",IF(countif('Womens Lineup'!C$3:C1000,CONCATENATE("=",$A230))=0,"",C$2))</f>
        <v/>
      </c>
      <c r="D230" s="3" t="str">
        <f>IF($A230="","",IF(countif('Womens Lineup'!D$3:D1000,CONCATENATE("=",$A230))=0,"",D$2))</f>
        <v/>
      </c>
      <c r="E230" s="3" t="str">
        <f>IF($A230="","",IF(countif('Womens Lineup'!E$3:E1000,CONCATENATE("=",$A230))=0,"",E$2))</f>
        <v/>
      </c>
      <c r="F230" s="3" t="str">
        <f>IF($A230="","",IF(countif('Womens Lineup'!F$3:F1000,CONCATENATE("=",$A230))=0,"",F$2))</f>
        <v>1650 Free</v>
      </c>
      <c r="G230" s="3" t="str">
        <f>IF($A230="","",IF(countif('Womens Lineup'!G$3:G1000,CONCATENATE("=",$A230))=0,"",G$2))</f>
        <v/>
      </c>
      <c r="H230" s="3" t="str">
        <f>IF($A230="","",IF(countif('Womens Lineup'!H$3:H1000,CONCATENATE("=",$A230))=0,"",H$2))</f>
        <v/>
      </c>
      <c r="I230" s="3" t="str">
        <f>IF($A230="","",IF(countif('Womens Lineup'!I$3:I1000,CONCATENATE("=",$A230))=0,"",I$2))</f>
        <v>100 Breast</v>
      </c>
      <c r="J230" s="3" t="str">
        <f>IF($A230="","",IF(countif('Womens Lineup'!J$3:J1000,CONCATENATE("=",$A230))=0,"",J$2))</f>
        <v>200 Breast</v>
      </c>
      <c r="K230" s="3" t="str">
        <f>IF($A230="","",IF(countif('Womens Lineup'!K$3:K1000,CONCATENATE("=",$A230))=0,"",K$2))</f>
        <v/>
      </c>
      <c r="L230" s="3" t="str">
        <f>IF($A230="","",IF(countif('Womens Lineup'!L$3:L1000,CONCATENATE("=",$A230))=0,"",L$2))</f>
        <v>200 Fly</v>
      </c>
      <c r="M230" s="3" t="str">
        <f>IF($A230="","",IF(countif('Womens Lineup'!M$3:M1000,CONCATENATE("=",$A230))=0,"",M$2))</f>
        <v>200 IM</v>
      </c>
      <c r="N230" s="3" t="str">
        <f>IF($A230="","",IF(countif('Womens Lineup'!N$3:N1000,CONCATENATE("=",$A230))=0,"",N$2))</f>
        <v>400 IM</v>
      </c>
      <c r="O230" s="3" t="str">
        <f>IF($A230="","",IF(countif('Womens Lineup'!O$3:O1000,CONCATENATE("=",$A230))=0,"",O$2))</f>
        <v/>
      </c>
      <c r="P230" s="3" t="str">
        <f>IF($A230="","",IF(countif('Womens Lineup'!P$3:P1000,CONCATENATE("=",$A230))=0,"",P$2))</f>
        <v/>
      </c>
      <c r="Q230" s="3" t="str">
        <f>IF($A230="","",IF(countif('Womens Lineup'!Q$3:Q1000,CONCATENATE("=",$A230))=0,"",Q$2))</f>
        <v/>
      </c>
      <c r="R230" s="3" t="str">
        <f>IF($A230="","",IF(countif('Womens Lineup'!R$3:R1000,CONCATENATE("=",$A230))=0,"",R$2))</f>
        <v/>
      </c>
      <c r="S230" s="3" t="str">
        <f>IF($A230="","",IF(countif('Womens Lineup'!S$3:S1000,CONCATENATE("=",$A230))=0,"",S$2))</f>
        <v/>
      </c>
      <c r="W230" s="3" t="str">
        <f>IFERROR(__xludf.DUMMYFUNCTION("JOIN("","",FILTER(B230:S230,B230:S230&lt;&gt;""""))"),"1650 Free,100 Breast,200 Breast,200 Fly,200 IM,400 IM")</f>
        <v>1650 Free,100 Breast,200 Breast,200 Fly,200 IM,400 IM</v>
      </c>
    </row>
    <row r="231">
      <c r="A231" s="3" t="s">
        <v>545</v>
      </c>
      <c r="B231" s="3" t="str">
        <f>IF($A231="","",IF(countif('Womens Lineup'!B$3:B1000,CONCATENATE("=",$A231))=0,"",B$2))</f>
        <v/>
      </c>
      <c r="C231" s="3" t="str">
        <f>IF($A231="","",IF(countif('Womens Lineup'!C$3:C1000,CONCATENATE("=",$A231))=0,"",C$2))</f>
        <v/>
      </c>
      <c r="D231" s="3" t="str">
        <f>IF($A231="","",IF(countif('Womens Lineup'!D$3:D1000,CONCATENATE("=",$A231))=0,"",D$2))</f>
        <v/>
      </c>
      <c r="E231" s="3" t="str">
        <f>IF($A231="","",IF(countif('Womens Lineup'!E$3:E1000,CONCATENATE("=",$A231))=0,"",E$2))</f>
        <v/>
      </c>
      <c r="F231" s="3" t="str">
        <f>IF($A231="","",IF(countif('Womens Lineup'!F$3:F1000,CONCATENATE("=",$A231))=0,"",F$2))</f>
        <v>1650 Free</v>
      </c>
      <c r="G231" s="3" t="str">
        <f>IF($A231="","",IF(countif('Womens Lineup'!G$3:G1000,CONCATENATE("=",$A231))=0,"",G$2))</f>
        <v/>
      </c>
      <c r="H231" s="3" t="str">
        <f>IF($A231="","",IF(countif('Womens Lineup'!H$3:H1000,CONCATENATE("=",$A231))=0,"",H$2))</f>
        <v/>
      </c>
      <c r="I231" s="3" t="str">
        <f>IF($A231="","",IF(countif('Womens Lineup'!I$3:I1000,CONCATENATE("=",$A231))=0,"",I$2))</f>
        <v>100 Breast</v>
      </c>
      <c r="J231" s="3" t="str">
        <f>IF($A231="","",IF(countif('Womens Lineup'!J$3:J1000,CONCATENATE("=",$A231))=0,"",J$2))</f>
        <v>200 Breast</v>
      </c>
      <c r="K231" s="3" t="str">
        <f>IF($A231="","",IF(countif('Womens Lineup'!K$3:K1000,CONCATENATE("=",$A231))=0,"",K$2))</f>
        <v>100 Fly</v>
      </c>
      <c r="L231" s="3" t="str">
        <f>IF($A231="","",IF(countif('Womens Lineup'!L$3:L1000,CONCATENATE("=",$A231))=0,"",L$2))</f>
        <v>200 Fly</v>
      </c>
      <c r="M231" s="3" t="str">
        <f>IF($A231="","",IF(countif('Womens Lineup'!M$3:M1000,CONCATENATE("=",$A231))=0,"",M$2))</f>
        <v/>
      </c>
      <c r="N231" s="3" t="str">
        <f>IF($A231="","",IF(countif('Womens Lineup'!N$3:N1000,CONCATENATE("=",$A231))=0,"",N$2))</f>
        <v/>
      </c>
      <c r="O231" s="3" t="str">
        <f>IF($A231="","",IF(countif('Womens Lineup'!O$3:O1000,CONCATENATE("=",$A231))=0,"",O$2))</f>
        <v/>
      </c>
      <c r="P231" s="3" t="str">
        <f>IF($A231="","",IF(countif('Womens Lineup'!P$3:P1000,CONCATENATE("=",$A231))=0,"",P$2))</f>
        <v/>
      </c>
      <c r="Q231" s="3" t="str">
        <f>IF($A231="","",IF(countif('Womens Lineup'!Q$3:Q1000,CONCATENATE("=",$A231))=0,"",Q$2))</f>
        <v/>
      </c>
      <c r="R231" s="3" t="str">
        <f>IF($A231="","",IF(countif('Womens Lineup'!R$3:R1000,CONCATENATE("=",$A231))=0,"",R$2))</f>
        <v/>
      </c>
      <c r="S231" s="3" t="str">
        <f>IF($A231="","",IF(countif('Womens Lineup'!S$3:S1000,CONCATENATE("=",$A231))=0,"",S$2))</f>
        <v/>
      </c>
      <c r="W231" s="3" t="str">
        <f>IFERROR(__xludf.DUMMYFUNCTION("JOIN("","",FILTER(B231:S231,B231:S231&lt;&gt;""""))"),"1650 Free,100 Breast,200 Breast,100 Fly,200 Fly")</f>
        <v>1650 Free,100 Breast,200 Breast,100 Fly,200 Fly</v>
      </c>
    </row>
    <row r="232">
      <c r="A232" s="3" t="s">
        <v>546</v>
      </c>
      <c r="B232" s="3" t="str">
        <f>IF($A232="","",IF(countif('Womens Lineup'!B$3:B1000,CONCATENATE("=",$A232))=0,"",B$2))</f>
        <v/>
      </c>
      <c r="C232" s="3" t="str">
        <f>IF($A232="","",IF(countif('Womens Lineup'!C$3:C1000,CONCATENATE("=",$A232))=0,"",C$2))</f>
        <v/>
      </c>
      <c r="D232" s="3" t="str">
        <f>IF($A232="","",IF(countif('Womens Lineup'!D$3:D1000,CONCATENATE("=",$A232))=0,"",D$2))</f>
        <v/>
      </c>
      <c r="E232" s="3" t="str">
        <f>IF($A232="","",IF(countif('Womens Lineup'!E$3:E1000,CONCATENATE("=",$A232))=0,"",E$2))</f>
        <v/>
      </c>
      <c r="F232" s="3" t="str">
        <f>IF($A232="","",IF(countif('Womens Lineup'!F$3:F1000,CONCATENATE("=",$A232))=0,"",F$2))</f>
        <v>1650 Free</v>
      </c>
      <c r="G232" s="3" t="str">
        <f>IF($A232="","",IF(countif('Womens Lineup'!G$3:G1000,CONCATENATE("=",$A232))=0,"",G$2))</f>
        <v/>
      </c>
      <c r="H232" s="3" t="str">
        <f>IF($A232="","",IF(countif('Womens Lineup'!H$3:H1000,CONCATENATE("=",$A232))=0,"",H$2))</f>
        <v/>
      </c>
      <c r="I232" s="3" t="str">
        <f>IF($A232="","",IF(countif('Womens Lineup'!I$3:I1000,CONCATENATE("=",$A232))=0,"",I$2))</f>
        <v/>
      </c>
      <c r="J232" s="3" t="str">
        <f>IF($A232="","",IF(countif('Womens Lineup'!J$3:J1000,CONCATENATE("=",$A232))=0,"",J$2))</f>
        <v/>
      </c>
      <c r="K232" s="3" t="str">
        <f>IF($A232="","",IF(countif('Womens Lineup'!K$3:K1000,CONCATENATE("=",$A232))=0,"",K$2))</f>
        <v/>
      </c>
      <c r="L232" s="3" t="str">
        <f>IF($A232="","",IF(countif('Womens Lineup'!L$3:L1000,CONCATENATE("=",$A232))=0,"",L$2))</f>
        <v/>
      </c>
      <c r="M232" s="3" t="str">
        <f>IF($A232="","",IF(countif('Womens Lineup'!M$3:M1000,CONCATENATE("=",$A232))=0,"",M$2))</f>
        <v/>
      </c>
      <c r="N232" s="3" t="str">
        <f>IF($A232="","",IF(countif('Womens Lineup'!N$3:N1000,CONCATENATE("=",$A232))=0,"",N$2))</f>
        <v/>
      </c>
      <c r="O232" s="3" t="str">
        <f>IF($A232="","",IF(countif('Womens Lineup'!O$3:O1000,CONCATENATE("=",$A232))=0,"",O$2))</f>
        <v>1000 Free</v>
      </c>
      <c r="P232" s="3" t="str">
        <f>IF($A232="","",IF(countif('Womens Lineup'!P$3:P1000,CONCATENATE("=",$A232))=0,"",P$2))</f>
        <v/>
      </c>
      <c r="Q232" s="3" t="str">
        <f>IF($A232="","",IF(countif('Womens Lineup'!Q$3:Q1000,CONCATENATE("=",$A232))=0,"",Q$2))</f>
        <v/>
      </c>
      <c r="R232" s="3" t="str">
        <f>IF($A232="","",IF(countif('Womens Lineup'!R$3:R1000,CONCATENATE("=",$A232))=0,"",R$2))</f>
        <v/>
      </c>
      <c r="S232" s="3" t="str">
        <f>IF($A232="","",IF(countif('Womens Lineup'!S$3:S1000,CONCATENATE("=",$A232))=0,"",S$2))</f>
        <v/>
      </c>
      <c r="W232" s="3" t="str">
        <f>IFERROR(__xludf.DUMMYFUNCTION("JOIN("","",FILTER(B232:S232,B232:S232&lt;&gt;""""))"),"1650 Free,1000 Free")</f>
        <v>1650 Free,1000 Free</v>
      </c>
    </row>
    <row r="233">
      <c r="A233" s="3" t="s">
        <v>547</v>
      </c>
      <c r="B233" s="3" t="str">
        <f>IF($A233="","",IF(countif('Womens Lineup'!B$3:B1000,CONCATENATE("=",$A233))=0,"",B$2))</f>
        <v/>
      </c>
      <c r="C233" s="3" t="str">
        <f>IF($A233="","",IF(countif('Womens Lineup'!C$3:C1000,CONCATENATE("=",$A233))=0,"",C$2))</f>
        <v/>
      </c>
      <c r="D233" s="3" t="str">
        <f>IF($A233="","",IF(countif('Womens Lineup'!D$3:D1000,CONCATENATE("=",$A233))=0,"",D$2))</f>
        <v/>
      </c>
      <c r="E233" s="3" t="str">
        <f>IF($A233="","",IF(countif('Womens Lineup'!E$3:E1000,CONCATENATE("=",$A233))=0,"",E$2))</f>
        <v/>
      </c>
      <c r="F233" s="3" t="str">
        <f>IF($A233="","",IF(countif('Womens Lineup'!F$3:F1000,CONCATENATE("=",$A233))=0,"",F$2))</f>
        <v>1650 Free</v>
      </c>
      <c r="G233" s="3" t="str">
        <f>IF($A233="","",IF(countif('Womens Lineup'!G$3:G1000,CONCATENATE("=",$A233))=0,"",G$2))</f>
        <v/>
      </c>
      <c r="H233" s="3" t="str">
        <f>IF($A233="","",IF(countif('Womens Lineup'!H$3:H1000,CONCATENATE("=",$A233))=0,"",H$2))</f>
        <v/>
      </c>
      <c r="I233" s="3" t="str">
        <f>IF($A233="","",IF(countif('Womens Lineup'!I$3:I1000,CONCATENATE("=",$A233))=0,"",I$2))</f>
        <v/>
      </c>
      <c r="J233" s="3" t="str">
        <f>IF($A233="","",IF(countif('Womens Lineup'!J$3:J1000,CONCATENATE("=",$A233))=0,"",J$2))</f>
        <v/>
      </c>
      <c r="K233" s="3" t="str">
        <f>IF($A233="","",IF(countif('Womens Lineup'!K$3:K1000,CONCATENATE("=",$A233))=0,"",K$2))</f>
        <v>100 Fly</v>
      </c>
      <c r="L233" s="3" t="str">
        <f>IF($A233="","",IF(countif('Womens Lineup'!L$3:L1000,CONCATENATE("=",$A233))=0,"",L$2))</f>
        <v>200 Fly</v>
      </c>
      <c r="M233" s="3" t="str">
        <f>IF($A233="","",IF(countif('Womens Lineup'!M$3:M1000,CONCATENATE("=",$A233))=0,"",M$2))</f>
        <v>200 IM</v>
      </c>
      <c r="N233" s="3" t="str">
        <f>IF($A233="","",IF(countif('Womens Lineup'!N$3:N1000,CONCATENATE("=",$A233))=0,"",N$2))</f>
        <v/>
      </c>
      <c r="O233" s="3" t="str">
        <f>IF($A233="","",IF(countif('Womens Lineup'!O$3:O1000,CONCATENATE("=",$A233))=0,"",O$2))</f>
        <v>1000 Free</v>
      </c>
      <c r="P233" s="3" t="str">
        <f>IF($A233="","",IF(countif('Womens Lineup'!P$3:P1000,CONCATENATE("=",$A233))=0,"",P$2))</f>
        <v/>
      </c>
      <c r="Q233" s="3" t="str">
        <f>IF($A233="","",IF(countif('Womens Lineup'!Q$3:Q1000,CONCATENATE("=",$A233))=0,"",Q$2))</f>
        <v/>
      </c>
      <c r="R233" s="3" t="str">
        <f>IF($A233="","",IF(countif('Womens Lineup'!R$3:R1000,CONCATENATE("=",$A233))=0,"",R$2))</f>
        <v/>
      </c>
      <c r="S233" s="3" t="str">
        <f>IF($A233="","",IF(countif('Womens Lineup'!S$3:S1000,CONCATENATE("=",$A233))=0,"",S$2))</f>
        <v/>
      </c>
      <c r="W233" s="3" t="str">
        <f>IFERROR(__xludf.DUMMYFUNCTION("JOIN("","",FILTER(B233:S233,B233:S233&lt;&gt;""""))"),"1650 Free,100 Fly,200 Fly,200 IM,1000 Free")</f>
        <v>1650 Free,100 Fly,200 Fly,200 IM,1000 Free</v>
      </c>
    </row>
    <row r="234">
      <c r="A234" s="3" t="s">
        <v>548</v>
      </c>
      <c r="B234" s="3" t="str">
        <f>IF($A234="","",IF(countif('Womens Lineup'!B$3:B1000,CONCATENATE("=",$A234))=0,"",B$2))</f>
        <v/>
      </c>
      <c r="C234" s="3" t="str">
        <f>IF($A234="","",IF(countif('Womens Lineup'!C$3:C1000,CONCATENATE("=",$A234))=0,"",C$2))</f>
        <v/>
      </c>
      <c r="D234" s="3" t="str">
        <f>IF($A234="","",IF(countif('Womens Lineup'!D$3:D1000,CONCATENATE("=",$A234))=0,"",D$2))</f>
        <v/>
      </c>
      <c r="E234" s="3" t="str">
        <f>IF($A234="","",IF(countif('Womens Lineup'!E$3:E1000,CONCATENATE("=",$A234))=0,"",E$2))</f>
        <v/>
      </c>
      <c r="F234" s="3" t="str">
        <f>IF($A234="","",IF(countif('Womens Lineup'!F$3:F1000,CONCATENATE("=",$A234))=0,"",F$2))</f>
        <v>1650 Free</v>
      </c>
      <c r="G234" s="3" t="str">
        <f>IF($A234="","",IF(countif('Womens Lineup'!G$3:G1000,CONCATENATE("=",$A234))=0,"",G$2))</f>
        <v/>
      </c>
      <c r="H234" s="3" t="str">
        <f>IF($A234="","",IF(countif('Womens Lineup'!H$3:H1000,CONCATENATE("=",$A234))=0,"",H$2))</f>
        <v>200 Back</v>
      </c>
      <c r="I234" s="3" t="str">
        <f>IF($A234="","",IF(countif('Womens Lineup'!I$3:I1000,CONCATENATE("=",$A234))=0,"",I$2))</f>
        <v/>
      </c>
      <c r="J234" s="3" t="str">
        <f>IF($A234="","",IF(countif('Womens Lineup'!J$3:J1000,CONCATENATE("=",$A234))=0,"",J$2))</f>
        <v/>
      </c>
      <c r="K234" s="3" t="str">
        <f>IF($A234="","",IF(countif('Womens Lineup'!K$3:K1000,CONCATENATE("=",$A234))=0,"",K$2))</f>
        <v/>
      </c>
      <c r="L234" s="3" t="str">
        <f>IF($A234="","",IF(countif('Womens Lineup'!L$3:L1000,CONCATENATE("=",$A234))=0,"",L$2))</f>
        <v/>
      </c>
      <c r="M234" s="3" t="str">
        <f>IF($A234="","",IF(countif('Womens Lineup'!M$3:M1000,CONCATENATE("=",$A234))=0,"",M$2))</f>
        <v/>
      </c>
      <c r="N234" s="3" t="str">
        <f>IF($A234="","",IF(countif('Womens Lineup'!N$3:N1000,CONCATENATE("=",$A234))=0,"",N$2))</f>
        <v/>
      </c>
      <c r="O234" s="3" t="str">
        <f>IF($A234="","",IF(countif('Womens Lineup'!O$3:O1000,CONCATENATE("=",$A234))=0,"",O$2))</f>
        <v>1000 Free</v>
      </c>
      <c r="P234" s="3" t="str">
        <f>IF($A234="","",IF(countif('Womens Lineup'!P$3:P1000,CONCATENATE("=",$A234))=0,"",P$2))</f>
        <v/>
      </c>
      <c r="Q234" s="3" t="str">
        <f>IF($A234="","",IF(countif('Womens Lineup'!Q$3:Q1000,CONCATENATE("=",$A234))=0,"",Q$2))</f>
        <v/>
      </c>
      <c r="R234" s="3" t="str">
        <f>IF($A234="","",IF(countif('Womens Lineup'!R$3:R1000,CONCATENATE("=",$A234))=0,"",R$2))</f>
        <v/>
      </c>
      <c r="S234" s="3" t="str">
        <f>IF($A234="","",IF(countif('Womens Lineup'!S$3:S1000,CONCATENATE("=",$A234))=0,"",S$2))</f>
        <v/>
      </c>
      <c r="W234" s="3" t="str">
        <f>IFERROR(__xludf.DUMMYFUNCTION("JOIN("","",FILTER(B234:S234,B234:S234&lt;&gt;""""))"),"1650 Free,200 Back,1000 Free")</f>
        <v>1650 Free,200 Back,1000 Free</v>
      </c>
    </row>
    <row r="235">
      <c r="A235" s="3" t="s">
        <v>549</v>
      </c>
      <c r="B235" s="3" t="str">
        <f>IF($A235="","",IF(countif('Womens Lineup'!B$3:B1000,CONCATENATE("=",$A235))=0,"",B$2))</f>
        <v/>
      </c>
      <c r="C235" s="3" t="str">
        <f>IF($A235="","",IF(countif('Womens Lineup'!C$3:C1000,CONCATENATE("=",$A235))=0,"",C$2))</f>
        <v/>
      </c>
      <c r="D235" s="3" t="str">
        <f>IF($A235="","",IF(countif('Womens Lineup'!D$3:D1000,CONCATENATE("=",$A235))=0,"",D$2))</f>
        <v/>
      </c>
      <c r="E235" s="3" t="str">
        <f>IF($A235="","",IF(countif('Womens Lineup'!E$3:E1000,CONCATENATE("=",$A235))=0,"",E$2))</f>
        <v/>
      </c>
      <c r="F235" s="3" t="str">
        <f>IF($A235="","",IF(countif('Womens Lineup'!F$3:F1000,CONCATENATE("=",$A235))=0,"",F$2))</f>
        <v/>
      </c>
      <c r="G235" s="3" t="str">
        <f>IF($A235="","",IF(countif('Womens Lineup'!G$3:G1000,CONCATENATE("=",$A235))=0,"",G$2))</f>
        <v>100 Back</v>
      </c>
      <c r="H235" s="3" t="str">
        <f>IF($A235="","",IF(countif('Womens Lineup'!H$3:H1000,CONCATENATE("=",$A235))=0,"",H$2))</f>
        <v>200 Back</v>
      </c>
      <c r="I235" s="3" t="str">
        <f>IF($A235="","",IF(countif('Womens Lineup'!I$3:I1000,CONCATENATE("=",$A235))=0,"",I$2))</f>
        <v/>
      </c>
      <c r="J235" s="3" t="str">
        <f>IF($A235="","",IF(countif('Womens Lineup'!J$3:J1000,CONCATENATE("=",$A235))=0,"",J$2))</f>
        <v/>
      </c>
      <c r="K235" s="3" t="str">
        <f>IF($A235="","",IF(countif('Womens Lineup'!K$3:K1000,CONCATENATE("=",$A235))=0,"",K$2))</f>
        <v>100 Fly</v>
      </c>
      <c r="L235" s="3" t="str">
        <f>IF($A235="","",IF(countif('Womens Lineup'!L$3:L1000,CONCATENATE("=",$A235))=0,"",L$2))</f>
        <v>200 Fly</v>
      </c>
      <c r="M235" s="3" t="str">
        <f>IF($A235="","",IF(countif('Womens Lineup'!M$3:M1000,CONCATENATE("=",$A235))=0,"",M$2))</f>
        <v>200 IM</v>
      </c>
      <c r="N235" s="3" t="str">
        <f>IF($A235="","",IF(countif('Womens Lineup'!N$3:N1000,CONCATENATE("=",$A235))=0,"",N$2))</f>
        <v>400 IM</v>
      </c>
      <c r="O235" s="3" t="str">
        <f>IF($A235="","",IF(countif('Womens Lineup'!O$3:O1000,CONCATENATE("=",$A235))=0,"",O$2))</f>
        <v/>
      </c>
      <c r="P235" s="3" t="str">
        <f>IF($A235="","",IF(countif('Womens Lineup'!P$3:P1000,CONCATENATE("=",$A235))=0,"",P$2))</f>
        <v/>
      </c>
      <c r="Q235" s="3" t="str">
        <f>IF($A235="","",IF(countif('Womens Lineup'!Q$3:Q1000,CONCATENATE("=",$A235))=0,"",Q$2))</f>
        <v/>
      </c>
      <c r="R235" s="3" t="str">
        <f>IF($A235="","",IF(countif('Womens Lineup'!R$3:R1000,CONCATENATE("=",$A235))=0,"",R$2))</f>
        <v/>
      </c>
      <c r="S235" s="3" t="str">
        <f>IF($A235="","",IF(countif('Womens Lineup'!S$3:S1000,CONCATENATE("=",$A235))=0,"",S$2))</f>
        <v/>
      </c>
      <c r="W235" s="3" t="str">
        <f>IFERROR(__xludf.DUMMYFUNCTION("JOIN("","",FILTER(B235:S235,B235:S235&lt;&gt;""""))"),"100 Back,200 Back,100 Fly,200 Fly,200 IM,400 IM")</f>
        <v>100 Back,200 Back,100 Fly,200 Fly,200 IM,400 IM</v>
      </c>
    </row>
    <row r="236">
      <c r="A236" s="3" t="s">
        <v>550</v>
      </c>
      <c r="B236" s="3" t="str">
        <f>IF($A236="","",IF(countif('Womens Lineup'!B$3:B1000,CONCATENATE("=",$A236))=0,"",B$2))</f>
        <v/>
      </c>
      <c r="C236" s="3" t="str">
        <f>IF($A236="","",IF(countif('Womens Lineup'!C$3:C1000,CONCATENATE("=",$A236))=0,"",C$2))</f>
        <v/>
      </c>
      <c r="D236" s="3" t="str">
        <f>IF($A236="","",IF(countif('Womens Lineup'!D$3:D1000,CONCATENATE("=",$A236))=0,"",D$2))</f>
        <v/>
      </c>
      <c r="E236" s="3" t="str">
        <f>IF($A236="","",IF(countif('Womens Lineup'!E$3:E1000,CONCATENATE("=",$A236))=0,"",E$2))</f>
        <v/>
      </c>
      <c r="F236" s="3" t="str">
        <f>IF($A236="","",IF(countif('Womens Lineup'!F$3:F1000,CONCATENATE("=",$A236))=0,"",F$2))</f>
        <v/>
      </c>
      <c r="G236" s="3" t="str">
        <f>IF($A236="","",IF(countif('Womens Lineup'!G$3:G1000,CONCATENATE("=",$A236))=0,"",G$2))</f>
        <v>100 Back</v>
      </c>
      <c r="H236" s="3" t="str">
        <f>IF($A236="","",IF(countif('Womens Lineup'!H$3:H1000,CONCATENATE("=",$A236))=0,"",H$2))</f>
        <v>200 Back</v>
      </c>
      <c r="I236" s="3" t="str">
        <f>IF($A236="","",IF(countif('Womens Lineup'!I$3:I1000,CONCATENATE("=",$A236))=0,"",I$2))</f>
        <v/>
      </c>
      <c r="J236" s="3" t="str">
        <f>IF($A236="","",IF(countif('Womens Lineup'!J$3:J1000,CONCATENATE("=",$A236))=0,"",J$2))</f>
        <v/>
      </c>
      <c r="K236" s="3" t="str">
        <f>IF($A236="","",IF(countif('Womens Lineup'!K$3:K1000,CONCATENATE("=",$A236))=0,"",K$2))</f>
        <v/>
      </c>
      <c r="L236" s="3" t="str">
        <f>IF($A236="","",IF(countif('Womens Lineup'!L$3:L1000,CONCATENATE("=",$A236))=0,"",L$2))</f>
        <v/>
      </c>
      <c r="M236" s="3" t="str">
        <f>IF($A236="","",IF(countif('Womens Lineup'!M$3:M1000,CONCATENATE("=",$A236))=0,"",M$2))</f>
        <v/>
      </c>
      <c r="N236" s="3" t="str">
        <f>IF($A236="","",IF(countif('Womens Lineup'!N$3:N1000,CONCATENATE("=",$A236))=0,"",N$2))</f>
        <v/>
      </c>
      <c r="O236" s="3" t="str">
        <f>IF($A236="","",IF(countif('Womens Lineup'!O$3:O1000,CONCATENATE("=",$A236))=0,"",O$2))</f>
        <v/>
      </c>
      <c r="P236" s="3" t="str">
        <f>IF($A236="","",IF(countif('Womens Lineup'!P$3:P1000,CONCATENATE("=",$A236))=0,"",P$2))</f>
        <v/>
      </c>
      <c r="Q236" s="3" t="str">
        <f>IF($A236="","",IF(countif('Womens Lineup'!Q$3:Q1000,CONCATENATE("=",$A236))=0,"",Q$2))</f>
        <v/>
      </c>
      <c r="R236" s="3" t="str">
        <f>IF($A236="","",IF(countif('Womens Lineup'!R$3:R1000,CONCATENATE("=",$A236))=0,"",R$2))</f>
        <v/>
      </c>
      <c r="S236" s="3" t="str">
        <f>IF($A236="","",IF(countif('Womens Lineup'!S$3:S1000,CONCATENATE("=",$A236))=0,"",S$2))</f>
        <v/>
      </c>
      <c r="W236" s="3" t="str">
        <f>IFERROR(__xludf.DUMMYFUNCTION("JOIN("","",FILTER(B236:S236,B236:S236&lt;&gt;""""))"),"100 Back,200 Back")</f>
        <v>100 Back,200 Back</v>
      </c>
    </row>
    <row r="237">
      <c r="A237" s="3" t="s">
        <v>551</v>
      </c>
      <c r="B237" s="3" t="str">
        <f>IF($A237="","",IF(countif('Womens Lineup'!B$3:B1000,CONCATENATE("=",$A237))=0,"",B$2))</f>
        <v/>
      </c>
      <c r="C237" s="3" t="str">
        <f>IF($A237="","",IF(countif('Womens Lineup'!C$3:C1000,CONCATENATE("=",$A237))=0,"",C$2))</f>
        <v/>
      </c>
      <c r="D237" s="3" t="str">
        <f>IF($A237="","",IF(countif('Womens Lineup'!D$3:D1000,CONCATENATE("=",$A237))=0,"",D$2))</f>
        <v/>
      </c>
      <c r="E237" s="3" t="str">
        <f>IF($A237="","",IF(countif('Womens Lineup'!E$3:E1000,CONCATENATE("=",$A237))=0,"",E$2))</f>
        <v/>
      </c>
      <c r="F237" s="3" t="str">
        <f>IF($A237="","",IF(countif('Womens Lineup'!F$3:F1000,CONCATENATE("=",$A237))=0,"",F$2))</f>
        <v/>
      </c>
      <c r="G237" s="3" t="str">
        <f>IF($A237="","",IF(countif('Womens Lineup'!G$3:G1000,CONCATENATE("=",$A237))=0,"",G$2))</f>
        <v>100 Back</v>
      </c>
      <c r="H237" s="3" t="str">
        <f>IF($A237="","",IF(countif('Womens Lineup'!H$3:H1000,CONCATENATE("=",$A237))=0,"",H$2))</f>
        <v>200 Back</v>
      </c>
      <c r="I237" s="3" t="str">
        <f>IF($A237="","",IF(countif('Womens Lineup'!I$3:I1000,CONCATENATE("=",$A237))=0,"",I$2))</f>
        <v/>
      </c>
      <c r="J237" s="3" t="str">
        <f>IF($A237="","",IF(countif('Womens Lineup'!J$3:J1000,CONCATENATE("=",$A237))=0,"",J$2))</f>
        <v/>
      </c>
      <c r="K237" s="3" t="str">
        <f>IF($A237="","",IF(countif('Womens Lineup'!K$3:K1000,CONCATENATE("=",$A237))=0,"",K$2))</f>
        <v/>
      </c>
      <c r="L237" s="3" t="str">
        <f>IF($A237="","",IF(countif('Womens Lineup'!L$3:L1000,CONCATENATE("=",$A237))=0,"",L$2))</f>
        <v/>
      </c>
      <c r="M237" s="3" t="str">
        <f>IF($A237="","",IF(countif('Womens Lineup'!M$3:M1000,CONCATENATE("=",$A237))=0,"",M$2))</f>
        <v/>
      </c>
      <c r="N237" s="3" t="str">
        <f>IF($A237="","",IF(countif('Womens Lineup'!N$3:N1000,CONCATENATE("=",$A237))=0,"",N$2))</f>
        <v/>
      </c>
      <c r="O237" s="3" t="str">
        <f>IF($A237="","",IF(countif('Womens Lineup'!O$3:O1000,CONCATENATE("=",$A237))=0,"",O$2))</f>
        <v/>
      </c>
      <c r="P237" s="3" t="str">
        <f>IF($A237="","",IF(countif('Womens Lineup'!P$3:P1000,CONCATENATE("=",$A237))=0,"",P$2))</f>
        <v/>
      </c>
      <c r="Q237" s="3" t="str">
        <f>IF($A237="","",IF(countif('Womens Lineup'!Q$3:Q1000,CONCATENATE("=",$A237))=0,"",Q$2))</f>
        <v/>
      </c>
      <c r="R237" s="3" t="str">
        <f>IF($A237="","",IF(countif('Womens Lineup'!R$3:R1000,CONCATENATE("=",$A237))=0,"",R$2))</f>
        <v/>
      </c>
      <c r="S237" s="3" t="str">
        <f>IF($A237="","",IF(countif('Womens Lineup'!S$3:S1000,CONCATENATE("=",$A237))=0,"",S$2))</f>
        <v/>
      </c>
      <c r="W237" s="3" t="str">
        <f>IFERROR(__xludf.DUMMYFUNCTION("JOIN("","",FILTER(B237:S237,B237:S237&lt;&gt;""""))"),"100 Back,200 Back")</f>
        <v>100 Back,200 Back</v>
      </c>
    </row>
    <row r="238">
      <c r="A238" s="3" t="s">
        <v>552</v>
      </c>
      <c r="B238" s="3" t="str">
        <f>IF($A238="","",IF(countif('Womens Lineup'!B$3:B1000,CONCATENATE("=",$A238))=0,"",B$2))</f>
        <v/>
      </c>
      <c r="C238" s="3" t="str">
        <f>IF($A238="","",IF(countif('Womens Lineup'!C$3:C1000,CONCATENATE("=",$A238))=0,"",C$2))</f>
        <v/>
      </c>
      <c r="D238" s="3" t="str">
        <f>IF($A238="","",IF(countif('Womens Lineup'!D$3:D1000,CONCATENATE("=",$A238))=0,"",D$2))</f>
        <v/>
      </c>
      <c r="E238" s="3" t="str">
        <f>IF($A238="","",IF(countif('Womens Lineup'!E$3:E1000,CONCATENATE("=",$A238))=0,"",E$2))</f>
        <v/>
      </c>
      <c r="F238" s="3" t="str">
        <f>IF($A238="","",IF(countif('Womens Lineup'!F$3:F1000,CONCATENATE("=",$A238))=0,"",F$2))</f>
        <v/>
      </c>
      <c r="G238" s="3" t="str">
        <f>IF($A238="","",IF(countif('Womens Lineup'!G$3:G1000,CONCATENATE("=",$A238))=0,"",G$2))</f>
        <v>100 Back</v>
      </c>
      <c r="H238" s="3" t="str">
        <f>IF($A238="","",IF(countif('Womens Lineup'!H$3:H1000,CONCATENATE("=",$A238))=0,"",H$2))</f>
        <v>200 Back</v>
      </c>
      <c r="I238" s="3" t="str">
        <f>IF($A238="","",IF(countif('Womens Lineup'!I$3:I1000,CONCATENATE("=",$A238))=0,"",I$2))</f>
        <v/>
      </c>
      <c r="J238" s="3" t="str">
        <f>IF($A238="","",IF(countif('Womens Lineup'!J$3:J1000,CONCATENATE("=",$A238))=0,"",J$2))</f>
        <v/>
      </c>
      <c r="K238" s="3" t="str">
        <f>IF($A238="","",IF(countif('Womens Lineup'!K$3:K1000,CONCATENATE("=",$A238))=0,"",K$2))</f>
        <v>100 Fly</v>
      </c>
      <c r="L238" s="3" t="str">
        <f>IF($A238="","",IF(countif('Womens Lineup'!L$3:L1000,CONCATENATE("=",$A238))=0,"",L$2))</f>
        <v>200 Fly</v>
      </c>
      <c r="M238" s="3" t="str">
        <f>IF($A238="","",IF(countif('Womens Lineup'!M$3:M1000,CONCATENATE("=",$A238))=0,"",M$2))</f>
        <v/>
      </c>
      <c r="N238" s="3" t="str">
        <f>IF($A238="","",IF(countif('Womens Lineup'!N$3:N1000,CONCATENATE("=",$A238))=0,"",N$2))</f>
        <v>400 IM</v>
      </c>
      <c r="O238" s="3" t="str">
        <f>IF($A238="","",IF(countif('Womens Lineup'!O$3:O1000,CONCATENATE("=",$A238))=0,"",O$2))</f>
        <v/>
      </c>
      <c r="P238" s="3" t="str">
        <f>IF($A238="","",IF(countif('Womens Lineup'!P$3:P1000,CONCATENATE("=",$A238))=0,"",P$2))</f>
        <v/>
      </c>
      <c r="Q238" s="3" t="str">
        <f>IF($A238="","",IF(countif('Womens Lineup'!Q$3:Q1000,CONCATENATE("=",$A238))=0,"",Q$2))</f>
        <v/>
      </c>
      <c r="R238" s="3" t="str">
        <f>IF($A238="","",IF(countif('Womens Lineup'!R$3:R1000,CONCATENATE("=",$A238))=0,"",R$2))</f>
        <v/>
      </c>
      <c r="S238" s="3" t="str">
        <f>IF($A238="","",IF(countif('Womens Lineup'!S$3:S1000,CONCATENATE("=",$A238))=0,"",S$2))</f>
        <v/>
      </c>
      <c r="W238" s="3" t="str">
        <f>IFERROR(__xludf.DUMMYFUNCTION("JOIN("","",FILTER(B238:S238,B238:S238&lt;&gt;""""))"),"100 Back,200 Back,100 Fly,200 Fly,400 IM")</f>
        <v>100 Back,200 Back,100 Fly,200 Fly,400 IM</v>
      </c>
    </row>
    <row r="239">
      <c r="A239" s="3" t="s">
        <v>553</v>
      </c>
      <c r="B239" s="3" t="str">
        <f>IF($A239="","",IF(countif('Womens Lineup'!B$3:B1000,CONCATENATE("=",$A239))=0,"",B$2))</f>
        <v/>
      </c>
      <c r="C239" s="3" t="str">
        <f>IF($A239="","",IF(countif('Womens Lineup'!C$3:C1000,CONCATENATE("=",$A239))=0,"",C$2))</f>
        <v/>
      </c>
      <c r="D239" s="3" t="str">
        <f>IF($A239="","",IF(countif('Womens Lineup'!D$3:D1000,CONCATENATE("=",$A239))=0,"",D$2))</f>
        <v/>
      </c>
      <c r="E239" s="3" t="str">
        <f>IF($A239="","",IF(countif('Womens Lineup'!E$3:E1000,CONCATENATE("=",$A239))=0,"",E$2))</f>
        <v/>
      </c>
      <c r="F239" s="3" t="str">
        <f>IF($A239="","",IF(countif('Womens Lineup'!F$3:F1000,CONCATENATE("=",$A239))=0,"",F$2))</f>
        <v/>
      </c>
      <c r="G239" s="3" t="str">
        <f>IF($A239="","",IF(countif('Womens Lineup'!G$3:G1000,CONCATENATE("=",$A239))=0,"",G$2))</f>
        <v>100 Back</v>
      </c>
      <c r="H239" s="3" t="str">
        <f>IF($A239="","",IF(countif('Womens Lineup'!H$3:H1000,CONCATENATE("=",$A239))=0,"",H$2))</f>
        <v>200 Back</v>
      </c>
      <c r="I239" s="3" t="str">
        <f>IF($A239="","",IF(countif('Womens Lineup'!I$3:I1000,CONCATENATE("=",$A239))=0,"",I$2))</f>
        <v/>
      </c>
      <c r="J239" s="3" t="str">
        <f>IF($A239="","",IF(countif('Womens Lineup'!J$3:J1000,CONCATENATE("=",$A239))=0,"",J$2))</f>
        <v/>
      </c>
      <c r="K239" s="3" t="str">
        <f>IF($A239="","",IF(countif('Womens Lineup'!K$3:K1000,CONCATENATE("=",$A239))=0,"",K$2))</f>
        <v>100 Fly</v>
      </c>
      <c r="L239" s="3" t="str">
        <f>IF($A239="","",IF(countif('Womens Lineup'!L$3:L1000,CONCATENATE("=",$A239))=0,"",L$2))</f>
        <v>200 Fly</v>
      </c>
      <c r="M239" s="3" t="str">
        <f>IF($A239="","",IF(countif('Womens Lineup'!M$3:M1000,CONCATENATE("=",$A239))=0,"",M$2))</f>
        <v>200 IM</v>
      </c>
      <c r="N239" s="3" t="str">
        <f>IF($A239="","",IF(countif('Womens Lineup'!N$3:N1000,CONCATENATE("=",$A239))=0,"",N$2))</f>
        <v>400 IM</v>
      </c>
      <c r="O239" s="3" t="str">
        <f>IF($A239="","",IF(countif('Womens Lineup'!O$3:O1000,CONCATENATE("=",$A239))=0,"",O$2))</f>
        <v/>
      </c>
      <c r="P239" s="3" t="str">
        <f>IF($A239="","",IF(countif('Womens Lineup'!P$3:P1000,CONCATENATE("=",$A239))=0,"",P$2))</f>
        <v/>
      </c>
      <c r="Q239" s="3" t="str">
        <f>IF($A239="","",IF(countif('Womens Lineup'!Q$3:Q1000,CONCATENATE("=",$A239))=0,"",Q$2))</f>
        <v/>
      </c>
      <c r="R239" s="3" t="str">
        <f>IF($A239="","",IF(countif('Womens Lineup'!R$3:R1000,CONCATENATE("=",$A239))=0,"",R$2))</f>
        <v/>
      </c>
      <c r="S239" s="3" t="str">
        <f>IF($A239="","",IF(countif('Womens Lineup'!S$3:S1000,CONCATENATE("=",$A239))=0,"",S$2))</f>
        <v/>
      </c>
      <c r="W239" s="3" t="str">
        <f>IFERROR(__xludf.DUMMYFUNCTION("JOIN("","",FILTER(B239:S239,B239:S239&lt;&gt;""""))"),"100 Back,200 Back,100 Fly,200 Fly,200 IM,400 IM")</f>
        <v>100 Back,200 Back,100 Fly,200 Fly,200 IM,400 IM</v>
      </c>
    </row>
    <row r="240">
      <c r="A240" s="3" t="s">
        <v>554</v>
      </c>
      <c r="B240" s="3" t="str">
        <f>IF($A240="","",IF(countif('Womens Lineup'!B$3:B1000,CONCATENATE("=",$A240))=0,"",B$2))</f>
        <v/>
      </c>
      <c r="C240" s="3" t="str">
        <f>IF($A240="","",IF(countif('Womens Lineup'!C$3:C1000,CONCATENATE("=",$A240))=0,"",C$2))</f>
        <v/>
      </c>
      <c r="D240" s="3" t="str">
        <f>IF($A240="","",IF(countif('Womens Lineup'!D$3:D1000,CONCATENATE("=",$A240))=0,"",D$2))</f>
        <v/>
      </c>
      <c r="E240" s="3" t="str">
        <f>IF($A240="","",IF(countif('Womens Lineup'!E$3:E1000,CONCATENATE("=",$A240))=0,"",E$2))</f>
        <v/>
      </c>
      <c r="F240" s="3" t="str">
        <f>IF($A240="","",IF(countif('Womens Lineup'!F$3:F1000,CONCATENATE("=",$A240))=0,"",F$2))</f>
        <v/>
      </c>
      <c r="G240" s="3" t="str">
        <f>IF($A240="","",IF(countif('Womens Lineup'!G$3:G1000,CONCATENATE("=",$A240))=0,"",G$2))</f>
        <v>100 Back</v>
      </c>
      <c r="H240" s="3" t="str">
        <f>IF($A240="","",IF(countif('Womens Lineup'!H$3:H1000,CONCATENATE("=",$A240))=0,"",H$2))</f>
        <v>200 Back</v>
      </c>
      <c r="I240" s="3" t="str">
        <f>IF($A240="","",IF(countif('Womens Lineup'!I$3:I1000,CONCATENATE("=",$A240))=0,"",I$2))</f>
        <v>100 Breast</v>
      </c>
      <c r="J240" s="3" t="str">
        <f>IF($A240="","",IF(countif('Womens Lineup'!J$3:J1000,CONCATENATE("=",$A240))=0,"",J$2))</f>
        <v>200 Breast</v>
      </c>
      <c r="K240" s="3" t="str">
        <f>IF($A240="","",IF(countif('Womens Lineup'!K$3:K1000,CONCATENATE("=",$A240))=0,"",K$2))</f>
        <v/>
      </c>
      <c r="L240" s="3" t="str">
        <f>IF($A240="","",IF(countif('Womens Lineup'!L$3:L1000,CONCATENATE("=",$A240))=0,"",L$2))</f>
        <v/>
      </c>
      <c r="M240" s="3" t="str">
        <f>IF($A240="","",IF(countif('Womens Lineup'!M$3:M1000,CONCATENATE("=",$A240))=0,"",M$2))</f>
        <v>200 IM</v>
      </c>
      <c r="N240" s="3" t="str">
        <f>IF($A240="","",IF(countif('Womens Lineup'!N$3:N1000,CONCATENATE("=",$A240))=0,"",N$2))</f>
        <v>400 IM</v>
      </c>
      <c r="O240" s="3" t="str">
        <f>IF($A240="","",IF(countif('Womens Lineup'!O$3:O1000,CONCATENATE("=",$A240))=0,"",O$2))</f>
        <v/>
      </c>
      <c r="P240" s="3" t="str">
        <f>IF($A240="","",IF(countif('Womens Lineup'!P$3:P1000,CONCATENATE("=",$A240))=0,"",P$2))</f>
        <v/>
      </c>
      <c r="Q240" s="3" t="str">
        <f>IF($A240="","",IF(countif('Womens Lineup'!Q$3:Q1000,CONCATENATE("=",$A240))=0,"",Q$2))</f>
        <v/>
      </c>
      <c r="R240" s="3" t="str">
        <f>IF($A240="","",IF(countif('Womens Lineup'!R$3:R1000,CONCATENATE("=",$A240))=0,"",R$2))</f>
        <v/>
      </c>
      <c r="S240" s="3" t="str">
        <f>IF($A240="","",IF(countif('Womens Lineup'!S$3:S1000,CONCATENATE("=",$A240))=0,"",S$2))</f>
        <v/>
      </c>
      <c r="W240" s="3" t="str">
        <f>IFERROR(__xludf.DUMMYFUNCTION("JOIN("","",FILTER(B240:S240,B240:S240&lt;&gt;""""))"),"100 Back,200 Back,100 Breast,200 Breast,200 IM,400 IM")</f>
        <v>100 Back,200 Back,100 Breast,200 Breast,200 IM,400 IM</v>
      </c>
    </row>
    <row r="241">
      <c r="A241" s="3" t="s">
        <v>555</v>
      </c>
      <c r="B241" s="3" t="str">
        <f>IF($A241="","",IF(countif('Womens Lineup'!B$3:B1000,CONCATENATE("=",$A241))=0,"",B$2))</f>
        <v/>
      </c>
      <c r="C241" s="3" t="str">
        <f>IF($A241="","",IF(countif('Womens Lineup'!C$3:C1000,CONCATENATE("=",$A241))=0,"",C$2))</f>
        <v/>
      </c>
      <c r="D241" s="3" t="str">
        <f>IF($A241="","",IF(countif('Womens Lineup'!D$3:D1000,CONCATENATE("=",$A241))=0,"",D$2))</f>
        <v/>
      </c>
      <c r="E241" s="3" t="str">
        <f>IF($A241="","",IF(countif('Womens Lineup'!E$3:E1000,CONCATENATE("=",$A241))=0,"",E$2))</f>
        <v/>
      </c>
      <c r="F241" s="3" t="str">
        <f>IF($A241="","",IF(countif('Womens Lineup'!F$3:F1000,CONCATENATE("=",$A241))=0,"",F$2))</f>
        <v/>
      </c>
      <c r="G241" s="3" t="str">
        <f>IF($A241="","",IF(countif('Womens Lineup'!G$3:G1000,CONCATENATE("=",$A241))=0,"",G$2))</f>
        <v>100 Back</v>
      </c>
      <c r="H241" s="3" t="str">
        <f>IF($A241="","",IF(countif('Womens Lineup'!H$3:H1000,CONCATENATE("=",$A241))=0,"",H$2))</f>
        <v>200 Back</v>
      </c>
      <c r="I241" s="3" t="str">
        <f>IF($A241="","",IF(countif('Womens Lineup'!I$3:I1000,CONCATENATE("=",$A241))=0,"",I$2))</f>
        <v/>
      </c>
      <c r="J241" s="3" t="str">
        <f>IF($A241="","",IF(countif('Womens Lineup'!J$3:J1000,CONCATENATE("=",$A241))=0,"",J$2))</f>
        <v/>
      </c>
      <c r="K241" s="3" t="str">
        <f>IF($A241="","",IF(countif('Womens Lineup'!K$3:K1000,CONCATENATE("=",$A241))=0,"",K$2))</f>
        <v>100 Fly</v>
      </c>
      <c r="L241" s="3" t="str">
        <f>IF($A241="","",IF(countif('Womens Lineup'!L$3:L1000,CONCATENATE("=",$A241))=0,"",L$2))</f>
        <v>200 Fly</v>
      </c>
      <c r="M241" s="3" t="str">
        <f>IF($A241="","",IF(countif('Womens Lineup'!M$3:M1000,CONCATENATE("=",$A241))=0,"",M$2))</f>
        <v>200 IM</v>
      </c>
      <c r="N241" s="3" t="str">
        <f>IF($A241="","",IF(countif('Womens Lineup'!N$3:N1000,CONCATENATE("=",$A241))=0,"",N$2))</f>
        <v>400 IM</v>
      </c>
      <c r="O241" s="3" t="str">
        <f>IF($A241="","",IF(countif('Womens Lineup'!O$3:O1000,CONCATENATE("=",$A241))=0,"",O$2))</f>
        <v/>
      </c>
      <c r="P241" s="3" t="str">
        <f>IF($A241="","",IF(countif('Womens Lineup'!P$3:P1000,CONCATENATE("=",$A241))=0,"",P$2))</f>
        <v/>
      </c>
      <c r="Q241" s="3" t="str">
        <f>IF($A241="","",IF(countif('Womens Lineup'!Q$3:Q1000,CONCATENATE("=",$A241))=0,"",Q$2))</f>
        <v/>
      </c>
      <c r="R241" s="3" t="str">
        <f>IF($A241="","",IF(countif('Womens Lineup'!R$3:R1000,CONCATENATE("=",$A241))=0,"",R$2))</f>
        <v/>
      </c>
      <c r="S241" s="3" t="str">
        <f>IF($A241="","",IF(countif('Womens Lineup'!S$3:S1000,CONCATENATE("=",$A241))=0,"",S$2))</f>
        <v/>
      </c>
      <c r="W241" s="3" t="str">
        <f>IFERROR(__xludf.DUMMYFUNCTION("JOIN("","",FILTER(B241:S241,B241:S241&lt;&gt;""""))"),"100 Back,200 Back,100 Fly,200 Fly,200 IM,400 IM")</f>
        <v>100 Back,200 Back,100 Fly,200 Fly,200 IM,400 IM</v>
      </c>
    </row>
    <row r="242">
      <c r="A242" s="3" t="s">
        <v>556</v>
      </c>
      <c r="B242" s="3" t="str">
        <f>IF($A242="","",IF(countif('Womens Lineup'!B$3:B1000,CONCATENATE("=",$A242))=0,"",B$2))</f>
        <v/>
      </c>
      <c r="C242" s="3" t="str">
        <f>IF($A242="","",IF(countif('Womens Lineup'!C$3:C1000,CONCATENATE("=",$A242))=0,"",C$2))</f>
        <v/>
      </c>
      <c r="D242" s="3" t="str">
        <f>IF($A242="","",IF(countif('Womens Lineup'!D$3:D1000,CONCATENATE("=",$A242))=0,"",D$2))</f>
        <v/>
      </c>
      <c r="E242" s="3" t="str">
        <f>IF($A242="","",IF(countif('Womens Lineup'!E$3:E1000,CONCATENATE("=",$A242))=0,"",E$2))</f>
        <v/>
      </c>
      <c r="F242" s="3" t="str">
        <f>IF($A242="","",IF(countif('Womens Lineup'!F$3:F1000,CONCATENATE("=",$A242))=0,"",F$2))</f>
        <v/>
      </c>
      <c r="G242" s="3" t="str">
        <f>IF($A242="","",IF(countif('Womens Lineup'!G$3:G1000,CONCATENATE("=",$A242))=0,"",G$2))</f>
        <v>100 Back</v>
      </c>
      <c r="H242" s="3" t="str">
        <f>IF($A242="","",IF(countif('Womens Lineup'!H$3:H1000,CONCATENATE("=",$A242))=0,"",H$2))</f>
        <v>200 Back</v>
      </c>
      <c r="I242" s="3" t="str">
        <f>IF($A242="","",IF(countif('Womens Lineup'!I$3:I1000,CONCATENATE("=",$A242))=0,"",I$2))</f>
        <v/>
      </c>
      <c r="J242" s="3" t="str">
        <f>IF($A242="","",IF(countif('Womens Lineup'!J$3:J1000,CONCATENATE("=",$A242))=0,"",J$2))</f>
        <v/>
      </c>
      <c r="K242" s="3" t="str">
        <f>IF($A242="","",IF(countif('Womens Lineup'!K$3:K1000,CONCATENATE("=",$A242))=0,"",K$2))</f>
        <v/>
      </c>
      <c r="L242" s="3" t="str">
        <f>IF($A242="","",IF(countif('Womens Lineup'!L$3:L1000,CONCATENATE("=",$A242))=0,"",L$2))</f>
        <v/>
      </c>
      <c r="M242" s="3" t="str">
        <f>IF($A242="","",IF(countif('Womens Lineup'!M$3:M1000,CONCATENATE("=",$A242))=0,"",M$2))</f>
        <v/>
      </c>
      <c r="N242" s="3" t="str">
        <f>IF($A242="","",IF(countif('Womens Lineup'!N$3:N1000,CONCATENATE("=",$A242))=0,"",N$2))</f>
        <v/>
      </c>
      <c r="O242" s="3" t="str">
        <f>IF($A242="","",IF(countif('Womens Lineup'!O$3:O1000,CONCATENATE("=",$A242))=0,"",O$2))</f>
        <v/>
      </c>
      <c r="P242" s="3" t="str">
        <f>IF($A242="","",IF(countif('Womens Lineup'!P$3:P1000,CONCATENATE("=",$A242))=0,"",P$2))</f>
        <v/>
      </c>
      <c r="Q242" s="3" t="str">
        <f>IF($A242="","",IF(countif('Womens Lineup'!Q$3:Q1000,CONCATENATE("=",$A242))=0,"",Q$2))</f>
        <v/>
      </c>
      <c r="R242" s="3" t="str">
        <f>IF($A242="","",IF(countif('Womens Lineup'!R$3:R1000,CONCATENATE("=",$A242))=0,"",R$2))</f>
        <v/>
      </c>
      <c r="S242" s="3" t="str">
        <f>IF($A242="","",IF(countif('Womens Lineup'!S$3:S1000,CONCATENATE("=",$A242))=0,"",S$2))</f>
        <v/>
      </c>
      <c r="W242" s="3" t="str">
        <f>IFERROR(__xludf.DUMMYFUNCTION("JOIN("","",FILTER(B242:S242,B242:S242&lt;&gt;""""))"),"100 Back,200 Back")</f>
        <v>100 Back,200 Back</v>
      </c>
    </row>
    <row r="243">
      <c r="A243" s="3" t="s">
        <v>557</v>
      </c>
      <c r="B243" s="3" t="str">
        <f>IF($A243="","",IF(countif('Womens Lineup'!B$3:B1000,CONCATENATE("=",$A243))=0,"",B$2))</f>
        <v/>
      </c>
      <c r="C243" s="3" t="str">
        <f>IF($A243="","",IF(countif('Womens Lineup'!C$3:C1000,CONCATENATE("=",$A243))=0,"",C$2))</f>
        <v/>
      </c>
      <c r="D243" s="3" t="str">
        <f>IF($A243="","",IF(countif('Womens Lineup'!D$3:D1000,CONCATENATE("=",$A243))=0,"",D$2))</f>
        <v/>
      </c>
      <c r="E243" s="3" t="str">
        <f>IF($A243="","",IF(countif('Womens Lineup'!E$3:E1000,CONCATENATE("=",$A243))=0,"",E$2))</f>
        <v/>
      </c>
      <c r="F243" s="3" t="str">
        <f>IF($A243="","",IF(countif('Womens Lineup'!F$3:F1000,CONCATENATE("=",$A243))=0,"",F$2))</f>
        <v/>
      </c>
      <c r="G243" s="3" t="str">
        <f>IF($A243="","",IF(countif('Womens Lineup'!G$3:G1000,CONCATENATE("=",$A243))=0,"",G$2))</f>
        <v>100 Back</v>
      </c>
      <c r="H243" s="3" t="str">
        <f>IF($A243="","",IF(countif('Womens Lineup'!H$3:H1000,CONCATENATE("=",$A243))=0,"",H$2))</f>
        <v>200 Back</v>
      </c>
      <c r="I243" s="3" t="str">
        <f>IF($A243="","",IF(countif('Womens Lineup'!I$3:I1000,CONCATENATE("=",$A243))=0,"",I$2))</f>
        <v/>
      </c>
      <c r="J243" s="3" t="str">
        <f>IF($A243="","",IF(countif('Womens Lineup'!J$3:J1000,CONCATENATE("=",$A243))=0,"",J$2))</f>
        <v/>
      </c>
      <c r="K243" s="3" t="str">
        <f>IF($A243="","",IF(countif('Womens Lineup'!K$3:K1000,CONCATENATE("=",$A243))=0,"",K$2))</f>
        <v/>
      </c>
      <c r="L243" s="3" t="str">
        <f>IF($A243="","",IF(countif('Womens Lineup'!L$3:L1000,CONCATENATE("=",$A243))=0,"",L$2))</f>
        <v/>
      </c>
      <c r="M243" s="3" t="str">
        <f>IF($A243="","",IF(countif('Womens Lineup'!M$3:M1000,CONCATENATE("=",$A243))=0,"",M$2))</f>
        <v/>
      </c>
      <c r="N243" s="3" t="str">
        <f>IF($A243="","",IF(countif('Womens Lineup'!N$3:N1000,CONCATENATE("=",$A243))=0,"",N$2))</f>
        <v/>
      </c>
      <c r="O243" s="3" t="str">
        <f>IF($A243="","",IF(countif('Womens Lineup'!O$3:O1000,CONCATENATE("=",$A243))=0,"",O$2))</f>
        <v/>
      </c>
      <c r="P243" s="3" t="str">
        <f>IF($A243="","",IF(countif('Womens Lineup'!P$3:P1000,CONCATENATE("=",$A243))=0,"",P$2))</f>
        <v/>
      </c>
      <c r="Q243" s="3" t="str">
        <f>IF($A243="","",IF(countif('Womens Lineup'!Q$3:Q1000,CONCATENATE("=",$A243))=0,"",Q$2))</f>
        <v/>
      </c>
      <c r="R243" s="3" t="str">
        <f>IF($A243="","",IF(countif('Womens Lineup'!R$3:R1000,CONCATENATE("=",$A243))=0,"",R$2))</f>
        <v/>
      </c>
      <c r="S243" s="3" t="str">
        <f>IF($A243="","",IF(countif('Womens Lineup'!S$3:S1000,CONCATENATE("=",$A243))=0,"",S$2))</f>
        <v/>
      </c>
      <c r="W243" s="3" t="str">
        <f>IFERROR(__xludf.DUMMYFUNCTION("JOIN("","",FILTER(B243:S243,B243:S243&lt;&gt;""""))"),"100 Back,200 Back")</f>
        <v>100 Back,200 Back</v>
      </c>
    </row>
    <row r="244">
      <c r="A244" s="3" t="s">
        <v>558</v>
      </c>
      <c r="B244" s="3" t="str">
        <f>IF($A244="","",IF(countif('Womens Lineup'!B$3:B1000,CONCATENATE("=",$A244))=0,"",B$2))</f>
        <v/>
      </c>
      <c r="C244" s="3" t="str">
        <f>IF($A244="","",IF(countif('Womens Lineup'!C$3:C1000,CONCATENATE("=",$A244))=0,"",C$2))</f>
        <v/>
      </c>
      <c r="D244" s="3" t="str">
        <f>IF($A244="","",IF(countif('Womens Lineup'!D$3:D1000,CONCATENATE("=",$A244))=0,"",D$2))</f>
        <v/>
      </c>
      <c r="E244" s="3" t="str">
        <f>IF($A244="","",IF(countif('Womens Lineup'!E$3:E1000,CONCATENATE("=",$A244))=0,"",E$2))</f>
        <v/>
      </c>
      <c r="F244" s="3" t="str">
        <f>IF($A244="","",IF(countif('Womens Lineup'!F$3:F1000,CONCATENATE("=",$A244))=0,"",F$2))</f>
        <v/>
      </c>
      <c r="G244" s="3" t="str">
        <f>IF($A244="","",IF(countif('Womens Lineup'!G$3:G1000,CONCATENATE("=",$A244))=0,"",G$2))</f>
        <v>100 Back</v>
      </c>
      <c r="H244" s="3" t="str">
        <f>IF($A244="","",IF(countif('Womens Lineup'!H$3:H1000,CONCATENATE("=",$A244))=0,"",H$2))</f>
        <v>200 Back</v>
      </c>
      <c r="I244" s="3" t="str">
        <f>IF($A244="","",IF(countif('Womens Lineup'!I$3:I1000,CONCATENATE("=",$A244))=0,"",I$2))</f>
        <v>100 Breast</v>
      </c>
      <c r="J244" s="3" t="str">
        <f>IF($A244="","",IF(countif('Womens Lineup'!J$3:J1000,CONCATENATE("=",$A244))=0,"",J$2))</f>
        <v>200 Breast</v>
      </c>
      <c r="K244" s="3" t="str">
        <f>IF($A244="","",IF(countif('Womens Lineup'!K$3:K1000,CONCATENATE("=",$A244))=0,"",K$2))</f>
        <v/>
      </c>
      <c r="L244" s="3" t="str">
        <f>IF($A244="","",IF(countif('Womens Lineup'!L$3:L1000,CONCATENATE("=",$A244))=0,"",L$2))</f>
        <v/>
      </c>
      <c r="M244" s="3" t="str">
        <f>IF($A244="","",IF(countif('Womens Lineup'!M$3:M1000,CONCATENATE("=",$A244))=0,"",M$2))</f>
        <v>200 IM</v>
      </c>
      <c r="N244" s="3" t="str">
        <f>IF($A244="","",IF(countif('Womens Lineup'!N$3:N1000,CONCATENATE("=",$A244))=0,"",N$2))</f>
        <v>400 IM</v>
      </c>
      <c r="O244" s="3" t="str">
        <f>IF($A244="","",IF(countif('Womens Lineup'!O$3:O1000,CONCATENATE("=",$A244))=0,"",O$2))</f>
        <v/>
      </c>
      <c r="P244" s="3" t="str">
        <f>IF($A244="","",IF(countif('Womens Lineup'!P$3:P1000,CONCATENATE("=",$A244))=0,"",P$2))</f>
        <v/>
      </c>
      <c r="Q244" s="3" t="str">
        <f>IF($A244="","",IF(countif('Womens Lineup'!Q$3:Q1000,CONCATENATE("=",$A244))=0,"",Q$2))</f>
        <v/>
      </c>
      <c r="R244" s="3" t="str">
        <f>IF($A244="","",IF(countif('Womens Lineup'!R$3:R1000,CONCATENATE("=",$A244))=0,"",R$2))</f>
        <v/>
      </c>
      <c r="S244" s="3" t="str">
        <f>IF($A244="","",IF(countif('Womens Lineup'!S$3:S1000,CONCATENATE("=",$A244))=0,"",S$2))</f>
        <v/>
      </c>
      <c r="W244" s="3" t="str">
        <f>IFERROR(__xludf.DUMMYFUNCTION("JOIN("","",FILTER(B244:S244,B244:S244&lt;&gt;""""))"),"100 Back,200 Back,100 Breast,200 Breast,200 IM,400 IM")</f>
        <v>100 Back,200 Back,100 Breast,200 Breast,200 IM,400 IM</v>
      </c>
    </row>
    <row r="245">
      <c r="A245" s="3" t="s">
        <v>559</v>
      </c>
      <c r="B245" s="3" t="str">
        <f>IF($A245="","",IF(countif('Womens Lineup'!B$3:B1000,CONCATENATE("=",$A245))=0,"",B$2))</f>
        <v/>
      </c>
      <c r="C245" s="3" t="str">
        <f>IF($A245="","",IF(countif('Womens Lineup'!C$3:C1000,CONCATENATE("=",$A245))=0,"",C$2))</f>
        <v/>
      </c>
      <c r="D245" s="3" t="str">
        <f>IF($A245="","",IF(countif('Womens Lineup'!D$3:D1000,CONCATENATE("=",$A245))=0,"",D$2))</f>
        <v/>
      </c>
      <c r="E245" s="3" t="str">
        <f>IF($A245="","",IF(countif('Womens Lineup'!E$3:E1000,CONCATENATE("=",$A245))=0,"",E$2))</f>
        <v/>
      </c>
      <c r="F245" s="3" t="str">
        <f>IF($A245="","",IF(countif('Womens Lineup'!F$3:F1000,CONCATENATE("=",$A245))=0,"",F$2))</f>
        <v/>
      </c>
      <c r="G245" s="3" t="str">
        <f>IF($A245="","",IF(countif('Womens Lineup'!G$3:G1000,CONCATENATE("=",$A245))=0,"",G$2))</f>
        <v>100 Back</v>
      </c>
      <c r="H245" s="3" t="str">
        <f>IF($A245="","",IF(countif('Womens Lineup'!H$3:H1000,CONCATENATE("=",$A245))=0,"",H$2))</f>
        <v>200 Back</v>
      </c>
      <c r="I245" s="3" t="str">
        <f>IF($A245="","",IF(countif('Womens Lineup'!I$3:I1000,CONCATENATE("=",$A245))=0,"",I$2))</f>
        <v/>
      </c>
      <c r="J245" s="3" t="str">
        <f>IF($A245="","",IF(countif('Womens Lineup'!J$3:J1000,CONCATENATE("=",$A245))=0,"",J$2))</f>
        <v/>
      </c>
      <c r="K245" s="3" t="str">
        <f>IF($A245="","",IF(countif('Womens Lineup'!K$3:K1000,CONCATENATE("=",$A245))=0,"",K$2))</f>
        <v>100 Fly</v>
      </c>
      <c r="L245" s="3" t="str">
        <f>IF($A245="","",IF(countif('Womens Lineup'!L$3:L1000,CONCATENATE("=",$A245))=0,"",L$2))</f>
        <v>200 Fly</v>
      </c>
      <c r="M245" s="3" t="str">
        <f>IF($A245="","",IF(countif('Womens Lineup'!M$3:M1000,CONCATENATE("=",$A245))=0,"",M$2))</f>
        <v/>
      </c>
      <c r="N245" s="3" t="str">
        <f>IF($A245="","",IF(countif('Womens Lineup'!N$3:N1000,CONCATENATE("=",$A245))=0,"",N$2))</f>
        <v/>
      </c>
      <c r="O245" s="3" t="str">
        <f>IF($A245="","",IF(countif('Womens Lineup'!O$3:O1000,CONCATENATE("=",$A245))=0,"",O$2))</f>
        <v/>
      </c>
      <c r="P245" s="3" t="str">
        <f>IF($A245="","",IF(countif('Womens Lineup'!P$3:P1000,CONCATENATE("=",$A245))=0,"",P$2))</f>
        <v/>
      </c>
      <c r="Q245" s="3" t="str">
        <f>IF($A245="","",IF(countif('Womens Lineup'!Q$3:Q1000,CONCATENATE("=",$A245))=0,"",Q$2))</f>
        <v/>
      </c>
      <c r="R245" s="3" t="str">
        <f>IF($A245="","",IF(countif('Womens Lineup'!R$3:R1000,CONCATENATE("=",$A245))=0,"",R$2))</f>
        <v/>
      </c>
      <c r="S245" s="3" t="str">
        <f>IF($A245="","",IF(countif('Womens Lineup'!S$3:S1000,CONCATENATE("=",$A245))=0,"",S$2))</f>
        <v/>
      </c>
      <c r="W245" s="3" t="str">
        <f>IFERROR(__xludf.DUMMYFUNCTION("JOIN("","",FILTER(B245:S245,B245:S245&lt;&gt;""""))"),"100 Back,200 Back,100 Fly,200 Fly")</f>
        <v>100 Back,200 Back,100 Fly,200 Fly</v>
      </c>
    </row>
    <row r="246">
      <c r="A246" s="3" t="s">
        <v>560</v>
      </c>
      <c r="B246" s="3" t="str">
        <f>IF($A246="","",IF(countif('Womens Lineup'!B$3:B1000,CONCATENATE("=",$A246))=0,"",B$2))</f>
        <v/>
      </c>
      <c r="C246" s="3" t="str">
        <f>IF($A246="","",IF(countif('Womens Lineup'!C$3:C1000,CONCATENATE("=",$A246))=0,"",C$2))</f>
        <v/>
      </c>
      <c r="D246" s="3" t="str">
        <f>IF($A246="","",IF(countif('Womens Lineup'!D$3:D1000,CONCATENATE("=",$A246))=0,"",D$2))</f>
        <v/>
      </c>
      <c r="E246" s="3" t="str">
        <f>IF($A246="","",IF(countif('Womens Lineup'!E$3:E1000,CONCATENATE("=",$A246))=0,"",E$2))</f>
        <v/>
      </c>
      <c r="F246" s="3" t="str">
        <f>IF($A246="","",IF(countif('Womens Lineup'!F$3:F1000,CONCATENATE("=",$A246))=0,"",F$2))</f>
        <v/>
      </c>
      <c r="G246" s="3" t="str">
        <f>IF($A246="","",IF(countif('Womens Lineup'!G$3:G1000,CONCATENATE("=",$A246))=0,"",G$2))</f>
        <v>100 Back</v>
      </c>
      <c r="H246" s="3" t="str">
        <f>IF($A246="","",IF(countif('Womens Lineup'!H$3:H1000,CONCATENATE("=",$A246))=0,"",H$2))</f>
        <v>200 Back</v>
      </c>
      <c r="I246" s="3" t="str">
        <f>IF($A246="","",IF(countif('Womens Lineup'!I$3:I1000,CONCATENATE("=",$A246))=0,"",I$2))</f>
        <v>100 Breast</v>
      </c>
      <c r="J246" s="3" t="str">
        <f>IF($A246="","",IF(countif('Womens Lineup'!J$3:J1000,CONCATENATE("=",$A246))=0,"",J$2))</f>
        <v>200 Breast</v>
      </c>
      <c r="K246" s="3" t="str">
        <f>IF($A246="","",IF(countif('Womens Lineup'!K$3:K1000,CONCATENATE("=",$A246))=0,"",K$2))</f>
        <v/>
      </c>
      <c r="L246" s="3" t="str">
        <f>IF($A246="","",IF(countif('Womens Lineup'!L$3:L1000,CONCATENATE("=",$A246))=0,"",L$2))</f>
        <v/>
      </c>
      <c r="M246" s="3" t="str">
        <f>IF($A246="","",IF(countif('Womens Lineup'!M$3:M1000,CONCATENATE("=",$A246))=0,"",M$2))</f>
        <v>200 IM</v>
      </c>
      <c r="N246" s="3" t="str">
        <f>IF($A246="","",IF(countif('Womens Lineup'!N$3:N1000,CONCATENATE("=",$A246))=0,"",N$2))</f>
        <v>400 IM</v>
      </c>
      <c r="O246" s="3" t="str">
        <f>IF($A246="","",IF(countif('Womens Lineup'!O$3:O1000,CONCATENATE("=",$A246))=0,"",O$2))</f>
        <v/>
      </c>
      <c r="P246" s="3" t="str">
        <f>IF($A246="","",IF(countif('Womens Lineup'!P$3:P1000,CONCATENATE("=",$A246))=0,"",P$2))</f>
        <v/>
      </c>
      <c r="Q246" s="3" t="str">
        <f>IF($A246="","",IF(countif('Womens Lineup'!Q$3:Q1000,CONCATENATE("=",$A246))=0,"",Q$2))</f>
        <v/>
      </c>
      <c r="R246" s="3" t="str">
        <f>IF($A246="","",IF(countif('Womens Lineup'!R$3:R1000,CONCATENATE("=",$A246))=0,"",R$2))</f>
        <v/>
      </c>
      <c r="S246" s="3" t="str">
        <f>IF($A246="","",IF(countif('Womens Lineup'!S$3:S1000,CONCATENATE("=",$A246))=0,"",S$2))</f>
        <v/>
      </c>
      <c r="W246" s="3" t="str">
        <f>IFERROR(__xludf.DUMMYFUNCTION("JOIN("","",FILTER(B246:S246,B246:S246&lt;&gt;""""))"),"100 Back,200 Back,100 Breast,200 Breast,200 IM,400 IM")</f>
        <v>100 Back,200 Back,100 Breast,200 Breast,200 IM,400 IM</v>
      </c>
    </row>
    <row r="247">
      <c r="A247" s="3" t="s">
        <v>561</v>
      </c>
      <c r="B247" s="3" t="str">
        <f>IF($A247="","",IF(countif('Womens Lineup'!B$3:B1000,CONCATENATE("=",$A247))=0,"",B$2))</f>
        <v/>
      </c>
      <c r="C247" s="3" t="str">
        <f>IF($A247="","",IF(countif('Womens Lineup'!C$3:C1000,CONCATENATE("=",$A247))=0,"",C$2))</f>
        <v/>
      </c>
      <c r="D247" s="3" t="str">
        <f>IF($A247="","",IF(countif('Womens Lineup'!D$3:D1000,CONCATENATE("=",$A247))=0,"",D$2))</f>
        <v/>
      </c>
      <c r="E247" s="3" t="str">
        <f>IF($A247="","",IF(countif('Womens Lineup'!E$3:E1000,CONCATENATE("=",$A247))=0,"",E$2))</f>
        <v/>
      </c>
      <c r="F247" s="3" t="str">
        <f>IF($A247="","",IF(countif('Womens Lineup'!F$3:F1000,CONCATENATE("=",$A247))=0,"",F$2))</f>
        <v/>
      </c>
      <c r="G247" s="3" t="str">
        <f>IF($A247="","",IF(countif('Womens Lineup'!G$3:G1000,CONCATENATE("=",$A247))=0,"",G$2))</f>
        <v>100 Back</v>
      </c>
      <c r="H247" s="3" t="str">
        <f>IF($A247="","",IF(countif('Womens Lineup'!H$3:H1000,CONCATENATE("=",$A247))=0,"",H$2))</f>
        <v>200 Back</v>
      </c>
      <c r="I247" s="3" t="str">
        <f>IF($A247="","",IF(countif('Womens Lineup'!I$3:I1000,CONCATENATE("=",$A247))=0,"",I$2))</f>
        <v/>
      </c>
      <c r="J247" s="3" t="str">
        <f>IF($A247="","",IF(countif('Womens Lineup'!J$3:J1000,CONCATENATE("=",$A247))=0,"",J$2))</f>
        <v/>
      </c>
      <c r="K247" s="3" t="str">
        <f>IF($A247="","",IF(countif('Womens Lineup'!K$3:K1000,CONCATENATE("=",$A247))=0,"",K$2))</f>
        <v/>
      </c>
      <c r="L247" s="3" t="str">
        <f>IF($A247="","",IF(countif('Womens Lineup'!L$3:L1000,CONCATENATE("=",$A247))=0,"",L$2))</f>
        <v/>
      </c>
      <c r="M247" s="3" t="str">
        <f>IF($A247="","",IF(countif('Womens Lineup'!M$3:M1000,CONCATENATE("=",$A247))=0,"",M$2))</f>
        <v/>
      </c>
      <c r="N247" s="3" t="str">
        <f>IF($A247="","",IF(countif('Womens Lineup'!N$3:N1000,CONCATENATE("=",$A247))=0,"",N$2))</f>
        <v/>
      </c>
      <c r="O247" s="3" t="str">
        <f>IF($A247="","",IF(countif('Womens Lineup'!O$3:O1000,CONCATENATE("=",$A247))=0,"",O$2))</f>
        <v/>
      </c>
      <c r="P247" s="3" t="str">
        <f>IF($A247="","",IF(countif('Womens Lineup'!P$3:P1000,CONCATENATE("=",$A247))=0,"",P$2))</f>
        <v/>
      </c>
      <c r="Q247" s="3" t="str">
        <f>IF($A247="","",IF(countif('Womens Lineup'!Q$3:Q1000,CONCATENATE("=",$A247))=0,"",Q$2))</f>
        <v/>
      </c>
      <c r="R247" s="3" t="str">
        <f>IF($A247="","",IF(countif('Womens Lineup'!R$3:R1000,CONCATENATE("=",$A247))=0,"",R$2))</f>
        <v/>
      </c>
      <c r="S247" s="3" t="str">
        <f>IF($A247="","",IF(countif('Womens Lineup'!S$3:S1000,CONCATENATE("=",$A247))=0,"",S$2))</f>
        <v/>
      </c>
      <c r="W247" s="3" t="str">
        <f>IFERROR(__xludf.DUMMYFUNCTION("JOIN("","",FILTER(B247:S247,B247:S247&lt;&gt;""""))"),"100 Back,200 Back")</f>
        <v>100 Back,200 Back</v>
      </c>
    </row>
    <row r="248">
      <c r="A248" s="3" t="s">
        <v>562</v>
      </c>
      <c r="B248" s="3" t="str">
        <f>IF($A248="","",IF(countif('Womens Lineup'!B$3:B1000,CONCATENATE("=",$A248))=0,"",B$2))</f>
        <v/>
      </c>
      <c r="C248" s="3" t="str">
        <f>IF($A248="","",IF(countif('Womens Lineup'!C$3:C1000,CONCATENATE("=",$A248))=0,"",C$2))</f>
        <v/>
      </c>
      <c r="D248" s="3" t="str">
        <f>IF($A248="","",IF(countif('Womens Lineup'!D$3:D1000,CONCATENATE("=",$A248))=0,"",D$2))</f>
        <v/>
      </c>
      <c r="E248" s="3" t="str">
        <f>IF($A248="","",IF(countif('Womens Lineup'!E$3:E1000,CONCATENATE("=",$A248))=0,"",E$2))</f>
        <v/>
      </c>
      <c r="F248" s="3" t="str">
        <f>IF($A248="","",IF(countif('Womens Lineup'!F$3:F1000,CONCATENATE("=",$A248))=0,"",F$2))</f>
        <v/>
      </c>
      <c r="G248" s="3" t="str">
        <f>IF($A248="","",IF(countif('Womens Lineup'!G$3:G1000,CONCATENATE("=",$A248))=0,"",G$2))</f>
        <v>100 Back</v>
      </c>
      <c r="H248" s="3" t="str">
        <f>IF($A248="","",IF(countif('Womens Lineup'!H$3:H1000,CONCATENATE("=",$A248))=0,"",H$2))</f>
        <v>200 Back</v>
      </c>
      <c r="I248" s="3" t="str">
        <f>IF($A248="","",IF(countif('Womens Lineup'!I$3:I1000,CONCATENATE("=",$A248))=0,"",I$2))</f>
        <v>100 Breast</v>
      </c>
      <c r="J248" s="3" t="str">
        <f>IF($A248="","",IF(countif('Womens Lineup'!J$3:J1000,CONCATENATE("=",$A248))=0,"",J$2))</f>
        <v>200 Breast</v>
      </c>
      <c r="K248" s="3" t="str">
        <f>IF($A248="","",IF(countif('Womens Lineup'!K$3:K1000,CONCATENATE("=",$A248))=0,"",K$2))</f>
        <v/>
      </c>
      <c r="L248" s="3" t="str">
        <f>IF($A248="","",IF(countif('Womens Lineup'!L$3:L1000,CONCATENATE("=",$A248))=0,"",L$2))</f>
        <v/>
      </c>
      <c r="M248" s="3" t="str">
        <f>IF($A248="","",IF(countif('Womens Lineup'!M$3:M1000,CONCATENATE("=",$A248))=0,"",M$2))</f>
        <v>200 IM</v>
      </c>
      <c r="N248" s="3" t="str">
        <f>IF($A248="","",IF(countif('Womens Lineup'!N$3:N1000,CONCATENATE("=",$A248))=0,"",N$2))</f>
        <v>400 IM</v>
      </c>
      <c r="O248" s="3" t="str">
        <f>IF($A248="","",IF(countif('Womens Lineup'!O$3:O1000,CONCATENATE("=",$A248))=0,"",O$2))</f>
        <v/>
      </c>
      <c r="P248" s="3" t="str">
        <f>IF($A248="","",IF(countif('Womens Lineup'!P$3:P1000,CONCATENATE("=",$A248))=0,"",P$2))</f>
        <v/>
      </c>
      <c r="Q248" s="3" t="str">
        <f>IF($A248="","",IF(countif('Womens Lineup'!Q$3:Q1000,CONCATENATE("=",$A248))=0,"",Q$2))</f>
        <v/>
      </c>
      <c r="R248" s="3" t="str">
        <f>IF($A248="","",IF(countif('Womens Lineup'!R$3:R1000,CONCATENATE("=",$A248))=0,"",R$2))</f>
        <v/>
      </c>
      <c r="S248" s="3" t="str">
        <f>IF($A248="","",IF(countif('Womens Lineup'!S$3:S1000,CONCATENATE("=",$A248))=0,"",S$2))</f>
        <v/>
      </c>
      <c r="W248" s="3" t="str">
        <f>IFERROR(__xludf.DUMMYFUNCTION("JOIN("","",FILTER(B248:S248,B248:S248&lt;&gt;""""))"),"100 Back,200 Back,100 Breast,200 Breast,200 IM,400 IM")</f>
        <v>100 Back,200 Back,100 Breast,200 Breast,200 IM,400 IM</v>
      </c>
    </row>
    <row r="249">
      <c r="A249" s="3" t="s">
        <v>563</v>
      </c>
      <c r="B249" s="3" t="str">
        <f>IF($A249="","",IF(countif('Womens Lineup'!B$3:B1000,CONCATENATE("=",$A249))=0,"",B$2))</f>
        <v/>
      </c>
      <c r="C249" s="3" t="str">
        <f>IF($A249="","",IF(countif('Womens Lineup'!C$3:C1000,CONCATENATE("=",$A249))=0,"",C$2))</f>
        <v/>
      </c>
      <c r="D249" s="3" t="str">
        <f>IF($A249="","",IF(countif('Womens Lineup'!D$3:D1000,CONCATENATE("=",$A249))=0,"",D$2))</f>
        <v/>
      </c>
      <c r="E249" s="3" t="str">
        <f>IF($A249="","",IF(countif('Womens Lineup'!E$3:E1000,CONCATENATE("=",$A249))=0,"",E$2))</f>
        <v/>
      </c>
      <c r="F249" s="3" t="str">
        <f>IF($A249="","",IF(countif('Womens Lineup'!F$3:F1000,CONCATENATE("=",$A249))=0,"",F$2))</f>
        <v/>
      </c>
      <c r="G249" s="3" t="str">
        <f>IF($A249="","",IF(countif('Womens Lineup'!G$3:G1000,CONCATENATE("=",$A249))=0,"",G$2))</f>
        <v>100 Back</v>
      </c>
      <c r="H249" s="3" t="str">
        <f>IF($A249="","",IF(countif('Womens Lineup'!H$3:H1000,CONCATENATE("=",$A249))=0,"",H$2))</f>
        <v>200 Back</v>
      </c>
      <c r="I249" s="3" t="str">
        <f>IF($A249="","",IF(countif('Womens Lineup'!I$3:I1000,CONCATENATE("=",$A249))=0,"",I$2))</f>
        <v/>
      </c>
      <c r="J249" s="3" t="str">
        <f>IF($A249="","",IF(countif('Womens Lineup'!J$3:J1000,CONCATENATE("=",$A249))=0,"",J$2))</f>
        <v/>
      </c>
      <c r="K249" s="3" t="str">
        <f>IF($A249="","",IF(countif('Womens Lineup'!K$3:K1000,CONCATENATE("=",$A249))=0,"",K$2))</f>
        <v/>
      </c>
      <c r="L249" s="3" t="str">
        <f>IF($A249="","",IF(countif('Womens Lineup'!L$3:L1000,CONCATENATE("=",$A249))=0,"",L$2))</f>
        <v/>
      </c>
      <c r="M249" s="3" t="str">
        <f>IF($A249="","",IF(countif('Womens Lineup'!M$3:M1000,CONCATENATE("=",$A249))=0,"",M$2))</f>
        <v/>
      </c>
      <c r="N249" s="3" t="str">
        <f>IF($A249="","",IF(countif('Womens Lineup'!N$3:N1000,CONCATENATE("=",$A249))=0,"",N$2))</f>
        <v/>
      </c>
      <c r="O249" s="3" t="str">
        <f>IF($A249="","",IF(countif('Womens Lineup'!O$3:O1000,CONCATENATE("=",$A249))=0,"",O$2))</f>
        <v/>
      </c>
      <c r="P249" s="3" t="str">
        <f>IF($A249="","",IF(countif('Womens Lineup'!P$3:P1000,CONCATENATE("=",$A249))=0,"",P$2))</f>
        <v/>
      </c>
      <c r="Q249" s="3" t="str">
        <f>IF($A249="","",IF(countif('Womens Lineup'!Q$3:Q1000,CONCATENATE("=",$A249))=0,"",Q$2))</f>
        <v/>
      </c>
      <c r="R249" s="3" t="str">
        <f>IF($A249="","",IF(countif('Womens Lineup'!R$3:R1000,CONCATENATE("=",$A249))=0,"",R$2))</f>
        <v/>
      </c>
      <c r="S249" s="3" t="str">
        <f>IF($A249="","",IF(countif('Womens Lineup'!S$3:S1000,CONCATENATE("=",$A249))=0,"",S$2))</f>
        <v/>
      </c>
      <c r="W249" s="3" t="str">
        <f>IFERROR(__xludf.DUMMYFUNCTION("JOIN("","",FILTER(B249:S249,B249:S249&lt;&gt;""""))"),"100 Back,200 Back")</f>
        <v>100 Back,200 Back</v>
      </c>
    </row>
    <row r="250">
      <c r="A250" s="3" t="s">
        <v>564</v>
      </c>
      <c r="B250" s="3" t="str">
        <f>IF($A250="","",IF(countif('Womens Lineup'!B$3:B1000,CONCATENATE("=",$A250))=0,"",B$2))</f>
        <v/>
      </c>
      <c r="C250" s="3" t="str">
        <f>IF($A250="","",IF(countif('Womens Lineup'!C$3:C1000,CONCATENATE("=",$A250))=0,"",C$2))</f>
        <v/>
      </c>
      <c r="D250" s="3" t="str">
        <f>IF($A250="","",IF(countif('Womens Lineup'!D$3:D1000,CONCATENATE("=",$A250))=0,"",D$2))</f>
        <v/>
      </c>
      <c r="E250" s="3" t="str">
        <f>IF($A250="","",IF(countif('Womens Lineup'!E$3:E1000,CONCATENATE("=",$A250))=0,"",E$2))</f>
        <v/>
      </c>
      <c r="F250" s="3" t="str">
        <f>IF($A250="","",IF(countif('Womens Lineup'!F$3:F1000,CONCATENATE("=",$A250))=0,"",F$2))</f>
        <v/>
      </c>
      <c r="G250" s="3" t="str">
        <f>IF($A250="","",IF(countif('Womens Lineup'!G$3:G1000,CONCATENATE("=",$A250))=0,"",G$2))</f>
        <v>100 Back</v>
      </c>
      <c r="H250" s="3" t="str">
        <f>IF($A250="","",IF(countif('Womens Lineup'!H$3:H1000,CONCATENATE("=",$A250))=0,"",H$2))</f>
        <v>200 Back</v>
      </c>
      <c r="I250" s="3" t="str">
        <f>IF($A250="","",IF(countif('Womens Lineup'!I$3:I1000,CONCATENATE("=",$A250))=0,"",I$2))</f>
        <v/>
      </c>
      <c r="J250" s="3" t="str">
        <f>IF($A250="","",IF(countif('Womens Lineup'!J$3:J1000,CONCATENATE("=",$A250))=0,"",J$2))</f>
        <v/>
      </c>
      <c r="K250" s="3" t="str">
        <f>IF($A250="","",IF(countif('Womens Lineup'!K$3:K1000,CONCATENATE("=",$A250))=0,"",K$2))</f>
        <v/>
      </c>
      <c r="L250" s="3" t="str">
        <f>IF($A250="","",IF(countif('Womens Lineup'!L$3:L1000,CONCATENATE("=",$A250))=0,"",L$2))</f>
        <v/>
      </c>
      <c r="M250" s="3" t="str">
        <f>IF($A250="","",IF(countif('Womens Lineup'!M$3:M1000,CONCATENATE("=",$A250))=0,"",M$2))</f>
        <v/>
      </c>
      <c r="N250" s="3" t="str">
        <f>IF($A250="","",IF(countif('Womens Lineup'!N$3:N1000,CONCATENATE("=",$A250))=0,"",N$2))</f>
        <v/>
      </c>
      <c r="O250" s="3" t="str">
        <f>IF($A250="","",IF(countif('Womens Lineup'!O$3:O1000,CONCATENATE("=",$A250))=0,"",O$2))</f>
        <v/>
      </c>
      <c r="P250" s="3" t="str">
        <f>IF($A250="","",IF(countif('Womens Lineup'!P$3:P1000,CONCATENATE("=",$A250))=0,"",P$2))</f>
        <v/>
      </c>
      <c r="Q250" s="3" t="str">
        <f>IF($A250="","",IF(countif('Womens Lineup'!Q$3:Q1000,CONCATENATE("=",$A250))=0,"",Q$2))</f>
        <v/>
      </c>
      <c r="R250" s="3" t="str">
        <f>IF($A250="","",IF(countif('Womens Lineup'!R$3:R1000,CONCATENATE("=",$A250))=0,"",R$2))</f>
        <v/>
      </c>
      <c r="S250" s="3" t="str">
        <f>IF($A250="","",IF(countif('Womens Lineup'!S$3:S1000,CONCATENATE("=",$A250))=0,"",S$2))</f>
        <v/>
      </c>
      <c r="W250" s="3" t="str">
        <f>IFERROR(__xludf.DUMMYFUNCTION("JOIN("","",FILTER(B250:S250,B250:S250&lt;&gt;""""))"),"100 Back,200 Back")</f>
        <v>100 Back,200 Back</v>
      </c>
    </row>
    <row r="251">
      <c r="A251" s="3" t="s">
        <v>565</v>
      </c>
      <c r="B251" s="3" t="str">
        <f>IF($A251="","",IF(countif('Womens Lineup'!B$3:B1000,CONCATENATE("=",$A251))=0,"",B$2))</f>
        <v/>
      </c>
      <c r="C251" s="3" t="str">
        <f>IF($A251="","",IF(countif('Womens Lineup'!C$3:C1000,CONCATENATE("=",$A251))=0,"",C$2))</f>
        <v/>
      </c>
      <c r="D251" s="3" t="str">
        <f>IF($A251="","",IF(countif('Womens Lineup'!D$3:D1000,CONCATENATE("=",$A251))=0,"",D$2))</f>
        <v/>
      </c>
      <c r="E251" s="3" t="str">
        <f>IF($A251="","",IF(countif('Womens Lineup'!E$3:E1000,CONCATENATE("=",$A251))=0,"",E$2))</f>
        <v/>
      </c>
      <c r="F251" s="3" t="str">
        <f>IF($A251="","",IF(countif('Womens Lineup'!F$3:F1000,CONCATENATE("=",$A251))=0,"",F$2))</f>
        <v/>
      </c>
      <c r="G251" s="3" t="str">
        <f>IF($A251="","",IF(countif('Womens Lineup'!G$3:G1000,CONCATENATE("=",$A251))=0,"",G$2))</f>
        <v>100 Back</v>
      </c>
      <c r="H251" s="3" t="str">
        <f>IF($A251="","",IF(countif('Womens Lineup'!H$3:H1000,CONCATENATE("=",$A251))=0,"",H$2))</f>
        <v>200 Back</v>
      </c>
      <c r="I251" s="3" t="str">
        <f>IF($A251="","",IF(countif('Womens Lineup'!I$3:I1000,CONCATENATE("=",$A251))=0,"",I$2))</f>
        <v/>
      </c>
      <c r="J251" s="3" t="str">
        <f>IF($A251="","",IF(countif('Womens Lineup'!J$3:J1000,CONCATENATE("=",$A251))=0,"",J$2))</f>
        <v/>
      </c>
      <c r="K251" s="3" t="str">
        <f>IF($A251="","",IF(countif('Womens Lineup'!K$3:K1000,CONCATENATE("=",$A251))=0,"",K$2))</f>
        <v/>
      </c>
      <c r="L251" s="3" t="str">
        <f>IF($A251="","",IF(countif('Womens Lineup'!L$3:L1000,CONCATENATE("=",$A251))=0,"",L$2))</f>
        <v/>
      </c>
      <c r="M251" s="3" t="str">
        <f>IF($A251="","",IF(countif('Womens Lineup'!M$3:M1000,CONCATENATE("=",$A251))=0,"",M$2))</f>
        <v/>
      </c>
      <c r="N251" s="3" t="str">
        <f>IF($A251="","",IF(countif('Womens Lineup'!N$3:N1000,CONCATENATE("=",$A251))=0,"",N$2))</f>
        <v/>
      </c>
      <c r="O251" s="3" t="str">
        <f>IF($A251="","",IF(countif('Womens Lineup'!O$3:O1000,CONCATENATE("=",$A251))=0,"",O$2))</f>
        <v/>
      </c>
      <c r="P251" s="3" t="str">
        <f>IF($A251="","",IF(countif('Womens Lineup'!P$3:P1000,CONCATENATE("=",$A251))=0,"",P$2))</f>
        <v/>
      </c>
      <c r="Q251" s="3" t="str">
        <f>IF($A251="","",IF(countif('Womens Lineup'!Q$3:Q1000,CONCATENATE("=",$A251))=0,"",Q$2))</f>
        <v/>
      </c>
      <c r="R251" s="3" t="str">
        <f>IF($A251="","",IF(countif('Womens Lineup'!R$3:R1000,CONCATENATE("=",$A251))=0,"",R$2))</f>
        <v/>
      </c>
      <c r="S251" s="3" t="str">
        <f>IF($A251="","",IF(countif('Womens Lineup'!S$3:S1000,CONCATENATE("=",$A251))=0,"",S$2))</f>
        <v/>
      </c>
      <c r="W251" s="3" t="str">
        <f>IFERROR(__xludf.DUMMYFUNCTION("JOIN("","",FILTER(B251:S251,B251:S251&lt;&gt;""""))"),"100 Back,200 Back")</f>
        <v>100 Back,200 Back</v>
      </c>
    </row>
    <row r="252">
      <c r="A252" s="3" t="s">
        <v>566</v>
      </c>
      <c r="B252" s="3" t="str">
        <f>IF($A252="","",IF(countif('Womens Lineup'!B$3:B1000,CONCATENATE("=",$A252))=0,"",B$2))</f>
        <v/>
      </c>
      <c r="C252" s="3" t="str">
        <f>IF($A252="","",IF(countif('Womens Lineup'!C$3:C1000,CONCATENATE("=",$A252))=0,"",C$2))</f>
        <v/>
      </c>
      <c r="D252" s="3" t="str">
        <f>IF($A252="","",IF(countif('Womens Lineup'!D$3:D1000,CONCATENATE("=",$A252))=0,"",D$2))</f>
        <v/>
      </c>
      <c r="E252" s="3" t="str">
        <f>IF($A252="","",IF(countif('Womens Lineup'!E$3:E1000,CONCATENATE("=",$A252))=0,"",E$2))</f>
        <v/>
      </c>
      <c r="F252" s="3" t="str">
        <f>IF($A252="","",IF(countif('Womens Lineup'!F$3:F1000,CONCATENATE("=",$A252))=0,"",F$2))</f>
        <v/>
      </c>
      <c r="G252" s="3" t="str">
        <f>IF($A252="","",IF(countif('Womens Lineup'!G$3:G1000,CONCATENATE("=",$A252))=0,"",G$2))</f>
        <v>100 Back</v>
      </c>
      <c r="H252" s="3" t="str">
        <f>IF($A252="","",IF(countif('Womens Lineup'!H$3:H1000,CONCATENATE("=",$A252))=0,"",H$2))</f>
        <v>200 Back</v>
      </c>
      <c r="I252" s="3" t="str">
        <f>IF($A252="","",IF(countif('Womens Lineup'!I$3:I1000,CONCATENATE("=",$A252))=0,"",I$2))</f>
        <v>100 Breast</v>
      </c>
      <c r="J252" s="3" t="str">
        <f>IF($A252="","",IF(countif('Womens Lineup'!J$3:J1000,CONCATENATE("=",$A252))=0,"",J$2))</f>
        <v>200 Breast</v>
      </c>
      <c r="K252" s="3" t="str">
        <f>IF($A252="","",IF(countif('Womens Lineup'!K$3:K1000,CONCATENATE("=",$A252))=0,"",K$2))</f>
        <v/>
      </c>
      <c r="L252" s="3" t="str">
        <f>IF($A252="","",IF(countif('Womens Lineup'!L$3:L1000,CONCATENATE("=",$A252))=0,"",L$2))</f>
        <v/>
      </c>
      <c r="M252" s="3" t="str">
        <f>IF($A252="","",IF(countif('Womens Lineup'!M$3:M1000,CONCATENATE("=",$A252))=0,"",M$2))</f>
        <v>200 IM</v>
      </c>
      <c r="N252" s="3" t="str">
        <f>IF($A252="","",IF(countif('Womens Lineup'!N$3:N1000,CONCATENATE("=",$A252))=0,"",N$2))</f>
        <v/>
      </c>
      <c r="O252" s="3" t="str">
        <f>IF($A252="","",IF(countif('Womens Lineup'!O$3:O1000,CONCATENATE("=",$A252))=0,"",O$2))</f>
        <v/>
      </c>
      <c r="P252" s="3" t="str">
        <f>IF($A252="","",IF(countif('Womens Lineup'!P$3:P1000,CONCATENATE("=",$A252))=0,"",P$2))</f>
        <v/>
      </c>
      <c r="Q252" s="3" t="str">
        <f>IF($A252="","",IF(countif('Womens Lineup'!Q$3:Q1000,CONCATENATE("=",$A252))=0,"",Q$2))</f>
        <v/>
      </c>
      <c r="R252" s="3" t="str">
        <f>IF($A252="","",IF(countif('Womens Lineup'!R$3:R1000,CONCATENATE("=",$A252))=0,"",R$2))</f>
        <v/>
      </c>
      <c r="S252" s="3" t="str">
        <f>IF($A252="","",IF(countif('Womens Lineup'!S$3:S1000,CONCATENATE("=",$A252))=0,"",S$2))</f>
        <v/>
      </c>
      <c r="W252" s="3" t="str">
        <f>IFERROR(__xludf.DUMMYFUNCTION("JOIN("","",FILTER(B252:S252,B252:S252&lt;&gt;""""))"),"100 Back,200 Back,100 Breast,200 Breast,200 IM")</f>
        <v>100 Back,200 Back,100 Breast,200 Breast,200 IM</v>
      </c>
    </row>
    <row r="253">
      <c r="A253" s="3" t="s">
        <v>567</v>
      </c>
      <c r="B253" s="3" t="str">
        <f>IF($A253="","",IF(countif('Womens Lineup'!B$3:B1000,CONCATENATE("=",$A253))=0,"",B$2))</f>
        <v/>
      </c>
      <c r="C253" s="3" t="str">
        <f>IF($A253="","",IF(countif('Womens Lineup'!C$3:C1000,CONCATENATE("=",$A253))=0,"",C$2))</f>
        <v/>
      </c>
      <c r="D253" s="3" t="str">
        <f>IF($A253="","",IF(countif('Womens Lineup'!D$3:D1000,CONCATENATE("=",$A253))=0,"",D$2))</f>
        <v/>
      </c>
      <c r="E253" s="3" t="str">
        <f>IF($A253="","",IF(countif('Womens Lineup'!E$3:E1000,CONCATENATE("=",$A253))=0,"",E$2))</f>
        <v/>
      </c>
      <c r="F253" s="3" t="str">
        <f>IF($A253="","",IF(countif('Womens Lineup'!F$3:F1000,CONCATENATE("=",$A253))=0,"",F$2))</f>
        <v/>
      </c>
      <c r="G253" s="3" t="str">
        <f>IF($A253="","",IF(countif('Womens Lineup'!G$3:G1000,CONCATENATE("=",$A253))=0,"",G$2))</f>
        <v>100 Back</v>
      </c>
      <c r="H253" s="3" t="str">
        <f>IF($A253="","",IF(countif('Womens Lineup'!H$3:H1000,CONCATENATE("=",$A253))=0,"",H$2))</f>
        <v/>
      </c>
      <c r="I253" s="3" t="str">
        <f>IF($A253="","",IF(countif('Womens Lineup'!I$3:I1000,CONCATENATE("=",$A253))=0,"",I$2))</f>
        <v>100 Breast</v>
      </c>
      <c r="J253" s="3" t="str">
        <f>IF($A253="","",IF(countif('Womens Lineup'!J$3:J1000,CONCATENATE("=",$A253))=0,"",J$2))</f>
        <v/>
      </c>
      <c r="K253" s="3" t="str">
        <f>IF($A253="","",IF(countif('Womens Lineup'!K$3:K1000,CONCATENATE("=",$A253))=0,"",K$2))</f>
        <v/>
      </c>
      <c r="L253" s="3" t="str">
        <f>IF($A253="","",IF(countif('Womens Lineup'!L$3:L1000,CONCATENATE("=",$A253))=0,"",L$2))</f>
        <v/>
      </c>
      <c r="M253" s="3" t="str">
        <f>IF($A253="","",IF(countif('Womens Lineup'!M$3:M1000,CONCATENATE("=",$A253))=0,"",M$2))</f>
        <v/>
      </c>
      <c r="N253" s="3" t="str">
        <f>IF($A253="","",IF(countif('Womens Lineup'!N$3:N1000,CONCATENATE("=",$A253))=0,"",N$2))</f>
        <v/>
      </c>
      <c r="O253" s="3" t="str">
        <f>IF($A253="","",IF(countif('Womens Lineup'!O$3:O1000,CONCATENATE("=",$A253))=0,"",O$2))</f>
        <v/>
      </c>
      <c r="P253" s="3" t="str">
        <f>IF($A253="","",IF(countif('Womens Lineup'!P$3:P1000,CONCATENATE("=",$A253))=0,"",P$2))</f>
        <v/>
      </c>
      <c r="Q253" s="3" t="str">
        <f>IF($A253="","",IF(countif('Womens Lineup'!Q$3:Q1000,CONCATENATE("=",$A253))=0,"",Q$2))</f>
        <v/>
      </c>
      <c r="R253" s="3" t="str">
        <f>IF($A253="","",IF(countif('Womens Lineup'!R$3:R1000,CONCATENATE("=",$A253))=0,"",R$2))</f>
        <v/>
      </c>
      <c r="S253" s="3" t="str">
        <f>IF($A253="","",IF(countif('Womens Lineup'!S$3:S1000,CONCATENATE("=",$A253))=0,"",S$2))</f>
        <v/>
      </c>
      <c r="W253" s="3" t="str">
        <f>IFERROR(__xludf.DUMMYFUNCTION("JOIN("","",FILTER(B253:S253,B253:S253&lt;&gt;""""))"),"100 Back,100 Breast")</f>
        <v>100 Back,100 Breast</v>
      </c>
    </row>
    <row r="254">
      <c r="A254" s="3" t="s">
        <v>568</v>
      </c>
      <c r="B254" s="3" t="str">
        <f>IF($A254="","",IF(countif('Womens Lineup'!B$3:B1000,CONCATENATE("=",$A254))=0,"",B$2))</f>
        <v/>
      </c>
      <c r="C254" s="3" t="str">
        <f>IF($A254="","",IF(countif('Womens Lineup'!C$3:C1000,CONCATENATE("=",$A254))=0,"",C$2))</f>
        <v/>
      </c>
      <c r="D254" s="3" t="str">
        <f>IF($A254="","",IF(countif('Womens Lineup'!D$3:D1000,CONCATENATE("=",$A254))=0,"",D$2))</f>
        <v/>
      </c>
      <c r="E254" s="3" t="str">
        <f>IF($A254="","",IF(countif('Womens Lineup'!E$3:E1000,CONCATENATE("=",$A254))=0,"",E$2))</f>
        <v/>
      </c>
      <c r="F254" s="3" t="str">
        <f>IF($A254="","",IF(countif('Womens Lineup'!F$3:F1000,CONCATENATE("=",$A254))=0,"",F$2))</f>
        <v/>
      </c>
      <c r="G254" s="3" t="str">
        <f>IF($A254="","",IF(countif('Womens Lineup'!G$3:G1000,CONCATENATE("=",$A254))=0,"",G$2))</f>
        <v>100 Back</v>
      </c>
      <c r="H254" s="3" t="str">
        <f>IF($A254="","",IF(countif('Womens Lineup'!H$3:H1000,CONCATENATE("=",$A254))=0,"",H$2))</f>
        <v/>
      </c>
      <c r="I254" s="3" t="str">
        <f>IF($A254="","",IF(countif('Womens Lineup'!I$3:I1000,CONCATENATE("=",$A254))=0,"",I$2))</f>
        <v>100 Breast</v>
      </c>
      <c r="J254" s="3" t="str">
        <f>IF($A254="","",IF(countif('Womens Lineup'!J$3:J1000,CONCATENATE("=",$A254))=0,"",J$2))</f>
        <v>200 Breast</v>
      </c>
      <c r="K254" s="3" t="str">
        <f>IF($A254="","",IF(countif('Womens Lineup'!K$3:K1000,CONCATENATE("=",$A254))=0,"",K$2))</f>
        <v>100 Fly</v>
      </c>
      <c r="L254" s="3" t="str">
        <f>IF($A254="","",IF(countif('Womens Lineup'!L$3:L1000,CONCATENATE("=",$A254))=0,"",L$2))</f>
        <v>200 Fly</v>
      </c>
      <c r="M254" s="3" t="str">
        <f>IF($A254="","",IF(countif('Womens Lineup'!M$3:M1000,CONCATENATE("=",$A254))=0,"",M$2))</f>
        <v>200 IM</v>
      </c>
      <c r="N254" s="3" t="str">
        <f>IF($A254="","",IF(countif('Womens Lineup'!N$3:N1000,CONCATENATE("=",$A254))=0,"",N$2))</f>
        <v/>
      </c>
      <c r="O254" s="3" t="str">
        <f>IF($A254="","",IF(countif('Womens Lineup'!O$3:O1000,CONCATENATE("=",$A254))=0,"",O$2))</f>
        <v/>
      </c>
      <c r="P254" s="3" t="str">
        <f>IF($A254="","",IF(countif('Womens Lineup'!P$3:P1000,CONCATENATE("=",$A254))=0,"",P$2))</f>
        <v/>
      </c>
      <c r="Q254" s="3" t="str">
        <f>IF($A254="","",IF(countif('Womens Lineup'!Q$3:Q1000,CONCATENATE("=",$A254))=0,"",Q$2))</f>
        <v/>
      </c>
      <c r="R254" s="3" t="str">
        <f>IF($A254="","",IF(countif('Womens Lineup'!R$3:R1000,CONCATENATE("=",$A254))=0,"",R$2))</f>
        <v/>
      </c>
      <c r="S254" s="3" t="str">
        <f>IF($A254="","",IF(countif('Womens Lineup'!S$3:S1000,CONCATENATE("=",$A254))=0,"",S$2))</f>
        <v/>
      </c>
      <c r="W254" s="3" t="str">
        <f>IFERROR(__xludf.DUMMYFUNCTION("JOIN("","",FILTER(B254:S254,B254:S254&lt;&gt;""""))"),"100 Back,100 Breast,200 Breast,100 Fly,200 Fly,200 IM")</f>
        <v>100 Back,100 Breast,200 Breast,100 Fly,200 Fly,200 IM</v>
      </c>
    </row>
    <row r="255">
      <c r="A255" s="3" t="s">
        <v>569</v>
      </c>
      <c r="B255" s="3" t="str">
        <f>IF($A255="","",IF(countif('Womens Lineup'!B$3:B1000,CONCATENATE("=",$A255))=0,"",B$2))</f>
        <v/>
      </c>
      <c r="C255" s="3" t="str">
        <f>IF($A255="","",IF(countif('Womens Lineup'!C$3:C1000,CONCATENATE("=",$A255))=0,"",C$2))</f>
        <v/>
      </c>
      <c r="D255" s="3" t="str">
        <f>IF($A255="","",IF(countif('Womens Lineup'!D$3:D1000,CONCATENATE("=",$A255))=0,"",D$2))</f>
        <v/>
      </c>
      <c r="E255" s="3" t="str">
        <f>IF($A255="","",IF(countif('Womens Lineup'!E$3:E1000,CONCATENATE("=",$A255))=0,"",E$2))</f>
        <v/>
      </c>
      <c r="F255" s="3" t="str">
        <f>IF($A255="","",IF(countif('Womens Lineup'!F$3:F1000,CONCATENATE("=",$A255))=0,"",F$2))</f>
        <v/>
      </c>
      <c r="G255" s="3" t="str">
        <f>IF($A255="","",IF(countif('Womens Lineup'!G$3:G1000,CONCATENATE("=",$A255))=0,"",G$2))</f>
        <v/>
      </c>
      <c r="H255" s="3" t="str">
        <f>IF($A255="","",IF(countif('Womens Lineup'!H$3:H1000,CONCATENATE("=",$A255))=0,"",H$2))</f>
        <v>200 Back</v>
      </c>
      <c r="I255" s="3" t="str">
        <f>IF($A255="","",IF(countif('Womens Lineup'!I$3:I1000,CONCATENATE("=",$A255))=0,"",I$2))</f>
        <v/>
      </c>
      <c r="J255" s="3" t="str">
        <f>IF($A255="","",IF(countif('Womens Lineup'!J$3:J1000,CONCATENATE("=",$A255))=0,"",J$2))</f>
        <v>200 Breast</v>
      </c>
      <c r="K255" s="3" t="str">
        <f>IF($A255="","",IF(countif('Womens Lineup'!K$3:K1000,CONCATENATE("=",$A255))=0,"",K$2))</f>
        <v>100 Fly</v>
      </c>
      <c r="L255" s="3" t="str">
        <f>IF($A255="","",IF(countif('Womens Lineup'!L$3:L1000,CONCATENATE("=",$A255))=0,"",L$2))</f>
        <v>200 Fly</v>
      </c>
      <c r="M255" s="3" t="str">
        <f>IF($A255="","",IF(countif('Womens Lineup'!M$3:M1000,CONCATENATE("=",$A255))=0,"",M$2))</f>
        <v>200 IM</v>
      </c>
      <c r="N255" s="3" t="str">
        <f>IF($A255="","",IF(countif('Womens Lineup'!N$3:N1000,CONCATENATE("=",$A255))=0,"",N$2))</f>
        <v>400 IM</v>
      </c>
      <c r="O255" s="3" t="str">
        <f>IF($A255="","",IF(countif('Womens Lineup'!O$3:O1000,CONCATENATE("=",$A255))=0,"",O$2))</f>
        <v/>
      </c>
      <c r="P255" s="3" t="str">
        <f>IF($A255="","",IF(countif('Womens Lineup'!P$3:P1000,CONCATENATE("=",$A255))=0,"",P$2))</f>
        <v/>
      </c>
      <c r="Q255" s="3" t="str">
        <f>IF($A255="","",IF(countif('Womens Lineup'!Q$3:Q1000,CONCATENATE("=",$A255))=0,"",Q$2))</f>
        <v/>
      </c>
      <c r="R255" s="3" t="str">
        <f>IF($A255="","",IF(countif('Womens Lineup'!R$3:R1000,CONCATENATE("=",$A255))=0,"",R$2))</f>
        <v/>
      </c>
      <c r="S255" s="3" t="str">
        <f>IF($A255="","",IF(countif('Womens Lineup'!S$3:S1000,CONCATENATE("=",$A255))=0,"",S$2))</f>
        <v/>
      </c>
      <c r="W255" s="3" t="str">
        <f>IFERROR(__xludf.DUMMYFUNCTION("JOIN("","",FILTER(B255:S255,B255:S255&lt;&gt;""""))"),"200 Back,200 Breast,100 Fly,200 Fly,200 IM,400 IM")</f>
        <v>200 Back,200 Breast,100 Fly,200 Fly,200 IM,400 IM</v>
      </c>
    </row>
    <row r="256">
      <c r="A256" s="3" t="s">
        <v>570</v>
      </c>
      <c r="B256" s="3" t="str">
        <f>IF($A256="","",IF(countif('Womens Lineup'!B$3:B1000,CONCATENATE("=",$A256))=0,"",B$2))</f>
        <v/>
      </c>
      <c r="C256" s="3" t="str">
        <f>IF($A256="","",IF(countif('Womens Lineup'!C$3:C1000,CONCATENATE("=",$A256))=0,"",C$2))</f>
        <v/>
      </c>
      <c r="D256" s="3" t="str">
        <f>IF($A256="","",IF(countif('Womens Lineup'!D$3:D1000,CONCATENATE("=",$A256))=0,"",D$2))</f>
        <v/>
      </c>
      <c r="E256" s="3" t="str">
        <f>IF($A256="","",IF(countif('Womens Lineup'!E$3:E1000,CONCATENATE("=",$A256))=0,"",E$2))</f>
        <v/>
      </c>
      <c r="F256" s="3" t="str">
        <f>IF($A256="","",IF(countif('Womens Lineup'!F$3:F1000,CONCATENATE("=",$A256))=0,"",F$2))</f>
        <v/>
      </c>
      <c r="G256" s="3" t="str">
        <f>IF($A256="","",IF(countif('Womens Lineup'!G$3:G1000,CONCATENATE("=",$A256))=0,"",G$2))</f>
        <v/>
      </c>
      <c r="H256" s="3" t="str">
        <f>IF($A256="","",IF(countif('Womens Lineup'!H$3:H1000,CONCATENATE("=",$A256))=0,"",H$2))</f>
        <v>200 Back</v>
      </c>
      <c r="I256" s="3" t="str">
        <f>IF($A256="","",IF(countif('Womens Lineup'!I$3:I1000,CONCATENATE("=",$A256))=0,"",I$2))</f>
        <v>100 Breast</v>
      </c>
      <c r="J256" s="3" t="str">
        <f>IF($A256="","",IF(countif('Womens Lineup'!J$3:J1000,CONCATENATE("=",$A256))=0,"",J$2))</f>
        <v>200 Breast</v>
      </c>
      <c r="K256" s="3" t="str">
        <f>IF($A256="","",IF(countif('Womens Lineup'!K$3:K1000,CONCATENATE("=",$A256))=0,"",K$2))</f>
        <v/>
      </c>
      <c r="L256" s="3" t="str">
        <f>IF($A256="","",IF(countif('Womens Lineup'!L$3:L1000,CONCATENATE("=",$A256))=0,"",L$2))</f>
        <v>200 Fly</v>
      </c>
      <c r="M256" s="3" t="str">
        <f>IF($A256="","",IF(countif('Womens Lineup'!M$3:M1000,CONCATENATE("=",$A256))=0,"",M$2))</f>
        <v>200 IM</v>
      </c>
      <c r="N256" s="3" t="str">
        <f>IF($A256="","",IF(countif('Womens Lineup'!N$3:N1000,CONCATENATE("=",$A256))=0,"",N$2))</f>
        <v>400 IM</v>
      </c>
      <c r="O256" s="3" t="str">
        <f>IF($A256="","",IF(countif('Womens Lineup'!O$3:O1000,CONCATENATE("=",$A256))=0,"",O$2))</f>
        <v/>
      </c>
      <c r="P256" s="3" t="str">
        <f>IF($A256="","",IF(countif('Womens Lineup'!P$3:P1000,CONCATENATE("=",$A256))=0,"",P$2))</f>
        <v/>
      </c>
      <c r="Q256" s="3" t="str">
        <f>IF($A256="","",IF(countif('Womens Lineup'!Q$3:Q1000,CONCATENATE("=",$A256))=0,"",Q$2))</f>
        <v/>
      </c>
      <c r="R256" s="3" t="str">
        <f>IF($A256="","",IF(countif('Womens Lineup'!R$3:R1000,CONCATENATE("=",$A256))=0,"",R$2))</f>
        <v/>
      </c>
      <c r="S256" s="3" t="str">
        <f>IF($A256="","",IF(countif('Womens Lineup'!S$3:S1000,CONCATENATE("=",$A256))=0,"",S$2))</f>
        <v/>
      </c>
      <c r="W256" s="3" t="str">
        <f>IFERROR(__xludf.DUMMYFUNCTION("JOIN("","",FILTER(B256:S256,B256:S256&lt;&gt;""""))"),"200 Back,100 Breast,200 Breast,200 Fly,200 IM,400 IM")</f>
        <v>200 Back,100 Breast,200 Breast,200 Fly,200 IM,400 IM</v>
      </c>
    </row>
    <row r="257">
      <c r="A257" s="3" t="s">
        <v>571</v>
      </c>
      <c r="B257" s="3" t="str">
        <f>IF($A257="","",IF(countif('Womens Lineup'!B$3:B1000,CONCATENATE("=",$A257))=0,"",B$2))</f>
        <v/>
      </c>
      <c r="C257" s="3" t="str">
        <f>IF($A257="","",IF(countif('Womens Lineup'!C$3:C1000,CONCATENATE("=",$A257))=0,"",C$2))</f>
        <v/>
      </c>
      <c r="D257" s="3" t="str">
        <f>IF($A257="","",IF(countif('Womens Lineup'!D$3:D1000,CONCATENATE("=",$A257))=0,"",D$2))</f>
        <v/>
      </c>
      <c r="E257" s="3" t="str">
        <f>IF($A257="","",IF(countif('Womens Lineup'!E$3:E1000,CONCATENATE("=",$A257))=0,"",E$2))</f>
        <v/>
      </c>
      <c r="F257" s="3" t="str">
        <f>IF($A257="","",IF(countif('Womens Lineup'!F$3:F1000,CONCATENATE("=",$A257))=0,"",F$2))</f>
        <v/>
      </c>
      <c r="G257" s="3" t="str">
        <f>IF($A257="","",IF(countif('Womens Lineup'!G$3:G1000,CONCATENATE("=",$A257))=0,"",G$2))</f>
        <v/>
      </c>
      <c r="H257" s="3" t="str">
        <f>IF($A257="","",IF(countif('Womens Lineup'!H$3:H1000,CONCATENATE("=",$A257))=0,"",H$2))</f>
        <v>200 Back</v>
      </c>
      <c r="I257" s="3" t="str">
        <f>IF($A257="","",IF(countif('Womens Lineup'!I$3:I1000,CONCATENATE("=",$A257))=0,"",I$2))</f>
        <v/>
      </c>
      <c r="J257" s="3" t="str">
        <f>IF($A257="","",IF(countif('Womens Lineup'!J$3:J1000,CONCATENATE("=",$A257))=0,"",J$2))</f>
        <v/>
      </c>
      <c r="K257" s="3" t="str">
        <f>IF($A257="","",IF(countif('Womens Lineup'!K$3:K1000,CONCATENATE("=",$A257))=0,"",K$2))</f>
        <v/>
      </c>
      <c r="L257" s="3" t="str">
        <f>IF($A257="","",IF(countif('Womens Lineup'!L$3:L1000,CONCATENATE("=",$A257))=0,"",L$2))</f>
        <v/>
      </c>
      <c r="M257" s="3" t="str">
        <f>IF($A257="","",IF(countif('Womens Lineup'!M$3:M1000,CONCATENATE("=",$A257))=0,"",M$2))</f>
        <v/>
      </c>
      <c r="N257" s="3" t="str">
        <f>IF($A257="","",IF(countif('Womens Lineup'!N$3:N1000,CONCATENATE("=",$A257))=0,"",N$2))</f>
        <v/>
      </c>
      <c r="O257" s="3" t="str">
        <f>IF($A257="","",IF(countif('Womens Lineup'!O$3:O1000,CONCATENATE("=",$A257))=0,"",O$2))</f>
        <v>1000 Free</v>
      </c>
      <c r="P257" s="3" t="str">
        <f>IF($A257="","",IF(countif('Womens Lineup'!P$3:P1000,CONCATENATE("=",$A257))=0,"",P$2))</f>
        <v/>
      </c>
      <c r="Q257" s="3" t="str">
        <f>IF($A257="","",IF(countif('Womens Lineup'!Q$3:Q1000,CONCATENATE("=",$A257))=0,"",Q$2))</f>
        <v/>
      </c>
      <c r="R257" s="3" t="str">
        <f>IF($A257="","",IF(countif('Womens Lineup'!R$3:R1000,CONCATENATE("=",$A257))=0,"",R$2))</f>
        <v/>
      </c>
      <c r="S257" s="3" t="str">
        <f>IF($A257="","",IF(countif('Womens Lineup'!S$3:S1000,CONCATENATE("=",$A257))=0,"",S$2))</f>
        <v/>
      </c>
      <c r="W257" s="3" t="str">
        <f>IFERROR(__xludf.DUMMYFUNCTION("JOIN("","",FILTER(B257:S257,B257:S257&lt;&gt;""""))"),"200 Back,1000 Free")</f>
        <v>200 Back,1000 Free</v>
      </c>
    </row>
    <row r="258">
      <c r="A258" s="3" t="s">
        <v>572</v>
      </c>
      <c r="B258" s="3" t="str">
        <f>IF($A258="","",IF(countif('Womens Lineup'!B$3:B1000,CONCATENATE("=",$A258))=0,"",B$2))</f>
        <v/>
      </c>
      <c r="C258" s="3" t="str">
        <f>IF($A258="","",IF(countif('Womens Lineup'!C$3:C1000,CONCATENATE("=",$A258))=0,"",C$2))</f>
        <v/>
      </c>
      <c r="D258" s="3" t="str">
        <f>IF($A258="","",IF(countif('Womens Lineup'!D$3:D1000,CONCATENATE("=",$A258))=0,"",D$2))</f>
        <v/>
      </c>
      <c r="E258" s="3" t="str">
        <f>IF($A258="","",IF(countif('Womens Lineup'!E$3:E1000,CONCATENATE("=",$A258))=0,"",E$2))</f>
        <v/>
      </c>
      <c r="F258" s="3" t="str">
        <f>IF($A258="","",IF(countif('Womens Lineup'!F$3:F1000,CONCATENATE("=",$A258))=0,"",F$2))</f>
        <v/>
      </c>
      <c r="G258" s="3" t="str">
        <f>IF($A258="","",IF(countif('Womens Lineup'!G$3:G1000,CONCATENATE("=",$A258))=0,"",G$2))</f>
        <v/>
      </c>
      <c r="H258" s="3" t="str">
        <f>IF($A258="","",IF(countif('Womens Lineup'!H$3:H1000,CONCATENATE("=",$A258))=0,"",H$2))</f>
        <v>200 Back</v>
      </c>
      <c r="I258" s="3" t="str">
        <f>IF($A258="","",IF(countif('Womens Lineup'!I$3:I1000,CONCATENATE("=",$A258))=0,"",I$2))</f>
        <v/>
      </c>
      <c r="J258" s="3" t="str">
        <f>IF($A258="","",IF(countif('Womens Lineup'!J$3:J1000,CONCATENATE("=",$A258))=0,"",J$2))</f>
        <v>200 Breast</v>
      </c>
      <c r="K258" s="3" t="str">
        <f>IF($A258="","",IF(countif('Womens Lineup'!K$3:K1000,CONCATENATE("=",$A258))=0,"",K$2))</f>
        <v/>
      </c>
      <c r="L258" s="3" t="str">
        <f>IF($A258="","",IF(countif('Womens Lineup'!L$3:L1000,CONCATENATE("=",$A258))=0,"",L$2))</f>
        <v/>
      </c>
      <c r="M258" s="3" t="str">
        <f>IF($A258="","",IF(countif('Womens Lineup'!M$3:M1000,CONCATENATE("=",$A258))=0,"",M$2))</f>
        <v/>
      </c>
      <c r="N258" s="3" t="str">
        <f>IF($A258="","",IF(countif('Womens Lineup'!N$3:N1000,CONCATENATE("=",$A258))=0,"",N$2))</f>
        <v/>
      </c>
      <c r="O258" s="3" t="str">
        <f>IF($A258="","",IF(countif('Womens Lineup'!O$3:O1000,CONCATENATE("=",$A258))=0,"",O$2))</f>
        <v/>
      </c>
      <c r="P258" s="3" t="str">
        <f>IF($A258="","",IF(countif('Womens Lineup'!P$3:P1000,CONCATENATE("=",$A258))=0,"",P$2))</f>
        <v/>
      </c>
      <c r="Q258" s="3" t="str">
        <f>IF($A258="","",IF(countif('Womens Lineup'!Q$3:Q1000,CONCATENATE("=",$A258))=0,"",Q$2))</f>
        <v/>
      </c>
      <c r="R258" s="3" t="str">
        <f>IF($A258="","",IF(countif('Womens Lineup'!R$3:R1000,CONCATENATE("=",$A258))=0,"",R$2))</f>
        <v/>
      </c>
      <c r="S258" s="3" t="str">
        <f>IF($A258="","",IF(countif('Womens Lineup'!S$3:S1000,CONCATENATE("=",$A258))=0,"",S$2))</f>
        <v/>
      </c>
      <c r="W258" s="3" t="str">
        <f>IFERROR(__xludf.DUMMYFUNCTION("JOIN("","",FILTER(B258:S258,B258:S258&lt;&gt;""""))"),"200 Back,200 Breast")</f>
        <v>200 Back,200 Breast</v>
      </c>
    </row>
    <row r="259">
      <c r="A259" s="3" t="s">
        <v>573</v>
      </c>
      <c r="B259" s="3" t="str">
        <f>IF($A259="","",IF(countif('Womens Lineup'!B$3:B1000,CONCATENATE("=",$A259))=0,"",B$2))</f>
        <v/>
      </c>
      <c r="C259" s="3" t="str">
        <f>IF($A259="","",IF(countif('Womens Lineup'!C$3:C1000,CONCATENATE("=",$A259))=0,"",C$2))</f>
        <v/>
      </c>
      <c r="D259" s="3" t="str">
        <f>IF($A259="","",IF(countif('Womens Lineup'!D$3:D1000,CONCATENATE("=",$A259))=0,"",D$2))</f>
        <v/>
      </c>
      <c r="E259" s="3" t="str">
        <f>IF($A259="","",IF(countif('Womens Lineup'!E$3:E1000,CONCATENATE("=",$A259))=0,"",E$2))</f>
        <v/>
      </c>
      <c r="F259" s="3" t="str">
        <f>IF($A259="","",IF(countif('Womens Lineup'!F$3:F1000,CONCATENATE("=",$A259))=0,"",F$2))</f>
        <v/>
      </c>
      <c r="G259" s="3" t="str">
        <f>IF($A259="","",IF(countif('Womens Lineup'!G$3:G1000,CONCATENATE("=",$A259))=0,"",G$2))</f>
        <v/>
      </c>
      <c r="H259" s="3" t="str">
        <f>IF($A259="","",IF(countif('Womens Lineup'!H$3:H1000,CONCATENATE("=",$A259))=0,"",H$2))</f>
        <v>200 Back</v>
      </c>
      <c r="I259" s="3" t="str">
        <f>IF($A259="","",IF(countif('Womens Lineup'!I$3:I1000,CONCATENATE("=",$A259))=0,"",I$2))</f>
        <v/>
      </c>
      <c r="J259" s="3" t="str">
        <f>IF($A259="","",IF(countif('Womens Lineup'!J$3:J1000,CONCATENATE("=",$A259))=0,"",J$2))</f>
        <v/>
      </c>
      <c r="K259" s="3" t="str">
        <f>IF($A259="","",IF(countif('Womens Lineup'!K$3:K1000,CONCATENATE("=",$A259))=0,"",K$2))</f>
        <v/>
      </c>
      <c r="L259" s="3" t="str">
        <f>IF($A259="","",IF(countif('Womens Lineup'!L$3:L1000,CONCATENATE("=",$A259))=0,"",L$2))</f>
        <v/>
      </c>
      <c r="M259" s="3" t="str">
        <f>IF($A259="","",IF(countif('Womens Lineup'!M$3:M1000,CONCATENATE("=",$A259))=0,"",M$2))</f>
        <v/>
      </c>
      <c r="N259" s="3" t="str">
        <f>IF($A259="","",IF(countif('Womens Lineup'!N$3:N1000,CONCATENATE("=",$A259))=0,"",N$2))</f>
        <v/>
      </c>
      <c r="O259" s="3" t="str">
        <f>IF($A259="","",IF(countif('Womens Lineup'!O$3:O1000,CONCATENATE("=",$A259))=0,"",O$2))</f>
        <v/>
      </c>
      <c r="P259" s="3" t="str">
        <f>IF($A259="","",IF(countif('Womens Lineup'!P$3:P1000,CONCATENATE("=",$A259))=0,"",P$2))</f>
        <v/>
      </c>
      <c r="Q259" s="3" t="str">
        <f>IF($A259="","",IF(countif('Womens Lineup'!Q$3:Q1000,CONCATENATE("=",$A259))=0,"",Q$2))</f>
        <v/>
      </c>
      <c r="R259" s="3" t="str">
        <f>IF($A259="","",IF(countif('Womens Lineup'!R$3:R1000,CONCATENATE("=",$A259))=0,"",R$2))</f>
        <v/>
      </c>
      <c r="S259" s="3" t="str">
        <f>IF($A259="","",IF(countif('Womens Lineup'!S$3:S1000,CONCATENATE("=",$A259))=0,"",S$2))</f>
        <v/>
      </c>
      <c r="W259" s="3" t="str">
        <f>IFERROR(__xludf.DUMMYFUNCTION("JOIN("","",FILTER(B259:S259,B259:S259&lt;&gt;""""))"),"200 Back")</f>
        <v>200 Back</v>
      </c>
    </row>
    <row r="260">
      <c r="A260" s="3" t="s">
        <v>574</v>
      </c>
      <c r="B260" s="3" t="str">
        <f>IF($A260="","",IF(countif('Womens Lineup'!B$3:B1000,CONCATENATE("=",$A260))=0,"",B$2))</f>
        <v/>
      </c>
      <c r="C260" s="3" t="str">
        <f>IF($A260="","",IF(countif('Womens Lineup'!C$3:C1000,CONCATENATE("=",$A260))=0,"",C$2))</f>
        <v/>
      </c>
      <c r="D260" s="3" t="str">
        <f>IF($A260="","",IF(countif('Womens Lineup'!D$3:D1000,CONCATENATE("=",$A260))=0,"",D$2))</f>
        <v/>
      </c>
      <c r="E260" s="3" t="str">
        <f>IF($A260="","",IF(countif('Womens Lineup'!E$3:E1000,CONCATENATE("=",$A260))=0,"",E$2))</f>
        <v/>
      </c>
      <c r="F260" s="3" t="str">
        <f>IF($A260="","",IF(countif('Womens Lineup'!F$3:F1000,CONCATENATE("=",$A260))=0,"",F$2))</f>
        <v/>
      </c>
      <c r="G260" s="3" t="str">
        <f>IF($A260="","",IF(countif('Womens Lineup'!G$3:G1000,CONCATENATE("=",$A260))=0,"",G$2))</f>
        <v/>
      </c>
      <c r="H260" s="3" t="str">
        <f>IF($A260="","",IF(countif('Womens Lineup'!H$3:H1000,CONCATENATE("=",$A260))=0,"",H$2))</f>
        <v>200 Back</v>
      </c>
      <c r="I260" s="3" t="str">
        <f>IF($A260="","",IF(countif('Womens Lineup'!I$3:I1000,CONCATENATE("=",$A260))=0,"",I$2))</f>
        <v/>
      </c>
      <c r="J260" s="3" t="str">
        <f>IF($A260="","",IF(countif('Womens Lineup'!J$3:J1000,CONCATENATE("=",$A260))=0,"",J$2))</f>
        <v/>
      </c>
      <c r="K260" s="3" t="str">
        <f>IF($A260="","",IF(countif('Womens Lineup'!K$3:K1000,CONCATENATE("=",$A260))=0,"",K$2))</f>
        <v/>
      </c>
      <c r="L260" s="3" t="str">
        <f>IF($A260="","",IF(countif('Womens Lineup'!L$3:L1000,CONCATENATE("=",$A260))=0,"",L$2))</f>
        <v/>
      </c>
      <c r="M260" s="3" t="str">
        <f>IF($A260="","",IF(countif('Womens Lineup'!M$3:M1000,CONCATENATE("=",$A260))=0,"",M$2))</f>
        <v/>
      </c>
      <c r="N260" s="3" t="str">
        <f>IF($A260="","",IF(countif('Womens Lineup'!N$3:N1000,CONCATENATE("=",$A260))=0,"",N$2))</f>
        <v/>
      </c>
      <c r="O260" s="3" t="str">
        <f>IF($A260="","",IF(countif('Womens Lineup'!O$3:O1000,CONCATENATE("=",$A260))=0,"",O$2))</f>
        <v>1000 Free</v>
      </c>
      <c r="P260" s="3" t="str">
        <f>IF($A260="","",IF(countif('Womens Lineup'!P$3:P1000,CONCATENATE("=",$A260))=0,"",P$2))</f>
        <v/>
      </c>
      <c r="Q260" s="3" t="str">
        <f>IF($A260="","",IF(countif('Womens Lineup'!Q$3:Q1000,CONCATENATE("=",$A260))=0,"",Q$2))</f>
        <v/>
      </c>
      <c r="R260" s="3" t="str">
        <f>IF($A260="","",IF(countif('Womens Lineup'!R$3:R1000,CONCATENATE("=",$A260))=0,"",R$2))</f>
        <v/>
      </c>
      <c r="S260" s="3" t="str">
        <f>IF($A260="","",IF(countif('Womens Lineup'!S$3:S1000,CONCATENATE("=",$A260))=0,"",S$2))</f>
        <v/>
      </c>
      <c r="W260" s="3" t="str">
        <f>IFERROR(__xludf.DUMMYFUNCTION("JOIN("","",FILTER(B260:S260,B260:S260&lt;&gt;""""))"),"200 Back,1000 Free")</f>
        <v>200 Back,1000 Free</v>
      </c>
    </row>
    <row r="261">
      <c r="A261" s="3" t="s">
        <v>575</v>
      </c>
      <c r="B261" s="3" t="str">
        <f>IF($A261="","",IF(countif('Womens Lineup'!B$3:B1000,CONCATENATE("=",$A261))=0,"",B$2))</f>
        <v/>
      </c>
      <c r="C261" s="3" t="str">
        <f>IF($A261="","",IF(countif('Womens Lineup'!C$3:C1000,CONCATENATE("=",$A261))=0,"",C$2))</f>
        <v/>
      </c>
      <c r="D261" s="3" t="str">
        <f>IF($A261="","",IF(countif('Womens Lineup'!D$3:D1000,CONCATENATE("=",$A261))=0,"",D$2))</f>
        <v/>
      </c>
      <c r="E261" s="3" t="str">
        <f>IF($A261="","",IF(countif('Womens Lineup'!E$3:E1000,CONCATENATE("=",$A261))=0,"",E$2))</f>
        <v/>
      </c>
      <c r="F261" s="3" t="str">
        <f>IF($A261="","",IF(countif('Womens Lineup'!F$3:F1000,CONCATENATE("=",$A261))=0,"",F$2))</f>
        <v/>
      </c>
      <c r="G261" s="3" t="str">
        <f>IF($A261="","",IF(countif('Womens Lineup'!G$3:G1000,CONCATENATE("=",$A261))=0,"",G$2))</f>
        <v/>
      </c>
      <c r="H261" s="3" t="str">
        <f>IF($A261="","",IF(countif('Womens Lineup'!H$3:H1000,CONCATENATE("=",$A261))=0,"",H$2))</f>
        <v/>
      </c>
      <c r="I261" s="3" t="str">
        <f>IF($A261="","",IF(countif('Womens Lineup'!I$3:I1000,CONCATENATE("=",$A261))=0,"",I$2))</f>
        <v>100 Breast</v>
      </c>
      <c r="J261" s="3" t="str">
        <f>IF($A261="","",IF(countif('Womens Lineup'!J$3:J1000,CONCATENATE("=",$A261))=0,"",J$2))</f>
        <v>200 Breast</v>
      </c>
      <c r="K261" s="3" t="str">
        <f>IF($A261="","",IF(countif('Womens Lineup'!K$3:K1000,CONCATENATE("=",$A261))=0,"",K$2))</f>
        <v>100 Fly</v>
      </c>
      <c r="L261" s="3" t="str">
        <f>IF($A261="","",IF(countif('Womens Lineup'!L$3:L1000,CONCATENATE("=",$A261))=0,"",L$2))</f>
        <v>200 Fly</v>
      </c>
      <c r="M261" s="3" t="str">
        <f>IF($A261="","",IF(countif('Womens Lineup'!M$3:M1000,CONCATENATE("=",$A261))=0,"",M$2))</f>
        <v>200 IM</v>
      </c>
      <c r="N261" s="3" t="str">
        <f>IF($A261="","",IF(countif('Womens Lineup'!N$3:N1000,CONCATENATE("=",$A261))=0,"",N$2))</f>
        <v>400 IM</v>
      </c>
      <c r="O261" s="3" t="str">
        <f>IF($A261="","",IF(countif('Womens Lineup'!O$3:O1000,CONCATENATE("=",$A261))=0,"",O$2))</f>
        <v/>
      </c>
      <c r="P261" s="3" t="str">
        <f>IF($A261="","",IF(countif('Womens Lineup'!P$3:P1000,CONCATENATE("=",$A261))=0,"",P$2))</f>
        <v/>
      </c>
      <c r="Q261" s="3" t="str">
        <f>IF($A261="","",IF(countif('Womens Lineup'!Q$3:Q1000,CONCATENATE("=",$A261))=0,"",Q$2))</f>
        <v/>
      </c>
      <c r="R261" s="3" t="str">
        <f>IF($A261="","",IF(countif('Womens Lineup'!R$3:R1000,CONCATENATE("=",$A261))=0,"",R$2))</f>
        <v/>
      </c>
      <c r="S261" s="3" t="str">
        <f>IF($A261="","",IF(countif('Womens Lineup'!S$3:S1000,CONCATENATE("=",$A261))=0,"",S$2))</f>
        <v/>
      </c>
      <c r="W261" s="3" t="str">
        <f>IFERROR(__xludf.DUMMYFUNCTION("JOIN("","",FILTER(B261:S261,B261:S261&lt;&gt;""""))"),"100 Breast,200 Breast,100 Fly,200 Fly,200 IM,400 IM")</f>
        <v>100 Breast,200 Breast,100 Fly,200 Fly,200 IM,400 IM</v>
      </c>
    </row>
    <row r="262">
      <c r="A262" s="3" t="s">
        <v>576</v>
      </c>
      <c r="B262" s="3" t="str">
        <f>IF($A262="","",IF(countif('Womens Lineup'!B$3:B1000,CONCATENATE("=",$A262))=0,"",B$2))</f>
        <v/>
      </c>
      <c r="C262" s="3" t="str">
        <f>IF($A262="","",IF(countif('Womens Lineup'!C$3:C1000,CONCATENATE("=",$A262))=0,"",C$2))</f>
        <v/>
      </c>
      <c r="D262" s="3" t="str">
        <f>IF($A262="","",IF(countif('Womens Lineup'!D$3:D1000,CONCATENATE("=",$A262))=0,"",D$2))</f>
        <v/>
      </c>
      <c r="E262" s="3" t="str">
        <f>IF($A262="","",IF(countif('Womens Lineup'!E$3:E1000,CONCATENATE("=",$A262))=0,"",E$2))</f>
        <v/>
      </c>
      <c r="F262" s="3" t="str">
        <f>IF($A262="","",IF(countif('Womens Lineup'!F$3:F1000,CONCATENATE("=",$A262))=0,"",F$2))</f>
        <v/>
      </c>
      <c r="G262" s="3" t="str">
        <f>IF($A262="","",IF(countif('Womens Lineup'!G$3:G1000,CONCATENATE("=",$A262))=0,"",G$2))</f>
        <v/>
      </c>
      <c r="H262" s="3" t="str">
        <f>IF($A262="","",IF(countif('Womens Lineup'!H$3:H1000,CONCATENATE("=",$A262))=0,"",H$2))</f>
        <v/>
      </c>
      <c r="I262" s="3" t="str">
        <f>IF($A262="","",IF(countif('Womens Lineup'!I$3:I1000,CONCATENATE("=",$A262))=0,"",I$2))</f>
        <v>100 Breast</v>
      </c>
      <c r="J262" s="3" t="str">
        <f>IF($A262="","",IF(countif('Womens Lineup'!J$3:J1000,CONCATENATE("=",$A262))=0,"",J$2))</f>
        <v>200 Breast</v>
      </c>
      <c r="K262" s="3" t="str">
        <f>IF($A262="","",IF(countif('Womens Lineup'!K$3:K1000,CONCATENATE("=",$A262))=0,"",K$2))</f>
        <v/>
      </c>
      <c r="L262" s="3" t="str">
        <f>IF($A262="","",IF(countif('Womens Lineup'!L$3:L1000,CONCATENATE("=",$A262))=0,"",L$2))</f>
        <v/>
      </c>
      <c r="M262" s="3" t="str">
        <f>IF($A262="","",IF(countif('Womens Lineup'!M$3:M1000,CONCATENATE("=",$A262))=0,"",M$2))</f>
        <v>200 IM</v>
      </c>
      <c r="N262" s="3" t="str">
        <f>IF($A262="","",IF(countif('Womens Lineup'!N$3:N1000,CONCATENATE("=",$A262))=0,"",N$2))</f>
        <v>400 IM</v>
      </c>
      <c r="O262" s="3" t="str">
        <f>IF($A262="","",IF(countif('Womens Lineup'!O$3:O1000,CONCATENATE("=",$A262))=0,"",O$2))</f>
        <v/>
      </c>
      <c r="P262" s="3" t="str">
        <f>IF($A262="","",IF(countif('Womens Lineup'!P$3:P1000,CONCATENATE("=",$A262))=0,"",P$2))</f>
        <v/>
      </c>
      <c r="Q262" s="3" t="str">
        <f>IF($A262="","",IF(countif('Womens Lineup'!Q$3:Q1000,CONCATENATE("=",$A262))=0,"",Q$2))</f>
        <v/>
      </c>
      <c r="R262" s="3" t="str">
        <f>IF($A262="","",IF(countif('Womens Lineup'!R$3:R1000,CONCATENATE("=",$A262))=0,"",R$2))</f>
        <v/>
      </c>
      <c r="S262" s="3" t="str">
        <f>IF($A262="","",IF(countif('Womens Lineup'!S$3:S1000,CONCATENATE("=",$A262))=0,"",S$2))</f>
        <v/>
      </c>
      <c r="W262" s="3" t="str">
        <f>IFERROR(__xludf.DUMMYFUNCTION("JOIN("","",FILTER(B262:S262,B262:S262&lt;&gt;""""))"),"100 Breast,200 Breast,200 IM,400 IM")</f>
        <v>100 Breast,200 Breast,200 IM,400 IM</v>
      </c>
    </row>
    <row r="263">
      <c r="A263" s="3" t="s">
        <v>577</v>
      </c>
      <c r="B263" s="3" t="str">
        <f>IF($A263="","",IF(countif('Womens Lineup'!B$3:B1000,CONCATENATE("=",$A263))=0,"",B$2))</f>
        <v/>
      </c>
      <c r="C263" s="3" t="str">
        <f>IF($A263="","",IF(countif('Womens Lineup'!C$3:C1000,CONCATENATE("=",$A263))=0,"",C$2))</f>
        <v/>
      </c>
      <c r="D263" s="3" t="str">
        <f>IF($A263="","",IF(countif('Womens Lineup'!D$3:D1000,CONCATENATE("=",$A263))=0,"",D$2))</f>
        <v/>
      </c>
      <c r="E263" s="3" t="str">
        <f>IF($A263="","",IF(countif('Womens Lineup'!E$3:E1000,CONCATENATE("=",$A263))=0,"",E$2))</f>
        <v/>
      </c>
      <c r="F263" s="3" t="str">
        <f>IF($A263="","",IF(countif('Womens Lineup'!F$3:F1000,CONCATENATE("=",$A263))=0,"",F$2))</f>
        <v/>
      </c>
      <c r="G263" s="3" t="str">
        <f>IF($A263="","",IF(countif('Womens Lineup'!G$3:G1000,CONCATENATE("=",$A263))=0,"",G$2))</f>
        <v/>
      </c>
      <c r="H263" s="3" t="str">
        <f>IF($A263="","",IF(countif('Womens Lineup'!H$3:H1000,CONCATENATE("=",$A263))=0,"",H$2))</f>
        <v/>
      </c>
      <c r="I263" s="3" t="str">
        <f>IF($A263="","",IF(countif('Womens Lineup'!I$3:I1000,CONCATENATE("=",$A263))=0,"",I$2))</f>
        <v>100 Breast</v>
      </c>
      <c r="J263" s="3" t="str">
        <f>IF($A263="","",IF(countif('Womens Lineup'!J$3:J1000,CONCATENATE("=",$A263))=0,"",J$2))</f>
        <v>200 Breast</v>
      </c>
      <c r="K263" s="3" t="str">
        <f>IF($A263="","",IF(countif('Womens Lineup'!K$3:K1000,CONCATENATE("=",$A263))=0,"",K$2))</f>
        <v/>
      </c>
      <c r="L263" s="3" t="str">
        <f>IF($A263="","",IF(countif('Womens Lineup'!L$3:L1000,CONCATENATE("=",$A263))=0,"",L$2))</f>
        <v/>
      </c>
      <c r="M263" s="3" t="str">
        <f>IF($A263="","",IF(countif('Womens Lineup'!M$3:M1000,CONCATENATE("=",$A263))=0,"",M$2))</f>
        <v/>
      </c>
      <c r="N263" s="3" t="str">
        <f>IF($A263="","",IF(countif('Womens Lineup'!N$3:N1000,CONCATENATE("=",$A263))=0,"",N$2))</f>
        <v/>
      </c>
      <c r="O263" s="3" t="str">
        <f>IF($A263="","",IF(countif('Womens Lineup'!O$3:O1000,CONCATENATE("=",$A263))=0,"",O$2))</f>
        <v/>
      </c>
      <c r="P263" s="3" t="str">
        <f>IF($A263="","",IF(countif('Womens Lineup'!P$3:P1000,CONCATENATE("=",$A263))=0,"",P$2))</f>
        <v/>
      </c>
      <c r="Q263" s="3" t="str">
        <f>IF($A263="","",IF(countif('Womens Lineup'!Q$3:Q1000,CONCATENATE("=",$A263))=0,"",Q$2))</f>
        <v/>
      </c>
      <c r="R263" s="3" t="str">
        <f>IF($A263="","",IF(countif('Womens Lineup'!R$3:R1000,CONCATENATE("=",$A263))=0,"",R$2))</f>
        <v/>
      </c>
      <c r="S263" s="3" t="str">
        <f>IF($A263="","",IF(countif('Womens Lineup'!S$3:S1000,CONCATENATE("=",$A263))=0,"",S$2))</f>
        <v/>
      </c>
      <c r="W263" s="3" t="str">
        <f>IFERROR(__xludf.DUMMYFUNCTION("JOIN("","",FILTER(B263:S263,B263:S263&lt;&gt;""""))"),"100 Breast,200 Breast")</f>
        <v>100 Breast,200 Breast</v>
      </c>
    </row>
    <row r="264">
      <c r="A264" s="3" t="s">
        <v>578</v>
      </c>
      <c r="B264" s="3" t="str">
        <f>IF($A264="","",IF(countif('Womens Lineup'!B$3:B1000,CONCATENATE("=",$A264))=0,"",B$2))</f>
        <v/>
      </c>
      <c r="C264" s="3" t="str">
        <f>IF($A264="","",IF(countif('Womens Lineup'!C$3:C1000,CONCATENATE("=",$A264))=0,"",C$2))</f>
        <v/>
      </c>
      <c r="D264" s="3" t="str">
        <f>IF($A264="","",IF(countif('Womens Lineup'!D$3:D1000,CONCATENATE("=",$A264))=0,"",D$2))</f>
        <v/>
      </c>
      <c r="E264" s="3" t="str">
        <f>IF($A264="","",IF(countif('Womens Lineup'!E$3:E1000,CONCATENATE("=",$A264))=0,"",E$2))</f>
        <v/>
      </c>
      <c r="F264" s="3" t="str">
        <f>IF($A264="","",IF(countif('Womens Lineup'!F$3:F1000,CONCATENATE("=",$A264))=0,"",F$2))</f>
        <v/>
      </c>
      <c r="G264" s="3" t="str">
        <f>IF($A264="","",IF(countif('Womens Lineup'!G$3:G1000,CONCATENATE("=",$A264))=0,"",G$2))</f>
        <v/>
      </c>
      <c r="H264" s="3" t="str">
        <f>IF($A264="","",IF(countif('Womens Lineup'!H$3:H1000,CONCATENATE("=",$A264))=0,"",H$2))</f>
        <v/>
      </c>
      <c r="I264" s="3" t="str">
        <f>IF($A264="","",IF(countif('Womens Lineup'!I$3:I1000,CONCATENATE("=",$A264))=0,"",I$2))</f>
        <v>100 Breast</v>
      </c>
      <c r="J264" s="3" t="str">
        <f>IF($A264="","",IF(countif('Womens Lineup'!J$3:J1000,CONCATENATE("=",$A264))=0,"",J$2))</f>
        <v>200 Breast</v>
      </c>
      <c r="K264" s="3" t="str">
        <f>IF($A264="","",IF(countif('Womens Lineup'!K$3:K1000,CONCATENATE("=",$A264))=0,"",K$2))</f>
        <v/>
      </c>
      <c r="L264" s="3" t="str">
        <f>IF($A264="","",IF(countif('Womens Lineup'!L$3:L1000,CONCATENATE("=",$A264))=0,"",L$2))</f>
        <v/>
      </c>
      <c r="M264" s="3" t="str">
        <f>IF($A264="","",IF(countif('Womens Lineup'!M$3:M1000,CONCATENATE("=",$A264))=0,"",M$2))</f>
        <v>200 IM</v>
      </c>
      <c r="N264" s="3" t="str">
        <f>IF($A264="","",IF(countif('Womens Lineup'!N$3:N1000,CONCATENATE("=",$A264))=0,"",N$2))</f>
        <v>400 IM</v>
      </c>
      <c r="O264" s="3" t="str">
        <f>IF($A264="","",IF(countif('Womens Lineup'!O$3:O1000,CONCATENATE("=",$A264))=0,"",O$2))</f>
        <v/>
      </c>
      <c r="P264" s="3" t="str">
        <f>IF($A264="","",IF(countif('Womens Lineup'!P$3:P1000,CONCATENATE("=",$A264))=0,"",P$2))</f>
        <v/>
      </c>
      <c r="Q264" s="3" t="str">
        <f>IF($A264="","",IF(countif('Womens Lineup'!Q$3:Q1000,CONCATENATE("=",$A264))=0,"",Q$2))</f>
        <v/>
      </c>
      <c r="R264" s="3" t="str">
        <f>IF($A264="","",IF(countif('Womens Lineup'!R$3:R1000,CONCATENATE("=",$A264))=0,"",R$2))</f>
        <v/>
      </c>
      <c r="S264" s="3" t="str">
        <f>IF($A264="","",IF(countif('Womens Lineup'!S$3:S1000,CONCATENATE("=",$A264))=0,"",S$2))</f>
        <v/>
      </c>
      <c r="W264" s="3" t="str">
        <f>IFERROR(__xludf.DUMMYFUNCTION("JOIN("","",FILTER(B264:S264,B264:S264&lt;&gt;""""))"),"100 Breast,200 Breast,200 IM,400 IM")</f>
        <v>100 Breast,200 Breast,200 IM,400 IM</v>
      </c>
    </row>
    <row r="265">
      <c r="A265" s="3" t="s">
        <v>579</v>
      </c>
      <c r="B265" s="3" t="str">
        <f>IF($A265="","",IF(countif('Womens Lineup'!B$3:B1000,CONCATENATE("=",$A265))=0,"",B$2))</f>
        <v/>
      </c>
      <c r="C265" s="3" t="str">
        <f>IF($A265="","",IF(countif('Womens Lineup'!C$3:C1000,CONCATENATE("=",$A265))=0,"",C$2))</f>
        <v/>
      </c>
      <c r="D265" s="3" t="str">
        <f>IF($A265="","",IF(countif('Womens Lineup'!D$3:D1000,CONCATENATE("=",$A265))=0,"",D$2))</f>
        <v/>
      </c>
      <c r="E265" s="3" t="str">
        <f>IF($A265="","",IF(countif('Womens Lineup'!E$3:E1000,CONCATENATE("=",$A265))=0,"",E$2))</f>
        <v/>
      </c>
      <c r="F265" s="3" t="str">
        <f>IF($A265="","",IF(countif('Womens Lineup'!F$3:F1000,CONCATENATE("=",$A265))=0,"",F$2))</f>
        <v/>
      </c>
      <c r="G265" s="3" t="str">
        <f>IF($A265="","",IF(countif('Womens Lineup'!G$3:G1000,CONCATENATE("=",$A265))=0,"",G$2))</f>
        <v/>
      </c>
      <c r="H265" s="3" t="str">
        <f>IF($A265="","",IF(countif('Womens Lineup'!H$3:H1000,CONCATENATE("=",$A265))=0,"",H$2))</f>
        <v/>
      </c>
      <c r="I265" s="3" t="str">
        <f>IF($A265="","",IF(countif('Womens Lineup'!I$3:I1000,CONCATENATE("=",$A265))=0,"",I$2))</f>
        <v>100 Breast</v>
      </c>
      <c r="J265" s="3" t="str">
        <f>IF($A265="","",IF(countif('Womens Lineup'!J$3:J1000,CONCATENATE("=",$A265))=0,"",J$2))</f>
        <v>200 Breast</v>
      </c>
      <c r="K265" s="3" t="str">
        <f>IF($A265="","",IF(countif('Womens Lineup'!K$3:K1000,CONCATENATE("=",$A265))=0,"",K$2))</f>
        <v>100 Fly</v>
      </c>
      <c r="L265" s="3" t="str">
        <f>IF($A265="","",IF(countif('Womens Lineup'!L$3:L1000,CONCATENATE("=",$A265))=0,"",L$2))</f>
        <v/>
      </c>
      <c r="M265" s="3" t="str">
        <f>IF($A265="","",IF(countif('Womens Lineup'!M$3:M1000,CONCATENATE("=",$A265))=0,"",M$2))</f>
        <v>200 IM</v>
      </c>
      <c r="N265" s="3" t="str">
        <f>IF($A265="","",IF(countif('Womens Lineup'!N$3:N1000,CONCATENATE("=",$A265))=0,"",N$2))</f>
        <v/>
      </c>
      <c r="O265" s="3" t="str">
        <f>IF($A265="","",IF(countif('Womens Lineup'!O$3:O1000,CONCATENATE("=",$A265))=0,"",O$2))</f>
        <v/>
      </c>
      <c r="P265" s="3" t="str">
        <f>IF($A265="","",IF(countif('Womens Lineup'!P$3:P1000,CONCATENATE("=",$A265))=0,"",P$2))</f>
        <v/>
      </c>
      <c r="Q265" s="3" t="str">
        <f>IF($A265="","",IF(countif('Womens Lineup'!Q$3:Q1000,CONCATENATE("=",$A265))=0,"",Q$2))</f>
        <v/>
      </c>
      <c r="R265" s="3" t="str">
        <f>IF($A265="","",IF(countif('Womens Lineup'!R$3:R1000,CONCATENATE("=",$A265))=0,"",R$2))</f>
        <v/>
      </c>
      <c r="S265" s="3" t="str">
        <f>IF($A265="","",IF(countif('Womens Lineup'!S$3:S1000,CONCATENATE("=",$A265))=0,"",S$2))</f>
        <v/>
      </c>
      <c r="W265" s="3" t="str">
        <f>IFERROR(__xludf.DUMMYFUNCTION("JOIN("","",FILTER(B265:S265,B265:S265&lt;&gt;""""))"),"100 Breast,200 Breast,100 Fly,200 IM")</f>
        <v>100 Breast,200 Breast,100 Fly,200 IM</v>
      </c>
    </row>
    <row r="266">
      <c r="A266" s="3" t="s">
        <v>580</v>
      </c>
      <c r="B266" s="3" t="str">
        <f>IF($A266="","",IF(countif('Womens Lineup'!B$3:B1000,CONCATENATE("=",$A266))=0,"",B$2))</f>
        <v/>
      </c>
      <c r="C266" s="3" t="str">
        <f>IF($A266="","",IF(countif('Womens Lineup'!C$3:C1000,CONCATENATE("=",$A266))=0,"",C$2))</f>
        <v/>
      </c>
      <c r="D266" s="3" t="str">
        <f>IF($A266="","",IF(countif('Womens Lineup'!D$3:D1000,CONCATENATE("=",$A266))=0,"",D$2))</f>
        <v/>
      </c>
      <c r="E266" s="3" t="str">
        <f>IF($A266="","",IF(countif('Womens Lineup'!E$3:E1000,CONCATENATE("=",$A266))=0,"",E$2))</f>
        <v/>
      </c>
      <c r="F266" s="3" t="str">
        <f>IF($A266="","",IF(countif('Womens Lineup'!F$3:F1000,CONCATENATE("=",$A266))=0,"",F$2))</f>
        <v/>
      </c>
      <c r="G266" s="3" t="str">
        <f>IF($A266="","",IF(countif('Womens Lineup'!G$3:G1000,CONCATENATE("=",$A266))=0,"",G$2))</f>
        <v/>
      </c>
      <c r="H266" s="3" t="str">
        <f>IF($A266="","",IF(countif('Womens Lineup'!H$3:H1000,CONCATENATE("=",$A266))=0,"",H$2))</f>
        <v/>
      </c>
      <c r="I266" s="3" t="str">
        <f>IF($A266="","",IF(countif('Womens Lineup'!I$3:I1000,CONCATENATE("=",$A266))=0,"",I$2))</f>
        <v>100 Breast</v>
      </c>
      <c r="J266" s="3" t="str">
        <f>IF($A266="","",IF(countif('Womens Lineup'!J$3:J1000,CONCATENATE("=",$A266))=0,"",J$2))</f>
        <v>200 Breast</v>
      </c>
      <c r="K266" s="3" t="str">
        <f>IF($A266="","",IF(countif('Womens Lineup'!K$3:K1000,CONCATENATE("=",$A266))=0,"",K$2))</f>
        <v/>
      </c>
      <c r="L266" s="3" t="str">
        <f>IF($A266="","",IF(countif('Womens Lineup'!L$3:L1000,CONCATENATE("=",$A266))=0,"",L$2))</f>
        <v/>
      </c>
      <c r="M266" s="3" t="str">
        <f>IF($A266="","",IF(countif('Womens Lineup'!M$3:M1000,CONCATENATE("=",$A266))=0,"",M$2))</f>
        <v>200 IM</v>
      </c>
      <c r="N266" s="3" t="str">
        <f>IF($A266="","",IF(countif('Womens Lineup'!N$3:N1000,CONCATENATE("=",$A266))=0,"",N$2))</f>
        <v/>
      </c>
      <c r="O266" s="3" t="str">
        <f>IF($A266="","",IF(countif('Womens Lineup'!O$3:O1000,CONCATENATE("=",$A266))=0,"",O$2))</f>
        <v/>
      </c>
      <c r="P266" s="3" t="str">
        <f>IF($A266="","",IF(countif('Womens Lineup'!P$3:P1000,CONCATENATE("=",$A266))=0,"",P$2))</f>
        <v/>
      </c>
      <c r="Q266" s="3" t="str">
        <f>IF($A266="","",IF(countif('Womens Lineup'!Q$3:Q1000,CONCATENATE("=",$A266))=0,"",Q$2))</f>
        <v/>
      </c>
      <c r="R266" s="3" t="str">
        <f>IF($A266="","",IF(countif('Womens Lineup'!R$3:R1000,CONCATENATE("=",$A266))=0,"",R$2))</f>
        <v/>
      </c>
      <c r="S266" s="3" t="str">
        <f>IF($A266="","",IF(countif('Womens Lineup'!S$3:S1000,CONCATENATE("=",$A266))=0,"",S$2))</f>
        <v/>
      </c>
      <c r="W266" s="3" t="str">
        <f>IFERROR(__xludf.DUMMYFUNCTION("JOIN("","",FILTER(B266:S266,B266:S266&lt;&gt;""""))"),"100 Breast,200 Breast,200 IM")</f>
        <v>100 Breast,200 Breast,200 IM</v>
      </c>
    </row>
    <row r="267">
      <c r="A267" s="3" t="s">
        <v>581</v>
      </c>
      <c r="B267" s="3" t="str">
        <f>IF($A267="","",IF(countif('Womens Lineup'!B$3:B1000,CONCATENATE("=",$A267))=0,"",B$2))</f>
        <v/>
      </c>
      <c r="C267" s="3" t="str">
        <f>IF($A267="","",IF(countif('Womens Lineup'!C$3:C1000,CONCATENATE("=",$A267))=0,"",C$2))</f>
        <v/>
      </c>
      <c r="D267" s="3" t="str">
        <f>IF($A267="","",IF(countif('Womens Lineup'!D$3:D1000,CONCATENATE("=",$A267))=0,"",D$2))</f>
        <v/>
      </c>
      <c r="E267" s="3" t="str">
        <f>IF($A267="","",IF(countif('Womens Lineup'!E$3:E1000,CONCATENATE("=",$A267))=0,"",E$2))</f>
        <v/>
      </c>
      <c r="F267" s="3" t="str">
        <f>IF($A267="","",IF(countif('Womens Lineup'!F$3:F1000,CONCATENATE("=",$A267))=0,"",F$2))</f>
        <v/>
      </c>
      <c r="G267" s="3" t="str">
        <f>IF($A267="","",IF(countif('Womens Lineup'!G$3:G1000,CONCATENATE("=",$A267))=0,"",G$2))</f>
        <v/>
      </c>
      <c r="H267" s="3" t="str">
        <f>IF($A267="","",IF(countif('Womens Lineup'!H$3:H1000,CONCATENATE("=",$A267))=0,"",H$2))</f>
        <v/>
      </c>
      <c r="I267" s="3" t="str">
        <f>IF($A267="","",IF(countif('Womens Lineup'!I$3:I1000,CONCATENATE("=",$A267))=0,"",I$2))</f>
        <v>100 Breast</v>
      </c>
      <c r="J267" s="3" t="str">
        <f>IF($A267="","",IF(countif('Womens Lineup'!J$3:J1000,CONCATENATE("=",$A267))=0,"",J$2))</f>
        <v>200 Breast</v>
      </c>
      <c r="K267" s="3" t="str">
        <f>IF($A267="","",IF(countif('Womens Lineup'!K$3:K1000,CONCATENATE("=",$A267))=0,"",K$2))</f>
        <v/>
      </c>
      <c r="L267" s="3" t="str">
        <f>IF($A267="","",IF(countif('Womens Lineup'!L$3:L1000,CONCATENATE("=",$A267))=0,"",L$2))</f>
        <v/>
      </c>
      <c r="M267" s="3" t="str">
        <f>IF($A267="","",IF(countif('Womens Lineup'!M$3:M1000,CONCATENATE("=",$A267))=0,"",M$2))</f>
        <v/>
      </c>
      <c r="N267" s="3" t="str">
        <f>IF($A267="","",IF(countif('Womens Lineup'!N$3:N1000,CONCATENATE("=",$A267))=0,"",N$2))</f>
        <v>400 IM</v>
      </c>
      <c r="O267" s="3" t="str">
        <f>IF($A267="","",IF(countif('Womens Lineup'!O$3:O1000,CONCATENATE("=",$A267))=0,"",O$2))</f>
        <v/>
      </c>
      <c r="P267" s="3" t="str">
        <f>IF($A267="","",IF(countif('Womens Lineup'!P$3:P1000,CONCATENATE("=",$A267))=0,"",P$2))</f>
        <v/>
      </c>
      <c r="Q267" s="3" t="str">
        <f>IF($A267="","",IF(countif('Womens Lineup'!Q$3:Q1000,CONCATENATE("=",$A267))=0,"",Q$2))</f>
        <v/>
      </c>
      <c r="R267" s="3" t="str">
        <f>IF($A267="","",IF(countif('Womens Lineup'!R$3:R1000,CONCATENATE("=",$A267))=0,"",R$2))</f>
        <v/>
      </c>
      <c r="S267" s="3" t="str">
        <f>IF($A267="","",IF(countif('Womens Lineup'!S$3:S1000,CONCATENATE("=",$A267))=0,"",S$2))</f>
        <v/>
      </c>
      <c r="W267" s="3" t="str">
        <f>IFERROR(__xludf.DUMMYFUNCTION("JOIN("","",FILTER(B267:S267,B267:S267&lt;&gt;""""))"),"100 Breast,200 Breast,400 IM")</f>
        <v>100 Breast,200 Breast,400 IM</v>
      </c>
    </row>
    <row r="268">
      <c r="A268" s="3" t="s">
        <v>582</v>
      </c>
      <c r="B268" s="3" t="str">
        <f>IF($A268="","",IF(countif('Womens Lineup'!B$3:B1000,CONCATENATE("=",$A268))=0,"",B$2))</f>
        <v/>
      </c>
      <c r="C268" s="3" t="str">
        <f>IF($A268="","",IF(countif('Womens Lineup'!C$3:C1000,CONCATENATE("=",$A268))=0,"",C$2))</f>
        <v/>
      </c>
      <c r="D268" s="3" t="str">
        <f>IF($A268="","",IF(countif('Womens Lineup'!D$3:D1000,CONCATENATE("=",$A268))=0,"",D$2))</f>
        <v/>
      </c>
      <c r="E268" s="3" t="str">
        <f>IF($A268="","",IF(countif('Womens Lineup'!E$3:E1000,CONCATENATE("=",$A268))=0,"",E$2))</f>
        <v/>
      </c>
      <c r="F268" s="3" t="str">
        <f>IF($A268="","",IF(countif('Womens Lineup'!F$3:F1000,CONCATENATE("=",$A268))=0,"",F$2))</f>
        <v/>
      </c>
      <c r="G268" s="3" t="str">
        <f>IF($A268="","",IF(countif('Womens Lineup'!G$3:G1000,CONCATENATE("=",$A268))=0,"",G$2))</f>
        <v/>
      </c>
      <c r="H268" s="3" t="str">
        <f>IF($A268="","",IF(countif('Womens Lineup'!H$3:H1000,CONCATENATE("=",$A268))=0,"",H$2))</f>
        <v/>
      </c>
      <c r="I268" s="3" t="str">
        <f>IF($A268="","",IF(countif('Womens Lineup'!I$3:I1000,CONCATENATE("=",$A268))=0,"",I$2))</f>
        <v>100 Breast</v>
      </c>
      <c r="J268" s="3" t="str">
        <f>IF($A268="","",IF(countif('Womens Lineup'!J$3:J1000,CONCATENATE("=",$A268))=0,"",J$2))</f>
        <v>200 Breast</v>
      </c>
      <c r="K268" s="3" t="str">
        <f>IF($A268="","",IF(countif('Womens Lineup'!K$3:K1000,CONCATENATE("=",$A268))=0,"",K$2))</f>
        <v/>
      </c>
      <c r="L268" s="3" t="str">
        <f>IF($A268="","",IF(countif('Womens Lineup'!L$3:L1000,CONCATENATE("=",$A268))=0,"",L$2))</f>
        <v/>
      </c>
      <c r="M268" s="3" t="str">
        <f>IF($A268="","",IF(countif('Womens Lineup'!M$3:M1000,CONCATENATE("=",$A268))=0,"",M$2))</f>
        <v/>
      </c>
      <c r="N268" s="3" t="str">
        <f>IF($A268="","",IF(countif('Womens Lineup'!N$3:N1000,CONCATENATE("=",$A268))=0,"",N$2))</f>
        <v/>
      </c>
      <c r="O268" s="3" t="str">
        <f>IF($A268="","",IF(countif('Womens Lineup'!O$3:O1000,CONCATENATE("=",$A268))=0,"",O$2))</f>
        <v/>
      </c>
      <c r="P268" s="3" t="str">
        <f>IF($A268="","",IF(countif('Womens Lineup'!P$3:P1000,CONCATENATE("=",$A268))=0,"",P$2))</f>
        <v/>
      </c>
      <c r="Q268" s="3" t="str">
        <f>IF($A268="","",IF(countif('Womens Lineup'!Q$3:Q1000,CONCATENATE("=",$A268))=0,"",Q$2))</f>
        <v/>
      </c>
      <c r="R268" s="3" t="str">
        <f>IF($A268="","",IF(countif('Womens Lineup'!R$3:R1000,CONCATENATE("=",$A268))=0,"",R$2))</f>
        <v/>
      </c>
      <c r="S268" s="3" t="str">
        <f>IF($A268="","",IF(countif('Womens Lineup'!S$3:S1000,CONCATENATE("=",$A268))=0,"",S$2))</f>
        <v/>
      </c>
      <c r="W268" s="3" t="str">
        <f>IFERROR(__xludf.DUMMYFUNCTION("JOIN("","",FILTER(B268:S268,B268:S268&lt;&gt;""""))"),"100 Breast,200 Breast")</f>
        <v>100 Breast,200 Breast</v>
      </c>
    </row>
    <row r="269">
      <c r="A269" s="3" t="s">
        <v>583</v>
      </c>
      <c r="B269" s="3" t="str">
        <f>IF($A269="","",IF(countif('Womens Lineup'!B$3:B1000,CONCATENATE("=",$A269))=0,"",B$2))</f>
        <v/>
      </c>
      <c r="C269" s="3" t="str">
        <f>IF($A269="","",IF(countif('Womens Lineup'!C$3:C1000,CONCATENATE("=",$A269))=0,"",C$2))</f>
        <v/>
      </c>
      <c r="D269" s="3" t="str">
        <f>IF($A269="","",IF(countif('Womens Lineup'!D$3:D1000,CONCATENATE("=",$A269))=0,"",D$2))</f>
        <v/>
      </c>
      <c r="E269" s="3" t="str">
        <f>IF($A269="","",IF(countif('Womens Lineup'!E$3:E1000,CONCATENATE("=",$A269))=0,"",E$2))</f>
        <v/>
      </c>
      <c r="F269" s="3" t="str">
        <f>IF($A269="","",IF(countif('Womens Lineup'!F$3:F1000,CONCATENATE("=",$A269))=0,"",F$2))</f>
        <v/>
      </c>
      <c r="G269" s="3" t="str">
        <f>IF($A269="","",IF(countif('Womens Lineup'!G$3:G1000,CONCATENATE("=",$A269))=0,"",G$2))</f>
        <v/>
      </c>
      <c r="H269" s="3" t="str">
        <f>IF($A269="","",IF(countif('Womens Lineup'!H$3:H1000,CONCATENATE("=",$A269))=0,"",H$2))</f>
        <v/>
      </c>
      <c r="I269" s="3" t="str">
        <f>IF($A269="","",IF(countif('Womens Lineup'!I$3:I1000,CONCATENATE("=",$A269))=0,"",I$2))</f>
        <v>100 Breast</v>
      </c>
      <c r="J269" s="3" t="str">
        <f>IF($A269="","",IF(countif('Womens Lineup'!J$3:J1000,CONCATENATE("=",$A269))=0,"",J$2))</f>
        <v>200 Breast</v>
      </c>
      <c r="K269" s="3" t="str">
        <f>IF($A269="","",IF(countif('Womens Lineup'!K$3:K1000,CONCATENATE("=",$A269))=0,"",K$2))</f>
        <v/>
      </c>
      <c r="L269" s="3" t="str">
        <f>IF($A269="","",IF(countif('Womens Lineup'!L$3:L1000,CONCATENATE("=",$A269))=0,"",L$2))</f>
        <v/>
      </c>
      <c r="M269" s="3" t="str">
        <f>IF($A269="","",IF(countif('Womens Lineup'!M$3:M1000,CONCATENATE("=",$A269))=0,"",M$2))</f>
        <v/>
      </c>
      <c r="N269" s="3" t="str">
        <f>IF($A269="","",IF(countif('Womens Lineup'!N$3:N1000,CONCATENATE("=",$A269))=0,"",N$2))</f>
        <v/>
      </c>
      <c r="O269" s="3" t="str">
        <f>IF($A269="","",IF(countif('Womens Lineup'!O$3:O1000,CONCATENATE("=",$A269))=0,"",O$2))</f>
        <v/>
      </c>
      <c r="P269" s="3" t="str">
        <f>IF($A269="","",IF(countif('Womens Lineup'!P$3:P1000,CONCATENATE("=",$A269))=0,"",P$2))</f>
        <v/>
      </c>
      <c r="Q269" s="3" t="str">
        <f>IF($A269="","",IF(countif('Womens Lineup'!Q$3:Q1000,CONCATENATE("=",$A269))=0,"",Q$2))</f>
        <v/>
      </c>
      <c r="R269" s="3" t="str">
        <f>IF($A269="","",IF(countif('Womens Lineup'!R$3:R1000,CONCATENATE("=",$A269))=0,"",R$2))</f>
        <v/>
      </c>
      <c r="S269" s="3" t="str">
        <f>IF($A269="","",IF(countif('Womens Lineup'!S$3:S1000,CONCATENATE("=",$A269))=0,"",S$2))</f>
        <v/>
      </c>
      <c r="W269" s="3" t="str">
        <f>IFERROR(__xludf.DUMMYFUNCTION("JOIN("","",FILTER(B269:S269,B269:S269&lt;&gt;""""))"),"100 Breast,200 Breast")</f>
        <v>100 Breast,200 Breast</v>
      </c>
    </row>
    <row r="270">
      <c r="A270" s="3" t="s">
        <v>584</v>
      </c>
      <c r="B270" s="3" t="str">
        <f>IF($A270="","",IF(countif('Womens Lineup'!B$3:B1000,CONCATENATE("=",$A270))=0,"",B$2))</f>
        <v/>
      </c>
      <c r="C270" s="3" t="str">
        <f>IF($A270="","",IF(countif('Womens Lineup'!C$3:C1000,CONCATENATE("=",$A270))=0,"",C$2))</f>
        <v/>
      </c>
      <c r="D270" s="3" t="str">
        <f>IF($A270="","",IF(countif('Womens Lineup'!D$3:D1000,CONCATENATE("=",$A270))=0,"",D$2))</f>
        <v/>
      </c>
      <c r="E270" s="3" t="str">
        <f>IF($A270="","",IF(countif('Womens Lineup'!E$3:E1000,CONCATENATE("=",$A270))=0,"",E$2))</f>
        <v/>
      </c>
      <c r="F270" s="3" t="str">
        <f>IF($A270="","",IF(countif('Womens Lineup'!F$3:F1000,CONCATENATE("=",$A270))=0,"",F$2))</f>
        <v/>
      </c>
      <c r="G270" s="3" t="str">
        <f>IF($A270="","",IF(countif('Womens Lineup'!G$3:G1000,CONCATENATE("=",$A270))=0,"",G$2))</f>
        <v/>
      </c>
      <c r="H270" s="3" t="str">
        <f>IF($A270="","",IF(countif('Womens Lineup'!H$3:H1000,CONCATENATE("=",$A270))=0,"",H$2))</f>
        <v/>
      </c>
      <c r="I270" s="3" t="str">
        <f>IF($A270="","",IF(countif('Womens Lineup'!I$3:I1000,CONCATENATE("=",$A270))=0,"",I$2))</f>
        <v>100 Breast</v>
      </c>
      <c r="J270" s="3" t="str">
        <f>IF($A270="","",IF(countif('Womens Lineup'!J$3:J1000,CONCATENATE("=",$A270))=0,"",J$2))</f>
        <v>200 Breast</v>
      </c>
      <c r="K270" s="3" t="str">
        <f>IF($A270="","",IF(countif('Womens Lineup'!K$3:K1000,CONCATENATE("=",$A270))=0,"",K$2))</f>
        <v/>
      </c>
      <c r="L270" s="3" t="str">
        <f>IF($A270="","",IF(countif('Womens Lineup'!L$3:L1000,CONCATENATE("=",$A270))=0,"",L$2))</f>
        <v/>
      </c>
      <c r="M270" s="3" t="str">
        <f>IF($A270="","",IF(countif('Womens Lineup'!M$3:M1000,CONCATENATE("=",$A270))=0,"",M$2))</f>
        <v/>
      </c>
      <c r="N270" s="3" t="str">
        <f>IF($A270="","",IF(countif('Womens Lineup'!N$3:N1000,CONCATENATE("=",$A270))=0,"",N$2))</f>
        <v/>
      </c>
      <c r="O270" s="3" t="str">
        <f>IF($A270="","",IF(countif('Womens Lineup'!O$3:O1000,CONCATENATE("=",$A270))=0,"",O$2))</f>
        <v/>
      </c>
      <c r="P270" s="3" t="str">
        <f>IF($A270="","",IF(countif('Womens Lineup'!P$3:P1000,CONCATENATE("=",$A270))=0,"",P$2))</f>
        <v/>
      </c>
      <c r="Q270" s="3" t="str">
        <f>IF($A270="","",IF(countif('Womens Lineup'!Q$3:Q1000,CONCATENATE("=",$A270))=0,"",Q$2))</f>
        <v/>
      </c>
      <c r="R270" s="3" t="str">
        <f>IF($A270="","",IF(countif('Womens Lineup'!R$3:R1000,CONCATENATE("=",$A270))=0,"",R$2))</f>
        <v/>
      </c>
      <c r="S270" s="3" t="str">
        <f>IF($A270="","",IF(countif('Womens Lineup'!S$3:S1000,CONCATENATE("=",$A270))=0,"",S$2))</f>
        <v/>
      </c>
      <c r="W270" s="3" t="str">
        <f>IFERROR(__xludf.DUMMYFUNCTION("JOIN("","",FILTER(B270:S270,B270:S270&lt;&gt;""""))"),"100 Breast,200 Breast")</f>
        <v>100 Breast,200 Breast</v>
      </c>
    </row>
    <row r="271">
      <c r="A271" s="3" t="s">
        <v>585</v>
      </c>
      <c r="B271" s="3" t="str">
        <f>IF($A271="","",IF(countif('Womens Lineup'!B$3:B1000,CONCATENATE("=",$A271))=0,"",B$2))</f>
        <v/>
      </c>
      <c r="C271" s="3" t="str">
        <f>IF($A271="","",IF(countif('Womens Lineup'!C$3:C1000,CONCATENATE("=",$A271))=0,"",C$2))</f>
        <v/>
      </c>
      <c r="D271" s="3" t="str">
        <f>IF($A271="","",IF(countif('Womens Lineup'!D$3:D1000,CONCATENATE("=",$A271))=0,"",D$2))</f>
        <v/>
      </c>
      <c r="E271" s="3" t="str">
        <f>IF($A271="","",IF(countif('Womens Lineup'!E$3:E1000,CONCATENATE("=",$A271))=0,"",E$2))</f>
        <v/>
      </c>
      <c r="F271" s="3" t="str">
        <f>IF($A271="","",IF(countif('Womens Lineup'!F$3:F1000,CONCATENATE("=",$A271))=0,"",F$2))</f>
        <v/>
      </c>
      <c r="G271" s="3" t="str">
        <f>IF($A271="","",IF(countif('Womens Lineup'!G$3:G1000,CONCATENATE("=",$A271))=0,"",G$2))</f>
        <v/>
      </c>
      <c r="H271" s="3" t="str">
        <f>IF($A271="","",IF(countif('Womens Lineup'!H$3:H1000,CONCATENATE("=",$A271))=0,"",H$2))</f>
        <v/>
      </c>
      <c r="I271" s="3" t="str">
        <f>IF($A271="","",IF(countif('Womens Lineup'!I$3:I1000,CONCATENATE("=",$A271))=0,"",I$2))</f>
        <v>100 Breast</v>
      </c>
      <c r="J271" s="3" t="str">
        <f>IF($A271="","",IF(countif('Womens Lineup'!J$3:J1000,CONCATENATE("=",$A271))=0,"",J$2))</f>
        <v>200 Breast</v>
      </c>
      <c r="K271" s="3" t="str">
        <f>IF($A271="","",IF(countif('Womens Lineup'!K$3:K1000,CONCATENATE("=",$A271))=0,"",K$2))</f>
        <v/>
      </c>
      <c r="L271" s="3" t="str">
        <f>IF($A271="","",IF(countif('Womens Lineup'!L$3:L1000,CONCATENATE("=",$A271))=0,"",L$2))</f>
        <v/>
      </c>
      <c r="M271" s="3" t="str">
        <f>IF($A271="","",IF(countif('Womens Lineup'!M$3:M1000,CONCATENATE("=",$A271))=0,"",M$2))</f>
        <v/>
      </c>
      <c r="N271" s="3" t="str">
        <f>IF($A271="","",IF(countif('Womens Lineup'!N$3:N1000,CONCATENATE("=",$A271))=0,"",N$2))</f>
        <v/>
      </c>
      <c r="O271" s="3" t="str">
        <f>IF($A271="","",IF(countif('Womens Lineup'!O$3:O1000,CONCATENATE("=",$A271))=0,"",O$2))</f>
        <v/>
      </c>
      <c r="P271" s="3" t="str">
        <f>IF($A271="","",IF(countif('Womens Lineup'!P$3:P1000,CONCATENATE("=",$A271))=0,"",P$2))</f>
        <v/>
      </c>
      <c r="Q271" s="3" t="str">
        <f>IF($A271="","",IF(countif('Womens Lineup'!Q$3:Q1000,CONCATENATE("=",$A271))=0,"",Q$2))</f>
        <v/>
      </c>
      <c r="R271" s="3" t="str">
        <f>IF($A271="","",IF(countif('Womens Lineup'!R$3:R1000,CONCATENATE("=",$A271))=0,"",R$2))</f>
        <v/>
      </c>
      <c r="S271" s="3" t="str">
        <f>IF($A271="","",IF(countif('Womens Lineup'!S$3:S1000,CONCATENATE("=",$A271))=0,"",S$2))</f>
        <v/>
      </c>
      <c r="W271" s="3" t="str">
        <f>IFERROR(__xludf.DUMMYFUNCTION("JOIN("","",FILTER(B271:S271,B271:S271&lt;&gt;""""))"),"100 Breast,200 Breast")</f>
        <v>100 Breast,200 Breast</v>
      </c>
    </row>
    <row r="272">
      <c r="A272" s="3" t="s">
        <v>586</v>
      </c>
      <c r="B272" s="3" t="str">
        <f>IF($A272="","",IF(countif('Womens Lineup'!B$3:B1000,CONCATENATE("=",$A272))=0,"",B$2))</f>
        <v/>
      </c>
      <c r="C272" s="3" t="str">
        <f>IF($A272="","",IF(countif('Womens Lineup'!C$3:C1000,CONCATENATE("=",$A272))=0,"",C$2))</f>
        <v/>
      </c>
      <c r="D272" s="3" t="str">
        <f>IF($A272="","",IF(countif('Womens Lineup'!D$3:D1000,CONCATENATE("=",$A272))=0,"",D$2))</f>
        <v/>
      </c>
      <c r="E272" s="3" t="str">
        <f>IF($A272="","",IF(countif('Womens Lineup'!E$3:E1000,CONCATENATE("=",$A272))=0,"",E$2))</f>
        <v/>
      </c>
      <c r="F272" s="3" t="str">
        <f>IF($A272="","",IF(countif('Womens Lineup'!F$3:F1000,CONCATENATE("=",$A272))=0,"",F$2))</f>
        <v/>
      </c>
      <c r="G272" s="3" t="str">
        <f>IF($A272="","",IF(countif('Womens Lineup'!G$3:G1000,CONCATENATE("=",$A272))=0,"",G$2))</f>
        <v/>
      </c>
      <c r="H272" s="3" t="str">
        <f>IF($A272="","",IF(countif('Womens Lineup'!H$3:H1000,CONCATENATE("=",$A272))=0,"",H$2))</f>
        <v/>
      </c>
      <c r="I272" s="3" t="str">
        <f>IF($A272="","",IF(countif('Womens Lineup'!I$3:I1000,CONCATENATE("=",$A272))=0,"",I$2))</f>
        <v>100 Breast</v>
      </c>
      <c r="J272" s="3" t="str">
        <f>IF($A272="","",IF(countif('Womens Lineup'!J$3:J1000,CONCATENATE("=",$A272))=0,"",J$2))</f>
        <v>200 Breast</v>
      </c>
      <c r="K272" s="3" t="str">
        <f>IF($A272="","",IF(countif('Womens Lineup'!K$3:K1000,CONCATENATE("=",$A272))=0,"",K$2))</f>
        <v>100 Fly</v>
      </c>
      <c r="L272" s="3" t="str">
        <f>IF($A272="","",IF(countif('Womens Lineup'!L$3:L1000,CONCATENATE("=",$A272))=0,"",L$2))</f>
        <v>200 Fly</v>
      </c>
      <c r="M272" s="3" t="str">
        <f>IF($A272="","",IF(countif('Womens Lineup'!M$3:M1000,CONCATENATE("=",$A272))=0,"",M$2))</f>
        <v/>
      </c>
      <c r="N272" s="3" t="str">
        <f>IF($A272="","",IF(countif('Womens Lineup'!N$3:N1000,CONCATENATE("=",$A272))=0,"",N$2))</f>
        <v/>
      </c>
      <c r="O272" s="3" t="str">
        <f>IF($A272="","",IF(countif('Womens Lineup'!O$3:O1000,CONCATENATE("=",$A272))=0,"",O$2))</f>
        <v/>
      </c>
      <c r="P272" s="3" t="str">
        <f>IF($A272="","",IF(countif('Womens Lineup'!P$3:P1000,CONCATENATE("=",$A272))=0,"",P$2))</f>
        <v/>
      </c>
      <c r="Q272" s="3" t="str">
        <f>IF($A272="","",IF(countif('Womens Lineup'!Q$3:Q1000,CONCATENATE("=",$A272))=0,"",Q$2))</f>
        <v/>
      </c>
      <c r="R272" s="3" t="str">
        <f>IF($A272="","",IF(countif('Womens Lineup'!R$3:R1000,CONCATENATE("=",$A272))=0,"",R$2))</f>
        <v/>
      </c>
      <c r="S272" s="3" t="str">
        <f>IF($A272="","",IF(countif('Womens Lineup'!S$3:S1000,CONCATENATE("=",$A272))=0,"",S$2))</f>
        <v/>
      </c>
      <c r="W272" s="3" t="str">
        <f>IFERROR(__xludf.DUMMYFUNCTION("JOIN("","",FILTER(B272:S272,B272:S272&lt;&gt;""""))"),"100 Breast,200 Breast,100 Fly,200 Fly")</f>
        <v>100 Breast,200 Breast,100 Fly,200 Fly</v>
      </c>
    </row>
    <row r="273">
      <c r="A273" s="3" t="s">
        <v>587</v>
      </c>
      <c r="B273" s="3" t="str">
        <f>IF($A273="","",IF(countif('Womens Lineup'!B$3:B1000,CONCATENATE("=",$A273))=0,"",B$2))</f>
        <v/>
      </c>
      <c r="C273" s="3" t="str">
        <f>IF($A273="","",IF(countif('Womens Lineup'!C$3:C1000,CONCATENATE("=",$A273))=0,"",C$2))</f>
        <v/>
      </c>
      <c r="D273" s="3" t="str">
        <f>IF($A273="","",IF(countif('Womens Lineup'!D$3:D1000,CONCATENATE("=",$A273))=0,"",D$2))</f>
        <v/>
      </c>
      <c r="E273" s="3" t="str">
        <f>IF($A273="","",IF(countif('Womens Lineup'!E$3:E1000,CONCATENATE("=",$A273))=0,"",E$2))</f>
        <v/>
      </c>
      <c r="F273" s="3" t="str">
        <f>IF($A273="","",IF(countif('Womens Lineup'!F$3:F1000,CONCATENATE("=",$A273))=0,"",F$2))</f>
        <v/>
      </c>
      <c r="G273" s="3" t="str">
        <f>IF($A273="","",IF(countif('Womens Lineup'!G$3:G1000,CONCATENATE("=",$A273))=0,"",G$2))</f>
        <v/>
      </c>
      <c r="H273" s="3" t="str">
        <f>IF($A273="","",IF(countif('Womens Lineup'!H$3:H1000,CONCATENATE("=",$A273))=0,"",H$2))</f>
        <v/>
      </c>
      <c r="I273" s="3" t="str">
        <f>IF($A273="","",IF(countif('Womens Lineup'!I$3:I1000,CONCATENATE("=",$A273))=0,"",I$2))</f>
        <v>100 Breast</v>
      </c>
      <c r="J273" s="3" t="str">
        <f>IF($A273="","",IF(countif('Womens Lineup'!J$3:J1000,CONCATENATE("=",$A273))=0,"",J$2))</f>
        <v>200 Breast</v>
      </c>
      <c r="K273" s="3" t="str">
        <f>IF($A273="","",IF(countif('Womens Lineup'!K$3:K1000,CONCATENATE("=",$A273))=0,"",K$2))</f>
        <v/>
      </c>
      <c r="L273" s="3" t="str">
        <f>IF($A273="","",IF(countif('Womens Lineup'!L$3:L1000,CONCATENATE("=",$A273))=0,"",L$2))</f>
        <v/>
      </c>
      <c r="M273" s="3" t="str">
        <f>IF($A273="","",IF(countif('Womens Lineup'!M$3:M1000,CONCATENATE("=",$A273))=0,"",M$2))</f>
        <v/>
      </c>
      <c r="N273" s="3" t="str">
        <f>IF($A273="","",IF(countif('Womens Lineup'!N$3:N1000,CONCATENATE("=",$A273))=0,"",N$2))</f>
        <v/>
      </c>
      <c r="O273" s="3" t="str">
        <f>IF($A273="","",IF(countif('Womens Lineup'!O$3:O1000,CONCATENATE("=",$A273))=0,"",O$2))</f>
        <v/>
      </c>
      <c r="P273" s="3" t="str">
        <f>IF($A273="","",IF(countif('Womens Lineup'!P$3:P1000,CONCATENATE("=",$A273))=0,"",P$2))</f>
        <v/>
      </c>
      <c r="Q273" s="3" t="str">
        <f>IF($A273="","",IF(countif('Womens Lineup'!Q$3:Q1000,CONCATENATE("=",$A273))=0,"",Q$2))</f>
        <v/>
      </c>
      <c r="R273" s="3" t="str">
        <f>IF($A273="","",IF(countif('Womens Lineup'!R$3:R1000,CONCATENATE("=",$A273))=0,"",R$2))</f>
        <v/>
      </c>
      <c r="S273" s="3" t="str">
        <f>IF($A273="","",IF(countif('Womens Lineup'!S$3:S1000,CONCATENATE("=",$A273))=0,"",S$2))</f>
        <v/>
      </c>
      <c r="W273" s="3" t="str">
        <f>IFERROR(__xludf.DUMMYFUNCTION("JOIN("","",FILTER(B273:S273,B273:S273&lt;&gt;""""))"),"100 Breast,200 Breast")</f>
        <v>100 Breast,200 Breast</v>
      </c>
    </row>
    <row r="274">
      <c r="A274" s="3" t="s">
        <v>588</v>
      </c>
      <c r="B274" s="3" t="str">
        <f>IF($A274="","",IF(countif('Womens Lineup'!B$3:B1000,CONCATENATE("=",$A274))=0,"",B$2))</f>
        <v/>
      </c>
      <c r="C274" s="3" t="str">
        <f>IF($A274="","",IF(countif('Womens Lineup'!C$3:C1000,CONCATENATE("=",$A274))=0,"",C$2))</f>
        <v/>
      </c>
      <c r="D274" s="3" t="str">
        <f>IF($A274="","",IF(countif('Womens Lineup'!D$3:D1000,CONCATENATE("=",$A274))=0,"",D$2))</f>
        <v/>
      </c>
      <c r="E274" s="3" t="str">
        <f>IF($A274="","",IF(countif('Womens Lineup'!E$3:E1000,CONCATENATE("=",$A274))=0,"",E$2))</f>
        <v/>
      </c>
      <c r="F274" s="3" t="str">
        <f>IF($A274="","",IF(countif('Womens Lineup'!F$3:F1000,CONCATENATE("=",$A274))=0,"",F$2))</f>
        <v/>
      </c>
      <c r="G274" s="3" t="str">
        <f>IF($A274="","",IF(countif('Womens Lineup'!G$3:G1000,CONCATENATE("=",$A274))=0,"",G$2))</f>
        <v/>
      </c>
      <c r="H274" s="3" t="str">
        <f>IF($A274="","",IF(countif('Womens Lineup'!H$3:H1000,CONCATENATE("=",$A274))=0,"",H$2))</f>
        <v/>
      </c>
      <c r="I274" s="3" t="str">
        <f>IF($A274="","",IF(countif('Womens Lineup'!I$3:I1000,CONCATENATE("=",$A274))=0,"",I$2))</f>
        <v>100 Breast</v>
      </c>
      <c r="J274" s="3" t="str">
        <f>IF($A274="","",IF(countif('Womens Lineup'!J$3:J1000,CONCATENATE("=",$A274))=0,"",J$2))</f>
        <v>200 Breast</v>
      </c>
      <c r="K274" s="3" t="str">
        <f>IF($A274="","",IF(countif('Womens Lineup'!K$3:K1000,CONCATENATE("=",$A274))=0,"",K$2))</f>
        <v/>
      </c>
      <c r="L274" s="3" t="str">
        <f>IF($A274="","",IF(countif('Womens Lineup'!L$3:L1000,CONCATENATE("=",$A274))=0,"",L$2))</f>
        <v/>
      </c>
      <c r="M274" s="3" t="str">
        <f>IF($A274="","",IF(countif('Womens Lineup'!M$3:M1000,CONCATENATE("=",$A274))=0,"",M$2))</f>
        <v/>
      </c>
      <c r="N274" s="3" t="str">
        <f>IF($A274="","",IF(countif('Womens Lineup'!N$3:N1000,CONCATENATE("=",$A274))=0,"",N$2))</f>
        <v/>
      </c>
      <c r="O274" s="3" t="str">
        <f>IF($A274="","",IF(countif('Womens Lineup'!O$3:O1000,CONCATENATE("=",$A274))=0,"",O$2))</f>
        <v/>
      </c>
      <c r="P274" s="3" t="str">
        <f>IF($A274="","",IF(countif('Womens Lineup'!P$3:P1000,CONCATENATE("=",$A274))=0,"",P$2))</f>
        <v/>
      </c>
      <c r="Q274" s="3" t="str">
        <f>IF($A274="","",IF(countif('Womens Lineup'!Q$3:Q1000,CONCATENATE("=",$A274))=0,"",Q$2))</f>
        <v/>
      </c>
      <c r="R274" s="3" t="str">
        <f>IF($A274="","",IF(countif('Womens Lineup'!R$3:R1000,CONCATENATE("=",$A274))=0,"",R$2))</f>
        <v/>
      </c>
      <c r="S274" s="3" t="str">
        <f>IF($A274="","",IF(countif('Womens Lineup'!S$3:S1000,CONCATENATE("=",$A274))=0,"",S$2))</f>
        <v/>
      </c>
      <c r="W274" s="3" t="str">
        <f>IFERROR(__xludf.DUMMYFUNCTION("JOIN("","",FILTER(B274:S274,B274:S274&lt;&gt;""""))"),"100 Breast,200 Breast")</f>
        <v>100 Breast,200 Breast</v>
      </c>
    </row>
    <row r="275">
      <c r="A275" s="3" t="s">
        <v>589</v>
      </c>
      <c r="B275" s="3" t="str">
        <f>IF($A275="","",IF(countif('Womens Lineup'!B$3:B1000,CONCATENATE("=",$A275))=0,"",B$2))</f>
        <v/>
      </c>
      <c r="C275" s="3" t="str">
        <f>IF($A275="","",IF(countif('Womens Lineup'!C$3:C1000,CONCATENATE("=",$A275))=0,"",C$2))</f>
        <v/>
      </c>
      <c r="D275" s="3" t="str">
        <f>IF($A275="","",IF(countif('Womens Lineup'!D$3:D1000,CONCATENATE("=",$A275))=0,"",D$2))</f>
        <v/>
      </c>
      <c r="E275" s="3" t="str">
        <f>IF($A275="","",IF(countif('Womens Lineup'!E$3:E1000,CONCATENATE("=",$A275))=0,"",E$2))</f>
        <v/>
      </c>
      <c r="F275" s="3" t="str">
        <f>IF($A275="","",IF(countif('Womens Lineup'!F$3:F1000,CONCATENATE("=",$A275))=0,"",F$2))</f>
        <v/>
      </c>
      <c r="G275" s="3" t="str">
        <f>IF($A275="","",IF(countif('Womens Lineup'!G$3:G1000,CONCATENATE("=",$A275))=0,"",G$2))</f>
        <v/>
      </c>
      <c r="H275" s="3" t="str">
        <f>IF($A275="","",IF(countif('Womens Lineup'!H$3:H1000,CONCATENATE("=",$A275))=0,"",H$2))</f>
        <v/>
      </c>
      <c r="I275" s="3" t="str">
        <f>IF($A275="","",IF(countif('Womens Lineup'!I$3:I1000,CONCATENATE("=",$A275))=0,"",I$2))</f>
        <v>100 Breast</v>
      </c>
      <c r="J275" s="3" t="str">
        <f>IF($A275="","",IF(countif('Womens Lineup'!J$3:J1000,CONCATENATE("=",$A275))=0,"",J$2))</f>
        <v>200 Breast</v>
      </c>
      <c r="K275" s="3" t="str">
        <f>IF($A275="","",IF(countif('Womens Lineup'!K$3:K1000,CONCATENATE("=",$A275))=0,"",K$2))</f>
        <v/>
      </c>
      <c r="L275" s="3" t="str">
        <f>IF($A275="","",IF(countif('Womens Lineup'!L$3:L1000,CONCATENATE("=",$A275))=0,"",L$2))</f>
        <v/>
      </c>
      <c r="M275" s="3" t="str">
        <f>IF($A275="","",IF(countif('Womens Lineup'!M$3:M1000,CONCATENATE("=",$A275))=0,"",M$2))</f>
        <v/>
      </c>
      <c r="N275" s="3" t="str">
        <f>IF($A275="","",IF(countif('Womens Lineup'!N$3:N1000,CONCATENATE("=",$A275))=0,"",N$2))</f>
        <v/>
      </c>
      <c r="O275" s="3" t="str">
        <f>IF($A275="","",IF(countif('Womens Lineup'!O$3:O1000,CONCATENATE("=",$A275))=0,"",O$2))</f>
        <v/>
      </c>
      <c r="P275" s="3" t="str">
        <f>IF($A275="","",IF(countif('Womens Lineup'!P$3:P1000,CONCATENATE("=",$A275))=0,"",P$2))</f>
        <v/>
      </c>
      <c r="Q275" s="3" t="str">
        <f>IF($A275="","",IF(countif('Womens Lineup'!Q$3:Q1000,CONCATENATE("=",$A275))=0,"",Q$2))</f>
        <v/>
      </c>
      <c r="R275" s="3" t="str">
        <f>IF($A275="","",IF(countif('Womens Lineup'!R$3:R1000,CONCATENATE("=",$A275))=0,"",R$2))</f>
        <v/>
      </c>
      <c r="S275" s="3" t="str">
        <f>IF($A275="","",IF(countif('Womens Lineup'!S$3:S1000,CONCATENATE("=",$A275))=0,"",S$2))</f>
        <v/>
      </c>
      <c r="W275" s="3" t="str">
        <f>IFERROR(__xludf.DUMMYFUNCTION("JOIN("","",FILTER(B275:S275,B275:S275&lt;&gt;""""))"),"100 Breast,200 Breast")</f>
        <v>100 Breast,200 Breast</v>
      </c>
    </row>
    <row r="276">
      <c r="A276" s="3" t="s">
        <v>590</v>
      </c>
      <c r="B276" s="3" t="str">
        <f>IF($A276="","",IF(countif('Womens Lineup'!B$3:B1000,CONCATENATE("=",$A276))=0,"",B$2))</f>
        <v/>
      </c>
      <c r="C276" s="3" t="str">
        <f>IF($A276="","",IF(countif('Womens Lineup'!C$3:C1000,CONCATENATE("=",$A276))=0,"",C$2))</f>
        <v/>
      </c>
      <c r="D276" s="3" t="str">
        <f>IF($A276="","",IF(countif('Womens Lineup'!D$3:D1000,CONCATENATE("=",$A276))=0,"",D$2))</f>
        <v/>
      </c>
      <c r="E276" s="3" t="str">
        <f>IF($A276="","",IF(countif('Womens Lineup'!E$3:E1000,CONCATENATE("=",$A276))=0,"",E$2))</f>
        <v/>
      </c>
      <c r="F276" s="3" t="str">
        <f>IF($A276="","",IF(countif('Womens Lineup'!F$3:F1000,CONCATENATE("=",$A276))=0,"",F$2))</f>
        <v/>
      </c>
      <c r="G276" s="3" t="str">
        <f>IF($A276="","",IF(countif('Womens Lineup'!G$3:G1000,CONCATENATE("=",$A276))=0,"",G$2))</f>
        <v/>
      </c>
      <c r="H276" s="3" t="str">
        <f>IF($A276="","",IF(countif('Womens Lineup'!H$3:H1000,CONCATENATE("=",$A276))=0,"",H$2))</f>
        <v/>
      </c>
      <c r="I276" s="3" t="str">
        <f>IF($A276="","",IF(countif('Womens Lineup'!I$3:I1000,CONCATENATE("=",$A276))=0,"",I$2))</f>
        <v>100 Breast</v>
      </c>
      <c r="J276" s="3" t="str">
        <f>IF($A276="","",IF(countif('Womens Lineup'!J$3:J1000,CONCATENATE("=",$A276))=0,"",J$2))</f>
        <v>200 Breast</v>
      </c>
      <c r="K276" s="3" t="str">
        <f>IF($A276="","",IF(countif('Womens Lineup'!K$3:K1000,CONCATENATE("=",$A276))=0,"",K$2))</f>
        <v/>
      </c>
      <c r="L276" s="3" t="str">
        <f>IF($A276="","",IF(countif('Womens Lineup'!L$3:L1000,CONCATENATE("=",$A276))=0,"",L$2))</f>
        <v/>
      </c>
      <c r="M276" s="3" t="str">
        <f>IF($A276="","",IF(countif('Womens Lineup'!M$3:M1000,CONCATENATE("=",$A276))=0,"",M$2))</f>
        <v>200 IM</v>
      </c>
      <c r="N276" s="3" t="str">
        <f>IF($A276="","",IF(countif('Womens Lineup'!N$3:N1000,CONCATENATE("=",$A276))=0,"",N$2))</f>
        <v>400 IM</v>
      </c>
      <c r="O276" s="3" t="str">
        <f>IF($A276="","",IF(countif('Womens Lineup'!O$3:O1000,CONCATENATE("=",$A276))=0,"",O$2))</f>
        <v/>
      </c>
      <c r="P276" s="3" t="str">
        <f>IF($A276="","",IF(countif('Womens Lineup'!P$3:P1000,CONCATENATE("=",$A276))=0,"",P$2))</f>
        <v/>
      </c>
      <c r="Q276" s="3" t="str">
        <f>IF($A276="","",IF(countif('Womens Lineup'!Q$3:Q1000,CONCATENATE("=",$A276))=0,"",Q$2))</f>
        <v/>
      </c>
      <c r="R276" s="3" t="str">
        <f>IF($A276="","",IF(countif('Womens Lineup'!R$3:R1000,CONCATENATE("=",$A276))=0,"",R$2))</f>
        <v/>
      </c>
      <c r="S276" s="3" t="str">
        <f>IF($A276="","",IF(countif('Womens Lineup'!S$3:S1000,CONCATENATE("=",$A276))=0,"",S$2))</f>
        <v/>
      </c>
      <c r="W276" s="3" t="str">
        <f>IFERROR(__xludf.DUMMYFUNCTION("JOIN("","",FILTER(B276:S276,B276:S276&lt;&gt;""""))"),"100 Breast,200 Breast,200 IM,400 IM")</f>
        <v>100 Breast,200 Breast,200 IM,400 IM</v>
      </c>
    </row>
    <row r="277">
      <c r="A277" s="3" t="s">
        <v>591</v>
      </c>
      <c r="B277" s="3" t="str">
        <f>IF($A277="","",IF(countif('Womens Lineup'!B$3:B1000,CONCATENATE("=",$A277))=0,"",B$2))</f>
        <v/>
      </c>
      <c r="C277" s="3" t="str">
        <f>IF($A277="","",IF(countif('Womens Lineup'!C$3:C1000,CONCATENATE("=",$A277))=0,"",C$2))</f>
        <v/>
      </c>
      <c r="D277" s="3" t="str">
        <f>IF($A277="","",IF(countif('Womens Lineup'!D$3:D1000,CONCATENATE("=",$A277))=0,"",D$2))</f>
        <v/>
      </c>
      <c r="E277" s="3" t="str">
        <f>IF($A277="","",IF(countif('Womens Lineup'!E$3:E1000,CONCATENATE("=",$A277))=0,"",E$2))</f>
        <v/>
      </c>
      <c r="F277" s="3" t="str">
        <f>IF($A277="","",IF(countif('Womens Lineup'!F$3:F1000,CONCATENATE("=",$A277))=0,"",F$2))</f>
        <v/>
      </c>
      <c r="G277" s="3" t="str">
        <f>IF($A277="","",IF(countif('Womens Lineup'!G$3:G1000,CONCATENATE("=",$A277))=0,"",G$2))</f>
        <v/>
      </c>
      <c r="H277" s="3" t="str">
        <f>IF($A277="","",IF(countif('Womens Lineup'!H$3:H1000,CONCATENATE("=",$A277))=0,"",H$2))</f>
        <v/>
      </c>
      <c r="I277" s="3" t="str">
        <f>IF($A277="","",IF(countif('Womens Lineup'!I$3:I1000,CONCATENATE("=",$A277))=0,"",I$2))</f>
        <v>100 Breast</v>
      </c>
      <c r="J277" s="3" t="str">
        <f>IF($A277="","",IF(countif('Womens Lineup'!J$3:J1000,CONCATENATE("=",$A277))=0,"",J$2))</f>
        <v>200 Breast</v>
      </c>
      <c r="K277" s="3" t="str">
        <f>IF($A277="","",IF(countif('Womens Lineup'!K$3:K1000,CONCATENATE("=",$A277))=0,"",K$2))</f>
        <v/>
      </c>
      <c r="L277" s="3" t="str">
        <f>IF($A277="","",IF(countif('Womens Lineup'!L$3:L1000,CONCATENATE("=",$A277))=0,"",L$2))</f>
        <v/>
      </c>
      <c r="M277" s="3" t="str">
        <f>IF($A277="","",IF(countif('Womens Lineup'!M$3:M1000,CONCATENATE("=",$A277))=0,"",M$2))</f>
        <v/>
      </c>
      <c r="N277" s="3" t="str">
        <f>IF($A277="","",IF(countif('Womens Lineup'!N$3:N1000,CONCATENATE("=",$A277))=0,"",N$2))</f>
        <v/>
      </c>
      <c r="O277" s="3" t="str">
        <f>IF($A277="","",IF(countif('Womens Lineup'!O$3:O1000,CONCATENATE("=",$A277))=0,"",O$2))</f>
        <v/>
      </c>
      <c r="P277" s="3" t="str">
        <f>IF($A277="","",IF(countif('Womens Lineup'!P$3:P1000,CONCATENATE("=",$A277))=0,"",P$2))</f>
        <v/>
      </c>
      <c r="Q277" s="3" t="str">
        <f>IF($A277="","",IF(countif('Womens Lineup'!Q$3:Q1000,CONCATENATE("=",$A277))=0,"",Q$2))</f>
        <v/>
      </c>
      <c r="R277" s="3" t="str">
        <f>IF($A277="","",IF(countif('Womens Lineup'!R$3:R1000,CONCATENATE("=",$A277))=0,"",R$2))</f>
        <v/>
      </c>
      <c r="S277" s="3" t="str">
        <f>IF($A277="","",IF(countif('Womens Lineup'!S$3:S1000,CONCATENATE("=",$A277))=0,"",S$2))</f>
        <v/>
      </c>
      <c r="W277" s="3" t="str">
        <f>IFERROR(__xludf.DUMMYFUNCTION("JOIN("","",FILTER(B277:S277,B277:S277&lt;&gt;""""))"),"100 Breast,200 Breast")</f>
        <v>100 Breast,200 Breast</v>
      </c>
    </row>
    <row r="278">
      <c r="A278" s="3" t="s">
        <v>592</v>
      </c>
      <c r="B278" s="3" t="str">
        <f>IF($A278="","",IF(countif('Womens Lineup'!B$3:B1000,CONCATENATE("=",$A278))=0,"",B$2))</f>
        <v/>
      </c>
      <c r="C278" s="3" t="str">
        <f>IF($A278="","",IF(countif('Womens Lineup'!C$3:C1000,CONCATENATE("=",$A278))=0,"",C$2))</f>
        <v/>
      </c>
      <c r="D278" s="3" t="str">
        <f>IF($A278="","",IF(countif('Womens Lineup'!D$3:D1000,CONCATENATE("=",$A278))=0,"",D$2))</f>
        <v/>
      </c>
      <c r="E278" s="3" t="str">
        <f>IF($A278="","",IF(countif('Womens Lineup'!E$3:E1000,CONCATENATE("=",$A278))=0,"",E$2))</f>
        <v/>
      </c>
      <c r="F278" s="3" t="str">
        <f>IF($A278="","",IF(countif('Womens Lineup'!F$3:F1000,CONCATENATE("=",$A278))=0,"",F$2))</f>
        <v/>
      </c>
      <c r="G278" s="3" t="str">
        <f>IF($A278="","",IF(countif('Womens Lineup'!G$3:G1000,CONCATENATE("=",$A278))=0,"",G$2))</f>
        <v/>
      </c>
      <c r="H278" s="3" t="str">
        <f>IF($A278="","",IF(countif('Womens Lineup'!H$3:H1000,CONCATENATE("=",$A278))=0,"",H$2))</f>
        <v/>
      </c>
      <c r="I278" s="3" t="str">
        <f>IF($A278="","",IF(countif('Womens Lineup'!I$3:I1000,CONCATENATE("=",$A278))=0,"",I$2))</f>
        <v>100 Breast</v>
      </c>
      <c r="J278" s="3" t="str">
        <f>IF($A278="","",IF(countif('Womens Lineup'!J$3:J1000,CONCATENATE("=",$A278))=0,"",J$2))</f>
        <v>200 Breast</v>
      </c>
      <c r="K278" s="3" t="str">
        <f>IF($A278="","",IF(countif('Womens Lineup'!K$3:K1000,CONCATENATE("=",$A278))=0,"",K$2))</f>
        <v>100 Fly</v>
      </c>
      <c r="L278" s="3" t="str">
        <f>IF($A278="","",IF(countif('Womens Lineup'!L$3:L1000,CONCATENATE("=",$A278))=0,"",L$2))</f>
        <v/>
      </c>
      <c r="M278" s="3" t="str">
        <f>IF($A278="","",IF(countif('Womens Lineup'!M$3:M1000,CONCATENATE("=",$A278))=0,"",M$2))</f>
        <v>200 IM</v>
      </c>
      <c r="N278" s="3" t="str">
        <f>IF($A278="","",IF(countif('Womens Lineup'!N$3:N1000,CONCATENATE("=",$A278))=0,"",N$2))</f>
        <v>400 IM</v>
      </c>
      <c r="O278" s="3" t="str">
        <f>IF($A278="","",IF(countif('Womens Lineup'!O$3:O1000,CONCATENATE("=",$A278))=0,"",O$2))</f>
        <v/>
      </c>
      <c r="P278" s="3" t="str">
        <f>IF($A278="","",IF(countif('Womens Lineup'!P$3:P1000,CONCATENATE("=",$A278))=0,"",P$2))</f>
        <v/>
      </c>
      <c r="Q278" s="3" t="str">
        <f>IF($A278="","",IF(countif('Womens Lineup'!Q$3:Q1000,CONCATENATE("=",$A278))=0,"",Q$2))</f>
        <v/>
      </c>
      <c r="R278" s="3" t="str">
        <f>IF($A278="","",IF(countif('Womens Lineup'!R$3:R1000,CONCATENATE("=",$A278))=0,"",R$2))</f>
        <v/>
      </c>
      <c r="S278" s="3" t="str">
        <f>IF($A278="","",IF(countif('Womens Lineup'!S$3:S1000,CONCATENATE("=",$A278))=0,"",S$2))</f>
        <v/>
      </c>
      <c r="W278" s="3" t="str">
        <f>IFERROR(__xludf.DUMMYFUNCTION("JOIN("","",FILTER(B278:S278,B278:S278&lt;&gt;""""))"),"100 Breast,200 Breast,100 Fly,200 IM,400 IM")</f>
        <v>100 Breast,200 Breast,100 Fly,200 IM,400 IM</v>
      </c>
    </row>
    <row r="279">
      <c r="A279" s="3" t="s">
        <v>593</v>
      </c>
      <c r="B279" s="3" t="str">
        <f>IF($A279="","",IF(countif('Womens Lineup'!B$3:B1000,CONCATENATE("=",$A279))=0,"",B$2))</f>
        <v/>
      </c>
      <c r="C279" s="3" t="str">
        <f>IF($A279="","",IF(countif('Womens Lineup'!C$3:C1000,CONCATENATE("=",$A279))=0,"",C$2))</f>
        <v/>
      </c>
      <c r="D279" s="3" t="str">
        <f>IF($A279="","",IF(countif('Womens Lineup'!D$3:D1000,CONCATENATE("=",$A279))=0,"",D$2))</f>
        <v/>
      </c>
      <c r="E279" s="3" t="str">
        <f>IF($A279="","",IF(countif('Womens Lineup'!E$3:E1000,CONCATENATE("=",$A279))=0,"",E$2))</f>
        <v/>
      </c>
      <c r="F279" s="3" t="str">
        <f>IF($A279="","",IF(countif('Womens Lineup'!F$3:F1000,CONCATENATE("=",$A279))=0,"",F$2))</f>
        <v/>
      </c>
      <c r="G279" s="3" t="str">
        <f>IF($A279="","",IF(countif('Womens Lineup'!G$3:G1000,CONCATENATE("=",$A279))=0,"",G$2))</f>
        <v/>
      </c>
      <c r="H279" s="3" t="str">
        <f>IF($A279="","",IF(countif('Womens Lineup'!H$3:H1000,CONCATENATE("=",$A279))=0,"",H$2))</f>
        <v/>
      </c>
      <c r="I279" s="3" t="str">
        <f>IF($A279="","",IF(countif('Womens Lineup'!I$3:I1000,CONCATENATE("=",$A279))=0,"",I$2))</f>
        <v>100 Breast</v>
      </c>
      <c r="J279" s="3" t="str">
        <f>IF($A279="","",IF(countif('Womens Lineup'!J$3:J1000,CONCATENATE("=",$A279))=0,"",J$2))</f>
        <v>200 Breast</v>
      </c>
      <c r="K279" s="3" t="str">
        <f>IF($A279="","",IF(countif('Womens Lineup'!K$3:K1000,CONCATENATE("=",$A279))=0,"",K$2))</f>
        <v/>
      </c>
      <c r="L279" s="3" t="str">
        <f>IF($A279="","",IF(countif('Womens Lineup'!L$3:L1000,CONCATENATE("=",$A279))=0,"",L$2))</f>
        <v/>
      </c>
      <c r="M279" s="3" t="str">
        <f>IF($A279="","",IF(countif('Womens Lineup'!M$3:M1000,CONCATENATE("=",$A279))=0,"",M$2))</f>
        <v/>
      </c>
      <c r="N279" s="3" t="str">
        <f>IF($A279="","",IF(countif('Womens Lineup'!N$3:N1000,CONCATENATE("=",$A279))=0,"",N$2))</f>
        <v/>
      </c>
      <c r="O279" s="3" t="str">
        <f>IF($A279="","",IF(countif('Womens Lineup'!O$3:O1000,CONCATENATE("=",$A279))=0,"",O$2))</f>
        <v/>
      </c>
      <c r="P279" s="3" t="str">
        <f>IF($A279="","",IF(countif('Womens Lineup'!P$3:P1000,CONCATENATE("=",$A279))=0,"",P$2))</f>
        <v/>
      </c>
      <c r="Q279" s="3" t="str">
        <f>IF($A279="","",IF(countif('Womens Lineup'!Q$3:Q1000,CONCATENATE("=",$A279))=0,"",Q$2))</f>
        <v/>
      </c>
      <c r="R279" s="3" t="str">
        <f>IF($A279="","",IF(countif('Womens Lineup'!R$3:R1000,CONCATENATE("=",$A279))=0,"",R$2))</f>
        <v/>
      </c>
      <c r="S279" s="3" t="str">
        <f>IF($A279="","",IF(countif('Womens Lineup'!S$3:S1000,CONCATENATE("=",$A279))=0,"",S$2))</f>
        <v/>
      </c>
      <c r="W279" s="3" t="str">
        <f>IFERROR(__xludf.DUMMYFUNCTION("JOIN("","",FILTER(B279:S279,B279:S279&lt;&gt;""""))"),"100 Breast,200 Breast")</f>
        <v>100 Breast,200 Breast</v>
      </c>
    </row>
    <row r="280">
      <c r="A280" s="3" t="s">
        <v>594</v>
      </c>
      <c r="B280" s="3" t="str">
        <f>IF($A280="","",IF(countif('Womens Lineup'!B$3:B1000,CONCATENATE("=",$A280))=0,"",B$2))</f>
        <v/>
      </c>
      <c r="C280" s="3" t="str">
        <f>IF($A280="","",IF(countif('Womens Lineup'!C$3:C1000,CONCATENATE("=",$A280))=0,"",C$2))</f>
        <v/>
      </c>
      <c r="D280" s="3" t="str">
        <f>IF($A280="","",IF(countif('Womens Lineup'!D$3:D1000,CONCATENATE("=",$A280))=0,"",D$2))</f>
        <v/>
      </c>
      <c r="E280" s="3" t="str">
        <f>IF($A280="","",IF(countif('Womens Lineup'!E$3:E1000,CONCATENATE("=",$A280))=0,"",E$2))</f>
        <v/>
      </c>
      <c r="F280" s="3" t="str">
        <f>IF($A280="","",IF(countif('Womens Lineup'!F$3:F1000,CONCATENATE("=",$A280))=0,"",F$2))</f>
        <v/>
      </c>
      <c r="G280" s="3" t="str">
        <f>IF($A280="","",IF(countif('Womens Lineup'!G$3:G1000,CONCATENATE("=",$A280))=0,"",G$2))</f>
        <v/>
      </c>
      <c r="H280" s="3" t="str">
        <f>IF($A280="","",IF(countif('Womens Lineup'!H$3:H1000,CONCATENATE("=",$A280))=0,"",H$2))</f>
        <v/>
      </c>
      <c r="I280" s="3" t="str">
        <f>IF($A280="","",IF(countif('Womens Lineup'!I$3:I1000,CONCATENATE("=",$A280))=0,"",I$2))</f>
        <v>100 Breast</v>
      </c>
      <c r="J280" s="3" t="str">
        <f>IF($A280="","",IF(countif('Womens Lineup'!J$3:J1000,CONCATENATE("=",$A280))=0,"",J$2))</f>
        <v>200 Breast</v>
      </c>
      <c r="K280" s="3" t="str">
        <f>IF($A280="","",IF(countif('Womens Lineup'!K$3:K1000,CONCATENATE("=",$A280))=0,"",K$2))</f>
        <v>100 Fly</v>
      </c>
      <c r="L280" s="3" t="str">
        <f>IF($A280="","",IF(countif('Womens Lineup'!L$3:L1000,CONCATENATE("=",$A280))=0,"",L$2))</f>
        <v/>
      </c>
      <c r="M280" s="3" t="str">
        <f>IF($A280="","",IF(countif('Womens Lineup'!M$3:M1000,CONCATENATE("=",$A280))=0,"",M$2))</f>
        <v/>
      </c>
      <c r="N280" s="3" t="str">
        <f>IF($A280="","",IF(countif('Womens Lineup'!N$3:N1000,CONCATENATE("=",$A280))=0,"",N$2))</f>
        <v/>
      </c>
      <c r="O280" s="3" t="str">
        <f>IF($A280="","",IF(countif('Womens Lineup'!O$3:O1000,CONCATENATE("=",$A280))=0,"",O$2))</f>
        <v/>
      </c>
      <c r="P280" s="3" t="str">
        <f>IF($A280="","",IF(countif('Womens Lineup'!P$3:P1000,CONCATENATE("=",$A280))=0,"",P$2))</f>
        <v/>
      </c>
      <c r="Q280" s="3" t="str">
        <f>IF($A280="","",IF(countif('Womens Lineup'!Q$3:Q1000,CONCATENATE("=",$A280))=0,"",Q$2))</f>
        <v/>
      </c>
      <c r="R280" s="3" t="str">
        <f>IF($A280="","",IF(countif('Womens Lineup'!R$3:R1000,CONCATENATE("=",$A280))=0,"",R$2))</f>
        <v/>
      </c>
      <c r="S280" s="3" t="str">
        <f>IF($A280="","",IF(countif('Womens Lineup'!S$3:S1000,CONCATENATE("=",$A280))=0,"",S$2))</f>
        <v/>
      </c>
      <c r="W280" s="3" t="str">
        <f>IFERROR(__xludf.DUMMYFUNCTION("JOIN("","",FILTER(B280:S280,B280:S280&lt;&gt;""""))"),"100 Breast,200 Breast,100 Fly")</f>
        <v>100 Breast,200 Breast,100 Fly</v>
      </c>
    </row>
    <row r="281">
      <c r="A281" s="3" t="s">
        <v>595</v>
      </c>
      <c r="B281" s="3" t="str">
        <f>IF($A281="","",IF(countif('Womens Lineup'!B$3:B1000,CONCATENATE("=",$A281))=0,"",B$2))</f>
        <v/>
      </c>
      <c r="C281" s="3" t="str">
        <f>IF($A281="","",IF(countif('Womens Lineup'!C$3:C1000,CONCATENATE("=",$A281))=0,"",C$2))</f>
        <v/>
      </c>
      <c r="D281" s="3" t="str">
        <f>IF($A281="","",IF(countif('Womens Lineup'!D$3:D1000,CONCATENATE("=",$A281))=0,"",D$2))</f>
        <v/>
      </c>
      <c r="E281" s="3" t="str">
        <f>IF($A281="","",IF(countif('Womens Lineup'!E$3:E1000,CONCATENATE("=",$A281))=0,"",E$2))</f>
        <v/>
      </c>
      <c r="F281" s="3" t="str">
        <f>IF($A281="","",IF(countif('Womens Lineup'!F$3:F1000,CONCATENATE("=",$A281))=0,"",F$2))</f>
        <v/>
      </c>
      <c r="G281" s="3" t="str">
        <f>IF($A281="","",IF(countif('Womens Lineup'!G$3:G1000,CONCATENATE("=",$A281))=0,"",G$2))</f>
        <v/>
      </c>
      <c r="H281" s="3" t="str">
        <f>IF($A281="","",IF(countif('Womens Lineup'!H$3:H1000,CONCATENATE("=",$A281))=0,"",H$2))</f>
        <v/>
      </c>
      <c r="I281" s="3" t="str">
        <f>IF($A281="","",IF(countif('Womens Lineup'!I$3:I1000,CONCATENATE("=",$A281))=0,"",I$2))</f>
        <v/>
      </c>
      <c r="J281" s="3" t="str">
        <f>IF($A281="","",IF(countif('Womens Lineup'!J$3:J1000,CONCATENATE("=",$A281))=0,"",J$2))</f>
        <v>200 Breast</v>
      </c>
      <c r="K281" s="3" t="str">
        <f>IF($A281="","",IF(countif('Womens Lineup'!K$3:K1000,CONCATENATE("=",$A281))=0,"",K$2))</f>
        <v/>
      </c>
      <c r="L281" s="3" t="str">
        <f>IF($A281="","",IF(countif('Womens Lineup'!L$3:L1000,CONCATENATE("=",$A281))=0,"",L$2))</f>
        <v/>
      </c>
      <c r="M281" s="3" t="str">
        <f>IF($A281="","",IF(countif('Womens Lineup'!M$3:M1000,CONCATENATE("=",$A281))=0,"",M$2))</f>
        <v/>
      </c>
      <c r="N281" s="3" t="str">
        <f>IF($A281="","",IF(countif('Womens Lineup'!N$3:N1000,CONCATENATE("=",$A281))=0,"",N$2))</f>
        <v/>
      </c>
      <c r="O281" s="3" t="str">
        <f>IF($A281="","",IF(countif('Womens Lineup'!O$3:O1000,CONCATENATE("=",$A281))=0,"",O$2))</f>
        <v/>
      </c>
      <c r="P281" s="3" t="str">
        <f>IF($A281="","",IF(countif('Womens Lineup'!P$3:P1000,CONCATENATE("=",$A281))=0,"",P$2))</f>
        <v/>
      </c>
      <c r="Q281" s="3" t="str">
        <f>IF($A281="","",IF(countif('Womens Lineup'!Q$3:Q1000,CONCATENATE("=",$A281))=0,"",Q$2))</f>
        <v/>
      </c>
      <c r="R281" s="3" t="str">
        <f>IF($A281="","",IF(countif('Womens Lineup'!R$3:R1000,CONCATENATE("=",$A281))=0,"",R$2))</f>
        <v/>
      </c>
      <c r="S281" s="3" t="str">
        <f>IF($A281="","",IF(countif('Womens Lineup'!S$3:S1000,CONCATENATE("=",$A281))=0,"",S$2))</f>
        <v/>
      </c>
      <c r="W281" s="3" t="str">
        <f>IFERROR(__xludf.DUMMYFUNCTION("JOIN("","",FILTER(B281:S281,B281:S281&lt;&gt;""""))"),"200 Breast")</f>
        <v>200 Breast</v>
      </c>
    </row>
    <row r="282">
      <c r="A282" s="3" t="s">
        <v>596</v>
      </c>
      <c r="B282" s="3" t="str">
        <f>IF($A282="","",IF(countif('Womens Lineup'!B$3:B1000,CONCATENATE("=",$A282))=0,"",B$2))</f>
        <v/>
      </c>
      <c r="C282" s="3" t="str">
        <f>IF($A282="","",IF(countif('Womens Lineup'!C$3:C1000,CONCATENATE("=",$A282))=0,"",C$2))</f>
        <v/>
      </c>
      <c r="D282" s="3" t="str">
        <f>IF($A282="","",IF(countif('Womens Lineup'!D$3:D1000,CONCATENATE("=",$A282))=0,"",D$2))</f>
        <v/>
      </c>
      <c r="E282" s="3" t="str">
        <f>IF($A282="","",IF(countif('Womens Lineup'!E$3:E1000,CONCATENATE("=",$A282))=0,"",E$2))</f>
        <v/>
      </c>
      <c r="F282" s="3" t="str">
        <f>IF($A282="","",IF(countif('Womens Lineup'!F$3:F1000,CONCATENATE("=",$A282))=0,"",F$2))</f>
        <v/>
      </c>
      <c r="G282" s="3" t="str">
        <f>IF($A282="","",IF(countif('Womens Lineup'!G$3:G1000,CONCATENATE("=",$A282))=0,"",G$2))</f>
        <v/>
      </c>
      <c r="H282" s="3" t="str">
        <f>IF($A282="","",IF(countif('Womens Lineup'!H$3:H1000,CONCATENATE("=",$A282))=0,"",H$2))</f>
        <v/>
      </c>
      <c r="I282" s="3" t="str">
        <f>IF($A282="","",IF(countif('Womens Lineup'!I$3:I1000,CONCATENATE("=",$A282))=0,"",I$2))</f>
        <v/>
      </c>
      <c r="J282" s="3" t="str">
        <f>IF($A282="","",IF(countif('Womens Lineup'!J$3:J1000,CONCATENATE("=",$A282))=0,"",J$2))</f>
        <v>200 Breast</v>
      </c>
      <c r="K282" s="3" t="str">
        <f>IF($A282="","",IF(countif('Womens Lineup'!K$3:K1000,CONCATENATE("=",$A282))=0,"",K$2))</f>
        <v/>
      </c>
      <c r="L282" s="3" t="str">
        <f>IF($A282="","",IF(countif('Womens Lineup'!L$3:L1000,CONCATENATE("=",$A282))=0,"",L$2))</f>
        <v/>
      </c>
      <c r="M282" s="3" t="str">
        <f>IF($A282="","",IF(countif('Womens Lineup'!M$3:M1000,CONCATENATE("=",$A282))=0,"",M$2))</f>
        <v/>
      </c>
      <c r="N282" s="3" t="str">
        <f>IF($A282="","",IF(countif('Womens Lineup'!N$3:N1000,CONCATENATE("=",$A282))=0,"",N$2))</f>
        <v/>
      </c>
      <c r="O282" s="3" t="str">
        <f>IF($A282="","",IF(countif('Womens Lineup'!O$3:O1000,CONCATENATE("=",$A282))=0,"",O$2))</f>
        <v/>
      </c>
      <c r="P282" s="3" t="str">
        <f>IF($A282="","",IF(countif('Womens Lineup'!P$3:P1000,CONCATENATE("=",$A282))=0,"",P$2))</f>
        <v/>
      </c>
      <c r="Q282" s="3" t="str">
        <f>IF($A282="","",IF(countif('Womens Lineup'!Q$3:Q1000,CONCATENATE("=",$A282))=0,"",Q$2))</f>
        <v/>
      </c>
      <c r="R282" s="3" t="str">
        <f>IF($A282="","",IF(countif('Womens Lineup'!R$3:R1000,CONCATENATE("=",$A282))=0,"",R$2))</f>
        <v/>
      </c>
      <c r="S282" s="3" t="str">
        <f>IF($A282="","",IF(countif('Womens Lineup'!S$3:S1000,CONCATENATE("=",$A282))=0,"",S$2))</f>
        <v/>
      </c>
      <c r="W282" s="3" t="str">
        <f>IFERROR(__xludf.DUMMYFUNCTION("JOIN("","",FILTER(B282:S282,B282:S282&lt;&gt;""""))"),"200 Breast")</f>
        <v>200 Breast</v>
      </c>
    </row>
    <row r="283">
      <c r="A283" s="3" t="s">
        <v>597</v>
      </c>
      <c r="B283" s="3" t="str">
        <f>IF($A283="","",IF(countif('Womens Lineup'!B$3:B1000,CONCATENATE("=",$A283))=0,"",B$2))</f>
        <v/>
      </c>
      <c r="C283" s="3" t="str">
        <f>IF($A283="","",IF(countif('Womens Lineup'!C$3:C1000,CONCATENATE("=",$A283))=0,"",C$2))</f>
        <v/>
      </c>
      <c r="D283" s="3" t="str">
        <f>IF($A283="","",IF(countif('Womens Lineup'!D$3:D1000,CONCATENATE("=",$A283))=0,"",D$2))</f>
        <v/>
      </c>
      <c r="E283" s="3" t="str">
        <f>IF($A283="","",IF(countif('Womens Lineup'!E$3:E1000,CONCATENATE("=",$A283))=0,"",E$2))</f>
        <v/>
      </c>
      <c r="F283" s="3" t="str">
        <f>IF($A283="","",IF(countif('Womens Lineup'!F$3:F1000,CONCATENATE("=",$A283))=0,"",F$2))</f>
        <v/>
      </c>
      <c r="G283" s="3" t="str">
        <f>IF($A283="","",IF(countif('Womens Lineup'!G$3:G1000,CONCATENATE("=",$A283))=0,"",G$2))</f>
        <v/>
      </c>
      <c r="H283" s="3" t="str">
        <f>IF($A283="","",IF(countif('Womens Lineup'!H$3:H1000,CONCATENATE("=",$A283))=0,"",H$2))</f>
        <v/>
      </c>
      <c r="I283" s="3" t="str">
        <f>IF($A283="","",IF(countif('Womens Lineup'!I$3:I1000,CONCATENATE("=",$A283))=0,"",I$2))</f>
        <v/>
      </c>
      <c r="J283" s="3" t="str">
        <f>IF($A283="","",IF(countif('Womens Lineup'!J$3:J1000,CONCATENATE("=",$A283))=0,"",J$2))</f>
        <v>200 Breast</v>
      </c>
      <c r="K283" s="3" t="str">
        <f>IF($A283="","",IF(countif('Womens Lineup'!K$3:K1000,CONCATENATE("=",$A283))=0,"",K$2))</f>
        <v/>
      </c>
      <c r="L283" s="3" t="str">
        <f>IF($A283="","",IF(countif('Womens Lineup'!L$3:L1000,CONCATENATE("=",$A283))=0,"",L$2))</f>
        <v/>
      </c>
      <c r="M283" s="3" t="str">
        <f>IF($A283="","",IF(countif('Womens Lineup'!M$3:M1000,CONCATENATE("=",$A283))=0,"",M$2))</f>
        <v>200 IM</v>
      </c>
      <c r="N283" s="3" t="str">
        <f>IF($A283="","",IF(countif('Womens Lineup'!N$3:N1000,CONCATENATE("=",$A283))=0,"",N$2))</f>
        <v/>
      </c>
      <c r="O283" s="3" t="str">
        <f>IF($A283="","",IF(countif('Womens Lineup'!O$3:O1000,CONCATENATE("=",$A283))=0,"",O$2))</f>
        <v>1000 Free</v>
      </c>
      <c r="P283" s="3" t="str">
        <f>IF($A283="","",IF(countif('Womens Lineup'!P$3:P1000,CONCATENATE("=",$A283))=0,"",P$2))</f>
        <v/>
      </c>
      <c r="Q283" s="3" t="str">
        <f>IF($A283="","",IF(countif('Womens Lineup'!Q$3:Q1000,CONCATENATE("=",$A283))=0,"",Q$2))</f>
        <v/>
      </c>
      <c r="R283" s="3" t="str">
        <f>IF($A283="","",IF(countif('Womens Lineup'!R$3:R1000,CONCATENATE("=",$A283))=0,"",R$2))</f>
        <v/>
      </c>
      <c r="S283" s="3" t="str">
        <f>IF($A283="","",IF(countif('Womens Lineup'!S$3:S1000,CONCATENATE("=",$A283))=0,"",S$2))</f>
        <v/>
      </c>
      <c r="W283" s="3" t="str">
        <f>IFERROR(__xludf.DUMMYFUNCTION("JOIN("","",FILTER(B283:S283,B283:S283&lt;&gt;""""))"),"200 Breast,200 IM,1000 Free")</f>
        <v>200 Breast,200 IM,1000 Free</v>
      </c>
    </row>
    <row r="284">
      <c r="A284" s="3" t="s">
        <v>598</v>
      </c>
      <c r="B284" s="3" t="str">
        <f>IF($A284="","",IF(countif('Womens Lineup'!B$3:B1000,CONCATENATE("=",$A284))=0,"",B$2))</f>
        <v/>
      </c>
      <c r="C284" s="3" t="str">
        <f>IF($A284="","",IF(countif('Womens Lineup'!C$3:C1000,CONCATENATE("=",$A284))=0,"",C$2))</f>
        <v/>
      </c>
      <c r="D284" s="3" t="str">
        <f>IF($A284="","",IF(countif('Womens Lineup'!D$3:D1000,CONCATENATE("=",$A284))=0,"",D$2))</f>
        <v/>
      </c>
      <c r="E284" s="3" t="str">
        <f>IF($A284="","",IF(countif('Womens Lineup'!E$3:E1000,CONCATENATE("=",$A284))=0,"",E$2))</f>
        <v/>
      </c>
      <c r="F284" s="3" t="str">
        <f>IF($A284="","",IF(countif('Womens Lineup'!F$3:F1000,CONCATENATE("=",$A284))=0,"",F$2))</f>
        <v/>
      </c>
      <c r="G284" s="3" t="str">
        <f>IF($A284="","",IF(countif('Womens Lineup'!G$3:G1000,CONCATENATE("=",$A284))=0,"",G$2))</f>
        <v/>
      </c>
      <c r="H284" s="3" t="str">
        <f>IF($A284="","",IF(countif('Womens Lineup'!H$3:H1000,CONCATENATE("=",$A284))=0,"",H$2))</f>
        <v/>
      </c>
      <c r="I284" s="3" t="str">
        <f>IF($A284="","",IF(countif('Womens Lineup'!I$3:I1000,CONCATENATE("=",$A284))=0,"",I$2))</f>
        <v/>
      </c>
      <c r="J284" s="3" t="str">
        <f>IF($A284="","",IF(countif('Womens Lineup'!J$3:J1000,CONCATENATE("=",$A284))=0,"",J$2))</f>
        <v/>
      </c>
      <c r="K284" s="3" t="str">
        <f>IF($A284="","",IF(countif('Womens Lineup'!K$3:K1000,CONCATENATE("=",$A284))=0,"",K$2))</f>
        <v>100 Fly</v>
      </c>
      <c r="L284" s="3" t="str">
        <f>IF($A284="","",IF(countif('Womens Lineup'!L$3:L1000,CONCATENATE("=",$A284))=0,"",L$2))</f>
        <v/>
      </c>
      <c r="M284" s="3" t="str">
        <f>IF($A284="","",IF(countif('Womens Lineup'!M$3:M1000,CONCATENATE("=",$A284))=0,"",M$2))</f>
        <v/>
      </c>
      <c r="N284" s="3" t="str">
        <f>IF($A284="","",IF(countif('Womens Lineup'!N$3:N1000,CONCATENATE("=",$A284))=0,"",N$2))</f>
        <v/>
      </c>
      <c r="O284" s="3" t="str">
        <f>IF($A284="","",IF(countif('Womens Lineup'!O$3:O1000,CONCATENATE("=",$A284))=0,"",O$2))</f>
        <v/>
      </c>
      <c r="P284" s="3" t="str">
        <f>IF($A284="","",IF(countif('Womens Lineup'!P$3:P1000,CONCATENATE("=",$A284))=0,"",P$2))</f>
        <v/>
      </c>
      <c r="Q284" s="3" t="str">
        <f>IF($A284="","",IF(countif('Womens Lineup'!Q$3:Q1000,CONCATENATE("=",$A284))=0,"",Q$2))</f>
        <v/>
      </c>
      <c r="R284" s="3" t="str">
        <f>IF($A284="","",IF(countif('Womens Lineup'!R$3:R1000,CONCATENATE("=",$A284))=0,"",R$2))</f>
        <v/>
      </c>
      <c r="S284" s="3" t="str">
        <f>IF($A284="","",IF(countif('Womens Lineup'!S$3:S1000,CONCATENATE("=",$A284))=0,"",S$2))</f>
        <v/>
      </c>
      <c r="W284" s="3" t="str">
        <f>IFERROR(__xludf.DUMMYFUNCTION("JOIN("","",FILTER(B284:S284,B284:S284&lt;&gt;""""))"),"100 Fly")</f>
        <v>100 Fly</v>
      </c>
    </row>
    <row r="285">
      <c r="A285" s="3" t="s">
        <v>599</v>
      </c>
      <c r="B285" s="3" t="str">
        <f>IF($A285="","",IF(countif('Womens Lineup'!B$3:B1000,CONCATENATE("=",$A285))=0,"",B$2))</f>
        <v/>
      </c>
      <c r="C285" s="3" t="str">
        <f>IF($A285="","",IF(countif('Womens Lineup'!C$3:C1000,CONCATENATE("=",$A285))=0,"",C$2))</f>
        <v/>
      </c>
      <c r="D285" s="3" t="str">
        <f>IF($A285="","",IF(countif('Womens Lineup'!D$3:D1000,CONCATENATE("=",$A285))=0,"",D$2))</f>
        <v/>
      </c>
      <c r="E285" s="3" t="str">
        <f>IF($A285="","",IF(countif('Womens Lineup'!E$3:E1000,CONCATENATE("=",$A285))=0,"",E$2))</f>
        <v/>
      </c>
      <c r="F285" s="3" t="str">
        <f>IF($A285="","",IF(countif('Womens Lineup'!F$3:F1000,CONCATENATE("=",$A285))=0,"",F$2))</f>
        <v/>
      </c>
      <c r="G285" s="3" t="str">
        <f>IF($A285="","",IF(countif('Womens Lineup'!G$3:G1000,CONCATENATE("=",$A285))=0,"",G$2))</f>
        <v/>
      </c>
      <c r="H285" s="3" t="str">
        <f>IF($A285="","",IF(countif('Womens Lineup'!H$3:H1000,CONCATENATE("=",$A285))=0,"",H$2))</f>
        <v/>
      </c>
      <c r="I285" s="3" t="str">
        <f>IF($A285="","",IF(countif('Womens Lineup'!I$3:I1000,CONCATENATE("=",$A285))=0,"",I$2))</f>
        <v/>
      </c>
      <c r="J285" s="3" t="str">
        <f>IF($A285="","",IF(countif('Womens Lineup'!J$3:J1000,CONCATENATE("=",$A285))=0,"",J$2))</f>
        <v/>
      </c>
      <c r="K285" s="3" t="str">
        <f>IF($A285="","",IF(countif('Womens Lineup'!K$3:K1000,CONCATENATE("=",$A285))=0,"",K$2))</f>
        <v>100 Fly</v>
      </c>
      <c r="L285" s="3" t="str">
        <f>IF($A285="","",IF(countif('Womens Lineup'!L$3:L1000,CONCATENATE("=",$A285))=0,"",L$2))</f>
        <v>200 Fly</v>
      </c>
      <c r="M285" s="3" t="str">
        <f>IF($A285="","",IF(countif('Womens Lineup'!M$3:M1000,CONCATENATE("=",$A285))=0,"",M$2))</f>
        <v/>
      </c>
      <c r="N285" s="3" t="str">
        <f>IF($A285="","",IF(countif('Womens Lineup'!N$3:N1000,CONCATENATE("=",$A285))=0,"",N$2))</f>
        <v/>
      </c>
      <c r="O285" s="3" t="str">
        <f>IF($A285="","",IF(countif('Womens Lineup'!O$3:O1000,CONCATENATE("=",$A285))=0,"",O$2))</f>
        <v/>
      </c>
      <c r="P285" s="3" t="str">
        <f>IF($A285="","",IF(countif('Womens Lineup'!P$3:P1000,CONCATENATE("=",$A285))=0,"",P$2))</f>
        <v/>
      </c>
      <c r="Q285" s="3" t="str">
        <f>IF($A285="","",IF(countif('Womens Lineup'!Q$3:Q1000,CONCATENATE("=",$A285))=0,"",Q$2))</f>
        <v/>
      </c>
      <c r="R285" s="3" t="str">
        <f>IF($A285="","",IF(countif('Womens Lineup'!R$3:R1000,CONCATENATE("=",$A285))=0,"",R$2))</f>
        <v/>
      </c>
      <c r="S285" s="3" t="str">
        <f>IF($A285="","",IF(countif('Womens Lineup'!S$3:S1000,CONCATENATE("=",$A285))=0,"",S$2))</f>
        <v/>
      </c>
      <c r="W285" s="3" t="str">
        <f>IFERROR(__xludf.DUMMYFUNCTION("JOIN("","",FILTER(B285:S285,B285:S285&lt;&gt;""""))"),"100 Fly,200 Fly")</f>
        <v>100 Fly,200 Fly</v>
      </c>
    </row>
    <row r="286">
      <c r="A286" s="3" t="s">
        <v>600</v>
      </c>
      <c r="B286" s="3" t="str">
        <f>IF($A286="","",IF(countif('Womens Lineup'!B$3:B1000,CONCATENATE("=",$A286))=0,"",B$2))</f>
        <v/>
      </c>
      <c r="C286" s="3" t="str">
        <f>IF($A286="","",IF(countif('Womens Lineup'!C$3:C1000,CONCATENATE("=",$A286))=0,"",C$2))</f>
        <v/>
      </c>
      <c r="D286" s="3" t="str">
        <f>IF($A286="","",IF(countif('Womens Lineup'!D$3:D1000,CONCATENATE("=",$A286))=0,"",D$2))</f>
        <v/>
      </c>
      <c r="E286" s="3" t="str">
        <f>IF($A286="","",IF(countif('Womens Lineup'!E$3:E1000,CONCATENATE("=",$A286))=0,"",E$2))</f>
        <v/>
      </c>
      <c r="F286" s="3" t="str">
        <f>IF($A286="","",IF(countif('Womens Lineup'!F$3:F1000,CONCATENATE("=",$A286))=0,"",F$2))</f>
        <v/>
      </c>
      <c r="G286" s="3" t="str">
        <f>IF($A286="","",IF(countif('Womens Lineup'!G$3:G1000,CONCATENATE("=",$A286))=0,"",G$2))</f>
        <v/>
      </c>
      <c r="H286" s="3" t="str">
        <f>IF($A286="","",IF(countif('Womens Lineup'!H$3:H1000,CONCATENATE("=",$A286))=0,"",H$2))</f>
        <v/>
      </c>
      <c r="I286" s="3" t="str">
        <f>IF($A286="","",IF(countif('Womens Lineup'!I$3:I1000,CONCATENATE("=",$A286))=0,"",I$2))</f>
        <v/>
      </c>
      <c r="J286" s="3" t="str">
        <f>IF($A286="","",IF(countif('Womens Lineup'!J$3:J1000,CONCATENATE("=",$A286))=0,"",J$2))</f>
        <v/>
      </c>
      <c r="K286" s="3" t="str">
        <f>IF($A286="","",IF(countif('Womens Lineup'!K$3:K1000,CONCATENATE("=",$A286))=0,"",K$2))</f>
        <v>100 Fly</v>
      </c>
      <c r="L286" s="3" t="str">
        <f>IF($A286="","",IF(countif('Womens Lineup'!L$3:L1000,CONCATENATE("=",$A286))=0,"",L$2))</f>
        <v>200 Fly</v>
      </c>
      <c r="M286" s="3" t="str">
        <f>IF($A286="","",IF(countif('Womens Lineup'!M$3:M1000,CONCATENATE("=",$A286))=0,"",M$2))</f>
        <v/>
      </c>
      <c r="N286" s="3" t="str">
        <f>IF($A286="","",IF(countif('Womens Lineup'!N$3:N1000,CONCATENATE("=",$A286))=0,"",N$2))</f>
        <v/>
      </c>
      <c r="O286" s="3" t="str">
        <f>IF($A286="","",IF(countif('Womens Lineup'!O$3:O1000,CONCATENATE("=",$A286))=0,"",O$2))</f>
        <v/>
      </c>
      <c r="P286" s="3" t="str">
        <f>IF($A286="","",IF(countif('Womens Lineup'!P$3:P1000,CONCATENATE("=",$A286))=0,"",P$2))</f>
        <v/>
      </c>
      <c r="Q286" s="3" t="str">
        <f>IF($A286="","",IF(countif('Womens Lineup'!Q$3:Q1000,CONCATENATE("=",$A286))=0,"",Q$2))</f>
        <v/>
      </c>
      <c r="R286" s="3" t="str">
        <f>IF($A286="","",IF(countif('Womens Lineup'!R$3:R1000,CONCATENATE("=",$A286))=0,"",R$2))</f>
        <v/>
      </c>
      <c r="S286" s="3" t="str">
        <f>IF($A286="","",IF(countif('Womens Lineup'!S$3:S1000,CONCATENATE("=",$A286))=0,"",S$2))</f>
        <v/>
      </c>
      <c r="W286" s="3" t="str">
        <f>IFERROR(__xludf.DUMMYFUNCTION("JOIN("","",FILTER(B286:S286,B286:S286&lt;&gt;""""))"),"100 Fly,200 Fly")</f>
        <v>100 Fly,200 Fly</v>
      </c>
    </row>
    <row r="287">
      <c r="A287" s="3" t="s">
        <v>601</v>
      </c>
      <c r="B287" s="3" t="str">
        <f>IF($A287="","",IF(countif('Womens Lineup'!B$3:B1000,CONCATENATE("=",$A287))=0,"",B$2))</f>
        <v/>
      </c>
      <c r="C287" s="3" t="str">
        <f>IF($A287="","",IF(countif('Womens Lineup'!C$3:C1000,CONCATENATE("=",$A287))=0,"",C$2))</f>
        <v/>
      </c>
      <c r="D287" s="3" t="str">
        <f>IF($A287="","",IF(countif('Womens Lineup'!D$3:D1000,CONCATENATE("=",$A287))=0,"",D$2))</f>
        <v/>
      </c>
      <c r="E287" s="3" t="str">
        <f>IF($A287="","",IF(countif('Womens Lineup'!E$3:E1000,CONCATENATE("=",$A287))=0,"",E$2))</f>
        <v/>
      </c>
      <c r="F287" s="3" t="str">
        <f>IF($A287="","",IF(countif('Womens Lineup'!F$3:F1000,CONCATENATE("=",$A287))=0,"",F$2))</f>
        <v/>
      </c>
      <c r="G287" s="3" t="str">
        <f>IF($A287="","",IF(countif('Womens Lineup'!G$3:G1000,CONCATENATE("=",$A287))=0,"",G$2))</f>
        <v/>
      </c>
      <c r="H287" s="3" t="str">
        <f>IF($A287="","",IF(countif('Womens Lineup'!H$3:H1000,CONCATENATE("=",$A287))=0,"",H$2))</f>
        <v/>
      </c>
      <c r="I287" s="3" t="str">
        <f>IF($A287="","",IF(countif('Womens Lineup'!I$3:I1000,CONCATENATE("=",$A287))=0,"",I$2))</f>
        <v/>
      </c>
      <c r="J287" s="3" t="str">
        <f>IF($A287="","",IF(countif('Womens Lineup'!J$3:J1000,CONCATENATE("=",$A287))=0,"",J$2))</f>
        <v/>
      </c>
      <c r="K287" s="3" t="str">
        <f>IF($A287="","",IF(countif('Womens Lineup'!K$3:K1000,CONCATENATE("=",$A287))=0,"",K$2))</f>
        <v>100 Fly</v>
      </c>
      <c r="L287" s="3" t="str">
        <f>IF($A287="","",IF(countif('Womens Lineup'!L$3:L1000,CONCATENATE("=",$A287))=0,"",L$2))</f>
        <v/>
      </c>
      <c r="M287" s="3" t="str">
        <f>IF($A287="","",IF(countif('Womens Lineup'!M$3:M1000,CONCATENATE("=",$A287))=0,"",M$2))</f>
        <v/>
      </c>
      <c r="N287" s="3" t="str">
        <f>IF($A287="","",IF(countif('Womens Lineup'!N$3:N1000,CONCATENATE("=",$A287))=0,"",N$2))</f>
        <v/>
      </c>
      <c r="O287" s="3" t="str">
        <f>IF($A287="","",IF(countif('Womens Lineup'!O$3:O1000,CONCATENATE("=",$A287))=0,"",O$2))</f>
        <v/>
      </c>
      <c r="P287" s="3" t="str">
        <f>IF($A287="","",IF(countif('Womens Lineup'!P$3:P1000,CONCATENATE("=",$A287))=0,"",P$2))</f>
        <v/>
      </c>
      <c r="Q287" s="3" t="str">
        <f>IF($A287="","",IF(countif('Womens Lineup'!Q$3:Q1000,CONCATENATE("=",$A287))=0,"",Q$2))</f>
        <v/>
      </c>
      <c r="R287" s="3" t="str">
        <f>IF($A287="","",IF(countif('Womens Lineup'!R$3:R1000,CONCATENATE("=",$A287))=0,"",R$2))</f>
        <v/>
      </c>
      <c r="S287" s="3" t="str">
        <f>IF($A287="","",IF(countif('Womens Lineup'!S$3:S1000,CONCATENATE("=",$A287))=0,"",S$2))</f>
        <v/>
      </c>
      <c r="W287" s="3" t="str">
        <f>IFERROR(__xludf.DUMMYFUNCTION("JOIN("","",FILTER(B287:S287,B287:S287&lt;&gt;""""))"),"100 Fly")</f>
        <v>100 Fly</v>
      </c>
    </row>
    <row r="288">
      <c r="A288" s="3" t="s">
        <v>602</v>
      </c>
      <c r="B288" s="3" t="str">
        <f>IF($A288="","",IF(countif('Womens Lineup'!B$3:B1000,CONCATENATE("=",$A288))=0,"",B$2))</f>
        <v/>
      </c>
      <c r="C288" s="3" t="str">
        <f>IF($A288="","",IF(countif('Womens Lineup'!C$3:C1000,CONCATENATE("=",$A288))=0,"",C$2))</f>
        <v/>
      </c>
      <c r="D288" s="3" t="str">
        <f>IF($A288="","",IF(countif('Womens Lineup'!D$3:D1000,CONCATENATE("=",$A288))=0,"",D$2))</f>
        <v/>
      </c>
      <c r="E288" s="3" t="str">
        <f>IF($A288="","",IF(countif('Womens Lineup'!E$3:E1000,CONCATENATE("=",$A288))=0,"",E$2))</f>
        <v/>
      </c>
      <c r="F288" s="3" t="str">
        <f>IF($A288="","",IF(countif('Womens Lineup'!F$3:F1000,CONCATENATE("=",$A288))=0,"",F$2))</f>
        <v/>
      </c>
      <c r="G288" s="3" t="str">
        <f>IF($A288="","",IF(countif('Womens Lineup'!G$3:G1000,CONCATENATE("=",$A288))=0,"",G$2))</f>
        <v/>
      </c>
      <c r="H288" s="3" t="str">
        <f>IF($A288="","",IF(countif('Womens Lineup'!H$3:H1000,CONCATENATE("=",$A288))=0,"",H$2))</f>
        <v/>
      </c>
      <c r="I288" s="3" t="str">
        <f>IF($A288="","",IF(countif('Womens Lineup'!I$3:I1000,CONCATENATE("=",$A288))=0,"",I$2))</f>
        <v/>
      </c>
      <c r="J288" s="3" t="str">
        <f>IF($A288="","",IF(countif('Womens Lineup'!J$3:J1000,CONCATENATE("=",$A288))=0,"",J$2))</f>
        <v/>
      </c>
      <c r="K288" s="3" t="str">
        <f>IF($A288="","",IF(countif('Womens Lineup'!K$3:K1000,CONCATENATE("=",$A288))=0,"",K$2))</f>
        <v>100 Fly</v>
      </c>
      <c r="L288" s="3" t="str">
        <f>IF($A288="","",IF(countif('Womens Lineup'!L$3:L1000,CONCATENATE("=",$A288))=0,"",L$2))</f>
        <v/>
      </c>
      <c r="M288" s="3" t="str">
        <f>IF($A288="","",IF(countif('Womens Lineup'!M$3:M1000,CONCATENATE("=",$A288))=0,"",M$2))</f>
        <v/>
      </c>
      <c r="N288" s="3" t="str">
        <f>IF($A288="","",IF(countif('Womens Lineup'!N$3:N1000,CONCATENATE("=",$A288))=0,"",N$2))</f>
        <v/>
      </c>
      <c r="O288" s="3" t="str">
        <f>IF($A288="","",IF(countif('Womens Lineup'!O$3:O1000,CONCATENATE("=",$A288))=0,"",O$2))</f>
        <v/>
      </c>
      <c r="P288" s="3" t="str">
        <f>IF($A288="","",IF(countif('Womens Lineup'!P$3:P1000,CONCATENATE("=",$A288))=0,"",P$2))</f>
        <v/>
      </c>
      <c r="Q288" s="3" t="str">
        <f>IF($A288="","",IF(countif('Womens Lineup'!Q$3:Q1000,CONCATENATE("=",$A288))=0,"",Q$2))</f>
        <v/>
      </c>
      <c r="R288" s="3" t="str">
        <f>IF($A288="","",IF(countif('Womens Lineup'!R$3:R1000,CONCATENATE("=",$A288))=0,"",R$2))</f>
        <v/>
      </c>
      <c r="S288" s="3" t="str">
        <f>IF($A288="","",IF(countif('Womens Lineup'!S$3:S1000,CONCATENATE("=",$A288))=0,"",S$2))</f>
        <v/>
      </c>
      <c r="W288" s="3" t="str">
        <f>IFERROR(__xludf.DUMMYFUNCTION("JOIN("","",FILTER(B288:S288,B288:S288&lt;&gt;""""))"),"100 Fly")</f>
        <v>100 Fly</v>
      </c>
    </row>
    <row r="289">
      <c r="A289" s="3" t="s">
        <v>603</v>
      </c>
      <c r="B289" s="3" t="str">
        <f>IF($A289="","",IF(countif('Womens Lineup'!B$3:B1000,CONCATENATE("=",$A289))=0,"",B$2))</f>
        <v/>
      </c>
      <c r="C289" s="3" t="str">
        <f>IF($A289="","",IF(countif('Womens Lineup'!C$3:C1000,CONCATENATE("=",$A289))=0,"",C$2))</f>
        <v/>
      </c>
      <c r="D289" s="3" t="str">
        <f>IF($A289="","",IF(countif('Womens Lineup'!D$3:D1000,CONCATENATE("=",$A289))=0,"",D$2))</f>
        <v/>
      </c>
      <c r="E289" s="3" t="str">
        <f>IF($A289="","",IF(countif('Womens Lineup'!E$3:E1000,CONCATENATE("=",$A289))=0,"",E$2))</f>
        <v/>
      </c>
      <c r="F289" s="3" t="str">
        <f>IF($A289="","",IF(countif('Womens Lineup'!F$3:F1000,CONCATENATE("=",$A289))=0,"",F$2))</f>
        <v/>
      </c>
      <c r="G289" s="3" t="str">
        <f>IF($A289="","",IF(countif('Womens Lineup'!G$3:G1000,CONCATENATE("=",$A289))=0,"",G$2))</f>
        <v/>
      </c>
      <c r="H289" s="3" t="str">
        <f>IF($A289="","",IF(countif('Womens Lineup'!H$3:H1000,CONCATENATE("=",$A289))=0,"",H$2))</f>
        <v/>
      </c>
      <c r="I289" s="3" t="str">
        <f>IF($A289="","",IF(countif('Womens Lineup'!I$3:I1000,CONCATENATE("=",$A289))=0,"",I$2))</f>
        <v/>
      </c>
      <c r="J289" s="3" t="str">
        <f>IF($A289="","",IF(countif('Womens Lineup'!J$3:J1000,CONCATENATE("=",$A289))=0,"",J$2))</f>
        <v/>
      </c>
      <c r="K289" s="3" t="str">
        <f>IF($A289="","",IF(countif('Womens Lineup'!K$3:K1000,CONCATENATE("=",$A289))=0,"",K$2))</f>
        <v>100 Fly</v>
      </c>
      <c r="L289" s="3" t="str">
        <f>IF($A289="","",IF(countif('Womens Lineup'!L$3:L1000,CONCATENATE("=",$A289))=0,"",L$2))</f>
        <v>200 Fly</v>
      </c>
      <c r="M289" s="3" t="str">
        <f>IF($A289="","",IF(countif('Womens Lineup'!M$3:M1000,CONCATENATE("=",$A289))=0,"",M$2))</f>
        <v/>
      </c>
      <c r="N289" s="3" t="str">
        <f>IF($A289="","",IF(countif('Womens Lineup'!N$3:N1000,CONCATENATE("=",$A289))=0,"",N$2))</f>
        <v/>
      </c>
      <c r="O289" s="3" t="str">
        <f>IF($A289="","",IF(countif('Womens Lineup'!O$3:O1000,CONCATENATE("=",$A289))=0,"",O$2))</f>
        <v/>
      </c>
      <c r="P289" s="3" t="str">
        <f>IF($A289="","",IF(countif('Womens Lineup'!P$3:P1000,CONCATENATE("=",$A289))=0,"",P$2))</f>
        <v/>
      </c>
      <c r="Q289" s="3" t="str">
        <f>IF($A289="","",IF(countif('Womens Lineup'!Q$3:Q1000,CONCATENATE("=",$A289))=0,"",Q$2))</f>
        <v/>
      </c>
      <c r="R289" s="3" t="str">
        <f>IF($A289="","",IF(countif('Womens Lineup'!R$3:R1000,CONCATENATE("=",$A289))=0,"",R$2))</f>
        <v/>
      </c>
      <c r="S289" s="3" t="str">
        <f>IF($A289="","",IF(countif('Womens Lineup'!S$3:S1000,CONCATENATE("=",$A289))=0,"",S$2))</f>
        <v/>
      </c>
      <c r="W289" s="3" t="str">
        <f>IFERROR(__xludf.DUMMYFUNCTION("JOIN("","",FILTER(B289:S289,B289:S289&lt;&gt;""""))"),"100 Fly,200 Fly")</f>
        <v>100 Fly,200 Fly</v>
      </c>
    </row>
    <row r="290">
      <c r="A290" s="3" t="s">
        <v>604</v>
      </c>
      <c r="B290" s="3" t="str">
        <f>IF($A290="","",IF(countif('Womens Lineup'!B$3:B1000,CONCATENATE("=",$A290))=0,"",B$2))</f>
        <v/>
      </c>
      <c r="C290" s="3" t="str">
        <f>IF($A290="","",IF(countif('Womens Lineup'!C$3:C1000,CONCATENATE("=",$A290))=0,"",C$2))</f>
        <v/>
      </c>
      <c r="D290" s="3" t="str">
        <f>IF($A290="","",IF(countif('Womens Lineup'!D$3:D1000,CONCATENATE("=",$A290))=0,"",D$2))</f>
        <v/>
      </c>
      <c r="E290" s="3" t="str">
        <f>IF($A290="","",IF(countif('Womens Lineup'!E$3:E1000,CONCATENATE("=",$A290))=0,"",E$2))</f>
        <v/>
      </c>
      <c r="F290" s="3" t="str">
        <f>IF($A290="","",IF(countif('Womens Lineup'!F$3:F1000,CONCATENATE("=",$A290))=0,"",F$2))</f>
        <v/>
      </c>
      <c r="G290" s="3" t="str">
        <f>IF($A290="","",IF(countif('Womens Lineup'!G$3:G1000,CONCATENATE("=",$A290))=0,"",G$2))</f>
        <v/>
      </c>
      <c r="H290" s="3" t="str">
        <f>IF($A290="","",IF(countif('Womens Lineup'!H$3:H1000,CONCATENATE("=",$A290))=0,"",H$2))</f>
        <v/>
      </c>
      <c r="I290" s="3" t="str">
        <f>IF($A290="","",IF(countif('Womens Lineup'!I$3:I1000,CONCATENATE("=",$A290))=0,"",I$2))</f>
        <v/>
      </c>
      <c r="J290" s="3" t="str">
        <f>IF($A290="","",IF(countif('Womens Lineup'!J$3:J1000,CONCATENATE("=",$A290))=0,"",J$2))</f>
        <v/>
      </c>
      <c r="K290" s="3" t="str">
        <f>IF($A290="","",IF(countif('Womens Lineup'!K$3:K1000,CONCATENATE("=",$A290))=0,"",K$2))</f>
        <v/>
      </c>
      <c r="L290" s="3" t="str">
        <f>IF($A290="","",IF(countif('Womens Lineup'!L$3:L1000,CONCATENATE("=",$A290))=0,"",L$2))</f>
        <v>200 Fly</v>
      </c>
      <c r="M290" s="3" t="str">
        <f>IF($A290="","",IF(countif('Womens Lineup'!M$3:M1000,CONCATENATE("=",$A290))=0,"",M$2))</f>
        <v/>
      </c>
      <c r="N290" s="3" t="str">
        <f>IF($A290="","",IF(countif('Womens Lineup'!N$3:N1000,CONCATENATE("=",$A290))=0,"",N$2))</f>
        <v/>
      </c>
      <c r="O290" s="3" t="str">
        <f>IF($A290="","",IF(countif('Womens Lineup'!O$3:O1000,CONCATENATE("=",$A290))=0,"",O$2))</f>
        <v/>
      </c>
      <c r="P290" s="3" t="str">
        <f>IF($A290="","",IF(countif('Womens Lineup'!P$3:P1000,CONCATENATE("=",$A290))=0,"",P$2))</f>
        <v/>
      </c>
      <c r="Q290" s="3" t="str">
        <f>IF($A290="","",IF(countif('Womens Lineup'!Q$3:Q1000,CONCATENATE("=",$A290))=0,"",Q$2))</f>
        <v/>
      </c>
      <c r="R290" s="3" t="str">
        <f>IF($A290="","",IF(countif('Womens Lineup'!R$3:R1000,CONCATENATE("=",$A290))=0,"",R$2))</f>
        <v/>
      </c>
      <c r="S290" s="3" t="str">
        <f>IF($A290="","",IF(countif('Womens Lineup'!S$3:S1000,CONCATENATE("=",$A290))=0,"",S$2))</f>
        <v/>
      </c>
      <c r="W290" s="3" t="str">
        <f>IFERROR(__xludf.DUMMYFUNCTION("JOIN("","",FILTER(B290:S290,B290:S290&lt;&gt;""""))"),"200 Fly")</f>
        <v>200 Fly</v>
      </c>
    </row>
    <row r="291">
      <c r="A291" s="3" t="s">
        <v>605</v>
      </c>
      <c r="B291" s="3" t="str">
        <f>IF($A291="","",IF(countif('Womens Lineup'!B$3:B1000,CONCATENATE("=",$A291))=0,"",B$2))</f>
        <v/>
      </c>
      <c r="C291" s="3" t="str">
        <f>IF($A291="","",IF(countif('Womens Lineup'!C$3:C1000,CONCATENATE("=",$A291))=0,"",C$2))</f>
        <v/>
      </c>
      <c r="D291" s="3" t="str">
        <f>IF($A291="","",IF(countif('Womens Lineup'!D$3:D1000,CONCATENATE("=",$A291))=0,"",D$2))</f>
        <v/>
      </c>
      <c r="E291" s="3" t="str">
        <f>IF($A291="","",IF(countif('Womens Lineup'!E$3:E1000,CONCATENATE("=",$A291))=0,"",E$2))</f>
        <v/>
      </c>
      <c r="F291" s="3" t="str">
        <f>IF($A291="","",IF(countif('Womens Lineup'!F$3:F1000,CONCATENATE("=",$A291))=0,"",F$2))</f>
        <v/>
      </c>
      <c r="G291" s="3" t="str">
        <f>IF($A291="","",IF(countif('Womens Lineup'!G$3:G1000,CONCATENATE("=",$A291))=0,"",G$2))</f>
        <v/>
      </c>
      <c r="H291" s="3" t="str">
        <f>IF($A291="","",IF(countif('Womens Lineup'!H$3:H1000,CONCATENATE("=",$A291))=0,"",H$2))</f>
        <v/>
      </c>
      <c r="I291" s="3" t="str">
        <f>IF($A291="","",IF(countif('Womens Lineup'!I$3:I1000,CONCATENATE("=",$A291))=0,"",I$2))</f>
        <v/>
      </c>
      <c r="J291" s="3" t="str">
        <f>IF($A291="","",IF(countif('Womens Lineup'!J$3:J1000,CONCATENATE("=",$A291))=0,"",J$2))</f>
        <v/>
      </c>
      <c r="K291" s="3" t="str">
        <f>IF($A291="","",IF(countif('Womens Lineup'!K$3:K1000,CONCATENATE("=",$A291))=0,"",K$2))</f>
        <v/>
      </c>
      <c r="L291" s="3" t="str">
        <f>IF($A291="","",IF(countif('Womens Lineup'!L$3:L1000,CONCATENATE("=",$A291))=0,"",L$2))</f>
        <v>200 Fly</v>
      </c>
      <c r="M291" s="3" t="str">
        <f>IF($A291="","",IF(countif('Womens Lineup'!M$3:M1000,CONCATENATE("=",$A291))=0,"",M$2))</f>
        <v/>
      </c>
      <c r="N291" s="3" t="str">
        <f>IF($A291="","",IF(countif('Womens Lineup'!N$3:N1000,CONCATENATE("=",$A291))=0,"",N$2))</f>
        <v/>
      </c>
      <c r="O291" s="3" t="str">
        <f>IF($A291="","",IF(countif('Womens Lineup'!O$3:O1000,CONCATENATE("=",$A291))=0,"",O$2))</f>
        <v>1000 Free</v>
      </c>
      <c r="P291" s="3" t="str">
        <f>IF($A291="","",IF(countif('Womens Lineup'!P$3:P1000,CONCATENATE("=",$A291))=0,"",P$2))</f>
        <v/>
      </c>
      <c r="Q291" s="3" t="str">
        <f>IF($A291="","",IF(countif('Womens Lineup'!Q$3:Q1000,CONCATENATE("=",$A291))=0,"",Q$2))</f>
        <v/>
      </c>
      <c r="R291" s="3" t="str">
        <f>IF($A291="","",IF(countif('Womens Lineup'!R$3:R1000,CONCATENATE("=",$A291))=0,"",R$2))</f>
        <v/>
      </c>
      <c r="S291" s="3" t="str">
        <f>IF($A291="","",IF(countif('Womens Lineup'!S$3:S1000,CONCATENATE("=",$A291))=0,"",S$2))</f>
        <v/>
      </c>
      <c r="W291" s="3" t="str">
        <f>IFERROR(__xludf.DUMMYFUNCTION("JOIN("","",FILTER(B291:S291,B291:S291&lt;&gt;""""))"),"200 Fly,1000 Free")</f>
        <v>200 Fly,1000 Free</v>
      </c>
    </row>
    <row r="292">
      <c r="A292" s="3" t="s">
        <v>606</v>
      </c>
      <c r="B292" s="3" t="str">
        <f>IF($A292="","",IF(countif('Womens Lineup'!B$3:B1000,CONCATENATE("=",$A292))=0,"",B$2))</f>
        <v/>
      </c>
      <c r="C292" s="3" t="str">
        <f>IF($A292="","",IF(countif('Womens Lineup'!C$3:C1000,CONCATENATE("=",$A292))=0,"",C$2))</f>
        <v/>
      </c>
      <c r="D292" s="3" t="str">
        <f>IF($A292="","",IF(countif('Womens Lineup'!D$3:D1000,CONCATENATE("=",$A292))=0,"",D$2))</f>
        <v/>
      </c>
      <c r="E292" s="3" t="str">
        <f>IF($A292="","",IF(countif('Womens Lineup'!E$3:E1000,CONCATENATE("=",$A292))=0,"",E$2))</f>
        <v/>
      </c>
      <c r="F292" s="3" t="str">
        <f>IF($A292="","",IF(countif('Womens Lineup'!F$3:F1000,CONCATENATE("=",$A292))=0,"",F$2))</f>
        <v/>
      </c>
      <c r="G292" s="3" t="str">
        <f>IF($A292="","",IF(countif('Womens Lineup'!G$3:G1000,CONCATENATE("=",$A292))=0,"",G$2))</f>
        <v/>
      </c>
      <c r="H292" s="3" t="str">
        <f>IF($A292="","",IF(countif('Womens Lineup'!H$3:H1000,CONCATENATE("=",$A292))=0,"",H$2))</f>
        <v/>
      </c>
      <c r="I292" s="3" t="str">
        <f>IF($A292="","",IF(countif('Womens Lineup'!I$3:I1000,CONCATENATE("=",$A292))=0,"",I$2))</f>
        <v/>
      </c>
      <c r="J292" s="3" t="str">
        <f>IF($A292="","",IF(countif('Womens Lineup'!J$3:J1000,CONCATENATE("=",$A292))=0,"",J$2))</f>
        <v/>
      </c>
      <c r="K292" s="3" t="str">
        <f>IF($A292="","",IF(countif('Womens Lineup'!K$3:K1000,CONCATENATE("=",$A292))=0,"",K$2))</f>
        <v/>
      </c>
      <c r="L292" s="3" t="str">
        <f>IF($A292="","",IF(countif('Womens Lineup'!L$3:L1000,CONCATENATE("=",$A292))=0,"",L$2))</f>
        <v>200 Fly</v>
      </c>
      <c r="M292" s="3" t="str">
        <f>IF($A292="","",IF(countif('Womens Lineup'!M$3:M1000,CONCATENATE("=",$A292))=0,"",M$2))</f>
        <v/>
      </c>
      <c r="N292" s="3" t="str">
        <f>IF($A292="","",IF(countif('Womens Lineup'!N$3:N1000,CONCATENATE("=",$A292))=0,"",N$2))</f>
        <v/>
      </c>
      <c r="O292" s="3" t="str">
        <f>IF($A292="","",IF(countif('Womens Lineup'!O$3:O1000,CONCATENATE("=",$A292))=0,"",O$2))</f>
        <v/>
      </c>
      <c r="P292" s="3" t="str">
        <f>IF($A292="","",IF(countif('Womens Lineup'!P$3:P1000,CONCATENATE("=",$A292))=0,"",P$2))</f>
        <v/>
      </c>
      <c r="Q292" s="3" t="str">
        <f>IF($A292="","",IF(countif('Womens Lineup'!Q$3:Q1000,CONCATENATE("=",$A292))=0,"",Q$2))</f>
        <v/>
      </c>
      <c r="R292" s="3" t="str">
        <f>IF($A292="","",IF(countif('Womens Lineup'!R$3:R1000,CONCATENATE("=",$A292))=0,"",R$2))</f>
        <v/>
      </c>
      <c r="S292" s="3" t="str">
        <f>IF($A292="","",IF(countif('Womens Lineup'!S$3:S1000,CONCATENATE("=",$A292))=0,"",S$2))</f>
        <v/>
      </c>
      <c r="W292" s="3" t="str">
        <f>IFERROR(__xludf.DUMMYFUNCTION("JOIN("","",FILTER(B292:S292,B292:S292&lt;&gt;""""))"),"200 Fly")</f>
        <v>200 Fly</v>
      </c>
    </row>
    <row r="293">
      <c r="A293" s="3" t="s">
        <v>607</v>
      </c>
      <c r="B293" s="3" t="str">
        <f>IF($A293="","",IF(countif('Womens Lineup'!B$3:B1000,CONCATENATE("=",$A293))=0,"",B$2))</f>
        <v/>
      </c>
      <c r="C293" s="3" t="str">
        <f>IF($A293="","",IF(countif('Womens Lineup'!C$3:C1000,CONCATENATE("=",$A293))=0,"",C$2))</f>
        <v/>
      </c>
      <c r="D293" s="3" t="str">
        <f>IF($A293="","",IF(countif('Womens Lineup'!D$3:D1000,CONCATENATE("=",$A293))=0,"",D$2))</f>
        <v/>
      </c>
      <c r="E293" s="3" t="str">
        <f>IF($A293="","",IF(countif('Womens Lineup'!E$3:E1000,CONCATENATE("=",$A293))=0,"",E$2))</f>
        <v/>
      </c>
      <c r="F293" s="3" t="str">
        <f>IF($A293="","",IF(countif('Womens Lineup'!F$3:F1000,CONCATENATE("=",$A293))=0,"",F$2))</f>
        <v/>
      </c>
      <c r="G293" s="3" t="str">
        <f>IF($A293="","",IF(countif('Womens Lineup'!G$3:G1000,CONCATENATE("=",$A293))=0,"",G$2))</f>
        <v/>
      </c>
      <c r="H293" s="3" t="str">
        <f>IF($A293="","",IF(countif('Womens Lineup'!H$3:H1000,CONCATENATE("=",$A293))=0,"",H$2))</f>
        <v/>
      </c>
      <c r="I293" s="3" t="str">
        <f>IF($A293="","",IF(countif('Womens Lineup'!I$3:I1000,CONCATENATE("=",$A293))=0,"",I$2))</f>
        <v/>
      </c>
      <c r="J293" s="3" t="str">
        <f>IF($A293="","",IF(countif('Womens Lineup'!J$3:J1000,CONCATENATE("=",$A293))=0,"",J$2))</f>
        <v/>
      </c>
      <c r="K293" s="3" t="str">
        <f>IF($A293="","",IF(countif('Womens Lineup'!K$3:K1000,CONCATENATE("=",$A293))=0,"",K$2))</f>
        <v/>
      </c>
      <c r="L293" s="3" t="str">
        <f>IF($A293="","",IF(countif('Womens Lineup'!L$3:L1000,CONCATENATE("=",$A293))=0,"",L$2))</f>
        <v>200 Fly</v>
      </c>
      <c r="M293" s="3" t="str">
        <f>IF($A293="","",IF(countif('Womens Lineup'!M$3:M1000,CONCATENATE("=",$A293))=0,"",M$2))</f>
        <v/>
      </c>
      <c r="N293" s="3" t="str">
        <f>IF($A293="","",IF(countif('Womens Lineup'!N$3:N1000,CONCATENATE("=",$A293))=0,"",N$2))</f>
        <v/>
      </c>
      <c r="O293" s="3" t="str">
        <f>IF($A293="","",IF(countif('Womens Lineup'!O$3:O1000,CONCATENATE("=",$A293))=0,"",O$2))</f>
        <v/>
      </c>
      <c r="P293" s="3" t="str">
        <f>IF($A293="","",IF(countif('Womens Lineup'!P$3:P1000,CONCATENATE("=",$A293))=0,"",P$2))</f>
        <v/>
      </c>
      <c r="Q293" s="3" t="str">
        <f>IF($A293="","",IF(countif('Womens Lineup'!Q$3:Q1000,CONCATENATE("=",$A293))=0,"",Q$2))</f>
        <v/>
      </c>
      <c r="R293" s="3" t="str">
        <f>IF($A293="","",IF(countif('Womens Lineup'!R$3:R1000,CONCATENATE("=",$A293))=0,"",R$2))</f>
        <v/>
      </c>
      <c r="S293" s="3" t="str">
        <f>IF($A293="","",IF(countif('Womens Lineup'!S$3:S1000,CONCATENATE("=",$A293))=0,"",S$2))</f>
        <v/>
      </c>
      <c r="W293" s="3" t="str">
        <f>IFERROR(__xludf.DUMMYFUNCTION("JOIN("","",FILTER(B293:S293,B293:S293&lt;&gt;""""))"),"200 Fly")</f>
        <v>200 Fly</v>
      </c>
    </row>
    <row r="294">
      <c r="A294" s="3"/>
      <c r="B294" s="3" t="str">
        <f>IF($A294="","",IF(countif('Womens Lineup'!B$3:B1000,CONCATENATE("=",$A294))=0,"",B$2))</f>
        <v/>
      </c>
      <c r="C294" s="3" t="str">
        <f>IF($A294="","",IF(countif('Womens Lineup'!C$3:C1000,CONCATENATE("=",$A294))=0,"",C$2))</f>
        <v/>
      </c>
      <c r="D294" s="3" t="str">
        <f>IF($A294="","",IF(countif('Womens Lineup'!D$3:D1000,CONCATENATE("=",$A294))=0,"",D$2))</f>
        <v/>
      </c>
      <c r="E294" s="3" t="str">
        <f>IF($A294="","",IF(countif('Womens Lineup'!E$3:E1000,CONCATENATE("=",$A294))=0,"",E$2))</f>
        <v/>
      </c>
      <c r="F294" s="3" t="str">
        <f>IF($A294="","",IF(countif('Womens Lineup'!F$3:F1000,CONCATENATE("=",$A294))=0,"",F$2))</f>
        <v/>
      </c>
      <c r="G294" s="3" t="str">
        <f>IF($A294="","",IF(countif('Womens Lineup'!G$3:G1000,CONCATENATE("=",$A294))=0,"",G$2))</f>
        <v/>
      </c>
      <c r="H294" s="3" t="str">
        <f>IF($A294="","",IF(countif('Womens Lineup'!H$3:H1000,CONCATENATE("=",$A294))=0,"",H$2))</f>
        <v/>
      </c>
      <c r="I294" s="3" t="str">
        <f>IF($A294="","",IF(countif('Womens Lineup'!I$3:I1000,CONCATENATE("=",$A294))=0,"",I$2))</f>
        <v/>
      </c>
      <c r="J294" s="3" t="str">
        <f>IF($A294="","",IF(countif('Womens Lineup'!J$3:J1000,CONCATENATE("=",$A294))=0,"",J$2))</f>
        <v/>
      </c>
      <c r="K294" s="3" t="str">
        <f>IF($A294="","",IF(countif('Womens Lineup'!K$3:K1000,CONCATENATE("=",$A294))=0,"",K$2))</f>
        <v/>
      </c>
      <c r="L294" s="3" t="str">
        <f>IF($A294="","",IF(countif('Womens Lineup'!L$3:L1000,CONCATENATE("=",$A294))=0,"",L$2))</f>
        <v/>
      </c>
      <c r="M294" s="3" t="str">
        <f>IF($A294="","",IF(countif('Womens Lineup'!M$3:M1000,CONCATENATE("=",$A294))=0,"",M$2))</f>
        <v/>
      </c>
      <c r="N294" s="3" t="str">
        <f>IF($A294="","",IF(countif('Womens Lineup'!N$3:N1000,CONCATENATE("=",$A294))=0,"",N$2))</f>
        <v/>
      </c>
      <c r="O294" s="3" t="str">
        <f>IF($A294="","",IF(countif('Womens Lineup'!O$3:O1000,CONCATENATE("=",$A294))=0,"",O$2))</f>
        <v/>
      </c>
      <c r="P294" s="3" t="str">
        <f>IF($A294="","",IF(countif('Womens Lineup'!P$3:P1000,CONCATENATE("=",$A294))=0,"",P$2))</f>
        <v/>
      </c>
      <c r="Q294" s="3" t="str">
        <f>IF($A294="","",IF(countif('Womens Lineup'!Q$3:Q1000,CONCATENATE("=",$A294))=0,"",Q$2))</f>
        <v/>
      </c>
      <c r="R294" s="3" t="str">
        <f>IF($A294="","",IF(countif('Womens Lineup'!R$3:R1000,CONCATENATE("=",$A294))=0,"",R$2))</f>
        <v/>
      </c>
      <c r="S294" s="3" t="str">
        <f>IF($A294="","",IF(countif('Womens Lineup'!S$3:S1000,CONCATENATE("=",$A294))=0,"",S$2))</f>
        <v/>
      </c>
      <c r="W294" s="3" t="str">
        <f>IFERROR(__xludf.DUMMYFUNCTION("JOIN("","",FILTER(B294:S294,B294:S294&lt;&gt;""""))"),"#N/A")</f>
        <v>#N/A</v>
      </c>
    </row>
    <row r="295">
      <c r="A295" s="3"/>
      <c r="B295" s="3" t="str">
        <f>IF($A295="","",IF(countif('Womens Lineup'!B$3:B1000,CONCATENATE("=",$A295))=0,"",B$2))</f>
        <v/>
      </c>
      <c r="C295" s="3" t="str">
        <f>IF($A295="","",IF(countif('Womens Lineup'!C$3:C1000,CONCATENATE("=",$A295))=0,"",C$2))</f>
        <v/>
      </c>
      <c r="D295" s="3" t="str">
        <f>IF($A295="","",IF(countif('Womens Lineup'!D$3:D1000,CONCATENATE("=",$A295))=0,"",D$2))</f>
        <v/>
      </c>
      <c r="E295" s="3" t="str">
        <f>IF($A295="","",IF(countif('Womens Lineup'!E$3:E1000,CONCATENATE("=",$A295))=0,"",E$2))</f>
        <v/>
      </c>
      <c r="F295" s="3" t="str">
        <f>IF($A295="","",IF(countif('Womens Lineup'!F$3:F1000,CONCATENATE("=",$A295))=0,"",F$2))</f>
        <v/>
      </c>
      <c r="G295" s="3" t="str">
        <f>IF($A295="","",IF(countif('Womens Lineup'!G$3:G1000,CONCATENATE("=",$A295))=0,"",G$2))</f>
        <v/>
      </c>
      <c r="H295" s="3" t="str">
        <f>IF($A295="","",IF(countif('Womens Lineup'!H$3:H1000,CONCATENATE("=",$A295))=0,"",H$2))</f>
        <v/>
      </c>
      <c r="I295" s="3" t="str">
        <f>IF($A295="","",IF(countif('Womens Lineup'!I$3:I1000,CONCATENATE("=",$A295))=0,"",I$2))</f>
        <v/>
      </c>
      <c r="J295" s="3" t="str">
        <f>IF($A295="","",IF(countif('Womens Lineup'!J$3:J1000,CONCATENATE("=",$A295))=0,"",J$2))</f>
        <v/>
      </c>
      <c r="K295" s="3" t="str">
        <f>IF($A295="","",IF(countif('Womens Lineup'!K$3:K1000,CONCATENATE("=",$A295))=0,"",K$2))</f>
        <v/>
      </c>
      <c r="L295" s="3" t="str">
        <f>IF($A295="","",IF(countif('Womens Lineup'!L$3:L1000,CONCATENATE("=",$A295))=0,"",L$2))</f>
        <v/>
      </c>
      <c r="M295" s="3" t="str">
        <f>IF($A295="","",IF(countif('Womens Lineup'!M$3:M1000,CONCATENATE("=",$A295))=0,"",M$2))</f>
        <v/>
      </c>
      <c r="N295" s="3" t="str">
        <f>IF($A295="","",IF(countif('Womens Lineup'!N$3:N1000,CONCATENATE("=",$A295))=0,"",N$2))</f>
        <v/>
      </c>
      <c r="O295" s="3" t="str">
        <f>IF($A295="","",IF(countif('Womens Lineup'!O$3:O1000,CONCATENATE("=",$A295))=0,"",O$2))</f>
        <v/>
      </c>
      <c r="P295" s="3" t="str">
        <f>IF($A295="","",IF(countif('Womens Lineup'!P$3:P1000,CONCATENATE("=",$A295))=0,"",P$2))</f>
        <v/>
      </c>
      <c r="Q295" s="3" t="str">
        <f>IF($A295="","",IF(countif('Womens Lineup'!Q$3:Q1000,CONCATENATE("=",$A295))=0,"",Q$2))</f>
        <v/>
      </c>
      <c r="R295" s="3" t="str">
        <f>IF($A295="","",IF(countif('Womens Lineup'!R$3:R1000,CONCATENATE("=",$A295))=0,"",R$2))</f>
        <v/>
      </c>
      <c r="S295" s="3" t="str">
        <f>IF($A295="","",IF(countif('Womens Lineup'!S$3:S1000,CONCATENATE("=",$A295))=0,"",S$2))</f>
        <v/>
      </c>
      <c r="W295" s="3" t="str">
        <f>IFERROR(__xludf.DUMMYFUNCTION("JOIN("","",FILTER(B295:S295,B295:S295&lt;&gt;""""))"),"#N/A")</f>
        <v>#N/A</v>
      </c>
    </row>
    <row r="296">
      <c r="A296" s="3"/>
      <c r="B296" s="3" t="str">
        <f>IF($A296="","",IF(countif('Womens Lineup'!B$3:B1000,CONCATENATE("=",$A296))=0,"",B$2))</f>
        <v/>
      </c>
      <c r="C296" s="3" t="str">
        <f>IF($A296="","",IF(countif('Womens Lineup'!C$3:C1000,CONCATENATE("=",$A296))=0,"",C$2))</f>
        <v/>
      </c>
      <c r="D296" s="3" t="str">
        <f>IF($A296="","",IF(countif('Womens Lineup'!D$3:D1000,CONCATENATE("=",$A296))=0,"",D$2))</f>
        <v/>
      </c>
      <c r="E296" s="3" t="str">
        <f>IF($A296="","",IF(countif('Womens Lineup'!E$3:E1000,CONCATENATE("=",$A296))=0,"",E$2))</f>
        <v/>
      </c>
      <c r="F296" s="3" t="str">
        <f>IF($A296="","",IF(countif('Womens Lineup'!F$3:F1000,CONCATENATE("=",$A296))=0,"",F$2))</f>
        <v/>
      </c>
      <c r="G296" s="3" t="str">
        <f>IF($A296="","",IF(countif('Womens Lineup'!G$3:G1000,CONCATENATE("=",$A296))=0,"",G$2))</f>
        <v/>
      </c>
      <c r="H296" s="3" t="str">
        <f>IF($A296="","",IF(countif('Womens Lineup'!H$3:H1000,CONCATENATE("=",$A296))=0,"",H$2))</f>
        <v/>
      </c>
      <c r="I296" s="3" t="str">
        <f>IF($A296="","",IF(countif('Womens Lineup'!I$3:I1000,CONCATENATE("=",$A296))=0,"",I$2))</f>
        <v/>
      </c>
      <c r="J296" s="3" t="str">
        <f>IF($A296="","",IF(countif('Womens Lineup'!J$3:J1000,CONCATENATE("=",$A296))=0,"",J$2))</f>
        <v/>
      </c>
      <c r="K296" s="3" t="str">
        <f>IF($A296="","",IF(countif('Womens Lineup'!K$3:K1000,CONCATENATE("=",$A296))=0,"",K$2))</f>
        <v/>
      </c>
      <c r="L296" s="3" t="str">
        <f>IF($A296="","",IF(countif('Womens Lineup'!L$3:L1000,CONCATENATE("=",$A296))=0,"",L$2))</f>
        <v/>
      </c>
      <c r="M296" s="3" t="str">
        <f>IF($A296="","",IF(countif('Womens Lineup'!M$3:M1000,CONCATENATE("=",$A296))=0,"",M$2))</f>
        <v/>
      </c>
      <c r="N296" s="3" t="str">
        <f>IF($A296="","",IF(countif('Womens Lineup'!N$3:N1000,CONCATENATE("=",$A296))=0,"",N$2))</f>
        <v/>
      </c>
      <c r="O296" s="3" t="str">
        <f>IF($A296="","",IF(countif('Womens Lineup'!O$3:O1000,CONCATENATE("=",$A296))=0,"",O$2))</f>
        <v/>
      </c>
      <c r="P296" s="3" t="str">
        <f>IF($A296="","",IF(countif('Womens Lineup'!P$3:P1000,CONCATENATE("=",$A296))=0,"",P$2))</f>
        <v/>
      </c>
      <c r="Q296" s="3" t="str">
        <f>IF($A296="","",IF(countif('Womens Lineup'!Q$3:Q1000,CONCATENATE("=",$A296))=0,"",Q$2))</f>
        <v/>
      </c>
      <c r="R296" s="3" t="str">
        <f>IF($A296="","",IF(countif('Womens Lineup'!R$3:R1000,CONCATENATE("=",$A296))=0,"",R$2))</f>
        <v/>
      </c>
      <c r="S296" s="3" t="str">
        <f>IF($A296="","",IF(countif('Womens Lineup'!S$3:S1000,CONCATENATE("=",$A296))=0,"",S$2))</f>
        <v/>
      </c>
      <c r="W296" s="3" t="str">
        <f>IFERROR(__xludf.DUMMYFUNCTION("JOIN("","",FILTER(B296:S296,B296:S296&lt;&gt;""""))"),"#N/A")</f>
        <v>#N/A</v>
      </c>
    </row>
    <row r="297">
      <c r="A297" s="3"/>
      <c r="B297" s="3" t="str">
        <f>IF($A297="","",IF(countif('Womens Lineup'!B$3:B1000,CONCATENATE("=",$A297))=0,"",B$2))</f>
        <v/>
      </c>
      <c r="C297" s="3" t="str">
        <f>IF($A297="","",IF(countif('Womens Lineup'!C$3:C1000,CONCATENATE("=",$A297))=0,"",C$2))</f>
        <v/>
      </c>
      <c r="D297" s="3" t="str">
        <f>IF($A297="","",IF(countif('Womens Lineup'!D$3:D1000,CONCATENATE("=",$A297))=0,"",D$2))</f>
        <v/>
      </c>
      <c r="E297" s="3" t="str">
        <f>IF($A297="","",IF(countif('Womens Lineup'!E$3:E1000,CONCATENATE("=",$A297))=0,"",E$2))</f>
        <v/>
      </c>
      <c r="F297" s="3" t="str">
        <f>IF($A297="","",IF(countif('Womens Lineup'!F$3:F1000,CONCATENATE("=",$A297))=0,"",F$2))</f>
        <v/>
      </c>
      <c r="G297" s="3" t="str">
        <f>IF($A297="","",IF(countif('Womens Lineup'!G$3:G1000,CONCATENATE("=",$A297))=0,"",G$2))</f>
        <v/>
      </c>
      <c r="H297" s="3" t="str">
        <f>IF($A297="","",IF(countif('Womens Lineup'!H$3:H1000,CONCATENATE("=",$A297))=0,"",H$2))</f>
        <v/>
      </c>
      <c r="I297" s="3" t="str">
        <f>IF($A297="","",IF(countif('Womens Lineup'!I$3:I1000,CONCATENATE("=",$A297))=0,"",I$2))</f>
        <v/>
      </c>
      <c r="J297" s="3" t="str">
        <f>IF($A297="","",IF(countif('Womens Lineup'!J$3:J1000,CONCATENATE("=",$A297))=0,"",J$2))</f>
        <v/>
      </c>
      <c r="K297" s="3" t="str">
        <f>IF($A297="","",IF(countif('Womens Lineup'!K$3:K1000,CONCATENATE("=",$A297))=0,"",K$2))</f>
        <v/>
      </c>
      <c r="L297" s="3" t="str">
        <f>IF($A297="","",IF(countif('Womens Lineup'!L$3:L1000,CONCATENATE("=",$A297))=0,"",L$2))</f>
        <v/>
      </c>
      <c r="M297" s="3" t="str">
        <f>IF($A297="","",IF(countif('Womens Lineup'!M$3:M1000,CONCATENATE("=",$A297))=0,"",M$2))</f>
        <v/>
      </c>
      <c r="N297" s="3" t="str">
        <f>IF($A297="","",IF(countif('Womens Lineup'!N$3:N1000,CONCATENATE("=",$A297))=0,"",N$2))</f>
        <v/>
      </c>
      <c r="O297" s="3" t="str">
        <f>IF($A297="","",IF(countif('Womens Lineup'!O$3:O1000,CONCATENATE("=",$A297))=0,"",O$2))</f>
        <v/>
      </c>
      <c r="P297" s="3" t="str">
        <f>IF($A297="","",IF(countif('Womens Lineup'!P$3:P1000,CONCATENATE("=",$A297))=0,"",P$2))</f>
        <v/>
      </c>
      <c r="Q297" s="3" t="str">
        <f>IF($A297="","",IF(countif('Womens Lineup'!Q$3:Q1000,CONCATENATE("=",$A297))=0,"",Q$2))</f>
        <v/>
      </c>
      <c r="R297" s="3" t="str">
        <f>IF($A297="","",IF(countif('Womens Lineup'!R$3:R1000,CONCATENATE("=",$A297))=0,"",R$2))</f>
        <v/>
      </c>
      <c r="S297" s="3" t="str">
        <f>IF($A297="","",IF(countif('Womens Lineup'!S$3:S1000,CONCATENATE("=",$A297))=0,"",S$2))</f>
        <v/>
      </c>
      <c r="W297" s="3" t="str">
        <f>IFERROR(__xludf.DUMMYFUNCTION("JOIN("","",FILTER(B297:S297,B297:S297&lt;&gt;""""))"),"#N/A")</f>
        <v>#N/A</v>
      </c>
    </row>
    <row r="298">
      <c r="A298" s="3"/>
      <c r="B298" s="3" t="str">
        <f>IF($A298="","",IF(countif('Womens Lineup'!B$3:B1000,CONCATENATE("=",$A298))=0,"",B$2))</f>
        <v/>
      </c>
      <c r="C298" s="3" t="str">
        <f>IF($A298="","",IF(countif('Womens Lineup'!C$3:C1000,CONCATENATE("=",$A298))=0,"",C$2))</f>
        <v/>
      </c>
      <c r="D298" s="3" t="str">
        <f>IF($A298="","",IF(countif('Womens Lineup'!D$3:D1000,CONCATENATE("=",$A298))=0,"",D$2))</f>
        <v/>
      </c>
      <c r="E298" s="3" t="str">
        <f>IF($A298="","",IF(countif('Womens Lineup'!E$3:E1000,CONCATENATE("=",$A298))=0,"",E$2))</f>
        <v/>
      </c>
      <c r="F298" s="3" t="str">
        <f>IF($A298="","",IF(countif('Womens Lineup'!F$3:F1000,CONCATENATE("=",$A298))=0,"",F$2))</f>
        <v/>
      </c>
      <c r="G298" s="3" t="str">
        <f>IF($A298="","",IF(countif('Womens Lineup'!G$3:G1000,CONCATENATE("=",$A298))=0,"",G$2))</f>
        <v/>
      </c>
      <c r="H298" s="3" t="str">
        <f>IF($A298="","",IF(countif('Womens Lineup'!H$3:H1000,CONCATENATE("=",$A298))=0,"",H$2))</f>
        <v/>
      </c>
      <c r="I298" s="3" t="str">
        <f>IF($A298="","",IF(countif('Womens Lineup'!I$3:I1000,CONCATENATE("=",$A298))=0,"",I$2))</f>
        <v/>
      </c>
      <c r="J298" s="3" t="str">
        <f>IF($A298="","",IF(countif('Womens Lineup'!J$3:J1000,CONCATENATE("=",$A298))=0,"",J$2))</f>
        <v/>
      </c>
      <c r="K298" s="3" t="str">
        <f>IF($A298="","",IF(countif('Womens Lineup'!K$3:K1000,CONCATENATE("=",$A298))=0,"",K$2))</f>
        <v/>
      </c>
      <c r="L298" s="3" t="str">
        <f>IF($A298="","",IF(countif('Womens Lineup'!L$3:L1000,CONCATENATE("=",$A298))=0,"",L$2))</f>
        <v/>
      </c>
      <c r="M298" s="3" t="str">
        <f>IF($A298="","",IF(countif('Womens Lineup'!M$3:M1000,CONCATENATE("=",$A298))=0,"",M$2))</f>
        <v/>
      </c>
      <c r="N298" s="3" t="str">
        <f>IF($A298="","",IF(countif('Womens Lineup'!N$3:N1000,CONCATENATE("=",$A298))=0,"",N$2))</f>
        <v/>
      </c>
      <c r="O298" s="3" t="str">
        <f>IF($A298="","",IF(countif('Womens Lineup'!O$3:O1000,CONCATENATE("=",$A298))=0,"",O$2))</f>
        <v/>
      </c>
      <c r="P298" s="3" t="str">
        <f>IF($A298="","",IF(countif('Womens Lineup'!P$3:P1000,CONCATENATE("=",$A298))=0,"",P$2))</f>
        <v/>
      </c>
      <c r="Q298" s="3" t="str">
        <f>IF($A298="","",IF(countif('Womens Lineup'!Q$3:Q1000,CONCATENATE("=",$A298))=0,"",Q$2))</f>
        <v/>
      </c>
      <c r="R298" s="3" t="str">
        <f>IF($A298="","",IF(countif('Womens Lineup'!R$3:R1000,CONCATENATE("=",$A298))=0,"",R$2))</f>
        <v/>
      </c>
      <c r="S298" s="3" t="str">
        <f>IF($A298="","",IF(countif('Womens Lineup'!S$3:S1000,CONCATENATE("=",$A298))=0,"",S$2))</f>
        <v/>
      </c>
      <c r="W298" s="3" t="str">
        <f>IFERROR(__xludf.DUMMYFUNCTION("JOIN("","",FILTER(B298:S298,B298:S298&lt;&gt;""""))"),"#N/A")</f>
        <v>#N/A</v>
      </c>
    </row>
    <row r="299">
      <c r="A299" s="3"/>
      <c r="B299" s="3" t="str">
        <f>IF($A299="","",IF(countif('Womens Lineup'!B$3:B1000,CONCATENATE("=",$A299))=0,"",B$2))</f>
        <v/>
      </c>
      <c r="C299" s="3" t="str">
        <f>IF($A299="","",IF(countif('Womens Lineup'!C$3:C1000,CONCATENATE("=",$A299))=0,"",C$2))</f>
        <v/>
      </c>
      <c r="D299" s="3" t="str">
        <f>IF($A299="","",IF(countif('Womens Lineup'!D$3:D1000,CONCATENATE("=",$A299))=0,"",D$2))</f>
        <v/>
      </c>
      <c r="E299" s="3" t="str">
        <f>IF($A299="","",IF(countif('Womens Lineup'!E$3:E1000,CONCATENATE("=",$A299))=0,"",E$2))</f>
        <v/>
      </c>
      <c r="F299" s="3" t="str">
        <f>IF($A299="","",IF(countif('Womens Lineup'!F$3:F1000,CONCATENATE("=",$A299))=0,"",F$2))</f>
        <v/>
      </c>
      <c r="G299" s="3" t="str">
        <f>IF($A299="","",IF(countif('Womens Lineup'!G$3:G1000,CONCATENATE("=",$A299))=0,"",G$2))</f>
        <v/>
      </c>
      <c r="H299" s="3" t="str">
        <f>IF($A299="","",IF(countif('Womens Lineup'!H$3:H1000,CONCATENATE("=",$A299))=0,"",H$2))</f>
        <v/>
      </c>
      <c r="I299" s="3" t="str">
        <f>IF($A299="","",IF(countif('Womens Lineup'!I$3:I1000,CONCATENATE("=",$A299))=0,"",I$2))</f>
        <v/>
      </c>
      <c r="J299" s="3" t="str">
        <f>IF($A299="","",IF(countif('Womens Lineup'!J$3:J1000,CONCATENATE("=",$A299))=0,"",J$2))</f>
        <v/>
      </c>
      <c r="K299" s="3" t="str">
        <f>IF($A299="","",IF(countif('Womens Lineup'!K$3:K1000,CONCATENATE("=",$A299))=0,"",K$2))</f>
        <v/>
      </c>
      <c r="L299" s="3" t="str">
        <f>IF($A299="","",IF(countif('Womens Lineup'!L$3:L1000,CONCATENATE("=",$A299))=0,"",L$2))</f>
        <v/>
      </c>
      <c r="M299" s="3" t="str">
        <f>IF($A299="","",IF(countif('Womens Lineup'!M$3:M1000,CONCATENATE("=",$A299))=0,"",M$2))</f>
        <v/>
      </c>
      <c r="N299" s="3" t="str">
        <f>IF($A299="","",IF(countif('Womens Lineup'!N$3:N1000,CONCATENATE("=",$A299))=0,"",N$2))</f>
        <v/>
      </c>
      <c r="O299" s="3" t="str">
        <f>IF($A299="","",IF(countif('Womens Lineup'!O$3:O1000,CONCATENATE("=",$A299))=0,"",O$2))</f>
        <v/>
      </c>
      <c r="P299" s="3" t="str">
        <f>IF($A299="","",IF(countif('Womens Lineup'!P$3:P1000,CONCATENATE("=",$A299))=0,"",P$2))</f>
        <v/>
      </c>
      <c r="Q299" s="3" t="str">
        <f>IF($A299="","",IF(countif('Womens Lineup'!Q$3:Q1000,CONCATENATE("=",$A299))=0,"",Q$2))</f>
        <v/>
      </c>
      <c r="R299" s="3" t="str">
        <f>IF($A299="","",IF(countif('Womens Lineup'!R$3:R1000,CONCATENATE("=",$A299))=0,"",R$2))</f>
        <v/>
      </c>
      <c r="S299" s="3" t="str">
        <f>IF($A299="","",IF(countif('Womens Lineup'!S$3:S1000,CONCATENATE("=",$A299))=0,"",S$2))</f>
        <v/>
      </c>
      <c r="W299" s="3" t="str">
        <f>IFERROR(__xludf.DUMMYFUNCTION("JOIN("","",FILTER(B299:S299,B299:S299&lt;&gt;""""))"),"#N/A")</f>
        <v>#N/A</v>
      </c>
    </row>
    <row r="300">
      <c r="A300" s="3"/>
      <c r="B300" s="3" t="str">
        <f>IF($A300="","",IF(countif('Womens Lineup'!B$3:B1000,CONCATENATE("=",$A300))=0,"",B$2))</f>
        <v/>
      </c>
      <c r="C300" s="3" t="str">
        <f>IF($A300="","",IF(countif('Womens Lineup'!C$3:C1000,CONCATENATE("=",$A300))=0,"",C$2))</f>
        <v/>
      </c>
      <c r="D300" s="3" t="str">
        <f>IF($A300="","",IF(countif('Womens Lineup'!D$3:D1000,CONCATENATE("=",$A300))=0,"",D$2))</f>
        <v/>
      </c>
      <c r="E300" s="3" t="str">
        <f>IF($A300="","",IF(countif('Womens Lineup'!E$3:E1000,CONCATENATE("=",$A300))=0,"",E$2))</f>
        <v/>
      </c>
      <c r="F300" s="3" t="str">
        <f>IF($A300="","",IF(countif('Womens Lineup'!F$3:F1000,CONCATENATE("=",$A300))=0,"",F$2))</f>
        <v/>
      </c>
      <c r="G300" s="3" t="str">
        <f>IF($A300="","",IF(countif('Womens Lineup'!G$3:G1000,CONCATENATE("=",$A300))=0,"",G$2))</f>
        <v/>
      </c>
      <c r="H300" s="3" t="str">
        <f>IF($A300="","",IF(countif('Womens Lineup'!H$3:H1000,CONCATENATE("=",$A300))=0,"",H$2))</f>
        <v/>
      </c>
      <c r="I300" s="3" t="str">
        <f>IF($A300="","",IF(countif('Womens Lineup'!I$3:I1000,CONCATENATE("=",$A300))=0,"",I$2))</f>
        <v/>
      </c>
      <c r="J300" s="3" t="str">
        <f>IF($A300="","",IF(countif('Womens Lineup'!J$3:J1000,CONCATENATE("=",$A300))=0,"",J$2))</f>
        <v/>
      </c>
      <c r="K300" s="3" t="str">
        <f>IF($A300="","",IF(countif('Womens Lineup'!K$3:K1000,CONCATENATE("=",$A300))=0,"",K$2))</f>
        <v/>
      </c>
      <c r="L300" s="3" t="str">
        <f>IF($A300="","",IF(countif('Womens Lineup'!L$3:L1000,CONCATENATE("=",$A300))=0,"",L$2))</f>
        <v/>
      </c>
      <c r="M300" s="3" t="str">
        <f>IF($A300="","",IF(countif('Womens Lineup'!M$3:M1000,CONCATENATE("=",$A300))=0,"",M$2))</f>
        <v/>
      </c>
      <c r="N300" s="3" t="str">
        <f>IF($A300="","",IF(countif('Womens Lineup'!N$3:N1000,CONCATENATE("=",$A300))=0,"",N$2))</f>
        <v/>
      </c>
      <c r="O300" s="3" t="str">
        <f>IF($A300="","",IF(countif('Womens Lineup'!O$3:O1000,CONCATENATE("=",$A300))=0,"",O$2))</f>
        <v/>
      </c>
      <c r="P300" s="3" t="str">
        <f>IF($A300="","",IF(countif('Womens Lineup'!P$3:P1000,CONCATENATE("=",$A300))=0,"",P$2))</f>
        <v/>
      </c>
      <c r="Q300" s="3" t="str">
        <f>IF($A300="","",IF(countif('Womens Lineup'!Q$3:Q1000,CONCATENATE("=",$A300))=0,"",Q$2))</f>
        <v/>
      </c>
      <c r="R300" s="3" t="str">
        <f>IF($A300="","",IF(countif('Womens Lineup'!R$3:R1000,CONCATENATE("=",$A300))=0,"",R$2))</f>
        <v/>
      </c>
      <c r="S300" s="3" t="str">
        <f>IF($A300="","",IF(countif('Womens Lineup'!S$3:S1000,CONCATENATE("=",$A300))=0,"",S$2))</f>
        <v/>
      </c>
      <c r="W300" s="3" t="str">
        <f>IFERROR(__xludf.DUMMYFUNCTION("JOIN("","",FILTER(B300:S300,B300:S300&lt;&gt;""""))"),"#N/A")</f>
        <v>#N/A</v>
      </c>
    </row>
    <row r="301">
      <c r="A301" s="3"/>
      <c r="B301" s="3" t="str">
        <f>IF($A301="","",IF(countif('Womens Lineup'!B$3:B1000,CONCATENATE("=",$A301))=0,"",B$2))</f>
        <v/>
      </c>
      <c r="C301" s="3" t="str">
        <f>IF($A301="","",IF(countif('Womens Lineup'!C$3:C1000,CONCATENATE("=",$A301))=0,"",C$2))</f>
        <v/>
      </c>
      <c r="D301" s="3" t="str">
        <f>IF($A301="","",IF(countif('Womens Lineup'!D$3:D1000,CONCATENATE("=",$A301))=0,"",D$2))</f>
        <v/>
      </c>
      <c r="E301" s="3" t="str">
        <f>IF($A301="","",IF(countif('Womens Lineup'!E$3:E1000,CONCATENATE("=",$A301))=0,"",E$2))</f>
        <v/>
      </c>
      <c r="F301" s="3" t="str">
        <f>IF($A301="","",IF(countif('Womens Lineup'!F$3:F1000,CONCATENATE("=",$A301))=0,"",F$2))</f>
        <v/>
      </c>
      <c r="G301" s="3" t="str">
        <f>IF($A301="","",IF(countif('Womens Lineup'!G$3:G1000,CONCATENATE("=",$A301))=0,"",G$2))</f>
        <v/>
      </c>
      <c r="H301" s="3" t="str">
        <f>IF($A301="","",IF(countif('Womens Lineup'!H$3:H1000,CONCATENATE("=",$A301))=0,"",H$2))</f>
        <v/>
      </c>
      <c r="I301" s="3" t="str">
        <f>IF($A301="","",IF(countif('Womens Lineup'!I$3:I1000,CONCATENATE("=",$A301))=0,"",I$2))</f>
        <v/>
      </c>
      <c r="J301" s="3" t="str">
        <f>IF($A301="","",IF(countif('Womens Lineup'!J$3:J1000,CONCATENATE("=",$A301))=0,"",J$2))</f>
        <v/>
      </c>
      <c r="K301" s="3" t="str">
        <f>IF($A301="","",IF(countif('Womens Lineup'!K$3:K1000,CONCATENATE("=",$A301))=0,"",K$2))</f>
        <v/>
      </c>
      <c r="L301" s="3" t="str">
        <f>IF($A301="","",IF(countif('Womens Lineup'!L$3:L1000,CONCATENATE("=",$A301))=0,"",L$2))</f>
        <v/>
      </c>
      <c r="M301" s="3" t="str">
        <f>IF($A301="","",IF(countif('Womens Lineup'!M$3:M1000,CONCATENATE("=",$A301))=0,"",M$2))</f>
        <v/>
      </c>
      <c r="N301" s="3" t="str">
        <f>IF($A301="","",IF(countif('Womens Lineup'!N$3:N1000,CONCATENATE("=",$A301))=0,"",N$2))</f>
        <v/>
      </c>
      <c r="O301" s="3" t="str">
        <f>IF($A301="","",IF(countif('Womens Lineup'!O$3:O1000,CONCATENATE("=",$A301))=0,"",O$2))</f>
        <v/>
      </c>
      <c r="P301" s="3" t="str">
        <f>IF($A301="","",IF(countif('Womens Lineup'!P$3:P1000,CONCATENATE("=",$A301))=0,"",P$2))</f>
        <v/>
      </c>
      <c r="Q301" s="3" t="str">
        <f>IF($A301="","",IF(countif('Womens Lineup'!Q$3:Q1000,CONCATENATE("=",$A301))=0,"",Q$2))</f>
        <v/>
      </c>
      <c r="R301" s="3" t="str">
        <f>IF($A301="","",IF(countif('Womens Lineup'!R$3:R1000,CONCATENATE("=",$A301))=0,"",R$2))</f>
        <v/>
      </c>
      <c r="S301" s="3" t="str">
        <f>IF($A301="","",IF(countif('Womens Lineup'!S$3:S1000,CONCATENATE("=",$A301))=0,"",S$2))</f>
        <v/>
      </c>
      <c r="W301" s="3" t="str">
        <f>IFERROR(__xludf.DUMMYFUNCTION("JOIN("","",FILTER(B301:S301,B301:S301&lt;&gt;""""))"),"#N/A")</f>
        <v>#N/A</v>
      </c>
    </row>
    <row r="302">
      <c r="A302" s="3"/>
      <c r="B302" s="3" t="str">
        <f>IF($A302="","",IF(countif('Womens Lineup'!B$3:B1000,CONCATENATE("=",$A302))=0,"",B$2))</f>
        <v/>
      </c>
      <c r="C302" s="3" t="str">
        <f>IF($A302="","",IF(countif('Womens Lineup'!C$3:C1000,CONCATENATE("=",$A302))=0,"",C$2))</f>
        <v/>
      </c>
      <c r="D302" s="3" t="str">
        <f>IF($A302="","",IF(countif('Womens Lineup'!D$3:D1000,CONCATENATE("=",$A302))=0,"",D$2))</f>
        <v/>
      </c>
      <c r="E302" s="3" t="str">
        <f>IF($A302="","",IF(countif('Womens Lineup'!E$3:E1000,CONCATENATE("=",$A302))=0,"",E$2))</f>
        <v/>
      </c>
      <c r="F302" s="3" t="str">
        <f>IF($A302="","",IF(countif('Womens Lineup'!F$3:F1000,CONCATENATE("=",$A302))=0,"",F$2))</f>
        <v/>
      </c>
      <c r="G302" s="3" t="str">
        <f>IF($A302="","",IF(countif('Womens Lineup'!G$3:G1000,CONCATENATE("=",$A302))=0,"",G$2))</f>
        <v/>
      </c>
      <c r="H302" s="3" t="str">
        <f>IF($A302="","",IF(countif('Womens Lineup'!H$3:H1000,CONCATENATE("=",$A302))=0,"",H$2))</f>
        <v/>
      </c>
      <c r="I302" s="3" t="str">
        <f>IF($A302="","",IF(countif('Womens Lineup'!I$3:I1000,CONCATENATE("=",$A302))=0,"",I$2))</f>
        <v/>
      </c>
      <c r="J302" s="3" t="str">
        <f>IF($A302="","",IF(countif('Womens Lineup'!J$3:J1000,CONCATENATE("=",$A302))=0,"",J$2))</f>
        <v/>
      </c>
      <c r="K302" s="3" t="str">
        <f>IF($A302="","",IF(countif('Womens Lineup'!K$3:K1000,CONCATENATE("=",$A302))=0,"",K$2))</f>
        <v/>
      </c>
      <c r="L302" s="3" t="str">
        <f>IF($A302="","",IF(countif('Womens Lineup'!L$3:L1000,CONCATENATE("=",$A302))=0,"",L$2))</f>
        <v/>
      </c>
      <c r="M302" s="3" t="str">
        <f>IF($A302="","",IF(countif('Womens Lineup'!M$3:M1000,CONCATENATE("=",$A302))=0,"",M$2))</f>
        <v/>
      </c>
      <c r="N302" s="3" t="str">
        <f>IF($A302="","",IF(countif('Womens Lineup'!N$3:N1000,CONCATENATE("=",$A302))=0,"",N$2))</f>
        <v/>
      </c>
      <c r="O302" s="3" t="str">
        <f>IF($A302="","",IF(countif('Womens Lineup'!O$3:O1000,CONCATENATE("=",$A302))=0,"",O$2))</f>
        <v/>
      </c>
      <c r="P302" s="3" t="str">
        <f>IF($A302="","",IF(countif('Womens Lineup'!P$3:P1000,CONCATENATE("=",$A302))=0,"",P$2))</f>
        <v/>
      </c>
      <c r="Q302" s="3" t="str">
        <f>IF($A302="","",IF(countif('Womens Lineup'!Q$3:Q1000,CONCATENATE("=",$A302))=0,"",Q$2))</f>
        <v/>
      </c>
      <c r="R302" s="3" t="str">
        <f>IF($A302="","",IF(countif('Womens Lineup'!R$3:R1000,CONCATENATE("=",$A302))=0,"",R$2))</f>
        <v/>
      </c>
      <c r="S302" s="3" t="str">
        <f>IF($A302="","",IF(countif('Womens Lineup'!S$3:S1000,CONCATENATE("=",$A302))=0,"",S$2))</f>
        <v/>
      </c>
      <c r="W302" s="3" t="str">
        <f>IFERROR(__xludf.DUMMYFUNCTION("JOIN("","",FILTER(B302:S302,B302:S302&lt;&gt;""""))"),"#N/A")</f>
        <v>#N/A</v>
      </c>
    </row>
    <row r="303">
      <c r="A303" s="3"/>
      <c r="B303" s="3" t="str">
        <f>IF($A303="","",IF(countif('Womens Lineup'!B$3:B1000,CONCATENATE("=",$A303))=0,"",B$2))</f>
        <v/>
      </c>
      <c r="C303" s="3" t="str">
        <f>IF($A303="","",IF(countif('Womens Lineup'!C$3:C1000,CONCATENATE("=",$A303))=0,"",C$2))</f>
        <v/>
      </c>
      <c r="D303" s="3" t="str">
        <f>IF($A303="","",IF(countif('Womens Lineup'!D$3:D1000,CONCATENATE("=",$A303))=0,"",D$2))</f>
        <v/>
      </c>
      <c r="E303" s="3" t="str">
        <f>IF($A303="","",IF(countif('Womens Lineup'!E$3:E1000,CONCATENATE("=",$A303))=0,"",E$2))</f>
        <v/>
      </c>
      <c r="F303" s="3" t="str">
        <f>IF($A303="","",IF(countif('Womens Lineup'!F$3:F1000,CONCATENATE("=",$A303))=0,"",F$2))</f>
        <v/>
      </c>
      <c r="G303" s="3" t="str">
        <f>IF($A303="","",IF(countif('Womens Lineup'!G$3:G1000,CONCATENATE("=",$A303))=0,"",G$2))</f>
        <v/>
      </c>
      <c r="H303" s="3" t="str">
        <f>IF($A303="","",IF(countif('Womens Lineup'!H$3:H1000,CONCATENATE("=",$A303))=0,"",H$2))</f>
        <v/>
      </c>
      <c r="I303" s="3" t="str">
        <f>IF($A303="","",IF(countif('Womens Lineup'!I$3:I1000,CONCATENATE("=",$A303))=0,"",I$2))</f>
        <v/>
      </c>
      <c r="J303" s="3" t="str">
        <f>IF($A303="","",IF(countif('Womens Lineup'!J$3:J1000,CONCATENATE("=",$A303))=0,"",J$2))</f>
        <v/>
      </c>
      <c r="K303" s="3" t="str">
        <f>IF($A303="","",IF(countif('Womens Lineup'!K$3:K1000,CONCATENATE("=",$A303))=0,"",K$2))</f>
        <v/>
      </c>
      <c r="L303" s="3" t="str">
        <f>IF($A303="","",IF(countif('Womens Lineup'!L$3:L1000,CONCATENATE("=",$A303))=0,"",L$2))</f>
        <v/>
      </c>
      <c r="M303" s="3" t="str">
        <f>IF($A303="","",IF(countif('Womens Lineup'!M$3:M1000,CONCATENATE("=",$A303))=0,"",M$2))</f>
        <v/>
      </c>
      <c r="N303" s="3" t="str">
        <f>IF($A303="","",IF(countif('Womens Lineup'!N$3:N1000,CONCATENATE("=",$A303))=0,"",N$2))</f>
        <v/>
      </c>
      <c r="O303" s="3" t="str">
        <f>IF($A303="","",IF(countif('Womens Lineup'!O$3:O1000,CONCATENATE("=",$A303))=0,"",O$2))</f>
        <v/>
      </c>
      <c r="P303" s="3" t="str">
        <f>IF($A303="","",IF(countif('Womens Lineup'!P$3:P1000,CONCATENATE("=",$A303))=0,"",P$2))</f>
        <v/>
      </c>
      <c r="Q303" s="3" t="str">
        <f>IF($A303="","",IF(countif('Womens Lineup'!Q$3:Q1000,CONCATENATE("=",$A303))=0,"",Q$2))</f>
        <v/>
      </c>
      <c r="R303" s="3" t="str">
        <f>IF($A303="","",IF(countif('Womens Lineup'!R$3:R1000,CONCATENATE("=",$A303))=0,"",R$2))</f>
        <v/>
      </c>
      <c r="S303" s="3" t="str">
        <f>IF($A303="","",IF(countif('Womens Lineup'!S$3:S1000,CONCATENATE("=",$A303))=0,"",S$2))</f>
        <v/>
      </c>
      <c r="W303" s="3" t="str">
        <f>IFERROR(__xludf.DUMMYFUNCTION("JOIN("","",FILTER(B303:S303,B303:S303&lt;&gt;""""))"),"#N/A")</f>
        <v>#N/A</v>
      </c>
    </row>
    <row r="304">
      <c r="A304" s="3"/>
      <c r="B304" s="3" t="str">
        <f>IF($A304="","",IF(countif('Womens Lineup'!B$3:B1000,CONCATENATE("=",$A304))=0,"",B$2))</f>
        <v/>
      </c>
      <c r="C304" s="3" t="str">
        <f>IF($A304="","",IF(countif('Womens Lineup'!C$3:C1000,CONCATENATE("=",$A304))=0,"",C$2))</f>
        <v/>
      </c>
      <c r="D304" s="3" t="str">
        <f>IF($A304="","",IF(countif('Womens Lineup'!D$3:D1000,CONCATENATE("=",$A304))=0,"",D$2))</f>
        <v/>
      </c>
      <c r="E304" s="3" t="str">
        <f>IF($A304="","",IF(countif('Womens Lineup'!E$3:E1000,CONCATENATE("=",$A304))=0,"",E$2))</f>
        <v/>
      </c>
      <c r="F304" s="3" t="str">
        <f>IF($A304="","",IF(countif('Womens Lineup'!F$3:F1000,CONCATENATE("=",$A304))=0,"",F$2))</f>
        <v/>
      </c>
      <c r="G304" s="3" t="str">
        <f>IF($A304="","",IF(countif('Womens Lineup'!G$3:G1000,CONCATENATE("=",$A304))=0,"",G$2))</f>
        <v/>
      </c>
      <c r="H304" s="3" t="str">
        <f>IF($A304="","",IF(countif('Womens Lineup'!H$3:H1000,CONCATENATE("=",$A304))=0,"",H$2))</f>
        <v/>
      </c>
      <c r="I304" s="3" t="str">
        <f>IF($A304="","",IF(countif('Womens Lineup'!I$3:I1000,CONCATENATE("=",$A304))=0,"",I$2))</f>
        <v/>
      </c>
      <c r="J304" s="3" t="str">
        <f>IF($A304="","",IF(countif('Womens Lineup'!J$3:J1000,CONCATENATE("=",$A304))=0,"",J$2))</f>
        <v/>
      </c>
      <c r="K304" s="3" t="str">
        <f>IF($A304="","",IF(countif('Womens Lineup'!K$3:K1000,CONCATENATE("=",$A304))=0,"",K$2))</f>
        <v/>
      </c>
      <c r="L304" s="3" t="str">
        <f>IF($A304="","",IF(countif('Womens Lineup'!L$3:L1000,CONCATENATE("=",$A304))=0,"",L$2))</f>
        <v/>
      </c>
      <c r="M304" s="3" t="str">
        <f>IF($A304="","",IF(countif('Womens Lineup'!M$3:M1000,CONCATENATE("=",$A304))=0,"",M$2))</f>
        <v/>
      </c>
      <c r="N304" s="3" t="str">
        <f>IF($A304="","",IF(countif('Womens Lineup'!N$3:N1000,CONCATENATE("=",$A304))=0,"",N$2))</f>
        <v/>
      </c>
      <c r="O304" s="3" t="str">
        <f>IF($A304="","",IF(countif('Womens Lineup'!O$3:O1000,CONCATENATE("=",$A304))=0,"",O$2))</f>
        <v/>
      </c>
      <c r="P304" s="3" t="str">
        <f>IF($A304="","",IF(countif('Womens Lineup'!P$3:P1000,CONCATENATE("=",$A304))=0,"",P$2))</f>
        <v/>
      </c>
      <c r="Q304" s="3" t="str">
        <f>IF($A304="","",IF(countif('Womens Lineup'!Q$3:Q1000,CONCATENATE("=",$A304))=0,"",Q$2))</f>
        <v/>
      </c>
      <c r="R304" s="3" t="str">
        <f>IF($A304="","",IF(countif('Womens Lineup'!R$3:R1000,CONCATENATE("=",$A304))=0,"",R$2))</f>
        <v/>
      </c>
      <c r="S304" s="3" t="str">
        <f>IF($A304="","",IF(countif('Womens Lineup'!S$3:S1000,CONCATENATE("=",$A304))=0,"",S$2))</f>
        <v/>
      </c>
      <c r="W304" s="3" t="str">
        <f>IFERROR(__xludf.DUMMYFUNCTION("JOIN("","",FILTER(B304:S304,B304:S304&lt;&gt;""""))"),"#N/A")</f>
        <v>#N/A</v>
      </c>
    </row>
    <row r="305">
      <c r="A305" s="3"/>
      <c r="B305" s="3" t="str">
        <f>IF($A305="","",IF(countif('Womens Lineup'!B$3:B1000,CONCATENATE("=",$A305))=0,"",B$2))</f>
        <v/>
      </c>
      <c r="C305" s="3" t="str">
        <f>IF($A305="","",IF(countif('Womens Lineup'!C$3:C1000,CONCATENATE("=",$A305))=0,"",C$2))</f>
        <v/>
      </c>
      <c r="D305" s="3" t="str">
        <f>IF($A305="","",IF(countif('Womens Lineup'!D$3:D1000,CONCATENATE("=",$A305))=0,"",D$2))</f>
        <v/>
      </c>
      <c r="E305" s="3" t="str">
        <f>IF($A305="","",IF(countif('Womens Lineup'!E$3:E1000,CONCATENATE("=",$A305))=0,"",E$2))</f>
        <v/>
      </c>
      <c r="F305" s="3" t="str">
        <f>IF($A305="","",IF(countif('Womens Lineup'!F$3:F1000,CONCATENATE("=",$A305))=0,"",F$2))</f>
        <v/>
      </c>
      <c r="G305" s="3" t="str">
        <f>IF($A305="","",IF(countif('Womens Lineup'!G$3:G1000,CONCATENATE("=",$A305))=0,"",G$2))</f>
        <v/>
      </c>
      <c r="H305" s="3" t="str">
        <f>IF($A305="","",IF(countif('Womens Lineup'!H$3:H1000,CONCATENATE("=",$A305))=0,"",H$2))</f>
        <v/>
      </c>
      <c r="I305" s="3" t="str">
        <f>IF($A305="","",IF(countif('Womens Lineup'!I$3:I1000,CONCATENATE("=",$A305))=0,"",I$2))</f>
        <v/>
      </c>
      <c r="J305" s="3" t="str">
        <f>IF($A305="","",IF(countif('Womens Lineup'!J$3:J1000,CONCATENATE("=",$A305))=0,"",J$2))</f>
        <v/>
      </c>
      <c r="K305" s="3" t="str">
        <f>IF($A305="","",IF(countif('Womens Lineup'!K$3:K1000,CONCATENATE("=",$A305))=0,"",K$2))</f>
        <v/>
      </c>
      <c r="L305" s="3" t="str">
        <f>IF($A305="","",IF(countif('Womens Lineup'!L$3:L1000,CONCATENATE("=",$A305))=0,"",L$2))</f>
        <v/>
      </c>
      <c r="M305" s="3" t="str">
        <f>IF($A305="","",IF(countif('Womens Lineup'!M$3:M1000,CONCATENATE("=",$A305))=0,"",M$2))</f>
        <v/>
      </c>
      <c r="N305" s="3" t="str">
        <f>IF($A305="","",IF(countif('Womens Lineup'!N$3:N1000,CONCATENATE("=",$A305))=0,"",N$2))</f>
        <v/>
      </c>
      <c r="O305" s="3" t="str">
        <f>IF($A305="","",IF(countif('Womens Lineup'!O$3:O1000,CONCATENATE("=",$A305))=0,"",O$2))</f>
        <v/>
      </c>
      <c r="P305" s="3" t="str">
        <f>IF($A305="","",IF(countif('Womens Lineup'!P$3:P1000,CONCATENATE("=",$A305))=0,"",P$2))</f>
        <v/>
      </c>
      <c r="Q305" s="3" t="str">
        <f>IF($A305="","",IF(countif('Womens Lineup'!Q$3:Q1000,CONCATENATE("=",$A305))=0,"",Q$2))</f>
        <v/>
      </c>
      <c r="R305" s="3" t="str">
        <f>IF($A305="","",IF(countif('Womens Lineup'!R$3:R1000,CONCATENATE("=",$A305))=0,"",R$2))</f>
        <v/>
      </c>
      <c r="S305" s="3" t="str">
        <f>IF($A305="","",IF(countif('Womens Lineup'!S$3:S1000,CONCATENATE("=",$A305))=0,"",S$2))</f>
        <v/>
      </c>
      <c r="W305" s="3" t="str">
        <f>IFERROR(__xludf.DUMMYFUNCTION("JOIN("","",FILTER(B305:S305,B305:S305&lt;&gt;""""))"),"#N/A")</f>
        <v>#N/A</v>
      </c>
    </row>
    <row r="306">
      <c r="A306" s="3"/>
      <c r="B306" s="3" t="str">
        <f>IF($A306="","",IF(countif('Womens Lineup'!B$3:B1000,CONCATENATE("=",$A306))=0,"",B$2))</f>
        <v/>
      </c>
      <c r="C306" s="3" t="str">
        <f>IF($A306="","",IF(countif('Womens Lineup'!C$3:C1000,CONCATENATE("=",$A306))=0,"",C$2))</f>
        <v/>
      </c>
      <c r="D306" s="3" t="str">
        <f>IF($A306="","",IF(countif('Womens Lineup'!D$3:D1000,CONCATENATE("=",$A306))=0,"",D$2))</f>
        <v/>
      </c>
      <c r="E306" s="3" t="str">
        <f>IF($A306="","",IF(countif('Womens Lineup'!E$3:E1000,CONCATENATE("=",$A306))=0,"",E$2))</f>
        <v/>
      </c>
      <c r="F306" s="3" t="str">
        <f>IF($A306="","",IF(countif('Womens Lineup'!F$3:F1000,CONCATENATE("=",$A306))=0,"",F$2))</f>
        <v/>
      </c>
      <c r="G306" s="3" t="str">
        <f>IF($A306="","",IF(countif('Womens Lineup'!G$3:G1000,CONCATENATE("=",$A306))=0,"",G$2))</f>
        <v/>
      </c>
      <c r="H306" s="3" t="str">
        <f>IF($A306="","",IF(countif('Womens Lineup'!H$3:H1000,CONCATENATE("=",$A306))=0,"",H$2))</f>
        <v/>
      </c>
      <c r="I306" s="3" t="str">
        <f>IF($A306="","",IF(countif('Womens Lineup'!I$3:I1000,CONCATENATE("=",$A306))=0,"",I$2))</f>
        <v/>
      </c>
      <c r="J306" s="3" t="str">
        <f>IF($A306="","",IF(countif('Womens Lineup'!J$3:J1000,CONCATENATE("=",$A306))=0,"",J$2))</f>
        <v/>
      </c>
      <c r="K306" s="3" t="str">
        <f>IF($A306="","",IF(countif('Womens Lineup'!K$3:K1000,CONCATENATE("=",$A306))=0,"",K$2))</f>
        <v/>
      </c>
      <c r="L306" s="3" t="str">
        <f>IF($A306="","",IF(countif('Womens Lineup'!L$3:L1000,CONCATENATE("=",$A306))=0,"",L$2))</f>
        <v/>
      </c>
      <c r="M306" s="3" t="str">
        <f>IF($A306="","",IF(countif('Womens Lineup'!M$3:M1000,CONCATENATE("=",$A306))=0,"",M$2))</f>
        <v/>
      </c>
      <c r="N306" s="3" t="str">
        <f>IF($A306="","",IF(countif('Womens Lineup'!N$3:N1000,CONCATENATE("=",$A306))=0,"",N$2))</f>
        <v/>
      </c>
      <c r="O306" s="3" t="str">
        <f>IF($A306="","",IF(countif('Womens Lineup'!O$3:O1000,CONCATENATE("=",$A306))=0,"",O$2))</f>
        <v/>
      </c>
      <c r="P306" s="3" t="str">
        <f>IF($A306="","",IF(countif('Womens Lineup'!P$3:P1000,CONCATENATE("=",$A306))=0,"",P$2))</f>
        <v/>
      </c>
      <c r="Q306" s="3" t="str">
        <f>IF($A306="","",IF(countif('Womens Lineup'!Q$3:Q1000,CONCATENATE("=",$A306))=0,"",Q$2))</f>
        <v/>
      </c>
      <c r="R306" s="3" t="str">
        <f>IF($A306="","",IF(countif('Womens Lineup'!R$3:R1000,CONCATENATE("=",$A306))=0,"",R$2))</f>
        <v/>
      </c>
      <c r="S306" s="3" t="str">
        <f>IF($A306="","",IF(countif('Womens Lineup'!S$3:S1000,CONCATENATE("=",$A306))=0,"",S$2))</f>
        <v/>
      </c>
      <c r="W306" s="3" t="str">
        <f>IFERROR(__xludf.DUMMYFUNCTION("JOIN("","",FILTER(B306:S306,B306:S306&lt;&gt;""""))"),"#N/A")</f>
        <v>#N/A</v>
      </c>
    </row>
    <row r="307">
      <c r="A307" s="3"/>
      <c r="B307" s="3" t="str">
        <f>IF($A307="","",IF(countif('Womens Lineup'!B$3:B1000,CONCATENATE("=",$A307))=0,"",B$2))</f>
        <v/>
      </c>
      <c r="C307" s="3" t="str">
        <f>IF($A307="","",IF(countif('Womens Lineup'!C$3:C1000,CONCATENATE("=",$A307))=0,"",C$2))</f>
        <v/>
      </c>
      <c r="D307" s="3" t="str">
        <f>IF($A307="","",IF(countif('Womens Lineup'!D$3:D1000,CONCATENATE("=",$A307))=0,"",D$2))</f>
        <v/>
      </c>
      <c r="E307" s="3" t="str">
        <f>IF($A307="","",IF(countif('Womens Lineup'!E$3:E1000,CONCATENATE("=",$A307))=0,"",E$2))</f>
        <v/>
      </c>
      <c r="F307" s="3" t="str">
        <f>IF($A307="","",IF(countif('Womens Lineup'!F$3:F1000,CONCATENATE("=",$A307))=0,"",F$2))</f>
        <v/>
      </c>
      <c r="G307" s="3" t="str">
        <f>IF($A307="","",IF(countif('Womens Lineup'!G$3:G1000,CONCATENATE("=",$A307))=0,"",G$2))</f>
        <v/>
      </c>
      <c r="H307" s="3" t="str">
        <f>IF($A307="","",IF(countif('Womens Lineup'!H$3:H1000,CONCATENATE("=",$A307))=0,"",H$2))</f>
        <v/>
      </c>
      <c r="I307" s="3" t="str">
        <f>IF($A307="","",IF(countif('Womens Lineup'!I$3:I1000,CONCATENATE("=",$A307))=0,"",I$2))</f>
        <v/>
      </c>
      <c r="J307" s="3" t="str">
        <f>IF($A307="","",IF(countif('Womens Lineup'!J$3:J1000,CONCATENATE("=",$A307))=0,"",J$2))</f>
        <v/>
      </c>
      <c r="K307" s="3" t="str">
        <f>IF($A307="","",IF(countif('Womens Lineup'!K$3:K1000,CONCATENATE("=",$A307))=0,"",K$2))</f>
        <v/>
      </c>
      <c r="L307" s="3" t="str">
        <f>IF($A307="","",IF(countif('Womens Lineup'!L$3:L1000,CONCATENATE("=",$A307))=0,"",L$2))</f>
        <v/>
      </c>
      <c r="M307" s="3" t="str">
        <f>IF($A307="","",IF(countif('Womens Lineup'!M$3:M1000,CONCATENATE("=",$A307))=0,"",M$2))</f>
        <v/>
      </c>
      <c r="N307" s="3" t="str">
        <f>IF($A307="","",IF(countif('Womens Lineup'!N$3:N1000,CONCATENATE("=",$A307))=0,"",N$2))</f>
        <v/>
      </c>
      <c r="O307" s="3" t="str">
        <f>IF($A307="","",IF(countif('Womens Lineup'!O$3:O1000,CONCATENATE("=",$A307))=0,"",O$2))</f>
        <v/>
      </c>
      <c r="P307" s="3" t="str">
        <f>IF($A307="","",IF(countif('Womens Lineup'!P$3:P1000,CONCATENATE("=",$A307))=0,"",P$2))</f>
        <v/>
      </c>
      <c r="Q307" s="3" t="str">
        <f>IF($A307="","",IF(countif('Womens Lineup'!Q$3:Q1000,CONCATENATE("=",$A307))=0,"",Q$2))</f>
        <v/>
      </c>
      <c r="R307" s="3" t="str">
        <f>IF($A307="","",IF(countif('Womens Lineup'!R$3:R1000,CONCATENATE("=",$A307))=0,"",R$2))</f>
        <v/>
      </c>
      <c r="S307" s="3" t="str">
        <f>IF($A307="","",IF(countif('Womens Lineup'!S$3:S1000,CONCATENATE("=",$A307))=0,"",S$2))</f>
        <v/>
      </c>
      <c r="W307" s="3" t="str">
        <f>IFERROR(__xludf.DUMMYFUNCTION("JOIN("","",FILTER(B307:S307,B307:S307&lt;&gt;""""))"),"#N/A")</f>
        <v>#N/A</v>
      </c>
    </row>
    <row r="308">
      <c r="A308" s="3"/>
      <c r="B308" s="3" t="str">
        <f>IF($A308="","",IF(countif('Womens Lineup'!B$3:B1000,CONCATENATE("=",$A308))=0,"",B$2))</f>
        <v/>
      </c>
      <c r="C308" s="3" t="str">
        <f>IF($A308="","",IF(countif('Womens Lineup'!C$3:C1000,CONCATENATE("=",$A308))=0,"",C$2))</f>
        <v/>
      </c>
      <c r="D308" s="3" t="str">
        <f>IF($A308="","",IF(countif('Womens Lineup'!D$3:D1000,CONCATENATE("=",$A308))=0,"",D$2))</f>
        <v/>
      </c>
      <c r="E308" s="3" t="str">
        <f>IF($A308="","",IF(countif('Womens Lineup'!E$3:E1000,CONCATENATE("=",$A308))=0,"",E$2))</f>
        <v/>
      </c>
      <c r="F308" s="3" t="str">
        <f>IF($A308="","",IF(countif('Womens Lineup'!F$3:F1000,CONCATENATE("=",$A308))=0,"",F$2))</f>
        <v/>
      </c>
      <c r="G308" s="3" t="str">
        <f>IF($A308="","",IF(countif('Womens Lineup'!G$3:G1000,CONCATENATE("=",$A308))=0,"",G$2))</f>
        <v/>
      </c>
      <c r="H308" s="3" t="str">
        <f>IF($A308="","",IF(countif('Womens Lineup'!H$3:H1000,CONCATENATE("=",$A308))=0,"",H$2))</f>
        <v/>
      </c>
      <c r="I308" s="3" t="str">
        <f>IF($A308="","",IF(countif('Womens Lineup'!I$3:I1000,CONCATENATE("=",$A308))=0,"",I$2))</f>
        <v/>
      </c>
      <c r="J308" s="3" t="str">
        <f>IF($A308="","",IF(countif('Womens Lineup'!J$3:J1000,CONCATENATE("=",$A308))=0,"",J$2))</f>
        <v/>
      </c>
      <c r="K308" s="3" t="str">
        <f>IF($A308="","",IF(countif('Womens Lineup'!K$3:K1000,CONCATENATE("=",$A308))=0,"",K$2))</f>
        <v/>
      </c>
      <c r="L308" s="3" t="str">
        <f>IF($A308="","",IF(countif('Womens Lineup'!L$3:L1000,CONCATENATE("=",$A308))=0,"",L$2))</f>
        <v/>
      </c>
      <c r="M308" s="3" t="str">
        <f>IF($A308="","",IF(countif('Womens Lineup'!M$3:M1000,CONCATENATE("=",$A308))=0,"",M$2))</f>
        <v/>
      </c>
      <c r="N308" s="3" t="str">
        <f>IF($A308="","",IF(countif('Womens Lineup'!N$3:N1000,CONCATENATE("=",$A308))=0,"",N$2))</f>
        <v/>
      </c>
      <c r="O308" s="3" t="str">
        <f>IF($A308="","",IF(countif('Womens Lineup'!O$3:O1000,CONCATENATE("=",$A308))=0,"",O$2))</f>
        <v/>
      </c>
      <c r="P308" s="3" t="str">
        <f>IF($A308="","",IF(countif('Womens Lineup'!P$3:P1000,CONCATENATE("=",$A308))=0,"",P$2))</f>
        <v/>
      </c>
      <c r="Q308" s="3" t="str">
        <f>IF($A308="","",IF(countif('Womens Lineup'!Q$3:Q1000,CONCATENATE("=",$A308))=0,"",Q$2))</f>
        <v/>
      </c>
      <c r="R308" s="3" t="str">
        <f>IF($A308="","",IF(countif('Womens Lineup'!R$3:R1000,CONCATENATE("=",$A308))=0,"",R$2))</f>
        <v/>
      </c>
      <c r="S308" s="3" t="str">
        <f>IF($A308="","",IF(countif('Womens Lineup'!S$3:S1000,CONCATENATE("=",$A308))=0,"",S$2))</f>
        <v/>
      </c>
      <c r="W308" s="3" t="str">
        <f>IFERROR(__xludf.DUMMYFUNCTION("JOIN("","",FILTER(B308:S308,B308:S308&lt;&gt;""""))"),"#N/A")</f>
        <v>#N/A</v>
      </c>
    </row>
    <row r="309">
      <c r="A309" s="3"/>
      <c r="B309" s="3" t="str">
        <f>IF($A309="","",IF(countif('Womens Lineup'!B$3:B1000,CONCATENATE("=",$A309))=0,"",B$2))</f>
        <v/>
      </c>
      <c r="C309" s="3" t="str">
        <f>IF($A309="","",IF(countif('Womens Lineup'!C$3:C1000,CONCATENATE("=",$A309))=0,"",C$2))</f>
        <v/>
      </c>
      <c r="D309" s="3" t="str">
        <f>IF($A309="","",IF(countif('Womens Lineup'!D$3:D1000,CONCATENATE("=",$A309))=0,"",D$2))</f>
        <v/>
      </c>
      <c r="E309" s="3" t="str">
        <f>IF($A309="","",IF(countif('Womens Lineup'!E$3:E1000,CONCATENATE("=",$A309))=0,"",E$2))</f>
        <v/>
      </c>
      <c r="F309" s="3" t="str">
        <f>IF($A309="","",IF(countif('Womens Lineup'!F$3:F1000,CONCATENATE("=",$A309))=0,"",F$2))</f>
        <v/>
      </c>
      <c r="G309" s="3" t="str">
        <f>IF($A309="","",IF(countif('Womens Lineup'!G$3:G1000,CONCATENATE("=",$A309))=0,"",G$2))</f>
        <v/>
      </c>
      <c r="H309" s="3" t="str">
        <f>IF($A309="","",IF(countif('Womens Lineup'!H$3:H1000,CONCATENATE("=",$A309))=0,"",H$2))</f>
        <v/>
      </c>
      <c r="I309" s="3" t="str">
        <f>IF($A309="","",IF(countif('Womens Lineup'!I$3:I1000,CONCATENATE("=",$A309))=0,"",I$2))</f>
        <v/>
      </c>
      <c r="J309" s="3" t="str">
        <f>IF($A309="","",IF(countif('Womens Lineup'!J$3:J1000,CONCATENATE("=",$A309))=0,"",J$2))</f>
        <v/>
      </c>
      <c r="K309" s="3" t="str">
        <f>IF($A309="","",IF(countif('Womens Lineup'!K$3:K1000,CONCATENATE("=",$A309))=0,"",K$2))</f>
        <v/>
      </c>
      <c r="L309" s="3" t="str">
        <f>IF($A309="","",IF(countif('Womens Lineup'!L$3:L1000,CONCATENATE("=",$A309))=0,"",L$2))</f>
        <v/>
      </c>
      <c r="M309" s="3" t="str">
        <f>IF($A309="","",IF(countif('Womens Lineup'!M$3:M1000,CONCATENATE("=",$A309))=0,"",M$2))</f>
        <v/>
      </c>
      <c r="N309" s="3" t="str">
        <f>IF($A309="","",IF(countif('Womens Lineup'!N$3:N1000,CONCATENATE("=",$A309))=0,"",N$2))</f>
        <v/>
      </c>
      <c r="O309" s="3" t="str">
        <f>IF($A309="","",IF(countif('Womens Lineup'!O$3:O1000,CONCATENATE("=",$A309))=0,"",O$2))</f>
        <v/>
      </c>
      <c r="P309" s="3" t="str">
        <f>IF($A309="","",IF(countif('Womens Lineup'!P$3:P1000,CONCATENATE("=",$A309))=0,"",P$2))</f>
        <v/>
      </c>
      <c r="Q309" s="3" t="str">
        <f>IF($A309="","",IF(countif('Womens Lineup'!Q$3:Q1000,CONCATENATE("=",$A309))=0,"",Q$2))</f>
        <v/>
      </c>
      <c r="R309" s="3" t="str">
        <f>IF($A309="","",IF(countif('Womens Lineup'!R$3:R1000,CONCATENATE("=",$A309))=0,"",R$2))</f>
        <v/>
      </c>
      <c r="S309" s="3" t="str">
        <f>IF($A309="","",IF(countif('Womens Lineup'!S$3:S1000,CONCATENATE("=",$A309))=0,"",S$2))</f>
        <v/>
      </c>
      <c r="W309" s="3" t="str">
        <f>IFERROR(__xludf.DUMMYFUNCTION("JOIN("","",FILTER(B309:S309,B309:S309&lt;&gt;""""))"),"#N/A")</f>
        <v>#N/A</v>
      </c>
    </row>
    <row r="310">
      <c r="A310" s="3"/>
      <c r="B310" s="3" t="str">
        <f>IF($A310="","",IF(countif('Womens Lineup'!B$3:B1000,CONCATENATE("=",$A310))=0,"",B$2))</f>
        <v/>
      </c>
      <c r="C310" s="3" t="str">
        <f>IF($A310="","",IF(countif('Womens Lineup'!C$3:C1000,CONCATENATE("=",$A310))=0,"",C$2))</f>
        <v/>
      </c>
      <c r="D310" s="3" t="str">
        <f>IF($A310="","",IF(countif('Womens Lineup'!D$3:D1000,CONCATENATE("=",$A310))=0,"",D$2))</f>
        <v/>
      </c>
      <c r="E310" s="3" t="str">
        <f>IF($A310="","",IF(countif('Womens Lineup'!E$3:E1000,CONCATENATE("=",$A310))=0,"",E$2))</f>
        <v/>
      </c>
      <c r="F310" s="3" t="str">
        <f>IF($A310="","",IF(countif('Womens Lineup'!F$3:F1000,CONCATENATE("=",$A310))=0,"",F$2))</f>
        <v/>
      </c>
      <c r="G310" s="3" t="str">
        <f>IF($A310="","",IF(countif('Womens Lineup'!G$3:G1000,CONCATENATE("=",$A310))=0,"",G$2))</f>
        <v/>
      </c>
      <c r="H310" s="3" t="str">
        <f>IF($A310="","",IF(countif('Womens Lineup'!H$3:H1000,CONCATENATE("=",$A310))=0,"",H$2))</f>
        <v/>
      </c>
      <c r="I310" s="3" t="str">
        <f>IF($A310="","",IF(countif('Womens Lineup'!I$3:I1000,CONCATENATE("=",$A310))=0,"",I$2))</f>
        <v/>
      </c>
      <c r="J310" s="3" t="str">
        <f>IF($A310="","",IF(countif('Womens Lineup'!J$3:J1000,CONCATENATE("=",$A310))=0,"",J$2))</f>
        <v/>
      </c>
      <c r="K310" s="3" t="str">
        <f>IF($A310="","",IF(countif('Womens Lineup'!K$3:K1000,CONCATENATE("=",$A310))=0,"",K$2))</f>
        <v/>
      </c>
      <c r="L310" s="3" t="str">
        <f>IF($A310="","",IF(countif('Womens Lineup'!L$3:L1000,CONCATENATE("=",$A310))=0,"",L$2))</f>
        <v/>
      </c>
      <c r="M310" s="3" t="str">
        <f>IF($A310="","",IF(countif('Womens Lineup'!M$3:M1000,CONCATENATE("=",$A310))=0,"",M$2))</f>
        <v/>
      </c>
      <c r="N310" s="3" t="str">
        <f>IF($A310="","",IF(countif('Womens Lineup'!N$3:N1000,CONCATENATE("=",$A310))=0,"",N$2))</f>
        <v/>
      </c>
      <c r="O310" s="3" t="str">
        <f>IF($A310="","",IF(countif('Womens Lineup'!O$3:O1000,CONCATENATE("=",$A310))=0,"",O$2))</f>
        <v/>
      </c>
      <c r="P310" s="3" t="str">
        <f>IF($A310="","",IF(countif('Womens Lineup'!P$3:P1000,CONCATENATE("=",$A310))=0,"",P$2))</f>
        <v/>
      </c>
      <c r="Q310" s="3" t="str">
        <f>IF($A310="","",IF(countif('Womens Lineup'!Q$3:Q1000,CONCATENATE("=",$A310))=0,"",Q$2))</f>
        <v/>
      </c>
      <c r="R310" s="3" t="str">
        <f>IF($A310="","",IF(countif('Womens Lineup'!R$3:R1000,CONCATENATE("=",$A310))=0,"",R$2))</f>
        <v/>
      </c>
      <c r="S310" s="3" t="str">
        <f>IF($A310="","",IF(countif('Womens Lineup'!S$3:S1000,CONCATENATE("=",$A310))=0,"",S$2))</f>
        <v/>
      </c>
      <c r="W310" s="3" t="str">
        <f>IFERROR(__xludf.DUMMYFUNCTION("JOIN("","",FILTER(B310:S310,B310:S310&lt;&gt;""""))"),"#N/A")</f>
        <v>#N/A</v>
      </c>
    </row>
    <row r="311">
      <c r="A311" s="3"/>
      <c r="B311" s="3" t="str">
        <f>IF($A311="","",IF(countif('Womens Lineup'!B$3:B1000,CONCATENATE("=",$A311))=0,"",B$2))</f>
        <v/>
      </c>
      <c r="C311" s="3" t="str">
        <f>IF($A311="","",IF(countif('Womens Lineup'!C$3:C1000,CONCATENATE("=",$A311))=0,"",C$2))</f>
        <v/>
      </c>
      <c r="D311" s="3" t="str">
        <f>IF($A311="","",IF(countif('Womens Lineup'!D$3:D1000,CONCATENATE("=",$A311))=0,"",D$2))</f>
        <v/>
      </c>
      <c r="E311" s="3" t="str">
        <f>IF($A311="","",IF(countif('Womens Lineup'!E$3:E1000,CONCATENATE("=",$A311))=0,"",E$2))</f>
        <v/>
      </c>
      <c r="F311" s="3" t="str">
        <f>IF($A311="","",IF(countif('Womens Lineup'!F$3:F1000,CONCATENATE("=",$A311))=0,"",F$2))</f>
        <v/>
      </c>
      <c r="G311" s="3" t="str">
        <f>IF($A311="","",IF(countif('Womens Lineup'!G$3:G1000,CONCATENATE("=",$A311))=0,"",G$2))</f>
        <v/>
      </c>
      <c r="H311" s="3" t="str">
        <f>IF($A311="","",IF(countif('Womens Lineup'!H$3:H1000,CONCATENATE("=",$A311))=0,"",H$2))</f>
        <v/>
      </c>
      <c r="I311" s="3" t="str">
        <f>IF($A311="","",IF(countif('Womens Lineup'!I$3:I1000,CONCATENATE("=",$A311))=0,"",I$2))</f>
        <v/>
      </c>
      <c r="J311" s="3" t="str">
        <f>IF($A311="","",IF(countif('Womens Lineup'!J$3:J1000,CONCATENATE("=",$A311))=0,"",J$2))</f>
        <v/>
      </c>
      <c r="K311" s="3" t="str">
        <f>IF($A311="","",IF(countif('Womens Lineup'!K$3:K1000,CONCATENATE("=",$A311))=0,"",K$2))</f>
        <v/>
      </c>
      <c r="L311" s="3" t="str">
        <f>IF($A311="","",IF(countif('Womens Lineup'!L$3:L1000,CONCATENATE("=",$A311))=0,"",L$2))</f>
        <v/>
      </c>
      <c r="M311" s="3" t="str">
        <f>IF($A311="","",IF(countif('Womens Lineup'!M$3:M1000,CONCATENATE("=",$A311))=0,"",M$2))</f>
        <v/>
      </c>
      <c r="N311" s="3" t="str">
        <f>IF($A311="","",IF(countif('Womens Lineup'!N$3:N1000,CONCATENATE("=",$A311))=0,"",N$2))</f>
        <v/>
      </c>
      <c r="O311" s="3" t="str">
        <f>IF($A311="","",IF(countif('Womens Lineup'!O$3:O1000,CONCATENATE("=",$A311))=0,"",O$2))</f>
        <v/>
      </c>
      <c r="P311" s="3" t="str">
        <f>IF($A311="","",IF(countif('Womens Lineup'!P$3:P1000,CONCATENATE("=",$A311))=0,"",P$2))</f>
        <v/>
      </c>
      <c r="Q311" s="3" t="str">
        <f>IF($A311="","",IF(countif('Womens Lineup'!Q$3:Q1000,CONCATENATE("=",$A311))=0,"",Q$2))</f>
        <v/>
      </c>
      <c r="R311" s="3" t="str">
        <f>IF($A311="","",IF(countif('Womens Lineup'!R$3:R1000,CONCATENATE("=",$A311))=0,"",R$2))</f>
        <v/>
      </c>
      <c r="S311" s="3" t="str">
        <f>IF($A311="","",IF(countif('Womens Lineup'!S$3:S1000,CONCATENATE("=",$A311))=0,"",S$2))</f>
        <v/>
      </c>
      <c r="W311" s="3" t="str">
        <f>IFERROR(__xludf.DUMMYFUNCTION("JOIN("","",FILTER(B311:S311,B311:S311&lt;&gt;""""))"),"#N/A")</f>
        <v>#N/A</v>
      </c>
    </row>
    <row r="312">
      <c r="A312" s="3"/>
      <c r="B312" s="3" t="str">
        <f>IF($A312="","",IF(countif('Womens Lineup'!B$3:B1000,CONCATENATE("=",$A312))=0,"",B$2))</f>
        <v/>
      </c>
      <c r="C312" s="3" t="str">
        <f>IF($A312="","",IF(countif('Womens Lineup'!C$3:C1000,CONCATENATE("=",$A312))=0,"",C$2))</f>
        <v/>
      </c>
      <c r="D312" s="3" t="str">
        <f>IF($A312="","",IF(countif('Womens Lineup'!D$3:D1000,CONCATENATE("=",$A312))=0,"",D$2))</f>
        <v/>
      </c>
      <c r="E312" s="3" t="str">
        <f>IF($A312="","",IF(countif('Womens Lineup'!E$3:E1000,CONCATENATE("=",$A312))=0,"",E$2))</f>
        <v/>
      </c>
      <c r="F312" s="3" t="str">
        <f>IF($A312="","",IF(countif('Womens Lineup'!F$3:F1000,CONCATENATE("=",$A312))=0,"",F$2))</f>
        <v/>
      </c>
      <c r="G312" s="3" t="str">
        <f>IF($A312="","",IF(countif('Womens Lineup'!G$3:G1000,CONCATENATE("=",$A312))=0,"",G$2))</f>
        <v/>
      </c>
      <c r="H312" s="3" t="str">
        <f>IF($A312="","",IF(countif('Womens Lineup'!H$3:H1000,CONCATENATE("=",$A312))=0,"",H$2))</f>
        <v/>
      </c>
      <c r="I312" s="3" t="str">
        <f>IF($A312="","",IF(countif('Womens Lineup'!I$3:I1000,CONCATENATE("=",$A312))=0,"",I$2))</f>
        <v/>
      </c>
      <c r="J312" s="3" t="str">
        <f>IF($A312="","",IF(countif('Womens Lineup'!J$3:J1000,CONCATENATE("=",$A312))=0,"",J$2))</f>
        <v/>
      </c>
      <c r="K312" s="3" t="str">
        <f>IF($A312="","",IF(countif('Womens Lineup'!K$3:K1000,CONCATENATE("=",$A312))=0,"",K$2))</f>
        <v/>
      </c>
      <c r="L312" s="3" t="str">
        <f>IF($A312="","",IF(countif('Womens Lineup'!L$3:L1000,CONCATENATE("=",$A312))=0,"",L$2))</f>
        <v/>
      </c>
      <c r="M312" s="3" t="str">
        <f>IF($A312="","",IF(countif('Womens Lineup'!M$3:M1000,CONCATENATE("=",$A312))=0,"",M$2))</f>
        <v/>
      </c>
      <c r="N312" s="3" t="str">
        <f>IF($A312="","",IF(countif('Womens Lineup'!N$3:N1000,CONCATENATE("=",$A312))=0,"",N$2))</f>
        <v/>
      </c>
      <c r="O312" s="3" t="str">
        <f>IF($A312="","",IF(countif('Womens Lineup'!O$3:O1000,CONCATENATE("=",$A312))=0,"",O$2))</f>
        <v/>
      </c>
      <c r="P312" s="3" t="str">
        <f>IF($A312="","",IF(countif('Womens Lineup'!P$3:P1000,CONCATENATE("=",$A312))=0,"",P$2))</f>
        <v/>
      </c>
      <c r="Q312" s="3" t="str">
        <f>IF($A312="","",IF(countif('Womens Lineup'!Q$3:Q1000,CONCATENATE("=",$A312))=0,"",Q$2))</f>
        <v/>
      </c>
      <c r="R312" s="3" t="str">
        <f>IF($A312="","",IF(countif('Womens Lineup'!R$3:R1000,CONCATENATE("=",$A312))=0,"",R$2))</f>
        <v/>
      </c>
      <c r="S312" s="3" t="str">
        <f>IF($A312="","",IF(countif('Womens Lineup'!S$3:S1000,CONCATENATE("=",$A312))=0,"",S$2))</f>
        <v/>
      </c>
      <c r="W312" s="3" t="str">
        <f>IFERROR(__xludf.DUMMYFUNCTION("JOIN("","",FILTER(B312:S312,B312:S312&lt;&gt;""""))"),"#N/A")</f>
        <v>#N/A</v>
      </c>
    </row>
    <row r="313">
      <c r="A313" s="3"/>
      <c r="B313" s="3" t="str">
        <f>IF($A313="","",IF(countif('Womens Lineup'!B$3:B1000,CONCATENATE("=",$A313))=0,"",B$2))</f>
        <v/>
      </c>
      <c r="C313" s="3" t="str">
        <f>IF($A313="","",IF(countif('Womens Lineup'!C$3:C1000,CONCATENATE("=",$A313))=0,"",C$2))</f>
        <v/>
      </c>
      <c r="D313" s="3" t="str">
        <f>IF($A313="","",IF(countif('Womens Lineup'!D$3:D1000,CONCATENATE("=",$A313))=0,"",D$2))</f>
        <v/>
      </c>
      <c r="E313" s="3" t="str">
        <f>IF($A313="","",IF(countif('Womens Lineup'!E$3:E1000,CONCATENATE("=",$A313))=0,"",E$2))</f>
        <v/>
      </c>
      <c r="F313" s="3" t="str">
        <f>IF($A313="","",IF(countif('Womens Lineup'!F$3:F1000,CONCATENATE("=",$A313))=0,"",F$2))</f>
        <v/>
      </c>
      <c r="G313" s="3" t="str">
        <f>IF($A313="","",IF(countif('Womens Lineup'!G$3:G1000,CONCATENATE("=",$A313))=0,"",G$2))</f>
        <v/>
      </c>
      <c r="H313" s="3" t="str">
        <f>IF($A313="","",IF(countif('Womens Lineup'!H$3:H1000,CONCATENATE("=",$A313))=0,"",H$2))</f>
        <v/>
      </c>
      <c r="I313" s="3" t="str">
        <f>IF($A313="","",IF(countif('Womens Lineup'!I$3:I1000,CONCATENATE("=",$A313))=0,"",I$2))</f>
        <v/>
      </c>
      <c r="J313" s="3" t="str">
        <f>IF($A313="","",IF(countif('Womens Lineup'!J$3:J1000,CONCATENATE("=",$A313))=0,"",J$2))</f>
        <v/>
      </c>
      <c r="K313" s="3" t="str">
        <f>IF($A313="","",IF(countif('Womens Lineup'!K$3:K1000,CONCATENATE("=",$A313))=0,"",K$2))</f>
        <v/>
      </c>
      <c r="L313" s="3" t="str">
        <f>IF($A313="","",IF(countif('Womens Lineup'!L$3:L1000,CONCATENATE("=",$A313))=0,"",L$2))</f>
        <v/>
      </c>
      <c r="M313" s="3" t="str">
        <f>IF($A313="","",IF(countif('Womens Lineup'!M$3:M1000,CONCATENATE("=",$A313))=0,"",M$2))</f>
        <v/>
      </c>
      <c r="N313" s="3" t="str">
        <f>IF($A313="","",IF(countif('Womens Lineup'!N$3:N1000,CONCATENATE("=",$A313))=0,"",N$2))</f>
        <v/>
      </c>
      <c r="O313" s="3" t="str">
        <f>IF($A313="","",IF(countif('Womens Lineup'!O$3:O1000,CONCATENATE("=",$A313))=0,"",O$2))</f>
        <v/>
      </c>
      <c r="P313" s="3" t="str">
        <f>IF($A313="","",IF(countif('Womens Lineup'!P$3:P1000,CONCATENATE("=",$A313))=0,"",P$2))</f>
        <v/>
      </c>
      <c r="Q313" s="3" t="str">
        <f>IF($A313="","",IF(countif('Womens Lineup'!Q$3:Q1000,CONCATENATE("=",$A313))=0,"",Q$2))</f>
        <v/>
      </c>
      <c r="R313" s="3" t="str">
        <f>IF($A313="","",IF(countif('Womens Lineup'!R$3:R1000,CONCATENATE("=",$A313))=0,"",R$2))</f>
        <v/>
      </c>
      <c r="S313" s="3" t="str">
        <f>IF($A313="","",IF(countif('Womens Lineup'!S$3:S1000,CONCATENATE("=",$A313))=0,"",S$2))</f>
        <v/>
      </c>
      <c r="W313" s="3" t="str">
        <f>IFERROR(__xludf.DUMMYFUNCTION("JOIN("","",FILTER(B313:S313,B313:S313&lt;&gt;""""))"),"#N/A")</f>
        <v>#N/A</v>
      </c>
    </row>
    <row r="314">
      <c r="A314" s="3"/>
      <c r="B314" s="3" t="str">
        <f>IF($A314="","",IF(countif('Womens Lineup'!B$3:B1000,CONCATENATE("=",$A314))=0,"",B$2))</f>
        <v/>
      </c>
      <c r="C314" s="3" t="str">
        <f>IF($A314="","",IF(countif('Womens Lineup'!C$3:C1000,CONCATENATE("=",$A314))=0,"",C$2))</f>
        <v/>
      </c>
      <c r="D314" s="3" t="str">
        <f>IF($A314="","",IF(countif('Womens Lineup'!D$3:D1000,CONCATENATE("=",$A314))=0,"",D$2))</f>
        <v/>
      </c>
      <c r="E314" s="3" t="str">
        <f>IF($A314="","",IF(countif('Womens Lineup'!E$3:E1000,CONCATENATE("=",$A314))=0,"",E$2))</f>
        <v/>
      </c>
      <c r="F314" s="3" t="str">
        <f>IF($A314="","",IF(countif('Womens Lineup'!F$3:F1000,CONCATENATE("=",$A314))=0,"",F$2))</f>
        <v/>
      </c>
      <c r="G314" s="3" t="str">
        <f>IF($A314="","",IF(countif('Womens Lineup'!G$3:G1000,CONCATENATE("=",$A314))=0,"",G$2))</f>
        <v/>
      </c>
      <c r="H314" s="3" t="str">
        <f>IF($A314="","",IF(countif('Womens Lineup'!H$3:H1000,CONCATENATE("=",$A314))=0,"",H$2))</f>
        <v/>
      </c>
      <c r="I314" s="3" t="str">
        <f>IF($A314="","",IF(countif('Womens Lineup'!I$3:I1000,CONCATENATE("=",$A314))=0,"",I$2))</f>
        <v/>
      </c>
      <c r="J314" s="3" t="str">
        <f>IF($A314="","",IF(countif('Womens Lineup'!J$3:J1000,CONCATENATE("=",$A314))=0,"",J$2))</f>
        <v/>
      </c>
      <c r="K314" s="3" t="str">
        <f>IF($A314="","",IF(countif('Womens Lineup'!K$3:K1000,CONCATENATE("=",$A314))=0,"",K$2))</f>
        <v/>
      </c>
      <c r="L314" s="3" t="str">
        <f>IF($A314="","",IF(countif('Womens Lineup'!L$3:L1000,CONCATENATE("=",$A314))=0,"",L$2))</f>
        <v/>
      </c>
      <c r="M314" s="3" t="str">
        <f>IF($A314="","",IF(countif('Womens Lineup'!M$3:M1000,CONCATENATE("=",$A314))=0,"",M$2))</f>
        <v/>
      </c>
      <c r="N314" s="3" t="str">
        <f>IF($A314="","",IF(countif('Womens Lineup'!N$3:N1000,CONCATENATE("=",$A314))=0,"",N$2))</f>
        <v/>
      </c>
      <c r="O314" s="3" t="str">
        <f>IF($A314="","",IF(countif('Womens Lineup'!O$3:O1000,CONCATENATE("=",$A314))=0,"",O$2))</f>
        <v/>
      </c>
      <c r="P314" s="3" t="str">
        <f>IF($A314="","",IF(countif('Womens Lineup'!P$3:P1000,CONCATENATE("=",$A314))=0,"",P$2))</f>
        <v/>
      </c>
      <c r="Q314" s="3" t="str">
        <f>IF($A314="","",IF(countif('Womens Lineup'!Q$3:Q1000,CONCATENATE("=",$A314))=0,"",Q$2))</f>
        <v/>
      </c>
      <c r="R314" s="3" t="str">
        <f>IF($A314="","",IF(countif('Womens Lineup'!R$3:R1000,CONCATENATE("=",$A314))=0,"",R$2))</f>
        <v/>
      </c>
      <c r="S314" s="3" t="str">
        <f>IF($A314="","",IF(countif('Womens Lineup'!S$3:S1000,CONCATENATE("=",$A314))=0,"",S$2))</f>
        <v/>
      </c>
      <c r="W314" s="3" t="str">
        <f>IFERROR(__xludf.DUMMYFUNCTION("JOIN("","",FILTER(B314:S314,B314:S314&lt;&gt;""""))"),"#N/A")</f>
        <v>#N/A</v>
      </c>
    </row>
    <row r="315">
      <c r="A315" s="3"/>
      <c r="B315" s="3" t="str">
        <f>IF($A315="","",IF(countif('Womens Lineup'!B$3:B1000,CONCATENATE("=",$A315))=0,"",B$2))</f>
        <v/>
      </c>
      <c r="C315" s="3" t="str">
        <f>IF($A315="","",IF(countif('Womens Lineup'!C$3:C1000,CONCATENATE("=",$A315))=0,"",C$2))</f>
        <v/>
      </c>
      <c r="D315" s="3" t="str">
        <f>IF($A315="","",IF(countif('Womens Lineup'!D$3:D1000,CONCATENATE("=",$A315))=0,"",D$2))</f>
        <v/>
      </c>
      <c r="E315" s="3" t="str">
        <f>IF($A315="","",IF(countif('Womens Lineup'!E$3:E1000,CONCATENATE("=",$A315))=0,"",E$2))</f>
        <v/>
      </c>
      <c r="F315" s="3" t="str">
        <f>IF($A315="","",IF(countif('Womens Lineup'!F$3:F1000,CONCATENATE("=",$A315))=0,"",F$2))</f>
        <v/>
      </c>
      <c r="G315" s="3" t="str">
        <f>IF($A315="","",IF(countif('Womens Lineup'!G$3:G1000,CONCATENATE("=",$A315))=0,"",G$2))</f>
        <v/>
      </c>
      <c r="H315" s="3" t="str">
        <f>IF($A315="","",IF(countif('Womens Lineup'!H$3:H1000,CONCATENATE("=",$A315))=0,"",H$2))</f>
        <v/>
      </c>
      <c r="I315" s="3" t="str">
        <f>IF($A315="","",IF(countif('Womens Lineup'!I$3:I1000,CONCATENATE("=",$A315))=0,"",I$2))</f>
        <v/>
      </c>
      <c r="J315" s="3" t="str">
        <f>IF($A315="","",IF(countif('Womens Lineup'!J$3:J1000,CONCATENATE("=",$A315))=0,"",J$2))</f>
        <v/>
      </c>
      <c r="K315" s="3" t="str">
        <f>IF($A315="","",IF(countif('Womens Lineup'!K$3:K1000,CONCATENATE("=",$A315))=0,"",K$2))</f>
        <v/>
      </c>
      <c r="L315" s="3" t="str">
        <f>IF($A315="","",IF(countif('Womens Lineup'!L$3:L1000,CONCATENATE("=",$A315))=0,"",L$2))</f>
        <v/>
      </c>
      <c r="M315" s="3" t="str">
        <f>IF($A315="","",IF(countif('Womens Lineup'!M$3:M1000,CONCATENATE("=",$A315))=0,"",M$2))</f>
        <v/>
      </c>
      <c r="N315" s="3" t="str">
        <f>IF($A315="","",IF(countif('Womens Lineup'!N$3:N1000,CONCATENATE("=",$A315))=0,"",N$2))</f>
        <v/>
      </c>
      <c r="O315" s="3" t="str">
        <f>IF($A315="","",IF(countif('Womens Lineup'!O$3:O1000,CONCATENATE("=",$A315))=0,"",O$2))</f>
        <v/>
      </c>
      <c r="P315" s="3" t="str">
        <f>IF($A315="","",IF(countif('Womens Lineup'!P$3:P1000,CONCATENATE("=",$A315))=0,"",P$2))</f>
        <v/>
      </c>
      <c r="Q315" s="3" t="str">
        <f>IF($A315="","",IF(countif('Womens Lineup'!Q$3:Q1000,CONCATENATE("=",$A315))=0,"",Q$2))</f>
        <v/>
      </c>
      <c r="R315" s="3" t="str">
        <f>IF($A315="","",IF(countif('Womens Lineup'!R$3:R1000,CONCATENATE("=",$A315))=0,"",R$2))</f>
        <v/>
      </c>
      <c r="S315" s="3" t="str">
        <f>IF($A315="","",IF(countif('Womens Lineup'!S$3:S1000,CONCATENATE("=",$A315))=0,"",S$2))</f>
        <v/>
      </c>
      <c r="W315" s="3" t="str">
        <f>IFERROR(__xludf.DUMMYFUNCTION("JOIN("","",FILTER(B315:S315,B315:S315&lt;&gt;""""))"),"#N/A")</f>
        <v>#N/A</v>
      </c>
    </row>
    <row r="316">
      <c r="A316" s="3"/>
      <c r="B316" s="3" t="str">
        <f>IF($A316="","",IF(countif('Womens Lineup'!B$3:B1000,CONCATENATE("=",$A316))=0,"",B$2))</f>
        <v/>
      </c>
      <c r="C316" s="3" t="str">
        <f>IF($A316="","",IF(countif('Womens Lineup'!C$3:C1000,CONCATENATE("=",$A316))=0,"",C$2))</f>
        <v/>
      </c>
      <c r="D316" s="3" t="str">
        <f>IF($A316="","",IF(countif('Womens Lineup'!D$3:D1000,CONCATENATE("=",$A316))=0,"",D$2))</f>
        <v/>
      </c>
      <c r="E316" s="3" t="str">
        <f>IF($A316="","",IF(countif('Womens Lineup'!E$3:E1000,CONCATENATE("=",$A316))=0,"",E$2))</f>
        <v/>
      </c>
      <c r="F316" s="3" t="str">
        <f>IF($A316="","",IF(countif('Womens Lineup'!F$3:F1000,CONCATENATE("=",$A316))=0,"",F$2))</f>
        <v/>
      </c>
      <c r="G316" s="3" t="str">
        <f>IF($A316="","",IF(countif('Womens Lineup'!G$3:G1000,CONCATENATE("=",$A316))=0,"",G$2))</f>
        <v/>
      </c>
      <c r="H316" s="3" t="str">
        <f>IF($A316="","",IF(countif('Womens Lineup'!H$3:H1000,CONCATENATE("=",$A316))=0,"",H$2))</f>
        <v/>
      </c>
      <c r="I316" s="3" t="str">
        <f>IF($A316="","",IF(countif('Womens Lineup'!I$3:I1000,CONCATENATE("=",$A316))=0,"",I$2))</f>
        <v/>
      </c>
      <c r="J316" s="3" t="str">
        <f>IF($A316="","",IF(countif('Womens Lineup'!J$3:J1000,CONCATENATE("=",$A316))=0,"",J$2))</f>
        <v/>
      </c>
      <c r="K316" s="3" t="str">
        <f>IF($A316="","",IF(countif('Womens Lineup'!K$3:K1000,CONCATENATE("=",$A316))=0,"",K$2))</f>
        <v/>
      </c>
      <c r="L316" s="3" t="str">
        <f>IF($A316="","",IF(countif('Womens Lineup'!L$3:L1000,CONCATENATE("=",$A316))=0,"",L$2))</f>
        <v/>
      </c>
      <c r="M316" s="3" t="str">
        <f>IF($A316="","",IF(countif('Womens Lineup'!M$3:M1000,CONCATENATE("=",$A316))=0,"",M$2))</f>
        <v/>
      </c>
      <c r="N316" s="3" t="str">
        <f>IF($A316="","",IF(countif('Womens Lineup'!N$3:N1000,CONCATENATE("=",$A316))=0,"",N$2))</f>
        <v/>
      </c>
      <c r="O316" s="3" t="str">
        <f>IF($A316="","",IF(countif('Womens Lineup'!O$3:O1000,CONCATENATE("=",$A316))=0,"",O$2))</f>
        <v/>
      </c>
      <c r="P316" s="3" t="str">
        <f>IF($A316="","",IF(countif('Womens Lineup'!P$3:P1000,CONCATENATE("=",$A316))=0,"",P$2))</f>
        <v/>
      </c>
      <c r="Q316" s="3" t="str">
        <f>IF($A316="","",IF(countif('Womens Lineup'!Q$3:Q1000,CONCATENATE("=",$A316))=0,"",Q$2))</f>
        <v/>
      </c>
      <c r="R316" s="3" t="str">
        <f>IF($A316="","",IF(countif('Womens Lineup'!R$3:R1000,CONCATENATE("=",$A316))=0,"",R$2))</f>
        <v/>
      </c>
      <c r="S316" s="3" t="str">
        <f>IF($A316="","",IF(countif('Womens Lineup'!S$3:S1000,CONCATENATE("=",$A316))=0,"",S$2))</f>
        <v/>
      </c>
      <c r="W316" s="3" t="str">
        <f>IFERROR(__xludf.DUMMYFUNCTION("JOIN("","",FILTER(B316:S316,B316:S316&lt;&gt;""""))"),"#N/A")</f>
        <v>#N/A</v>
      </c>
    </row>
    <row r="317">
      <c r="A317" s="3"/>
      <c r="B317" s="3" t="str">
        <f>IF($A317="","",IF(countif('Womens Lineup'!B$3:B1000,CONCATENATE("=",$A317))=0,"",B$2))</f>
        <v/>
      </c>
      <c r="C317" s="3" t="str">
        <f>IF($A317="","",IF(countif('Womens Lineup'!C$3:C1000,CONCATENATE("=",$A317))=0,"",C$2))</f>
        <v/>
      </c>
      <c r="D317" s="3" t="str">
        <f>IF($A317="","",IF(countif('Womens Lineup'!D$3:D1000,CONCATENATE("=",$A317))=0,"",D$2))</f>
        <v/>
      </c>
      <c r="E317" s="3" t="str">
        <f>IF($A317="","",IF(countif('Womens Lineup'!E$3:E1000,CONCATENATE("=",$A317))=0,"",E$2))</f>
        <v/>
      </c>
      <c r="F317" s="3" t="str">
        <f>IF($A317="","",IF(countif('Womens Lineup'!F$3:F1000,CONCATENATE("=",$A317))=0,"",F$2))</f>
        <v/>
      </c>
      <c r="G317" s="3" t="str">
        <f>IF($A317="","",IF(countif('Womens Lineup'!G$3:G1000,CONCATENATE("=",$A317))=0,"",G$2))</f>
        <v/>
      </c>
      <c r="H317" s="3" t="str">
        <f>IF($A317="","",IF(countif('Womens Lineup'!H$3:H1000,CONCATENATE("=",$A317))=0,"",H$2))</f>
        <v/>
      </c>
      <c r="I317" s="3" t="str">
        <f>IF($A317="","",IF(countif('Womens Lineup'!I$3:I1000,CONCATENATE("=",$A317))=0,"",I$2))</f>
        <v/>
      </c>
      <c r="J317" s="3" t="str">
        <f>IF($A317="","",IF(countif('Womens Lineup'!J$3:J1000,CONCATENATE("=",$A317))=0,"",J$2))</f>
        <v/>
      </c>
      <c r="K317" s="3" t="str">
        <f>IF($A317="","",IF(countif('Womens Lineup'!K$3:K1000,CONCATENATE("=",$A317))=0,"",K$2))</f>
        <v/>
      </c>
      <c r="L317" s="3" t="str">
        <f>IF($A317="","",IF(countif('Womens Lineup'!L$3:L1000,CONCATENATE("=",$A317))=0,"",L$2))</f>
        <v/>
      </c>
      <c r="M317" s="3" t="str">
        <f>IF($A317="","",IF(countif('Womens Lineup'!M$3:M1000,CONCATENATE("=",$A317))=0,"",M$2))</f>
        <v/>
      </c>
      <c r="N317" s="3" t="str">
        <f>IF($A317="","",IF(countif('Womens Lineup'!N$3:N1000,CONCATENATE("=",$A317))=0,"",N$2))</f>
        <v/>
      </c>
      <c r="O317" s="3" t="str">
        <f>IF($A317="","",IF(countif('Womens Lineup'!O$3:O1000,CONCATENATE("=",$A317))=0,"",O$2))</f>
        <v/>
      </c>
      <c r="P317" s="3" t="str">
        <f>IF($A317="","",IF(countif('Womens Lineup'!P$3:P1000,CONCATENATE("=",$A317))=0,"",P$2))</f>
        <v/>
      </c>
      <c r="Q317" s="3" t="str">
        <f>IF($A317="","",IF(countif('Womens Lineup'!Q$3:Q1000,CONCATENATE("=",$A317))=0,"",Q$2))</f>
        <v/>
      </c>
      <c r="R317" s="3" t="str">
        <f>IF($A317="","",IF(countif('Womens Lineup'!R$3:R1000,CONCATENATE("=",$A317))=0,"",R$2))</f>
        <v/>
      </c>
      <c r="S317" s="3" t="str">
        <f>IF($A317="","",IF(countif('Womens Lineup'!S$3:S1000,CONCATENATE("=",$A317))=0,"",S$2))</f>
        <v/>
      </c>
      <c r="W317" s="3" t="str">
        <f>IFERROR(__xludf.DUMMYFUNCTION("JOIN("","",FILTER(B317:S317,B317:S317&lt;&gt;""""))"),"#N/A")</f>
        <v>#N/A</v>
      </c>
    </row>
    <row r="318">
      <c r="A318" s="3"/>
      <c r="B318" s="3" t="str">
        <f>IF($A318="","",IF(countif('Womens Lineup'!B$3:B1000,CONCATENATE("=",$A318))=0,"",B$2))</f>
        <v/>
      </c>
      <c r="C318" s="3" t="str">
        <f>IF($A318="","",IF(countif('Womens Lineup'!C$3:C1000,CONCATENATE("=",$A318))=0,"",C$2))</f>
        <v/>
      </c>
      <c r="D318" s="3" t="str">
        <f>IF($A318="","",IF(countif('Womens Lineup'!D$3:D1000,CONCATENATE("=",$A318))=0,"",D$2))</f>
        <v/>
      </c>
      <c r="E318" s="3" t="str">
        <f>IF($A318="","",IF(countif('Womens Lineup'!E$3:E1000,CONCATENATE("=",$A318))=0,"",E$2))</f>
        <v/>
      </c>
      <c r="F318" s="3" t="str">
        <f>IF($A318="","",IF(countif('Womens Lineup'!F$3:F1000,CONCATENATE("=",$A318))=0,"",F$2))</f>
        <v/>
      </c>
      <c r="G318" s="3" t="str">
        <f>IF($A318="","",IF(countif('Womens Lineup'!G$3:G1000,CONCATENATE("=",$A318))=0,"",G$2))</f>
        <v/>
      </c>
      <c r="H318" s="3" t="str">
        <f>IF($A318="","",IF(countif('Womens Lineup'!H$3:H1000,CONCATENATE("=",$A318))=0,"",H$2))</f>
        <v/>
      </c>
      <c r="I318" s="3" t="str">
        <f>IF($A318="","",IF(countif('Womens Lineup'!I$3:I1000,CONCATENATE("=",$A318))=0,"",I$2))</f>
        <v/>
      </c>
      <c r="J318" s="3" t="str">
        <f>IF($A318="","",IF(countif('Womens Lineup'!J$3:J1000,CONCATENATE("=",$A318))=0,"",J$2))</f>
        <v/>
      </c>
      <c r="K318" s="3" t="str">
        <f>IF($A318="","",IF(countif('Womens Lineup'!K$3:K1000,CONCATENATE("=",$A318))=0,"",K$2))</f>
        <v/>
      </c>
      <c r="L318" s="3" t="str">
        <f>IF($A318="","",IF(countif('Womens Lineup'!L$3:L1000,CONCATENATE("=",$A318))=0,"",L$2))</f>
        <v/>
      </c>
      <c r="M318" s="3" t="str">
        <f>IF($A318="","",IF(countif('Womens Lineup'!M$3:M1000,CONCATENATE("=",$A318))=0,"",M$2))</f>
        <v/>
      </c>
      <c r="N318" s="3" t="str">
        <f>IF($A318="","",IF(countif('Womens Lineup'!N$3:N1000,CONCATENATE("=",$A318))=0,"",N$2))</f>
        <v/>
      </c>
      <c r="O318" s="3" t="str">
        <f>IF($A318="","",IF(countif('Womens Lineup'!O$3:O1000,CONCATENATE("=",$A318))=0,"",O$2))</f>
        <v/>
      </c>
      <c r="P318" s="3" t="str">
        <f>IF($A318="","",IF(countif('Womens Lineup'!P$3:P1000,CONCATENATE("=",$A318))=0,"",P$2))</f>
        <v/>
      </c>
      <c r="Q318" s="3" t="str">
        <f>IF($A318="","",IF(countif('Womens Lineup'!Q$3:Q1000,CONCATENATE("=",$A318))=0,"",Q$2))</f>
        <v/>
      </c>
      <c r="R318" s="3" t="str">
        <f>IF($A318="","",IF(countif('Womens Lineup'!R$3:R1000,CONCATENATE("=",$A318))=0,"",R$2))</f>
        <v/>
      </c>
      <c r="S318" s="3" t="str">
        <f>IF($A318="","",IF(countif('Womens Lineup'!S$3:S1000,CONCATENATE("=",$A318))=0,"",S$2))</f>
        <v/>
      </c>
      <c r="W318" s="3" t="str">
        <f>IFERROR(__xludf.DUMMYFUNCTION("JOIN("","",FILTER(B318:S318,B318:S318&lt;&gt;""""))"),"#N/A")</f>
        <v>#N/A</v>
      </c>
    </row>
    <row r="319">
      <c r="A319" s="3"/>
      <c r="B319" s="3" t="str">
        <f>IF($A319="","",IF(countif('Womens Lineup'!B$3:B1000,CONCATENATE("=",$A319))=0,"",B$2))</f>
        <v/>
      </c>
      <c r="C319" s="3" t="str">
        <f>IF($A319="","",IF(countif('Womens Lineup'!C$3:C1000,CONCATENATE("=",$A319))=0,"",C$2))</f>
        <v/>
      </c>
      <c r="D319" s="3" t="str">
        <f>IF($A319="","",IF(countif('Womens Lineup'!D$3:D1000,CONCATENATE("=",$A319))=0,"",D$2))</f>
        <v/>
      </c>
      <c r="E319" s="3" t="str">
        <f>IF($A319="","",IF(countif('Womens Lineup'!E$3:E1000,CONCATENATE("=",$A319))=0,"",E$2))</f>
        <v/>
      </c>
      <c r="F319" s="3" t="str">
        <f>IF($A319="","",IF(countif('Womens Lineup'!F$3:F1000,CONCATENATE("=",$A319))=0,"",F$2))</f>
        <v/>
      </c>
      <c r="G319" s="3" t="str">
        <f>IF($A319="","",IF(countif('Womens Lineup'!G$3:G1000,CONCATENATE("=",$A319))=0,"",G$2))</f>
        <v/>
      </c>
      <c r="H319" s="3" t="str">
        <f>IF($A319="","",IF(countif('Womens Lineup'!H$3:H1000,CONCATENATE("=",$A319))=0,"",H$2))</f>
        <v/>
      </c>
      <c r="I319" s="3" t="str">
        <f>IF($A319="","",IF(countif('Womens Lineup'!I$3:I1000,CONCATENATE("=",$A319))=0,"",I$2))</f>
        <v/>
      </c>
      <c r="J319" s="3" t="str">
        <f>IF($A319="","",IF(countif('Womens Lineup'!J$3:J1000,CONCATENATE("=",$A319))=0,"",J$2))</f>
        <v/>
      </c>
      <c r="K319" s="3" t="str">
        <f>IF($A319="","",IF(countif('Womens Lineup'!K$3:K1000,CONCATENATE("=",$A319))=0,"",K$2))</f>
        <v/>
      </c>
      <c r="L319" s="3" t="str">
        <f>IF($A319="","",IF(countif('Womens Lineup'!L$3:L1000,CONCATENATE("=",$A319))=0,"",L$2))</f>
        <v/>
      </c>
      <c r="M319" s="3" t="str">
        <f>IF($A319="","",IF(countif('Womens Lineup'!M$3:M1000,CONCATENATE("=",$A319))=0,"",M$2))</f>
        <v/>
      </c>
      <c r="N319" s="3" t="str">
        <f>IF($A319="","",IF(countif('Womens Lineup'!N$3:N1000,CONCATENATE("=",$A319))=0,"",N$2))</f>
        <v/>
      </c>
      <c r="O319" s="3" t="str">
        <f>IF($A319="","",IF(countif('Womens Lineup'!O$3:O1000,CONCATENATE("=",$A319))=0,"",O$2))</f>
        <v/>
      </c>
      <c r="P319" s="3" t="str">
        <f>IF($A319="","",IF(countif('Womens Lineup'!P$3:P1000,CONCATENATE("=",$A319))=0,"",P$2))</f>
        <v/>
      </c>
      <c r="Q319" s="3" t="str">
        <f>IF($A319="","",IF(countif('Womens Lineup'!Q$3:Q1000,CONCATENATE("=",$A319))=0,"",Q$2))</f>
        <v/>
      </c>
      <c r="R319" s="3" t="str">
        <f>IF($A319="","",IF(countif('Womens Lineup'!R$3:R1000,CONCATENATE("=",$A319))=0,"",R$2))</f>
        <v/>
      </c>
      <c r="S319" s="3" t="str">
        <f>IF($A319="","",IF(countif('Womens Lineup'!S$3:S1000,CONCATENATE("=",$A319))=0,"",S$2))</f>
        <v/>
      </c>
      <c r="W319" s="3" t="str">
        <f>IFERROR(__xludf.DUMMYFUNCTION("JOIN("","",FILTER(B319:S319,B319:S319&lt;&gt;""""))"),"#N/A")</f>
        <v>#N/A</v>
      </c>
    </row>
    <row r="320">
      <c r="A320" s="3"/>
      <c r="B320" s="3" t="str">
        <f>IF($A320="","",IF(countif('Womens Lineup'!B$3:B1000,CONCATENATE("=",$A320))=0,"",B$2))</f>
        <v/>
      </c>
      <c r="C320" s="3" t="str">
        <f>IF($A320="","",IF(countif('Womens Lineup'!C$3:C1000,CONCATENATE("=",$A320))=0,"",C$2))</f>
        <v/>
      </c>
      <c r="D320" s="3" t="str">
        <f>IF($A320="","",IF(countif('Womens Lineup'!D$3:D1000,CONCATENATE("=",$A320))=0,"",D$2))</f>
        <v/>
      </c>
      <c r="E320" s="3" t="str">
        <f>IF($A320="","",IF(countif('Womens Lineup'!E$3:E1000,CONCATENATE("=",$A320))=0,"",E$2))</f>
        <v/>
      </c>
      <c r="F320" s="3" t="str">
        <f>IF($A320="","",IF(countif('Womens Lineup'!F$3:F1000,CONCATENATE("=",$A320))=0,"",F$2))</f>
        <v/>
      </c>
      <c r="G320" s="3" t="str">
        <f>IF($A320="","",IF(countif('Womens Lineup'!G$3:G1000,CONCATENATE("=",$A320))=0,"",G$2))</f>
        <v/>
      </c>
      <c r="H320" s="3" t="str">
        <f>IF($A320="","",IF(countif('Womens Lineup'!H$3:H1000,CONCATENATE("=",$A320))=0,"",H$2))</f>
        <v/>
      </c>
      <c r="I320" s="3" t="str">
        <f>IF($A320="","",IF(countif('Womens Lineup'!I$3:I1000,CONCATENATE("=",$A320))=0,"",I$2))</f>
        <v/>
      </c>
      <c r="J320" s="3" t="str">
        <f>IF($A320="","",IF(countif('Womens Lineup'!J$3:J1000,CONCATENATE("=",$A320))=0,"",J$2))</f>
        <v/>
      </c>
      <c r="K320" s="3" t="str">
        <f>IF($A320="","",IF(countif('Womens Lineup'!K$3:K1000,CONCATENATE("=",$A320))=0,"",K$2))</f>
        <v/>
      </c>
      <c r="L320" s="3" t="str">
        <f>IF($A320="","",IF(countif('Womens Lineup'!L$3:L1000,CONCATENATE("=",$A320))=0,"",L$2))</f>
        <v/>
      </c>
      <c r="M320" s="3" t="str">
        <f>IF($A320="","",IF(countif('Womens Lineup'!M$3:M1000,CONCATENATE("=",$A320))=0,"",M$2))</f>
        <v/>
      </c>
      <c r="N320" s="3" t="str">
        <f>IF($A320="","",IF(countif('Womens Lineup'!N$3:N1000,CONCATENATE("=",$A320))=0,"",N$2))</f>
        <v/>
      </c>
      <c r="O320" s="3" t="str">
        <f>IF($A320="","",IF(countif('Womens Lineup'!O$3:O1000,CONCATENATE("=",$A320))=0,"",O$2))</f>
        <v/>
      </c>
      <c r="P320" s="3" t="str">
        <f>IF($A320="","",IF(countif('Womens Lineup'!P$3:P1000,CONCATENATE("=",$A320))=0,"",P$2))</f>
        <v/>
      </c>
      <c r="Q320" s="3" t="str">
        <f>IF($A320="","",IF(countif('Womens Lineup'!Q$3:Q1000,CONCATENATE("=",$A320))=0,"",Q$2))</f>
        <v/>
      </c>
      <c r="R320" s="3" t="str">
        <f>IF($A320="","",IF(countif('Womens Lineup'!R$3:R1000,CONCATENATE("=",$A320))=0,"",R$2))</f>
        <v/>
      </c>
      <c r="S320" s="3" t="str">
        <f>IF($A320="","",IF(countif('Womens Lineup'!S$3:S1000,CONCATENATE("=",$A320))=0,"",S$2))</f>
        <v/>
      </c>
      <c r="W320" s="3" t="str">
        <f>IFERROR(__xludf.DUMMYFUNCTION("JOIN("","",FILTER(B320:S320,B320:S320&lt;&gt;""""))"),"#N/A")</f>
        <v>#N/A</v>
      </c>
    </row>
    <row r="321">
      <c r="A321" s="3"/>
      <c r="B321" s="3" t="str">
        <f>IF($A321="","",IF(countif('Womens Lineup'!B$3:B1000,CONCATENATE("=",$A321))=0,"",B$2))</f>
        <v/>
      </c>
      <c r="C321" s="3" t="str">
        <f>IF($A321="","",IF(countif('Womens Lineup'!C$3:C1000,CONCATENATE("=",$A321))=0,"",C$2))</f>
        <v/>
      </c>
      <c r="D321" s="3" t="str">
        <f>IF($A321="","",IF(countif('Womens Lineup'!D$3:D1000,CONCATENATE("=",$A321))=0,"",D$2))</f>
        <v/>
      </c>
      <c r="E321" s="3" t="str">
        <f>IF($A321="","",IF(countif('Womens Lineup'!E$3:E1000,CONCATENATE("=",$A321))=0,"",E$2))</f>
        <v/>
      </c>
      <c r="F321" s="3" t="str">
        <f>IF($A321="","",IF(countif('Womens Lineup'!F$3:F1000,CONCATENATE("=",$A321))=0,"",F$2))</f>
        <v/>
      </c>
      <c r="G321" s="3" t="str">
        <f>IF($A321="","",IF(countif('Womens Lineup'!G$3:G1000,CONCATENATE("=",$A321))=0,"",G$2))</f>
        <v/>
      </c>
      <c r="H321" s="3" t="str">
        <f>IF($A321="","",IF(countif('Womens Lineup'!H$3:H1000,CONCATENATE("=",$A321))=0,"",H$2))</f>
        <v/>
      </c>
      <c r="I321" s="3" t="str">
        <f>IF($A321="","",IF(countif('Womens Lineup'!I$3:I1000,CONCATENATE("=",$A321))=0,"",I$2))</f>
        <v/>
      </c>
      <c r="J321" s="3" t="str">
        <f>IF($A321="","",IF(countif('Womens Lineup'!J$3:J1000,CONCATENATE("=",$A321))=0,"",J$2))</f>
        <v/>
      </c>
      <c r="K321" s="3" t="str">
        <f>IF($A321="","",IF(countif('Womens Lineup'!K$3:K1000,CONCATENATE("=",$A321))=0,"",K$2))</f>
        <v/>
      </c>
      <c r="L321" s="3" t="str">
        <f>IF($A321="","",IF(countif('Womens Lineup'!L$3:L1000,CONCATENATE("=",$A321))=0,"",L$2))</f>
        <v/>
      </c>
      <c r="M321" s="3" t="str">
        <f>IF($A321="","",IF(countif('Womens Lineup'!M$3:M1000,CONCATENATE("=",$A321))=0,"",M$2))</f>
        <v/>
      </c>
      <c r="N321" s="3" t="str">
        <f>IF($A321="","",IF(countif('Womens Lineup'!N$3:N1000,CONCATENATE("=",$A321))=0,"",N$2))</f>
        <v/>
      </c>
      <c r="O321" s="3" t="str">
        <f>IF($A321="","",IF(countif('Womens Lineup'!O$3:O1000,CONCATENATE("=",$A321))=0,"",O$2))</f>
        <v/>
      </c>
      <c r="P321" s="3" t="str">
        <f>IF($A321="","",IF(countif('Womens Lineup'!P$3:P1000,CONCATENATE("=",$A321))=0,"",P$2))</f>
        <v/>
      </c>
      <c r="Q321" s="3" t="str">
        <f>IF($A321="","",IF(countif('Womens Lineup'!Q$3:Q1000,CONCATENATE("=",$A321))=0,"",Q$2))</f>
        <v/>
      </c>
      <c r="R321" s="3" t="str">
        <f>IF($A321="","",IF(countif('Womens Lineup'!R$3:R1000,CONCATENATE("=",$A321))=0,"",R$2))</f>
        <v/>
      </c>
      <c r="S321" s="3" t="str">
        <f>IF($A321="","",IF(countif('Womens Lineup'!S$3:S1000,CONCATENATE("=",$A321))=0,"",S$2))</f>
        <v/>
      </c>
      <c r="W321" s="3" t="str">
        <f>IFERROR(__xludf.DUMMYFUNCTION("JOIN("","",FILTER(B321:S321,B321:S321&lt;&gt;""""))"),"#N/A")</f>
        <v>#N/A</v>
      </c>
    </row>
    <row r="322">
      <c r="A322" s="3"/>
      <c r="B322" s="3" t="str">
        <f>IF($A322="","",IF(countif('Womens Lineup'!B$3:B1000,CONCATENATE("=",$A322))=0,"",B$2))</f>
        <v/>
      </c>
      <c r="C322" s="3" t="str">
        <f>IF($A322="","",IF(countif('Womens Lineup'!C$3:C1000,CONCATENATE("=",$A322))=0,"",C$2))</f>
        <v/>
      </c>
      <c r="D322" s="3" t="str">
        <f>IF($A322="","",IF(countif('Womens Lineup'!D$3:D1000,CONCATENATE("=",$A322))=0,"",D$2))</f>
        <v/>
      </c>
      <c r="E322" s="3" t="str">
        <f>IF($A322="","",IF(countif('Womens Lineup'!E$3:E1000,CONCATENATE("=",$A322))=0,"",E$2))</f>
        <v/>
      </c>
      <c r="F322" s="3" t="str">
        <f>IF($A322="","",IF(countif('Womens Lineup'!F$3:F1000,CONCATENATE("=",$A322))=0,"",F$2))</f>
        <v/>
      </c>
      <c r="G322" s="3" t="str">
        <f>IF($A322="","",IF(countif('Womens Lineup'!G$3:G1000,CONCATENATE("=",$A322))=0,"",G$2))</f>
        <v/>
      </c>
      <c r="H322" s="3" t="str">
        <f>IF($A322="","",IF(countif('Womens Lineup'!H$3:H1000,CONCATENATE("=",$A322))=0,"",H$2))</f>
        <v/>
      </c>
      <c r="I322" s="3" t="str">
        <f>IF($A322="","",IF(countif('Womens Lineup'!I$3:I1000,CONCATENATE("=",$A322))=0,"",I$2))</f>
        <v/>
      </c>
      <c r="J322" s="3" t="str">
        <f>IF($A322="","",IF(countif('Womens Lineup'!J$3:J1000,CONCATENATE("=",$A322))=0,"",J$2))</f>
        <v/>
      </c>
      <c r="K322" s="3" t="str">
        <f>IF($A322="","",IF(countif('Womens Lineup'!K$3:K1000,CONCATENATE("=",$A322))=0,"",K$2))</f>
        <v/>
      </c>
      <c r="L322" s="3" t="str">
        <f>IF($A322="","",IF(countif('Womens Lineup'!L$3:L1000,CONCATENATE("=",$A322))=0,"",L$2))</f>
        <v/>
      </c>
      <c r="M322" s="3" t="str">
        <f>IF($A322="","",IF(countif('Womens Lineup'!M$3:M1000,CONCATENATE("=",$A322))=0,"",M$2))</f>
        <v/>
      </c>
      <c r="N322" s="3" t="str">
        <f>IF($A322="","",IF(countif('Womens Lineup'!N$3:N1000,CONCATENATE("=",$A322))=0,"",N$2))</f>
        <v/>
      </c>
      <c r="O322" s="3" t="str">
        <f>IF($A322="","",IF(countif('Womens Lineup'!O$3:O1000,CONCATENATE("=",$A322))=0,"",O$2))</f>
        <v/>
      </c>
      <c r="P322" s="3" t="str">
        <f>IF($A322="","",IF(countif('Womens Lineup'!P$3:P1000,CONCATENATE("=",$A322))=0,"",P$2))</f>
        <v/>
      </c>
      <c r="Q322" s="3" t="str">
        <f>IF($A322="","",IF(countif('Womens Lineup'!Q$3:Q1000,CONCATENATE("=",$A322))=0,"",Q$2))</f>
        <v/>
      </c>
      <c r="R322" s="3" t="str">
        <f>IF($A322="","",IF(countif('Womens Lineup'!R$3:R1000,CONCATENATE("=",$A322))=0,"",R$2))</f>
        <v/>
      </c>
      <c r="S322" s="3" t="str">
        <f>IF($A322="","",IF(countif('Womens Lineup'!S$3:S1000,CONCATENATE("=",$A322))=0,"",S$2))</f>
        <v/>
      </c>
      <c r="W322" s="3" t="str">
        <f>IFERROR(__xludf.DUMMYFUNCTION("JOIN("","",FILTER(B322:S322,B322:S322&lt;&gt;""""))"),"#N/A")</f>
        <v>#N/A</v>
      </c>
    </row>
    <row r="323">
      <c r="A323" s="3"/>
      <c r="B323" s="3" t="str">
        <f>IF($A323="","",IF(countif('Womens Lineup'!B$3:B1000,CONCATENATE("=",$A323))=0,"",B$2))</f>
        <v/>
      </c>
      <c r="C323" s="3" t="str">
        <f>IF($A323="","",IF(countif('Womens Lineup'!C$3:C1000,CONCATENATE("=",$A323))=0,"",C$2))</f>
        <v/>
      </c>
      <c r="D323" s="3" t="str">
        <f>IF($A323="","",IF(countif('Womens Lineup'!D$3:D1000,CONCATENATE("=",$A323))=0,"",D$2))</f>
        <v/>
      </c>
      <c r="E323" s="3" t="str">
        <f>IF($A323="","",IF(countif('Womens Lineup'!E$3:E1000,CONCATENATE("=",$A323))=0,"",E$2))</f>
        <v/>
      </c>
      <c r="F323" s="3" t="str">
        <f>IF($A323="","",IF(countif('Womens Lineup'!F$3:F1000,CONCATENATE("=",$A323))=0,"",F$2))</f>
        <v/>
      </c>
      <c r="G323" s="3" t="str">
        <f>IF($A323="","",IF(countif('Womens Lineup'!G$3:G1000,CONCATENATE("=",$A323))=0,"",G$2))</f>
        <v/>
      </c>
      <c r="H323" s="3" t="str">
        <f>IF($A323="","",IF(countif('Womens Lineup'!H$3:H1000,CONCATENATE("=",$A323))=0,"",H$2))</f>
        <v/>
      </c>
      <c r="I323" s="3" t="str">
        <f>IF($A323="","",IF(countif('Womens Lineup'!I$3:I1000,CONCATENATE("=",$A323))=0,"",I$2))</f>
        <v/>
      </c>
      <c r="J323" s="3" t="str">
        <f>IF($A323="","",IF(countif('Womens Lineup'!J$3:J1000,CONCATENATE("=",$A323))=0,"",J$2))</f>
        <v/>
      </c>
      <c r="K323" s="3" t="str">
        <f>IF($A323="","",IF(countif('Womens Lineup'!K$3:K1000,CONCATENATE("=",$A323))=0,"",K$2))</f>
        <v/>
      </c>
      <c r="L323" s="3" t="str">
        <f>IF($A323="","",IF(countif('Womens Lineup'!L$3:L1000,CONCATENATE("=",$A323))=0,"",L$2))</f>
        <v/>
      </c>
      <c r="M323" s="3" t="str">
        <f>IF($A323="","",IF(countif('Womens Lineup'!M$3:M1000,CONCATENATE("=",$A323))=0,"",M$2))</f>
        <v/>
      </c>
      <c r="N323" s="3" t="str">
        <f>IF($A323="","",IF(countif('Womens Lineup'!N$3:N1000,CONCATENATE("=",$A323))=0,"",N$2))</f>
        <v/>
      </c>
      <c r="O323" s="3" t="str">
        <f>IF($A323="","",IF(countif('Womens Lineup'!O$3:O1000,CONCATENATE("=",$A323))=0,"",O$2))</f>
        <v/>
      </c>
      <c r="P323" s="3" t="str">
        <f>IF($A323="","",IF(countif('Womens Lineup'!P$3:P1000,CONCATENATE("=",$A323))=0,"",P$2))</f>
        <v/>
      </c>
      <c r="Q323" s="3" t="str">
        <f>IF($A323="","",IF(countif('Womens Lineup'!Q$3:Q1000,CONCATENATE("=",$A323))=0,"",Q$2))</f>
        <v/>
      </c>
      <c r="R323" s="3" t="str">
        <f>IF($A323="","",IF(countif('Womens Lineup'!R$3:R1000,CONCATENATE("=",$A323))=0,"",R$2))</f>
        <v/>
      </c>
      <c r="S323" s="3" t="str">
        <f>IF($A323="","",IF(countif('Womens Lineup'!S$3:S1000,CONCATENATE("=",$A323))=0,"",S$2))</f>
        <v/>
      </c>
      <c r="W323" s="3" t="str">
        <f>IFERROR(__xludf.DUMMYFUNCTION("JOIN("","",FILTER(B323:S323,B323:S323&lt;&gt;""""))"),"#N/A")</f>
        <v>#N/A</v>
      </c>
    </row>
    <row r="324">
      <c r="A324" s="3"/>
      <c r="B324" s="3" t="str">
        <f>IF($A324="","",IF(countif('Womens Lineup'!B$3:B1000,CONCATENATE("=",$A324))=0,"",B$2))</f>
        <v/>
      </c>
      <c r="C324" s="3" t="str">
        <f>IF($A324="","",IF(countif('Womens Lineup'!C$3:C1000,CONCATENATE("=",$A324))=0,"",C$2))</f>
        <v/>
      </c>
      <c r="D324" s="3" t="str">
        <f>IF($A324="","",IF(countif('Womens Lineup'!D$3:D1000,CONCATENATE("=",$A324))=0,"",D$2))</f>
        <v/>
      </c>
      <c r="E324" s="3" t="str">
        <f>IF($A324="","",IF(countif('Womens Lineup'!E$3:E1000,CONCATENATE("=",$A324))=0,"",E$2))</f>
        <v/>
      </c>
      <c r="F324" s="3" t="str">
        <f>IF($A324="","",IF(countif('Womens Lineup'!F$3:F1000,CONCATENATE("=",$A324))=0,"",F$2))</f>
        <v/>
      </c>
      <c r="G324" s="3" t="str">
        <f>IF($A324="","",IF(countif('Womens Lineup'!G$3:G1000,CONCATENATE("=",$A324))=0,"",G$2))</f>
        <v/>
      </c>
      <c r="H324" s="3" t="str">
        <f>IF($A324="","",IF(countif('Womens Lineup'!H$3:H1000,CONCATENATE("=",$A324))=0,"",H$2))</f>
        <v/>
      </c>
      <c r="I324" s="3" t="str">
        <f>IF($A324="","",IF(countif('Womens Lineup'!I$3:I1000,CONCATENATE("=",$A324))=0,"",I$2))</f>
        <v/>
      </c>
      <c r="J324" s="3" t="str">
        <f>IF($A324="","",IF(countif('Womens Lineup'!J$3:J1000,CONCATENATE("=",$A324))=0,"",J$2))</f>
        <v/>
      </c>
      <c r="K324" s="3" t="str">
        <f>IF($A324="","",IF(countif('Womens Lineup'!K$3:K1000,CONCATENATE("=",$A324))=0,"",K$2))</f>
        <v/>
      </c>
      <c r="L324" s="3" t="str">
        <f>IF($A324="","",IF(countif('Womens Lineup'!L$3:L1000,CONCATENATE("=",$A324))=0,"",L$2))</f>
        <v/>
      </c>
      <c r="M324" s="3" t="str">
        <f>IF($A324="","",IF(countif('Womens Lineup'!M$3:M1000,CONCATENATE("=",$A324))=0,"",M$2))</f>
        <v/>
      </c>
      <c r="N324" s="3" t="str">
        <f>IF($A324="","",IF(countif('Womens Lineup'!N$3:N1000,CONCATENATE("=",$A324))=0,"",N$2))</f>
        <v/>
      </c>
      <c r="O324" s="3" t="str">
        <f>IF($A324="","",IF(countif('Womens Lineup'!O$3:O1000,CONCATENATE("=",$A324))=0,"",O$2))</f>
        <v/>
      </c>
      <c r="P324" s="3" t="str">
        <f>IF($A324="","",IF(countif('Womens Lineup'!P$3:P1000,CONCATENATE("=",$A324))=0,"",P$2))</f>
        <v/>
      </c>
      <c r="Q324" s="3" t="str">
        <f>IF($A324="","",IF(countif('Womens Lineup'!Q$3:Q1000,CONCATENATE("=",$A324))=0,"",Q$2))</f>
        <v/>
      </c>
      <c r="R324" s="3" t="str">
        <f>IF($A324="","",IF(countif('Womens Lineup'!R$3:R1000,CONCATENATE("=",$A324))=0,"",R$2))</f>
        <v/>
      </c>
      <c r="S324" s="3" t="str">
        <f>IF($A324="","",IF(countif('Womens Lineup'!S$3:S1000,CONCATENATE("=",$A324))=0,"",S$2))</f>
        <v/>
      </c>
      <c r="W324" s="3" t="str">
        <f>IFERROR(__xludf.DUMMYFUNCTION("JOIN("","",FILTER(B324:S324,B324:S324&lt;&gt;""""))"),"#N/A")</f>
        <v>#N/A</v>
      </c>
    </row>
    <row r="325">
      <c r="A325" s="3"/>
      <c r="B325" s="3" t="str">
        <f>IF($A325="","",IF(countif('Womens Lineup'!B$3:B1000,CONCATENATE("=",$A325))=0,"",B$2))</f>
        <v/>
      </c>
      <c r="C325" s="3" t="str">
        <f>IF($A325="","",IF(countif('Womens Lineup'!C$3:C1000,CONCATENATE("=",$A325))=0,"",C$2))</f>
        <v/>
      </c>
      <c r="D325" s="3" t="str">
        <f>IF($A325="","",IF(countif('Womens Lineup'!D$3:D1000,CONCATENATE("=",$A325))=0,"",D$2))</f>
        <v/>
      </c>
      <c r="E325" s="3" t="str">
        <f>IF($A325="","",IF(countif('Womens Lineup'!E$3:E1000,CONCATENATE("=",$A325))=0,"",E$2))</f>
        <v/>
      </c>
      <c r="F325" s="3" t="str">
        <f>IF($A325="","",IF(countif('Womens Lineup'!F$3:F1000,CONCATENATE("=",$A325))=0,"",F$2))</f>
        <v/>
      </c>
      <c r="G325" s="3" t="str">
        <f>IF($A325="","",IF(countif('Womens Lineup'!G$3:G1000,CONCATENATE("=",$A325))=0,"",G$2))</f>
        <v/>
      </c>
      <c r="H325" s="3" t="str">
        <f>IF($A325="","",IF(countif('Womens Lineup'!H$3:H1000,CONCATENATE("=",$A325))=0,"",H$2))</f>
        <v/>
      </c>
      <c r="I325" s="3" t="str">
        <f>IF($A325="","",IF(countif('Womens Lineup'!I$3:I1000,CONCATENATE("=",$A325))=0,"",I$2))</f>
        <v/>
      </c>
      <c r="J325" s="3" t="str">
        <f>IF($A325="","",IF(countif('Womens Lineup'!J$3:J1000,CONCATENATE("=",$A325))=0,"",J$2))</f>
        <v/>
      </c>
      <c r="K325" s="3" t="str">
        <f>IF($A325="","",IF(countif('Womens Lineup'!K$3:K1000,CONCATENATE("=",$A325))=0,"",K$2))</f>
        <v/>
      </c>
      <c r="L325" s="3" t="str">
        <f>IF($A325="","",IF(countif('Womens Lineup'!L$3:L1000,CONCATENATE("=",$A325))=0,"",L$2))</f>
        <v/>
      </c>
      <c r="M325" s="3" t="str">
        <f>IF($A325="","",IF(countif('Womens Lineup'!M$3:M1000,CONCATENATE("=",$A325))=0,"",M$2))</f>
        <v/>
      </c>
      <c r="N325" s="3" t="str">
        <f>IF($A325="","",IF(countif('Womens Lineup'!N$3:N1000,CONCATENATE("=",$A325))=0,"",N$2))</f>
        <v/>
      </c>
      <c r="O325" s="3" t="str">
        <f>IF($A325="","",IF(countif('Womens Lineup'!O$3:O1000,CONCATENATE("=",$A325))=0,"",O$2))</f>
        <v/>
      </c>
      <c r="P325" s="3" t="str">
        <f>IF($A325="","",IF(countif('Womens Lineup'!P$3:P1000,CONCATENATE("=",$A325))=0,"",P$2))</f>
        <v/>
      </c>
      <c r="Q325" s="3" t="str">
        <f>IF($A325="","",IF(countif('Womens Lineup'!Q$3:Q1000,CONCATENATE("=",$A325))=0,"",Q$2))</f>
        <v/>
      </c>
      <c r="R325" s="3" t="str">
        <f>IF($A325="","",IF(countif('Womens Lineup'!R$3:R1000,CONCATENATE("=",$A325))=0,"",R$2))</f>
        <v/>
      </c>
      <c r="S325" s="3" t="str">
        <f>IF($A325="","",IF(countif('Womens Lineup'!S$3:S1000,CONCATENATE("=",$A325))=0,"",S$2))</f>
        <v/>
      </c>
      <c r="W325" s="3" t="str">
        <f>IFERROR(__xludf.DUMMYFUNCTION("JOIN("","",FILTER(B325:S325,B325:S325&lt;&gt;""""))"),"#N/A")</f>
        <v>#N/A</v>
      </c>
    </row>
    <row r="326">
      <c r="A326" s="3"/>
      <c r="B326" s="3" t="str">
        <f>IF($A326="","",IF(countif('Womens Lineup'!B$3:B1000,CONCATENATE("=",$A326))=0,"",B$2))</f>
        <v/>
      </c>
      <c r="C326" s="3" t="str">
        <f>IF($A326="","",IF(countif('Womens Lineup'!C$3:C1000,CONCATENATE("=",$A326))=0,"",C$2))</f>
        <v/>
      </c>
      <c r="D326" s="3" t="str">
        <f>IF($A326="","",IF(countif('Womens Lineup'!D$3:D1000,CONCATENATE("=",$A326))=0,"",D$2))</f>
        <v/>
      </c>
      <c r="E326" s="3" t="str">
        <f>IF($A326="","",IF(countif('Womens Lineup'!E$3:E1000,CONCATENATE("=",$A326))=0,"",E$2))</f>
        <v/>
      </c>
      <c r="F326" s="3" t="str">
        <f>IF($A326="","",IF(countif('Womens Lineup'!F$3:F1000,CONCATENATE("=",$A326))=0,"",F$2))</f>
        <v/>
      </c>
      <c r="G326" s="3" t="str">
        <f>IF($A326="","",IF(countif('Womens Lineup'!G$3:G1000,CONCATENATE("=",$A326))=0,"",G$2))</f>
        <v/>
      </c>
      <c r="H326" s="3" t="str">
        <f>IF($A326="","",IF(countif('Womens Lineup'!H$3:H1000,CONCATENATE("=",$A326))=0,"",H$2))</f>
        <v/>
      </c>
      <c r="I326" s="3" t="str">
        <f>IF($A326="","",IF(countif('Womens Lineup'!I$3:I1000,CONCATENATE("=",$A326))=0,"",I$2))</f>
        <v/>
      </c>
      <c r="J326" s="3" t="str">
        <f>IF($A326="","",IF(countif('Womens Lineup'!J$3:J1000,CONCATENATE("=",$A326))=0,"",J$2))</f>
        <v/>
      </c>
      <c r="K326" s="3" t="str">
        <f>IF($A326="","",IF(countif('Womens Lineup'!K$3:K1000,CONCATENATE("=",$A326))=0,"",K$2))</f>
        <v/>
      </c>
      <c r="L326" s="3" t="str">
        <f>IF($A326="","",IF(countif('Womens Lineup'!L$3:L1000,CONCATENATE("=",$A326))=0,"",L$2))</f>
        <v/>
      </c>
      <c r="M326" s="3" t="str">
        <f>IF($A326="","",IF(countif('Womens Lineup'!M$3:M1000,CONCATENATE("=",$A326))=0,"",M$2))</f>
        <v/>
      </c>
      <c r="N326" s="3" t="str">
        <f>IF($A326="","",IF(countif('Womens Lineup'!N$3:N1000,CONCATENATE("=",$A326))=0,"",N$2))</f>
        <v/>
      </c>
      <c r="O326" s="3" t="str">
        <f>IF($A326="","",IF(countif('Womens Lineup'!O$3:O1000,CONCATENATE("=",$A326))=0,"",O$2))</f>
        <v/>
      </c>
      <c r="P326" s="3" t="str">
        <f>IF($A326="","",IF(countif('Womens Lineup'!P$3:P1000,CONCATENATE("=",$A326))=0,"",P$2))</f>
        <v/>
      </c>
      <c r="Q326" s="3" t="str">
        <f>IF($A326="","",IF(countif('Womens Lineup'!Q$3:Q1000,CONCATENATE("=",$A326))=0,"",Q$2))</f>
        <v/>
      </c>
      <c r="R326" s="3" t="str">
        <f>IF($A326="","",IF(countif('Womens Lineup'!R$3:R1000,CONCATENATE("=",$A326))=0,"",R$2))</f>
        <v/>
      </c>
      <c r="S326" s="3" t="str">
        <f>IF($A326="","",IF(countif('Womens Lineup'!S$3:S1000,CONCATENATE("=",$A326))=0,"",S$2))</f>
        <v/>
      </c>
      <c r="W326" s="3" t="str">
        <f>IFERROR(__xludf.DUMMYFUNCTION("JOIN("","",FILTER(B326:S326,B326:S326&lt;&gt;""""))"),"#N/A")</f>
        <v>#N/A</v>
      </c>
    </row>
    <row r="327">
      <c r="A327" s="3"/>
      <c r="B327" s="3" t="str">
        <f>IF($A327="","",IF(countif('Womens Lineup'!B$3:B1000,CONCATENATE("=",$A327))=0,"",B$2))</f>
        <v/>
      </c>
      <c r="C327" s="3" t="str">
        <f>IF($A327="","",IF(countif('Womens Lineup'!C$3:C1000,CONCATENATE("=",$A327))=0,"",C$2))</f>
        <v/>
      </c>
      <c r="D327" s="3" t="str">
        <f>IF($A327="","",IF(countif('Womens Lineup'!D$3:D1000,CONCATENATE("=",$A327))=0,"",D$2))</f>
        <v/>
      </c>
      <c r="E327" s="3" t="str">
        <f>IF($A327="","",IF(countif('Womens Lineup'!E$3:E1000,CONCATENATE("=",$A327))=0,"",E$2))</f>
        <v/>
      </c>
      <c r="F327" s="3" t="str">
        <f>IF($A327="","",IF(countif('Womens Lineup'!F$3:F1000,CONCATENATE("=",$A327))=0,"",F$2))</f>
        <v/>
      </c>
      <c r="G327" s="3" t="str">
        <f>IF($A327="","",IF(countif('Womens Lineup'!G$3:G1000,CONCATENATE("=",$A327))=0,"",G$2))</f>
        <v/>
      </c>
      <c r="H327" s="3" t="str">
        <f>IF($A327="","",IF(countif('Womens Lineup'!H$3:H1000,CONCATENATE("=",$A327))=0,"",H$2))</f>
        <v/>
      </c>
      <c r="I327" s="3" t="str">
        <f>IF($A327="","",IF(countif('Womens Lineup'!I$3:I1000,CONCATENATE("=",$A327))=0,"",I$2))</f>
        <v/>
      </c>
      <c r="J327" s="3" t="str">
        <f>IF($A327="","",IF(countif('Womens Lineup'!J$3:J1000,CONCATENATE("=",$A327))=0,"",J$2))</f>
        <v/>
      </c>
      <c r="K327" s="3" t="str">
        <f>IF($A327="","",IF(countif('Womens Lineup'!K$3:K1000,CONCATENATE("=",$A327))=0,"",K$2))</f>
        <v/>
      </c>
      <c r="L327" s="3" t="str">
        <f>IF($A327="","",IF(countif('Womens Lineup'!L$3:L1000,CONCATENATE("=",$A327))=0,"",L$2))</f>
        <v/>
      </c>
      <c r="M327" s="3" t="str">
        <f>IF($A327="","",IF(countif('Womens Lineup'!M$3:M1000,CONCATENATE("=",$A327))=0,"",M$2))</f>
        <v/>
      </c>
      <c r="N327" s="3" t="str">
        <f>IF($A327="","",IF(countif('Womens Lineup'!N$3:N1000,CONCATENATE("=",$A327))=0,"",N$2))</f>
        <v/>
      </c>
      <c r="O327" s="3" t="str">
        <f>IF($A327="","",IF(countif('Womens Lineup'!O$3:O1000,CONCATENATE("=",$A327))=0,"",O$2))</f>
        <v/>
      </c>
      <c r="P327" s="3" t="str">
        <f>IF($A327="","",IF(countif('Womens Lineup'!P$3:P1000,CONCATENATE("=",$A327))=0,"",P$2))</f>
        <v/>
      </c>
      <c r="Q327" s="3" t="str">
        <f>IF($A327="","",IF(countif('Womens Lineup'!Q$3:Q1000,CONCATENATE("=",$A327))=0,"",Q$2))</f>
        <v/>
      </c>
      <c r="R327" s="3" t="str">
        <f>IF($A327="","",IF(countif('Womens Lineup'!R$3:R1000,CONCATENATE("=",$A327))=0,"",R$2))</f>
        <v/>
      </c>
      <c r="S327" s="3" t="str">
        <f>IF($A327="","",IF(countif('Womens Lineup'!S$3:S1000,CONCATENATE("=",$A327))=0,"",S$2))</f>
        <v/>
      </c>
      <c r="W327" s="3" t="str">
        <f>IFERROR(__xludf.DUMMYFUNCTION("JOIN("","",FILTER(B327:S327,B327:S327&lt;&gt;""""))"),"#N/A")</f>
        <v>#N/A</v>
      </c>
    </row>
    <row r="328">
      <c r="A328" s="3"/>
      <c r="B328" s="3" t="str">
        <f>IF($A328="","",IF(countif('Womens Lineup'!B$3:B1000,CONCATENATE("=",$A328))=0,"",B$2))</f>
        <v/>
      </c>
      <c r="C328" s="3" t="str">
        <f>IF($A328="","",IF(countif('Womens Lineup'!C$3:C1000,CONCATENATE("=",$A328))=0,"",C$2))</f>
        <v/>
      </c>
      <c r="D328" s="3" t="str">
        <f>IF($A328="","",IF(countif('Womens Lineup'!D$3:D1000,CONCATENATE("=",$A328))=0,"",D$2))</f>
        <v/>
      </c>
      <c r="E328" s="3" t="str">
        <f>IF($A328="","",IF(countif('Womens Lineup'!E$3:E1000,CONCATENATE("=",$A328))=0,"",E$2))</f>
        <v/>
      </c>
      <c r="F328" s="3" t="str">
        <f>IF($A328="","",IF(countif('Womens Lineup'!F$3:F1000,CONCATENATE("=",$A328))=0,"",F$2))</f>
        <v/>
      </c>
      <c r="G328" s="3" t="str">
        <f>IF($A328="","",IF(countif('Womens Lineup'!G$3:G1000,CONCATENATE("=",$A328))=0,"",G$2))</f>
        <v/>
      </c>
      <c r="H328" s="3" t="str">
        <f>IF($A328="","",IF(countif('Womens Lineup'!H$3:H1000,CONCATENATE("=",$A328))=0,"",H$2))</f>
        <v/>
      </c>
      <c r="I328" s="3" t="str">
        <f>IF($A328="","",IF(countif('Womens Lineup'!I$3:I1000,CONCATENATE("=",$A328))=0,"",I$2))</f>
        <v/>
      </c>
      <c r="J328" s="3" t="str">
        <f>IF($A328="","",IF(countif('Womens Lineup'!J$3:J1000,CONCATENATE("=",$A328))=0,"",J$2))</f>
        <v/>
      </c>
      <c r="K328" s="3" t="str">
        <f>IF($A328="","",IF(countif('Womens Lineup'!K$3:K1000,CONCATENATE("=",$A328))=0,"",K$2))</f>
        <v/>
      </c>
      <c r="L328" s="3" t="str">
        <f>IF($A328="","",IF(countif('Womens Lineup'!L$3:L1000,CONCATENATE("=",$A328))=0,"",L$2))</f>
        <v/>
      </c>
      <c r="M328" s="3" t="str">
        <f>IF($A328="","",IF(countif('Womens Lineup'!M$3:M1000,CONCATENATE("=",$A328))=0,"",M$2))</f>
        <v/>
      </c>
      <c r="N328" s="3" t="str">
        <f>IF($A328="","",IF(countif('Womens Lineup'!N$3:N1000,CONCATENATE("=",$A328))=0,"",N$2))</f>
        <v/>
      </c>
      <c r="O328" s="3" t="str">
        <f>IF($A328="","",IF(countif('Womens Lineup'!O$3:O1000,CONCATENATE("=",$A328))=0,"",O$2))</f>
        <v/>
      </c>
      <c r="P328" s="3" t="str">
        <f>IF($A328="","",IF(countif('Womens Lineup'!P$3:P1000,CONCATENATE("=",$A328))=0,"",P$2))</f>
        <v/>
      </c>
      <c r="Q328" s="3" t="str">
        <f>IF($A328="","",IF(countif('Womens Lineup'!Q$3:Q1000,CONCATENATE("=",$A328))=0,"",Q$2))</f>
        <v/>
      </c>
      <c r="R328" s="3" t="str">
        <f>IF($A328="","",IF(countif('Womens Lineup'!R$3:R1000,CONCATENATE("=",$A328))=0,"",R$2))</f>
        <v/>
      </c>
      <c r="S328" s="3" t="str">
        <f>IF($A328="","",IF(countif('Womens Lineup'!S$3:S1000,CONCATENATE("=",$A328))=0,"",S$2))</f>
        <v/>
      </c>
      <c r="W328" s="3" t="str">
        <f>IFERROR(__xludf.DUMMYFUNCTION("JOIN("","",FILTER(B328:S328,B328:S328&lt;&gt;""""))"),"#N/A")</f>
        <v>#N/A</v>
      </c>
    </row>
    <row r="329">
      <c r="A329" s="3"/>
      <c r="B329" s="3" t="str">
        <f>IF($A329="","",IF(countif('Womens Lineup'!B$3:B1000,CONCATENATE("=",$A329))=0,"",B$2))</f>
        <v/>
      </c>
      <c r="C329" s="3" t="str">
        <f>IF($A329="","",IF(countif('Womens Lineup'!C$3:C1000,CONCATENATE("=",$A329))=0,"",C$2))</f>
        <v/>
      </c>
      <c r="D329" s="3" t="str">
        <f>IF($A329="","",IF(countif('Womens Lineup'!D$3:D1000,CONCATENATE("=",$A329))=0,"",D$2))</f>
        <v/>
      </c>
      <c r="E329" s="3" t="str">
        <f>IF($A329="","",IF(countif('Womens Lineup'!E$3:E1000,CONCATENATE("=",$A329))=0,"",E$2))</f>
        <v/>
      </c>
      <c r="F329" s="3" t="str">
        <f>IF($A329="","",IF(countif('Womens Lineup'!F$3:F1000,CONCATENATE("=",$A329))=0,"",F$2))</f>
        <v/>
      </c>
      <c r="G329" s="3" t="str">
        <f>IF($A329="","",IF(countif('Womens Lineup'!G$3:G1000,CONCATENATE("=",$A329))=0,"",G$2))</f>
        <v/>
      </c>
      <c r="H329" s="3" t="str">
        <f>IF($A329="","",IF(countif('Womens Lineup'!H$3:H1000,CONCATENATE("=",$A329))=0,"",H$2))</f>
        <v/>
      </c>
      <c r="I329" s="3" t="str">
        <f>IF($A329="","",IF(countif('Womens Lineup'!I$3:I1000,CONCATENATE("=",$A329))=0,"",I$2))</f>
        <v/>
      </c>
      <c r="J329" s="3" t="str">
        <f>IF($A329="","",IF(countif('Womens Lineup'!J$3:J1000,CONCATENATE("=",$A329))=0,"",J$2))</f>
        <v/>
      </c>
      <c r="K329" s="3" t="str">
        <f>IF($A329="","",IF(countif('Womens Lineup'!K$3:K1000,CONCATENATE("=",$A329))=0,"",K$2))</f>
        <v/>
      </c>
      <c r="L329" s="3" t="str">
        <f>IF($A329="","",IF(countif('Womens Lineup'!L$3:L1000,CONCATENATE("=",$A329))=0,"",L$2))</f>
        <v/>
      </c>
      <c r="M329" s="3" t="str">
        <f>IF($A329="","",IF(countif('Womens Lineup'!M$3:M1000,CONCATENATE("=",$A329))=0,"",M$2))</f>
        <v/>
      </c>
      <c r="N329" s="3" t="str">
        <f>IF($A329="","",IF(countif('Womens Lineup'!N$3:N1000,CONCATENATE("=",$A329))=0,"",N$2))</f>
        <v/>
      </c>
      <c r="O329" s="3" t="str">
        <f>IF($A329="","",IF(countif('Womens Lineup'!O$3:O1000,CONCATENATE("=",$A329))=0,"",O$2))</f>
        <v/>
      </c>
      <c r="P329" s="3" t="str">
        <f>IF($A329="","",IF(countif('Womens Lineup'!P$3:P1000,CONCATENATE("=",$A329))=0,"",P$2))</f>
        <v/>
      </c>
      <c r="Q329" s="3" t="str">
        <f>IF($A329="","",IF(countif('Womens Lineup'!Q$3:Q1000,CONCATENATE("=",$A329))=0,"",Q$2))</f>
        <v/>
      </c>
      <c r="R329" s="3" t="str">
        <f>IF($A329="","",IF(countif('Womens Lineup'!R$3:R1000,CONCATENATE("=",$A329))=0,"",R$2))</f>
        <v/>
      </c>
      <c r="S329" s="3" t="str">
        <f>IF($A329="","",IF(countif('Womens Lineup'!S$3:S1000,CONCATENATE("=",$A329))=0,"",S$2))</f>
        <v/>
      </c>
      <c r="W329" s="3" t="str">
        <f>IFERROR(__xludf.DUMMYFUNCTION("JOIN("","",FILTER(B329:S329,B329:S329&lt;&gt;""""))"),"#N/A")</f>
        <v>#N/A</v>
      </c>
    </row>
    <row r="330">
      <c r="A330" s="3"/>
      <c r="B330" s="3" t="str">
        <f>IF($A330="","",IF(countif('Womens Lineup'!B$3:B1000,CONCATENATE("=",$A330))=0,"",B$2))</f>
        <v/>
      </c>
      <c r="C330" s="3" t="str">
        <f>IF($A330="","",IF(countif('Womens Lineup'!C$3:C1000,CONCATENATE("=",$A330))=0,"",C$2))</f>
        <v/>
      </c>
      <c r="D330" s="3" t="str">
        <f>IF($A330="","",IF(countif('Womens Lineup'!D$3:D1000,CONCATENATE("=",$A330))=0,"",D$2))</f>
        <v/>
      </c>
      <c r="E330" s="3" t="str">
        <f>IF($A330="","",IF(countif('Womens Lineup'!E$3:E1000,CONCATENATE("=",$A330))=0,"",E$2))</f>
        <v/>
      </c>
      <c r="F330" s="3" t="str">
        <f>IF($A330="","",IF(countif('Womens Lineup'!F$3:F1000,CONCATENATE("=",$A330))=0,"",F$2))</f>
        <v/>
      </c>
      <c r="G330" s="3" t="str">
        <f>IF($A330="","",IF(countif('Womens Lineup'!G$3:G1000,CONCATENATE("=",$A330))=0,"",G$2))</f>
        <v/>
      </c>
      <c r="H330" s="3" t="str">
        <f>IF($A330="","",IF(countif('Womens Lineup'!H$3:H1000,CONCATENATE("=",$A330))=0,"",H$2))</f>
        <v/>
      </c>
      <c r="I330" s="3" t="str">
        <f>IF($A330="","",IF(countif('Womens Lineup'!I$3:I1000,CONCATENATE("=",$A330))=0,"",I$2))</f>
        <v/>
      </c>
      <c r="J330" s="3" t="str">
        <f>IF($A330="","",IF(countif('Womens Lineup'!J$3:J1000,CONCATENATE("=",$A330))=0,"",J$2))</f>
        <v/>
      </c>
      <c r="K330" s="3" t="str">
        <f>IF($A330="","",IF(countif('Womens Lineup'!K$3:K1000,CONCATENATE("=",$A330))=0,"",K$2))</f>
        <v/>
      </c>
      <c r="L330" s="3" t="str">
        <f>IF($A330="","",IF(countif('Womens Lineup'!L$3:L1000,CONCATENATE("=",$A330))=0,"",L$2))</f>
        <v/>
      </c>
      <c r="M330" s="3" t="str">
        <f>IF($A330="","",IF(countif('Womens Lineup'!M$3:M1000,CONCATENATE("=",$A330))=0,"",M$2))</f>
        <v/>
      </c>
      <c r="N330" s="3" t="str">
        <f>IF($A330="","",IF(countif('Womens Lineup'!N$3:N1000,CONCATENATE("=",$A330))=0,"",N$2))</f>
        <v/>
      </c>
      <c r="O330" s="3" t="str">
        <f>IF($A330="","",IF(countif('Womens Lineup'!O$3:O1000,CONCATENATE("=",$A330))=0,"",O$2))</f>
        <v/>
      </c>
      <c r="P330" s="3" t="str">
        <f>IF($A330="","",IF(countif('Womens Lineup'!P$3:P1000,CONCATENATE("=",$A330))=0,"",P$2))</f>
        <v/>
      </c>
      <c r="Q330" s="3" t="str">
        <f>IF($A330="","",IF(countif('Womens Lineup'!Q$3:Q1000,CONCATENATE("=",$A330))=0,"",Q$2))</f>
        <v/>
      </c>
      <c r="R330" s="3" t="str">
        <f>IF($A330="","",IF(countif('Womens Lineup'!R$3:R1000,CONCATENATE("=",$A330))=0,"",R$2))</f>
        <v/>
      </c>
      <c r="S330" s="3" t="str">
        <f>IF($A330="","",IF(countif('Womens Lineup'!S$3:S1000,CONCATENATE("=",$A330))=0,"",S$2))</f>
        <v/>
      </c>
      <c r="W330" s="3" t="str">
        <f>IFERROR(__xludf.DUMMYFUNCTION("JOIN("","",FILTER(B330:S330,B330:S330&lt;&gt;""""))"),"#N/A")</f>
        <v>#N/A</v>
      </c>
    </row>
    <row r="331">
      <c r="A331" s="3"/>
      <c r="B331" s="3" t="str">
        <f>IF($A331="","",IF(countif('Womens Lineup'!B$3:B1000,CONCATENATE("=",$A331))=0,"",B$2))</f>
        <v/>
      </c>
      <c r="C331" s="3" t="str">
        <f>IF($A331="","",IF(countif('Womens Lineup'!C$3:C1000,CONCATENATE("=",$A331))=0,"",C$2))</f>
        <v/>
      </c>
      <c r="D331" s="3" t="str">
        <f>IF($A331="","",IF(countif('Womens Lineup'!D$3:D1000,CONCATENATE("=",$A331))=0,"",D$2))</f>
        <v/>
      </c>
      <c r="E331" s="3" t="str">
        <f>IF($A331="","",IF(countif('Womens Lineup'!E$3:E1000,CONCATENATE("=",$A331))=0,"",E$2))</f>
        <v/>
      </c>
      <c r="F331" s="3" t="str">
        <f>IF($A331="","",IF(countif('Womens Lineup'!F$3:F1000,CONCATENATE("=",$A331))=0,"",F$2))</f>
        <v/>
      </c>
      <c r="G331" s="3" t="str">
        <f>IF($A331="","",IF(countif('Womens Lineup'!G$3:G1000,CONCATENATE("=",$A331))=0,"",G$2))</f>
        <v/>
      </c>
      <c r="H331" s="3" t="str">
        <f>IF($A331="","",IF(countif('Womens Lineup'!H$3:H1000,CONCATENATE("=",$A331))=0,"",H$2))</f>
        <v/>
      </c>
      <c r="I331" s="3" t="str">
        <f>IF($A331="","",IF(countif('Womens Lineup'!I$3:I1000,CONCATENATE("=",$A331))=0,"",I$2))</f>
        <v/>
      </c>
      <c r="J331" s="3" t="str">
        <f>IF($A331="","",IF(countif('Womens Lineup'!J$3:J1000,CONCATENATE("=",$A331))=0,"",J$2))</f>
        <v/>
      </c>
      <c r="K331" s="3" t="str">
        <f>IF($A331="","",IF(countif('Womens Lineup'!K$3:K1000,CONCATENATE("=",$A331))=0,"",K$2))</f>
        <v/>
      </c>
      <c r="L331" s="3" t="str">
        <f>IF($A331="","",IF(countif('Womens Lineup'!L$3:L1000,CONCATENATE("=",$A331))=0,"",L$2))</f>
        <v/>
      </c>
      <c r="M331" s="3" t="str">
        <f>IF($A331="","",IF(countif('Womens Lineup'!M$3:M1000,CONCATENATE("=",$A331))=0,"",M$2))</f>
        <v/>
      </c>
      <c r="N331" s="3" t="str">
        <f>IF($A331="","",IF(countif('Womens Lineup'!N$3:N1000,CONCATENATE("=",$A331))=0,"",N$2))</f>
        <v/>
      </c>
      <c r="O331" s="3" t="str">
        <f>IF($A331="","",IF(countif('Womens Lineup'!O$3:O1000,CONCATENATE("=",$A331))=0,"",O$2))</f>
        <v/>
      </c>
      <c r="P331" s="3" t="str">
        <f>IF($A331="","",IF(countif('Womens Lineup'!P$3:P1000,CONCATENATE("=",$A331))=0,"",P$2))</f>
        <v/>
      </c>
      <c r="Q331" s="3" t="str">
        <f>IF($A331="","",IF(countif('Womens Lineup'!Q$3:Q1000,CONCATENATE("=",$A331))=0,"",Q$2))</f>
        <v/>
      </c>
      <c r="R331" s="3" t="str">
        <f>IF($A331="","",IF(countif('Womens Lineup'!R$3:R1000,CONCATENATE("=",$A331))=0,"",R$2))</f>
        <v/>
      </c>
      <c r="S331" s="3" t="str">
        <f>IF($A331="","",IF(countif('Womens Lineup'!S$3:S1000,CONCATENATE("=",$A331))=0,"",S$2))</f>
        <v/>
      </c>
      <c r="W331" s="3" t="str">
        <f>IFERROR(__xludf.DUMMYFUNCTION("JOIN("","",FILTER(B331:S331,B331:S331&lt;&gt;""""))"),"#N/A")</f>
        <v>#N/A</v>
      </c>
    </row>
    <row r="332">
      <c r="A332" s="3"/>
      <c r="B332" s="3" t="str">
        <f>IF($A332="","",IF(countif('Womens Lineup'!B$3:B1000,CONCATENATE("=",$A332))=0,"",B$2))</f>
        <v/>
      </c>
      <c r="C332" s="3" t="str">
        <f>IF($A332="","",IF(countif('Womens Lineup'!C$3:C1000,CONCATENATE("=",$A332))=0,"",C$2))</f>
        <v/>
      </c>
      <c r="D332" s="3" t="str">
        <f>IF($A332="","",IF(countif('Womens Lineup'!D$3:D1000,CONCATENATE("=",$A332))=0,"",D$2))</f>
        <v/>
      </c>
      <c r="E332" s="3" t="str">
        <f>IF($A332="","",IF(countif('Womens Lineup'!E$3:E1000,CONCATENATE("=",$A332))=0,"",E$2))</f>
        <v/>
      </c>
      <c r="F332" s="3" t="str">
        <f>IF($A332="","",IF(countif('Womens Lineup'!F$3:F1000,CONCATENATE("=",$A332))=0,"",F$2))</f>
        <v/>
      </c>
      <c r="G332" s="3" t="str">
        <f>IF($A332="","",IF(countif('Womens Lineup'!G$3:G1000,CONCATENATE("=",$A332))=0,"",G$2))</f>
        <v/>
      </c>
      <c r="H332" s="3" t="str">
        <f>IF($A332="","",IF(countif('Womens Lineup'!H$3:H1000,CONCATENATE("=",$A332))=0,"",H$2))</f>
        <v/>
      </c>
      <c r="I332" s="3" t="str">
        <f>IF($A332="","",IF(countif('Womens Lineup'!I$3:I1000,CONCATENATE("=",$A332))=0,"",I$2))</f>
        <v/>
      </c>
      <c r="J332" s="3" t="str">
        <f>IF($A332="","",IF(countif('Womens Lineup'!J$3:J1000,CONCATENATE("=",$A332))=0,"",J$2))</f>
        <v/>
      </c>
      <c r="K332" s="3" t="str">
        <f>IF($A332="","",IF(countif('Womens Lineup'!K$3:K1000,CONCATENATE("=",$A332))=0,"",K$2))</f>
        <v/>
      </c>
      <c r="L332" s="3" t="str">
        <f>IF($A332="","",IF(countif('Womens Lineup'!L$3:L1000,CONCATENATE("=",$A332))=0,"",L$2))</f>
        <v/>
      </c>
      <c r="M332" s="3" t="str">
        <f>IF($A332="","",IF(countif('Womens Lineup'!M$3:M1000,CONCATENATE("=",$A332))=0,"",M$2))</f>
        <v/>
      </c>
      <c r="N332" s="3" t="str">
        <f>IF($A332="","",IF(countif('Womens Lineup'!N$3:N1000,CONCATENATE("=",$A332))=0,"",N$2))</f>
        <v/>
      </c>
      <c r="O332" s="3" t="str">
        <f>IF($A332="","",IF(countif('Womens Lineup'!O$3:O1000,CONCATENATE("=",$A332))=0,"",O$2))</f>
        <v/>
      </c>
      <c r="P332" s="3" t="str">
        <f>IF($A332="","",IF(countif('Womens Lineup'!P$3:P1000,CONCATENATE("=",$A332))=0,"",P$2))</f>
        <v/>
      </c>
      <c r="Q332" s="3" t="str">
        <f>IF($A332="","",IF(countif('Womens Lineup'!Q$3:Q1000,CONCATENATE("=",$A332))=0,"",Q$2))</f>
        <v/>
      </c>
      <c r="R332" s="3" t="str">
        <f>IF($A332="","",IF(countif('Womens Lineup'!R$3:R1000,CONCATENATE("=",$A332))=0,"",R$2))</f>
        <v/>
      </c>
      <c r="S332" s="3" t="str">
        <f>IF($A332="","",IF(countif('Womens Lineup'!S$3:S1000,CONCATENATE("=",$A332))=0,"",S$2))</f>
        <v/>
      </c>
      <c r="W332" s="3" t="str">
        <f>IFERROR(__xludf.DUMMYFUNCTION("JOIN("","",FILTER(B332:S332,B332:S332&lt;&gt;""""))"),"#N/A")</f>
        <v>#N/A</v>
      </c>
    </row>
    <row r="333">
      <c r="A333" s="3"/>
      <c r="B333" s="3" t="str">
        <f>IF($A333="","",IF(countif('Womens Lineup'!B$3:B1000,CONCATENATE("=",$A333))=0,"",B$2))</f>
        <v/>
      </c>
      <c r="C333" s="3" t="str">
        <f>IF($A333="","",IF(countif('Womens Lineup'!C$3:C1000,CONCATENATE("=",$A333))=0,"",C$2))</f>
        <v/>
      </c>
      <c r="D333" s="3" t="str">
        <f>IF($A333="","",IF(countif('Womens Lineup'!D$3:D1000,CONCATENATE("=",$A333))=0,"",D$2))</f>
        <v/>
      </c>
      <c r="E333" s="3" t="str">
        <f>IF($A333="","",IF(countif('Womens Lineup'!E$3:E1000,CONCATENATE("=",$A333))=0,"",E$2))</f>
        <v/>
      </c>
      <c r="F333" s="3" t="str">
        <f>IF($A333="","",IF(countif('Womens Lineup'!F$3:F1000,CONCATENATE("=",$A333))=0,"",F$2))</f>
        <v/>
      </c>
      <c r="G333" s="3" t="str">
        <f>IF($A333="","",IF(countif('Womens Lineup'!G$3:G1000,CONCATENATE("=",$A333))=0,"",G$2))</f>
        <v/>
      </c>
      <c r="H333" s="3" t="str">
        <f>IF($A333="","",IF(countif('Womens Lineup'!H$3:H1000,CONCATENATE("=",$A333))=0,"",H$2))</f>
        <v/>
      </c>
      <c r="I333" s="3" t="str">
        <f>IF($A333="","",IF(countif('Womens Lineup'!I$3:I1000,CONCATENATE("=",$A333))=0,"",I$2))</f>
        <v/>
      </c>
      <c r="J333" s="3" t="str">
        <f>IF($A333="","",IF(countif('Womens Lineup'!J$3:J1000,CONCATENATE("=",$A333))=0,"",J$2))</f>
        <v/>
      </c>
      <c r="K333" s="3" t="str">
        <f>IF($A333="","",IF(countif('Womens Lineup'!K$3:K1000,CONCATENATE("=",$A333))=0,"",K$2))</f>
        <v/>
      </c>
      <c r="L333" s="3" t="str">
        <f>IF($A333="","",IF(countif('Womens Lineup'!L$3:L1000,CONCATENATE("=",$A333))=0,"",L$2))</f>
        <v/>
      </c>
      <c r="M333" s="3" t="str">
        <f>IF($A333="","",IF(countif('Womens Lineup'!M$3:M1000,CONCATENATE("=",$A333))=0,"",M$2))</f>
        <v/>
      </c>
      <c r="N333" s="3" t="str">
        <f>IF($A333="","",IF(countif('Womens Lineup'!N$3:N1000,CONCATENATE("=",$A333))=0,"",N$2))</f>
        <v/>
      </c>
      <c r="O333" s="3" t="str">
        <f>IF($A333="","",IF(countif('Womens Lineup'!O$3:O1000,CONCATENATE("=",$A333))=0,"",O$2))</f>
        <v/>
      </c>
      <c r="P333" s="3" t="str">
        <f>IF($A333="","",IF(countif('Womens Lineup'!P$3:P1000,CONCATENATE("=",$A333))=0,"",P$2))</f>
        <v/>
      </c>
      <c r="Q333" s="3" t="str">
        <f>IF($A333="","",IF(countif('Womens Lineup'!Q$3:Q1000,CONCATENATE("=",$A333))=0,"",Q$2))</f>
        <v/>
      </c>
      <c r="R333" s="3" t="str">
        <f>IF($A333="","",IF(countif('Womens Lineup'!R$3:R1000,CONCATENATE("=",$A333))=0,"",R$2))</f>
        <v/>
      </c>
      <c r="S333" s="3" t="str">
        <f>IF($A333="","",IF(countif('Womens Lineup'!S$3:S1000,CONCATENATE("=",$A333))=0,"",S$2))</f>
        <v/>
      </c>
      <c r="W333" s="3" t="str">
        <f>IFERROR(__xludf.DUMMYFUNCTION("JOIN("","",FILTER(B333:S333,B333:S333&lt;&gt;""""))"),"#N/A")</f>
        <v>#N/A</v>
      </c>
    </row>
    <row r="334">
      <c r="A334" s="3"/>
      <c r="B334" s="3" t="str">
        <f>IF($A334="","",IF(countif('Womens Lineup'!B$3:B1000,CONCATENATE("=",$A334))=0,"",B$2))</f>
        <v/>
      </c>
      <c r="C334" s="3" t="str">
        <f>IF($A334="","",IF(countif('Womens Lineup'!C$3:C1000,CONCATENATE("=",$A334))=0,"",C$2))</f>
        <v/>
      </c>
      <c r="D334" s="3" t="str">
        <f>IF($A334="","",IF(countif('Womens Lineup'!D$3:D1000,CONCATENATE("=",$A334))=0,"",D$2))</f>
        <v/>
      </c>
      <c r="E334" s="3" t="str">
        <f>IF($A334="","",IF(countif('Womens Lineup'!E$3:E1000,CONCATENATE("=",$A334))=0,"",E$2))</f>
        <v/>
      </c>
      <c r="F334" s="3" t="str">
        <f>IF($A334="","",IF(countif('Womens Lineup'!F$3:F1000,CONCATENATE("=",$A334))=0,"",F$2))</f>
        <v/>
      </c>
      <c r="G334" s="3" t="str">
        <f>IF($A334="","",IF(countif('Womens Lineup'!G$3:G1000,CONCATENATE("=",$A334))=0,"",G$2))</f>
        <v/>
      </c>
      <c r="H334" s="3" t="str">
        <f>IF($A334="","",IF(countif('Womens Lineup'!H$3:H1000,CONCATENATE("=",$A334))=0,"",H$2))</f>
        <v/>
      </c>
      <c r="I334" s="3" t="str">
        <f>IF($A334="","",IF(countif('Womens Lineup'!I$3:I1000,CONCATENATE("=",$A334))=0,"",I$2))</f>
        <v/>
      </c>
      <c r="J334" s="3" t="str">
        <f>IF($A334="","",IF(countif('Womens Lineup'!J$3:J1000,CONCATENATE("=",$A334))=0,"",J$2))</f>
        <v/>
      </c>
      <c r="K334" s="3" t="str">
        <f>IF($A334="","",IF(countif('Womens Lineup'!K$3:K1000,CONCATENATE("=",$A334))=0,"",K$2))</f>
        <v/>
      </c>
      <c r="L334" s="3" t="str">
        <f>IF($A334="","",IF(countif('Womens Lineup'!L$3:L1000,CONCATENATE("=",$A334))=0,"",L$2))</f>
        <v/>
      </c>
      <c r="M334" s="3" t="str">
        <f>IF($A334="","",IF(countif('Womens Lineup'!M$3:M1000,CONCATENATE("=",$A334))=0,"",M$2))</f>
        <v/>
      </c>
      <c r="N334" s="3" t="str">
        <f>IF($A334="","",IF(countif('Womens Lineup'!N$3:N1000,CONCATENATE("=",$A334))=0,"",N$2))</f>
        <v/>
      </c>
      <c r="O334" s="3" t="str">
        <f>IF($A334="","",IF(countif('Womens Lineup'!O$3:O1000,CONCATENATE("=",$A334))=0,"",O$2))</f>
        <v/>
      </c>
      <c r="P334" s="3" t="str">
        <f>IF($A334="","",IF(countif('Womens Lineup'!P$3:P1000,CONCATENATE("=",$A334))=0,"",P$2))</f>
        <v/>
      </c>
      <c r="Q334" s="3" t="str">
        <f>IF($A334="","",IF(countif('Womens Lineup'!Q$3:Q1000,CONCATENATE("=",$A334))=0,"",Q$2))</f>
        <v/>
      </c>
      <c r="R334" s="3" t="str">
        <f>IF($A334="","",IF(countif('Womens Lineup'!R$3:R1000,CONCATENATE("=",$A334))=0,"",R$2))</f>
        <v/>
      </c>
      <c r="S334" s="3" t="str">
        <f>IF($A334="","",IF(countif('Womens Lineup'!S$3:S1000,CONCATENATE("=",$A334))=0,"",S$2))</f>
        <v/>
      </c>
      <c r="W334" s="3" t="str">
        <f>IFERROR(__xludf.DUMMYFUNCTION("JOIN("","",FILTER(B334:S334,B334:S334&lt;&gt;""""))"),"#N/A")</f>
        <v>#N/A</v>
      </c>
    </row>
    <row r="335">
      <c r="A335" s="3"/>
      <c r="B335" s="3" t="str">
        <f>IF($A335="","",IF(countif('Womens Lineup'!B$3:B1000,CONCATENATE("=",$A335))=0,"",B$2))</f>
        <v/>
      </c>
      <c r="C335" s="3" t="str">
        <f>IF($A335="","",IF(countif('Womens Lineup'!C$3:C1000,CONCATENATE("=",$A335))=0,"",C$2))</f>
        <v/>
      </c>
      <c r="D335" s="3" t="str">
        <f>IF($A335="","",IF(countif('Womens Lineup'!D$3:D1000,CONCATENATE("=",$A335))=0,"",D$2))</f>
        <v/>
      </c>
      <c r="E335" s="3" t="str">
        <f>IF($A335="","",IF(countif('Womens Lineup'!E$3:E1000,CONCATENATE("=",$A335))=0,"",E$2))</f>
        <v/>
      </c>
      <c r="F335" s="3" t="str">
        <f>IF($A335="","",IF(countif('Womens Lineup'!F$3:F1000,CONCATENATE("=",$A335))=0,"",F$2))</f>
        <v/>
      </c>
      <c r="G335" s="3" t="str">
        <f>IF($A335="","",IF(countif('Womens Lineup'!G$3:G1000,CONCATENATE("=",$A335))=0,"",G$2))</f>
        <v/>
      </c>
      <c r="H335" s="3" t="str">
        <f>IF($A335="","",IF(countif('Womens Lineup'!H$3:H1000,CONCATENATE("=",$A335))=0,"",H$2))</f>
        <v/>
      </c>
      <c r="I335" s="3" t="str">
        <f>IF($A335="","",IF(countif('Womens Lineup'!I$3:I1000,CONCATENATE("=",$A335))=0,"",I$2))</f>
        <v/>
      </c>
      <c r="J335" s="3" t="str">
        <f>IF($A335="","",IF(countif('Womens Lineup'!J$3:J1000,CONCATENATE("=",$A335))=0,"",J$2))</f>
        <v/>
      </c>
      <c r="K335" s="3" t="str">
        <f>IF($A335="","",IF(countif('Womens Lineup'!K$3:K1000,CONCATENATE("=",$A335))=0,"",K$2))</f>
        <v/>
      </c>
      <c r="L335" s="3" t="str">
        <f>IF($A335="","",IF(countif('Womens Lineup'!L$3:L1000,CONCATENATE("=",$A335))=0,"",L$2))</f>
        <v/>
      </c>
      <c r="M335" s="3" t="str">
        <f>IF($A335="","",IF(countif('Womens Lineup'!M$3:M1000,CONCATENATE("=",$A335))=0,"",M$2))</f>
        <v/>
      </c>
      <c r="N335" s="3" t="str">
        <f>IF($A335="","",IF(countif('Womens Lineup'!N$3:N1000,CONCATENATE("=",$A335))=0,"",N$2))</f>
        <v/>
      </c>
      <c r="O335" s="3" t="str">
        <f>IF($A335="","",IF(countif('Womens Lineup'!O$3:O1000,CONCATENATE("=",$A335))=0,"",O$2))</f>
        <v/>
      </c>
      <c r="P335" s="3" t="str">
        <f>IF($A335="","",IF(countif('Womens Lineup'!P$3:P1000,CONCATENATE("=",$A335))=0,"",P$2))</f>
        <v/>
      </c>
      <c r="Q335" s="3" t="str">
        <f>IF($A335="","",IF(countif('Womens Lineup'!Q$3:Q1000,CONCATENATE("=",$A335))=0,"",Q$2))</f>
        <v/>
      </c>
      <c r="R335" s="3" t="str">
        <f>IF($A335="","",IF(countif('Womens Lineup'!R$3:R1000,CONCATENATE("=",$A335))=0,"",R$2))</f>
        <v/>
      </c>
      <c r="S335" s="3" t="str">
        <f>IF($A335="","",IF(countif('Womens Lineup'!S$3:S1000,CONCATENATE("=",$A335))=0,"",S$2))</f>
        <v/>
      </c>
      <c r="W335" s="3" t="str">
        <f>IFERROR(__xludf.DUMMYFUNCTION("JOIN("","",FILTER(B335:S335,B335:S335&lt;&gt;""""))"),"#N/A")</f>
        <v>#N/A</v>
      </c>
    </row>
    <row r="336">
      <c r="A336" s="3"/>
      <c r="B336" s="3" t="str">
        <f>IF($A336="","",IF(countif('Womens Lineup'!B$3:B1000,CONCATENATE("=",$A336))=0,"",B$2))</f>
        <v/>
      </c>
      <c r="C336" s="3" t="str">
        <f>IF($A336="","",IF(countif('Womens Lineup'!C$3:C1000,CONCATENATE("=",$A336))=0,"",C$2))</f>
        <v/>
      </c>
      <c r="D336" s="3" t="str">
        <f>IF($A336="","",IF(countif('Womens Lineup'!D$3:D1000,CONCATENATE("=",$A336))=0,"",D$2))</f>
        <v/>
      </c>
      <c r="E336" s="3" t="str">
        <f>IF($A336="","",IF(countif('Womens Lineup'!E$3:E1000,CONCATENATE("=",$A336))=0,"",E$2))</f>
        <v/>
      </c>
      <c r="F336" s="3" t="str">
        <f>IF($A336="","",IF(countif('Womens Lineup'!F$3:F1000,CONCATENATE("=",$A336))=0,"",F$2))</f>
        <v/>
      </c>
      <c r="G336" s="3" t="str">
        <f>IF($A336="","",IF(countif('Womens Lineup'!G$3:G1000,CONCATENATE("=",$A336))=0,"",G$2))</f>
        <v/>
      </c>
      <c r="H336" s="3" t="str">
        <f>IF($A336="","",IF(countif('Womens Lineup'!H$3:H1000,CONCATENATE("=",$A336))=0,"",H$2))</f>
        <v/>
      </c>
      <c r="I336" s="3" t="str">
        <f>IF($A336="","",IF(countif('Womens Lineup'!I$3:I1000,CONCATENATE("=",$A336))=0,"",I$2))</f>
        <v/>
      </c>
      <c r="J336" s="3" t="str">
        <f>IF($A336="","",IF(countif('Womens Lineup'!J$3:J1000,CONCATENATE("=",$A336))=0,"",J$2))</f>
        <v/>
      </c>
      <c r="K336" s="3" t="str">
        <f>IF($A336="","",IF(countif('Womens Lineup'!K$3:K1000,CONCATENATE("=",$A336))=0,"",K$2))</f>
        <v/>
      </c>
      <c r="L336" s="3" t="str">
        <f>IF($A336="","",IF(countif('Womens Lineup'!L$3:L1000,CONCATENATE("=",$A336))=0,"",L$2))</f>
        <v/>
      </c>
      <c r="M336" s="3" t="str">
        <f>IF($A336="","",IF(countif('Womens Lineup'!M$3:M1000,CONCATENATE("=",$A336))=0,"",M$2))</f>
        <v/>
      </c>
      <c r="N336" s="3" t="str">
        <f>IF($A336="","",IF(countif('Womens Lineup'!N$3:N1000,CONCATENATE("=",$A336))=0,"",N$2))</f>
        <v/>
      </c>
      <c r="O336" s="3" t="str">
        <f>IF($A336="","",IF(countif('Womens Lineup'!O$3:O1000,CONCATENATE("=",$A336))=0,"",O$2))</f>
        <v/>
      </c>
      <c r="P336" s="3" t="str">
        <f>IF($A336="","",IF(countif('Womens Lineup'!P$3:P1000,CONCATENATE("=",$A336))=0,"",P$2))</f>
        <v/>
      </c>
      <c r="Q336" s="3" t="str">
        <f>IF($A336="","",IF(countif('Womens Lineup'!Q$3:Q1000,CONCATENATE("=",$A336))=0,"",Q$2))</f>
        <v/>
      </c>
      <c r="R336" s="3" t="str">
        <f>IF($A336="","",IF(countif('Womens Lineup'!R$3:R1000,CONCATENATE("=",$A336))=0,"",R$2))</f>
        <v/>
      </c>
      <c r="S336" s="3" t="str">
        <f>IF($A336="","",IF(countif('Womens Lineup'!S$3:S1000,CONCATENATE("=",$A336))=0,"",S$2))</f>
        <v/>
      </c>
      <c r="W336" s="3" t="str">
        <f>IFERROR(__xludf.DUMMYFUNCTION("JOIN("","",FILTER(B336:S336,B336:S336&lt;&gt;""""))"),"#N/A")</f>
        <v>#N/A</v>
      </c>
    </row>
    <row r="337">
      <c r="A337" s="3"/>
      <c r="B337" s="3" t="str">
        <f>IF($A337="","",IF(countif('Womens Lineup'!B$3:B1000,CONCATENATE("=",$A337))=0,"",B$2))</f>
        <v/>
      </c>
      <c r="C337" s="3" t="str">
        <f>IF($A337="","",IF(countif('Womens Lineup'!C$3:C1000,CONCATENATE("=",$A337))=0,"",C$2))</f>
        <v/>
      </c>
      <c r="D337" s="3" t="str">
        <f>IF($A337="","",IF(countif('Womens Lineup'!D$3:D1000,CONCATENATE("=",$A337))=0,"",D$2))</f>
        <v/>
      </c>
      <c r="E337" s="3" t="str">
        <f>IF($A337="","",IF(countif('Womens Lineup'!E$3:E1000,CONCATENATE("=",$A337))=0,"",E$2))</f>
        <v/>
      </c>
      <c r="F337" s="3" t="str">
        <f>IF($A337="","",IF(countif('Womens Lineup'!F$3:F1000,CONCATENATE("=",$A337))=0,"",F$2))</f>
        <v/>
      </c>
      <c r="G337" s="3" t="str">
        <f>IF($A337="","",IF(countif('Womens Lineup'!G$3:G1000,CONCATENATE("=",$A337))=0,"",G$2))</f>
        <v/>
      </c>
      <c r="H337" s="3" t="str">
        <f>IF($A337="","",IF(countif('Womens Lineup'!H$3:H1000,CONCATENATE("=",$A337))=0,"",H$2))</f>
        <v/>
      </c>
      <c r="I337" s="3" t="str">
        <f>IF($A337="","",IF(countif('Womens Lineup'!I$3:I1000,CONCATENATE("=",$A337))=0,"",I$2))</f>
        <v/>
      </c>
      <c r="J337" s="3" t="str">
        <f>IF($A337="","",IF(countif('Womens Lineup'!J$3:J1000,CONCATENATE("=",$A337))=0,"",J$2))</f>
        <v/>
      </c>
      <c r="K337" s="3" t="str">
        <f>IF($A337="","",IF(countif('Womens Lineup'!K$3:K1000,CONCATENATE("=",$A337))=0,"",K$2))</f>
        <v/>
      </c>
      <c r="L337" s="3" t="str">
        <f>IF($A337="","",IF(countif('Womens Lineup'!L$3:L1000,CONCATENATE("=",$A337))=0,"",L$2))</f>
        <v/>
      </c>
      <c r="M337" s="3" t="str">
        <f>IF($A337="","",IF(countif('Womens Lineup'!M$3:M1000,CONCATENATE("=",$A337))=0,"",M$2))</f>
        <v/>
      </c>
      <c r="N337" s="3" t="str">
        <f>IF($A337="","",IF(countif('Womens Lineup'!N$3:N1000,CONCATENATE("=",$A337))=0,"",N$2))</f>
        <v/>
      </c>
      <c r="O337" s="3" t="str">
        <f>IF($A337="","",IF(countif('Womens Lineup'!O$3:O1000,CONCATENATE("=",$A337))=0,"",O$2))</f>
        <v/>
      </c>
      <c r="P337" s="3" t="str">
        <f>IF($A337="","",IF(countif('Womens Lineup'!P$3:P1000,CONCATENATE("=",$A337))=0,"",P$2))</f>
        <v/>
      </c>
      <c r="Q337" s="3" t="str">
        <f>IF($A337="","",IF(countif('Womens Lineup'!Q$3:Q1000,CONCATENATE("=",$A337))=0,"",Q$2))</f>
        <v/>
      </c>
      <c r="R337" s="3" t="str">
        <f>IF($A337="","",IF(countif('Womens Lineup'!R$3:R1000,CONCATENATE("=",$A337))=0,"",R$2))</f>
        <v/>
      </c>
      <c r="S337" s="3" t="str">
        <f>IF($A337="","",IF(countif('Womens Lineup'!S$3:S1000,CONCATENATE("=",$A337))=0,"",S$2))</f>
        <v/>
      </c>
      <c r="W337" s="3" t="str">
        <f>IFERROR(__xludf.DUMMYFUNCTION("JOIN("","",FILTER(B337:S337,B337:S337&lt;&gt;""""))"),"#N/A")</f>
        <v>#N/A</v>
      </c>
    </row>
    <row r="338">
      <c r="A338" s="3"/>
      <c r="B338" s="3" t="str">
        <f>IF($A338="","",IF(countif('Womens Lineup'!B$3:B1000,CONCATENATE("=",$A338))=0,"",B$2))</f>
        <v/>
      </c>
      <c r="C338" s="3" t="str">
        <f>IF($A338="","",IF(countif('Womens Lineup'!C$3:C1000,CONCATENATE("=",$A338))=0,"",C$2))</f>
        <v/>
      </c>
      <c r="D338" s="3" t="str">
        <f>IF($A338="","",IF(countif('Womens Lineup'!D$3:D1000,CONCATENATE("=",$A338))=0,"",D$2))</f>
        <v/>
      </c>
      <c r="E338" s="3" t="str">
        <f>IF($A338="","",IF(countif('Womens Lineup'!E$3:E1000,CONCATENATE("=",$A338))=0,"",E$2))</f>
        <v/>
      </c>
      <c r="F338" s="3" t="str">
        <f>IF($A338="","",IF(countif('Womens Lineup'!F$3:F1000,CONCATENATE("=",$A338))=0,"",F$2))</f>
        <v/>
      </c>
      <c r="G338" s="3" t="str">
        <f>IF($A338="","",IF(countif('Womens Lineup'!G$3:G1000,CONCATENATE("=",$A338))=0,"",G$2))</f>
        <v/>
      </c>
      <c r="H338" s="3" t="str">
        <f>IF($A338="","",IF(countif('Womens Lineup'!H$3:H1000,CONCATENATE("=",$A338))=0,"",H$2))</f>
        <v/>
      </c>
      <c r="I338" s="3" t="str">
        <f>IF($A338="","",IF(countif('Womens Lineup'!I$3:I1000,CONCATENATE("=",$A338))=0,"",I$2))</f>
        <v/>
      </c>
      <c r="J338" s="3" t="str">
        <f>IF($A338="","",IF(countif('Womens Lineup'!J$3:J1000,CONCATENATE("=",$A338))=0,"",J$2))</f>
        <v/>
      </c>
      <c r="K338" s="3" t="str">
        <f>IF($A338="","",IF(countif('Womens Lineup'!K$3:K1000,CONCATENATE("=",$A338))=0,"",K$2))</f>
        <v/>
      </c>
      <c r="L338" s="3" t="str">
        <f>IF($A338="","",IF(countif('Womens Lineup'!L$3:L1000,CONCATENATE("=",$A338))=0,"",L$2))</f>
        <v/>
      </c>
      <c r="M338" s="3" t="str">
        <f>IF($A338="","",IF(countif('Womens Lineup'!M$3:M1000,CONCATENATE("=",$A338))=0,"",M$2))</f>
        <v/>
      </c>
      <c r="N338" s="3" t="str">
        <f>IF($A338="","",IF(countif('Womens Lineup'!N$3:N1000,CONCATENATE("=",$A338))=0,"",N$2))</f>
        <v/>
      </c>
      <c r="O338" s="3" t="str">
        <f>IF($A338="","",IF(countif('Womens Lineup'!O$3:O1000,CONCATENATE("=",$A338))=0,"",O$2))</f>
        <v/>
      </c>
      <c r="P338" s="3" t="str">
        <f>IF($A338="","",IF(countif('Womens Lineup'!P$3:P1000,CONCATENATE("=",$A338))=0,"",P$2))</f>
        <v/>
      </c>
      <c r="Q338" s="3" t="str">
        <f>IF($A338="","",IF(countif('Womens Lineup'!Q$3:Q1000,CONCATENATE("=",$A338))=0,"",Q$2))</f>
        <v/>
      </c>
      <c r="R338" s="3" t="str">
        <f>IF($A338="","",IF(countif('Womens Lineup'!R$3:R1000,CONCATENATE("=",$A338))=0,"",R$2))</f>
        <v/>
      </c>
      <c r="S338" s="3" t="str">
        <f>IF($A338="","",IF(countif('Womens Lineup'!S$3:S1000,CONCATENATE("=",$A338))=0,"",S$2))</f>
        <v/>
      </c>
      <c r="W338" s="3" t="str">
        <f>IFERROR(__xludf.DUMMYFUNCTION("JOIN("","",FILTER(B338:S338,B338:S338&lt;&gt;""""))"),"#N/A")</f>
        <v>#N/A</v>
      </c>
    </row>
    <row r="339">
      <c r="A339" s="3"/>
      <c r="B339" s="3" t="str">
        <f>IF($A339="","",IF(countif('Womens Lineup'!B$3:B1000,CONCATENATE("=",$A339))=0,"",B$2))</f>
        <v/>
      </c>
      <c r="C339" s="3" t="str">
        <f>IF($A339="","",IF(countif('Womens Lineup'!C$3:C1000,CONCATENATE("=",$A339))=0,"",C$2))</f>
        <v/>
      </c>
      <c r="D339" s="3" t="str">
        <f>IF($A339="","",IF(countif('Womens Lineup'!D$3:D1000,CONCATENATE("=",$A339))=0,"",D$2))</f>
        <v/>
      </c>
      <c r="E339" s="3" t="str">
        <f>IF($A339="","",IF(countif('Womens Lineup'!E$3:E1000,CONCATENATE("=",$A339))=0,"",E$2))</f>
        <v/>
      </c>
      <c r="F339" s="3" t="str">
        <f>IF($A339="","",IF(countif('Womens Lineup'!F$3:F1000,CONCATENATE("=",$A339))=0,"",F$2))</f>
        <v/>
      </c>
      <c r="G339" s="3" t="str">
        <f>IF($A339="","",IF(countif('Womens Lineup'!G$3:G1000,CONCATENATE("=",$A339))=0,"",G$2))</f>
        <v/>
      </c>
      <c r="H339" s="3" t="str">
        <f>IF($A339="","",IF(countif('Womens Lineup'!H$3:H1000,CONCATENATE("=",$A339))=0,"",H$2))</f>
        <v/>
      </c>
      <c r="I339" s="3" t="str">
        <f>IF($A339="","",IF(countif('Womens Lineup'!I$3:I1000,CONCATENATE("=",$A339))=0,"",I$2))</f>
        <v/>
      </c>
      <c r="J339" s="3" t="str">
        <f>IF($A339="","",IF(countif('Womens Lineup'!J$3:J1000,CONCATENATE("=",$A339))=0,"",J$2))</f>
        <v/>
      </c>
      <c r="K339" s="3" t="str">
        <f>IF($A339="","",IF(countif('Womens Lineup'!K$3:K1000,CONCATENATE("=",$A339))=0,"",K$2))</f>
        <v/>
      </c>
      <c r="L339" s="3" t="str">
        <f>IF($A339="","",IF(countif('Womens Lineup'!L$3:L1000,CONCATENATE("=",$A339))=0,"",L$2))</f>
        <v/>
      </c>
      <c r="M339" s="3" t="str">
        <f>IF($A339="","",IF(countif('Womens Lineup'!M$3:M1000,CONCATENATE("=",$A339))=0,"",M$2))</f>
        <v/>
      </c>
      <c r="N339" s="3" t="str">
        <f>IF($A339="","",IF(countif('Womens Lineup'!N$3:N1000,CONCATENATE("=",$A339))=0,"",N$2))</f>
        <v/>
      </c>
      <c r="O339" s="3" t="str">
        <f>IF($A339="","",IF(countif('Womens Lineup'!O$3:O1000,CONCATENATE("=",$A339))=0,"",O$2))</f>
        <v/>
      </c>
      <c r="P339" s="3" t="str">
        <f>IF($A339="","",IF(countif('Womens Lineup'!P$3:P1000,CONCATENATE("=",$A339))=0,"",P$2))</f>
        <v/>
      </c>
      <c r="Q339" s="3" t="str">
        <f>IF($A339="","",IF(countif('Womens Lineup'!Q$3:Q1000,CONCATENATE("=",$A339))=0,"",Q$2))</f>
        <v/>
      </c>
      <c r="R339" s="3" t="str">
        <f>IF($A339="","",IF(countif('Womens Lineup'!R$3:R1000,CONCATENATE("=",$A339))=0,"",R$2))</f>
        <v/>
      </c>
      <c r="S339" s="3" t="str">
        <f>IF($A339="","",IF(countif('Womens Lineup'!S$3:S1000,CONCATENATE("=",$A339))=0,"",S$2))</f>
        <v/>
      </c>
      <c r="W339" s="3" t="str">
        <f>IFERROR(__xludf.DUMMYFUNCTION("JOIN("","",FILTER(B339:S339,B339:S339&lt;&gt;""""))"),"#N/A")</f>
        <v>#N/A</v>
      </c>
    </row>
    <row r="340">
      <c r="A340" s="3"/>
      <c r="B340" s="3" t="str">
        <f>IF($A340="","",IF(countif('Womens Lineup'!B$3:B1000,CONCATENATE("=",$A340))=0,"",B$2))</f>
        <v/>
      </c>
      <c r="C340" s="3" t="str">
        <f>IF($A340="","",IF(countif('Womens Lineup'!C$3:C1000,CONCATENATE("=",$A340))=0,"",C$2))</f>
        <v/>
      </c>
      <c r="D340" s="3" t="str">
        <f>IF($A340="","",IF(countif('Womens Lineup'!D$3:D1000,CONCATENATE("=",$A340))=0,"",D$2))</f>
        <v/>
      </c>
      <c r="E340" s="3" t="str">
        <f>IF($A340="","",IF(countif('Womens Lineup'!E$3:E1000,CONCATENATE("=",$A340))=0,"",E$2))</f>
        <v/>
      </c>
      <c r="F340" s="3" t="str">
        <f>IF($A340="","",IF(countif('Womens Lineup'!F$3:F1000,CONCATENATE("=",$A340))=0,"",F$2))</f>
        <v/>
      </c>
      <c r="G340" s="3" t="str">
        <f>IF($A340="","",IF(countif('Womens Lineup'!G$3:G1000,CONCATENATE("=",$A340))=0,"",G$2))</f>
        <v/>
      </c>
      <c r="H340" s="3" t="str">
        <f>IF($A340="","",IF(countif('Womens Lineup'!H$3:H1000,CONCATENATE("=",$A340))=0,"",H$2))</f>
        <v/>
      </c>
      <c r="I340" s="3" t="str">
        <f>IF($A340="","",IF(countif('Womens Lineup'!I$3:I1000,CONCATENATE("=",$A340))=0,"",I$2))</f>
        <v/>
      </c>
      <c r="J340" s="3" t="str">
        <f>IF($A340="","",IF(countif('Womens Lineup'!J$3:J1000,CONCATENATE("=",$A340))=0,"",J$2))</f>
        <v/>
      </c>
      <c r="K340" s="3" t="str">
        <f>IF($A340="","",IF(countif('Womens Lineup'!K$3:K1000,CONCATENATE("=",$A340))=0,"",K$2))</f>
        <v/>
      </c>
      <c r="L340" s="3" t="str">
        <f>IF($A340="","",IF(countif('Womens Lineup'!L$3:L1000,CONCATENATE("=",$A340))=0,"",L$2))</f>
        <v/>
      </c>
      <c r="M340" s="3" t="str">
        <f>IF($A340="","",IF(countif('Womens Lineup'!M$3:M1000,CONCATENATE("=",$A340))=0,"",M$2))</f>
        <v/>
      </c>
      <c r="N340" s="3" t="str">
        <f>IF($A340="","",IF(countif('Womens Lineup'!N$3:N1000,CONCATENATE("=",$A340))=0,"",N$2))</f>
        <v/>
      </c>
      <c r="O340" s="3" t="str">
        <f>IF($A340="","",IF(countif('Womens Lineup'!O$3:O1000,CONCATENATE("=",$A340))=0,"",O$2))</f>
        <v/>
      </c>
      <c r="P340" s="3" t="str">
        <f>IF($A340="","",IF(countif('Womens Lineup'!P$3:P1000,CONCATENATE("=",$A340))=0,"",P$2))</f>
        <v/>
      </c>
      <c r="Q340" s="3" t="str">
        <f>IF($A340="","",IF(countif('Womens Lineup'!Q$3:Q1000,CONCATENATE("=",$A340))=0,"",Q$2))</f>
        <v/>
      </c>
      <c r="R340" s="3" t="str">
        <f>IF($A340="","",IF(countif('Womens Lineup'!R$3:R1000,CONCATENATE("=",$A340))=0,"",R$2))</f>
        <v/>
      </c>
      <c r="S340" s="3" t="str">
        <f>IF($A340="","",IF(countif('Womens Lineup'!S$3:S1000,CONCATENATE("=",$A340))=0,"",S$2))</f>
        <v/>
      </c>
      <c r="W340" s="3" t="str">
        <f>IFERROR(__xludf.DUMMYFUNCTION("JOIN("","",FILTER(B340:S340,B340:S340&lt;&gt;""""))"),"#N/A")</f>
        <v>#N/A</v>
      </c>
    </row>
    <row r="341">
      <c r="A341" s="3"/>
      <c r="B341" s="3" t="str">
        <f>IF($A341="","",IF(countif('Womens Lineup'!B$3:B1000,CONCATENATE("=",$A341))=0,"",B$2))</f>
        <v/>
      </c>
      <c r="C341" s="3" t="str">
        <f>IF($A341="","",IF(countif('Womens Lineup'!C$3:C1000,CONCATENATE("=",$A341))=0,"",C$2))</f>
        <v/>
      </c>
      <c r="D341" s="3" t="str">
        <f>IF($A341="","",IF(countif('Womens Lineup'!D$3:D1000,CONCATENATE("=",$A341))=0,"",D$2))</f>
        <v/>
      </c>
      <c r="E341" s="3" t="str">
        <f>IF($A341="","",IF(countif('Womens Lineup'!E$3:E1000,CONCATENATE("=",$A341))=0,"",E$2))</f>
        <v/>
      </c>
      <c r="F341" s="3" t="str">
        <f>IF($A341="","",IF(countif('Womens Lineup'!F$3:F1000,CONCATENATE("=",$A341))=0,"",F$2))</f>
        <v/>
      </c>
      <c r="G341" s="3" t="str">
        <f>IF($A341="","",IF(countif('Womens Lineup'!G$3:G1000,CONCATENATE("=",$A341))=0,"",G$2))</f>
        <v/>
      </c>
      <c r="H341" s="3" t="str">
        <f>IF($A341="","",IF(countif('Womens Lineup'!H$3:H1000,CONCATENATE("=",$A341))=0,"",H$2))</f>
        <v/>
      </c>
      <c r="I341" s="3" t="str">
        <f>IF($A341="","",IF(countif('Womens Lineup'!I$3:I1000,CONCATENATE("=",$A341))=0,"",I$2))</f>
        <v/>
      </c>
      <c r="J341" s="3" t="str">
        <f>IF($A341="","",IF(countif('Womens Lineup'!J$3:J1000,CONCATENATE("=",$A341))=0,"",J$2))</f>
        <v/>
      </c>
      <c r="K341" s="3" t="str">
        <f>IF($A341="","",IF(countif('Womens Lineup'!K$3:K1000,CONCATENATE("=",$A341))=0,"",K$2))</f>
        <v/>
      </c>
      <c r="L341" s="3" t="str">
        <f>IF($A341="","",IF(countif('Womens Lineup'!L$3:L1000,CONCATENATE("=",$A341))=0,"",L$2))</f>
        <v/>
      </c>
      <c r="M341" s="3" t="str">
        <f>IF($A341="","",IF(countif('Womens Lineup'!M$3:M1000,CONCATENATE("=",$A341))=0,"",M$2))</f>
        <v/>
      </c>
      <c r="N341" s="3" t="str">
        <f>IF($A341="","",IF(countif('Womens Lineup'!N$3:N1000,CONCATENATE("=",$A341))=0,"",N$2))</f>
        <v/>
      </c>
      <c r="O341" s="3" t="str">
        <f>IF($A341="","",IF(countif('Womens Lineup'!O$3:O1000,CONCATENATE("=",$A341))=0,"",O$2))</f>
        <v/>
      </c>
      <c r="P341" s="3" t="str">
        <f>IF($A341="","",IF(countif('Womens Lineup'!P$3:P1000,CONCATENATE("=",$A341))=0,"",P$2))</f>
        <v/>
      </c>
      <c r="Q341" s="3" t="str">
        <f>IF($A341="","",IF(countif('Womens Lineup'!Q$3:Q1000,CONCATENATE("=",$A341))=0,"",Q$2))</f>
        <v/>
      </c>
      <c r="R341" s="3" t="str">
        <f>IF($A341="","",IF(countif('Womens Lineup'!R$3:R1000,CONCATENATE("=",$A341))=0,"",R$2))</f>
        <v/>
      </c>
      <c r="S341" s="3" t="str">
        <f>IF($A341="","",IF(countif('Womens Lineup'!S$3:S1000,CONCATENATE("=",$A341))=0,"",S$2))</f>
        <v/>
      </c>
      <c r="W341" s="3" t="str">
        <f>IFERROR(__xludf.DUMMYFUNCTION("JOIN("","",FILTER(B341:S341,B341:S341&lt;&gt;""""))"),"#N/A")</f>
        <v>#N/A</v>
      </c>
    </row>
    <row r="342">
      <c r="A342" s="3"/>
      <c r="B342" s="3" t="str">
        <f>IF($A342="","",IF(countif('Womens Lineup'!B$3:B1000,CONCATENATE("=",$A342))=0,"",B$2))</f>
        <v/>
      </c>
      <c r="C342" s="3" t="str">
        <f>IF($A342="","",IF(countif('Womens Lineup'!C$3:C1000,CONCATENATE("=",$A342))=0,"",C$2))</f>
        <v/>
      </c>
      <c r="D342" s="3" t="str">
        <f>IF($A342="","",IF(countif('Womens Lineup'!D$3:D1000,CONCATENATE("=",$A342))=0,"",D$2))</f>
        <v/>
      </c>
      <c r="E342" s="3" t="str">
        <f>IF($A342="","",IF(countif('Womens Lineup'!E$3:E1000,CONCATENATE("=",$A342))=0,"",E$2))</f>
        <v/>
      </c>
      <c r="F342" s="3" t="str">
        <f>IF($A342="","",IF(countif('Womens Lineup'!F$3:F1000,CONCATENATE("=",$A342))=0,"",F$2))</f>
        <v/>
      </c>
      <c r="G342" s="3" t="str">
        <f>IF($A342="","",IF(countif('Womens Lineup'!G$3:G1000,CONCATENATE("=",$A342))=0,"",G$2))</f>
        <v/>
      </c>
      <c r="H342" s="3" t="str">
        <f>IF($A342="","",IF(countif('Womens Lineup'!H$3:H1000,CONCATENATE("=",$A342))=0,"",H$2))</f>
        <v/>
      </c>
      <c r="I342" s="3" t="str">
        <f>IF($A342="","",IF(countif('Womens Lineup'!I$3:I1000,CONCATENATE("=",$A342))=0,"",I$2))</f>
        <v/>
      </c>
      <c r="J342" s="3" t="str">
        <f>IF($A342="","",IF(countif('Womens Lineup'!J$3:J1000,CONCATENATE("=",$A342))=0,"",J$2))</f>
        <v/>
      </c>
      <c r="K342" s="3" t="str">
        <f>IF($A342="","",IF(countif('Womens Lineup'!K$3:K1000,CONCATENATE("=",$A342))=0,"",K$2))</f>
        <v/>
      </c>
      <c r="L342" s="3" t="str">
        <f>IF($A342="","",IF(countif('Womens Lineup'!L$3:L1000,CONCATENATE("=",$A342))=0,"",L$2))</f>
        <v/>
      </c>
      <c r="M342" s="3" t="str">
        <f>IF($A342="","",IF(countif('Womens Lineup'!M$3:M1000,CONCATENATE("=",$A342))=0,"",M$2))</f>
        <v/>
      </c>
      <c r="N342" s="3" t="str">
        <f>IF($A342="","",IF(countif('Womens Lineup'!N$3:N1000,CONCATENATE("=",$A342))=0,"",N$2))</f>
        <v/>
      </c>
      <c r="O342" s="3" t="str">
        <f>IF($A342="","",IF(countif('Womens Lineup'!O$3:O1000,CONCATENATE("=",$A342))=0,"",O$2))</f>
        <v/>
      </c>
      <c r="P342" s="3" t="str">
        <f>IF($A342="","",IF(countif('Womens Lineup'!P$3:P1000,CONCATENATE("=",$A342))=0,"",P$2))</f>
        <v/>
      </c>
      <c r="Q342" s="3" t="str">
        <f>IF($A342="","",IF(countif('Womens Lineup'!Q$3:Q1000,CONCATENATE("=",$A342))=0,"",Q$2))</f>
        <v/>
      </c>
      <c r="R342" s="3" t="str">
        <f>IF($A342="","",IF(countif('Womens Lineup'!R$3:R1000,CONCATENATE("=",$A342))=0,"",R$2))</f>
        <v/>
      </c>
      <c r="S342" s="3" t="str">
        <f>IF($A342="","",IF(countif('Womens Lineup'!S$3:S1000,CONCATENATE("=",$A342))=0,"",S$2))</f>
        <v/>
      </c>
      <c r="W342" s="3" t="str">
        <f>IFERROR(__xludf.DUMMYFUNCTION("JOIN("","",FILTER(B342:S342,B342:S342&lt;&gt;""""))"),"#N/A")</f>
        <v>#N/A</v>
      </c>
    </row>
    <row r="343">
      <c r="A343" s="3"/>
      <c r="B343" s="3" t="str">
        <f>IF($A343="","",IF(countif('Womens Lineup'!B$3:B1000,CONCATENATE("=",$A343))=0,"",B$2))</f>
        <v/>
      </c>
      <c r="C343" s="3" t="str">
        <f>IF($A343="","",IF(countif('Womens Lineup'!C$3:C1000,CONCATENATE("=",$A343))=0,"",C$2))</f>
        <v/>
      </c>
      <c r="D343" s="3" t="str">
        <f>IF($A343="","",IF(countif('Womens Lineup'!D$3:D1000,CONCATENATE("=",$A343))=0,"",D$2))</f>
        <v/>
      </c>
      <c r="E343" s="3" t="str">
        <f>IF($A343="","",IF(countif('Womens Lineup'!E$3:E1000,CONCATENATE("=",$A343))=0,"",E$2))</f>
        <v/>
      </c>
      <c r="F343" s="3" t="str">
        <f>IF($A343="","",IF(countif('Womens Lineup'!F$3:F1000,CONCATENATE("=",$A343))=0,"",F$2))</f>
        <v/>
      </c>
      <c r="G343" s="3" t="str">
        <f>IF($A343="","",IF(countif('Womens Lineup'!G$3:G1000,CONCATENATE("=",$A343))=0,"",G$2))</f>
        <v/>
      </c>
      <c r="H343" s="3" t="str">
        <f>IF($A343="","",IF(countif('Womens Lineup'!H$3:H1000,CONCATENATE("=",$A343))=0,"",H$2))</f>
        <v/>
      </c>
      <c r="I343" s="3" t="str">
        <f>IF($A343="","",IF(countif('Womens Lineup'!I$3:I1000,CONCATENATE("=",$A343))=0,"",I$2))</f>
        <v/>
      </c>
      <c r="J343" s="3" t="str">
        <f>IF($A343="","",IF(countif('Womens Lineup'!J$3:J1000,CONCATENATE("=",$A343))=0,"",J$2))</f>
        <v/>
      </c>
      <c r="K343" s="3" t="str">
        <f>IF($A343="","",IF(countif('Womens Lineup'!K$3:K1000,CONCATENATE("=",$A343))=0,"",K$2))</f>
        <v/>
      </c>
      <c r="L343" s="3" t="str">
        <f>IF($A343="","",IF(countif('Womens Lineup'!L$3:L1000,CONCATENATE("=",$A343))=0,"",L$2))</f>
        <v/>
      </c>
      <c r="M343" s="3" t="str">
        <f>IF($A343="","",IF(countif('Womens Lineup'!M$3:M1000,CONCATENATE("=",$A343))=0,"",M$2))</f>
        <v/>
      </c>
      <c r="N343" s="3" t="str">
        <f>IF($A343="","",IF(countif('Womens Lineup'!N$3:N1000,CONCATENATE("=",$A343))=0,"",N$2))</f>
        <v/>
      </c>
      <c r="O343" s="3" t="str">
        <f>IF($A343="","",IF(countif('Womens Lineup'!O$3:O1000,CONCATENATE("=",$A343))=0,"",O$2))</f>
        <v/>
      </c>
      <c r="P343" s="3" t="str">
        <f>IF($A343="","",IF(countif('Womens Lineup'!P$3:P1000,CONCATENATE("=",$A343))=0,"",P$2))</f>
        <v/>
      </c>
      <c r="Q343" s="3" t="str">
        <f>IF($A343="","",IF(countif('Womens Lineup'!Q$3:Q1000,CONCATENATE("=",$A343))=0,"",Q$2))</f>
        <v/>
      </c>
      <c r="R343" s="3" t="str">
        <f>IF($A343="","",IF(countif('Womens Lineup'!R$3:R1000,CONCATENATE("=",$A343))=0,"",R$2))</f>
        <v/>
      </c>
      <c r="S343" s="3" t="str">
        <f>IF($A343="","",IF(countif('Womens Lineup'!S$3:S1000,CONCATENATE("=",$A343))=0,"",S$2))</f>
        <v/>
      </c>
      <c r="W343" s="3" t="str">
        <f>IFERROR(__xludf.DUMMYFUNCTION("JOIN("","",FILTER(B343:S343,B343:S343&lt;&gt;""""))"),"#N/A")</f>
        <v>#N/A</v>
      </c>
    </row>
    <row r="344">
      <c r="A344" s="3"/>
      <c r="B344" s="3" t="str">
        <f>IF($A344="","",IF(countif('Womens Lineup'!B$3:B1000,CONCATENATE("=",$A344))=0,"",B$2))</f>
        <v/>
      </c>
      <c r="C344" s="3" t="str">
        <f>IF($A344="","",IF(countif('Womens Lineup'!C$3:C1000,CONCATENATE("=",$A344))=0,"",C$2))</f>
        <v/>
      </c>
      <c r="D344" s="3" t="str">
        <f>IF($A344="","",IF(countif('Womens Lineup'!D$3:D1000,CONCATENATE("=",$A344))=0,"",D$2))</f>
        <v/>
      </c>
      <c r="E344" s="3" t="str">
        <f>IF($A344="","",IF(countif('Womens Lineup'!E$3:E1000,CONCATENATE("=",$A344))=0,"",E$2))</f>
        <v/>
      </c>
      <c r="F344" s="3" t="str">
        <f>IF($A344="","",IF(countif('Womens Lineup'!F$3:F1000,CONCATENATE("=",$A344))=0,"",F$2))</f>
        <v/>
      </c>
      <c r="G344" s="3" t="str">
        <f>IF($A344="","",IF(countif('Womens Lineup'!G$3:G1000,CONCATENATE("=",$A344))=0,"",G$2))</f>
        <v/>
      </c>
      <c r="H344" s="3" t="str">
        <f>IF($A344="","",IF(countif('Womens Lineup'!H$3:H1000,CONCATENATE("=",$A344))=0,"",H$2))</f>
        <v/>
      </c>
      <c r="I344" s="3" t="str">
        <f>IF($A344="","",IF(countif('Womens Lineup'!I$3:I1000,CONCATENATE("=",$A344))=0,"",I$2))</f>
        <v/>
      </c>
      <c r="J344" s="3" t="str">
        <f>IF($A344="","",IF(countif('Womens Lineup'!J$3:J1000,CONCATENATE("=",$A344))=0,"",J$2))</f>
        <v/>
      </c>
      <c r="K344" s="3" t="str">
        <f>IF($A344="","",IF(countif('Womens Lineup'!K$3:K1000,CONCATENATE("=",$A344))=0,"",K$2))</f>
        <v/>
      </c>
      <c r="L344" s="3" t="str">
        <f>IF($A344="","",IF(countif('Womens Lineup'!L$3:L1000,CONCATENATE("=",$A344))=0,"",L$2))</f>
        <v/>
      </c>
      <c r="M344" s="3" t="str">
        <f>IF($A344="","",IF(countif('Womens Lineup'!M$3:M1000,CONCATENATE("=",$A344))=0,"",M$2))</f>
        <v/>
      </c>
      <c r="N344" s="3" t="str">
        <f>IF($A344="","",IF(countif('Womens Lineup'!N$3:N1000,CONCATENATE("=",$A344))=0,"",N$2))</f>
        <v/>
      </c>
      <c r="O344" s="3" t="str">
        <f>IF($A344="","",IF(countif('Womens Lineup'!O$3:O1000,CONCATENATE("=",$A344))=0,"",O$2))</f>
        <v/>
      </c>
      <c r="P344" s="3" t="str">
        <f>IF($A344="","",IF(countif('Womens Lineup'!P$3:P1000,CONCATENATE("=",$A344))=0,"",P$2))</f>
        <v/>
      </c>
      <c r="Q344" s="3" t="str">
        <f>IF($A344="","",IF(countif('Womens Lineup'!Q$3:Q1000,CONCATENATE("=",$A344))=0,"",Q$2))</f>
        <v/>
      </c>
      <c r="R344" s="3" t="str">
        <f>IF($A344="","",IF(countif('Womens Lineup'!R$3:R1000,CONCATENATE("=",$A344))=0,"",R$2))</f>
        <v/>
      </c>
      <c r="S344" s="3" t="str">
        <f>IF($A344="","",IF(countif('Womens Lineup'!S$3:S1000,CONCATENATE("=",$A344))=0,"",S$2))</f>
        <v/>
      </c>
      <c r="W344" s="3" t="str">
        <f>IFERROR(__xludf.DUMMYFUNCTION("JOIN("","",FILTER(B344:S344,B344:S344&lt;&gt;""""))"),"#N/A")</f>
        <v>#N/A</v>
      </c>
    </row>
    <row r="345">
      <c r="A345" s="3"/>
      <c r="B345" s="3" t="str">
        <f>IF($A345="","",IF(countif('Womens Lineup'!B$3:B1000,CONCATENATE("=",$A345))=0,"",B$2))</f>
        <v/>
      </c>
      <c r="C345" s="3" t="str">
        <f>IF($A345="","",IF(countif('Womens Lineup'!C$3:C1000,CONCATENATE("=",$A345))=0,"",C$2))</f>
        <v/>
      </c>
      <c r="D345" s="3" t="str">
        <f>IF($A345="","",IF(countif('Womens Lineup'!D$3:D1000,CONCATENATE("=",$A345))=0,"",D$2))</f>
        <v/>
      </c>
      <c r="E345" s="3" t="str">
        <f>IF($A345="","",IF(countif('Womens Lineup'!E$3:E1000,CONCATENATE("=",$A345))=0,"",E$2))</f>
        <v/>
      </c>
      <c r="F345" s="3" t="str">
        <f>IF($A345="","",IF(countif('Womens Lineup'!F$3:F1000,CONCATENATE("=",$A345))=0,"",F$2))</f>
        <v/>
      </c>
      <c r="G345" s="3" t="str">
        <f>IF($A345="","",IF(countif('Womens Lineup'!G$3:G1000,CONCATENATE("=",$A345))=0,"",G$2))</f>
        <v/>
      </c>
      <c r="H345" s="3" t="str">
        <f>IF($A345="","",IF(countif('Womens Lineup'!H$3:H1000,CONCATENATE("=",$A345))=0,"",H$2))</f>
        <v/>
      </c>
      <c r="I345" s="3" t="str">
        <f>IF($A345="","",IF(countif('Womens Lineup'!I$3:I1000,CONCATENATE("=",$A345))=0,"",I$2))</f>
        <v/>
      </c>
      <c r="J345" s="3" t="str">
        <f>IF($A345="","",IF(countif('Womens Lineup'!J$3:J1000,CONCATENATE("=",$A345))=0,"",J$2))</f>
        <v/>
      </c>
      <c r="K345" s="3" t="str">
        <f>IF($A345="","",IF(countif('Womens Lineup'!K$3:K1000,CONCATENATE("=",$A345))=0,"",K$2))</f>
        <v/>
      </c>
      <c r="L345" s="3" t="str">
        <f>IF($A345="","",IF(countif('Womens Lineup'!L$3:L1000,CONCATENATE("=",$A345))=0,"",L$2))</f>
        <v/>
      </c>
      <c r="M345" s="3" t="str">
        <f>IF($A345="","",IF(countif('Womens Lineup'!M$3:M1000,CONCATENATE("=",$A345))=0,"",M$2))</f>
        <v/>
      </c>
      <c r="N345" s="3" t="str">
        <f>IF($A345="","",IF(countif('Womens Lineup'!N$3:N1000,CONCATENATE("=",$A345))=0,"",N$2))</f>
        <v/>
      </c>
      <c r="O345" s="3" t="str">
        <f>IF($A345="","",IF(countif('Womens Lineup'!O$3:O1000,CONCATENATE("=",$A345))=0,"",O$2))</f>
        <v/>
      </c>
      <c r="P345" s="3" t="str">
        <f>IF($A345="","",IF(countif('Womens Lineup'!P$3:P1000,CONCATENATE("=",$A345))=0,"",P$2))</f>
        <v/>
      </c>
      <c r="Q345" s="3" t="str">
        <f>IF($A345="","",IF(countif('Womens Lineup'!Q$3:Q1000,CONCATENATE("=",$A345))=0,"",Q$2))</f>
        <v/>
      </c>
      <c r="R345" s="3" t="str">
        <f>IF($A345="","",IF(countif('Womens Lineup'!R$3:R1000,CONCATENATE("=",$A345))=0,"",R$2))</f>
        <v/>
      </c>
      <c r="S345" s="3" t="str">
        <f>IF($A345="","",IF(countif('Womens Lineup'!S$3:S1000,CONCATENATE("=",$A345))=0,"",S$2))</f>
        <v/>
      </c>
      <c r="W345" s="3" t="str">
        <f>IFERROR(__xludf.DUMMYFUNCTION("JOIN("","",FILTER(B345:S345,B345:S345&lt;&gt;""""))"),"#N/A")</f>
        <v>#N/A</v>
      </c>
    </row>
    <row r="346">
      <c r="A346" s="3"/>
      <c r="B346" s="3" t="str">
        <f>IF($A346="","",IF(countif('Womens Lineup'!B$3:B1000,CONCATENATE("=",$A346))=0,"",B$2))</f>
        <v/>
      </c>
      <c r="C346" s="3" t="str">
        <f>IF($A346="","",IF(countif('Womens Lineup'!C$3:C1000,CONCATENATE("=",$A346))=0,"",C$2))</f>
        <v/>
      </c>
      <c r="D346" s="3" t="str">
        <f>IF($A346="","",IF(countif('Womens Lineup'!D$3:D1000,CONCATENATE("=",$A346))=0,"",D$2))</f>
        <v/>
      </c>
      <c r="E346" s="3" t="str">
        <f>IF($A346="","",IF(countif('Womens Lineup'!E$3:E1000,CONCATENATE("=",$A346))=0,"",E$2))</f>
        <v/>
      </c>
      <c r="F346" s="3" t="str">
        <f>IF($A346="","",IF(countif('Womens Lineup'!F$3:F1000,CONCATENATE("=",$A346))=0,"",F$2))</f>
        <v/>
      </c>
      <c r="G346" s="3" t="str">
        <f>IF($A346="","",IF(countif('Womens Lineup'!G$3:G1000,CONCATENATE("=",$A346))=0,"",G$2))</f>
        <v/>
      </c>
      <c r="H346" s="3" t="str">
        <f>IF($A346="","",IF(countif('Womens Lineup'!H$3:H1000,CONCATENATE("=",$A346))=0,"",H$2))</f>
        <v/>
      </c>
      <c r="I346" s="3" t="str">
        <f>IF($A346="","",IF(countif('Womens Lineup'!I$3:I1000,CONCATENATE("=",$A346))=0,"",I$2))</f>
        <v/>
      </c>
      <c r="J346" s="3" t="str">
        <f>IF($A346="","",IF(countif('Womens Lineup'!J$3:J1000,CONCATENATE("=",$A346))=0,"",J$2))</f>
        <v/>
      </c>
      <c r="K346" s="3" t="str">
        <f>IF($A346="","",IF(countif('Womens Lineup'!K$3:K1000,CONCATENATE("=",$A346))=0,"",K$2))</f>
        <v/>
      </c>
      <c r="L346" s="3" t="str">
        <f>IF($A346="","",IF(countif('Womens Lineup'!L$3:L1000,CONCATENATE("=",$A346))=0,"",L$2))</f>
        <v/>
      </c>
      <c r="M346" s="3" t="str">
        <f>IF($A346="","",IF(countif('Womens Lineup'!M$3:M1000,CONCATENATE("=",$A346))=0,"",M$2))</f>
        <v/>
      </c>
      <c r="N346" s="3" t="str">
        <f>IF($A346="","",IF(countif('Womens Lineup'!N$3:N1000,CONCATENATE("=",$A346))=0,"",N$2))</f>
        <v/>
      </c>
      <c r="O346" s="3" t="str">
        <f>IF($A346="","",IF(countif('Womens Lineup'!O$3:O1000,CONCATENATE("=",$A346))=0,"",O$2))</f>
        <v/>
      </c>
      <c r="P346" s="3" t="str">
        <f>IF($A346="","",IF(countif('Womens Lineup'!P$3:P1000,CONCATENATE("=",$A346))=0,"",P$2))</f>
        <v/>
      </c>
      <c r="Q346" s="3" t="str">
        <f>IF($A346="","",IF(countif('Womens Lineup'!Q$3:Q1000,CONCATENATE("=",$A346))=0,"",Q$2))</f>
        <v/>
      </c>
      <c r="R346" s="3" t="str">
        <f>IF($A346="","",IF(countif('Womens Lineup'!R$3:R1000,CONCATENATE("=",$A346))=0,"",R$2))</f>
        <v/>
      </c>
      <c r="S346" s="3" t="str">
        <f>IF($A346="","",IF(countif('Womens Lineup'!S$3:S1000,CONCATENATE("=",$A346))=0,"",S$2))</f>
        <v/>
      </c>
      <c r="W346" s="3" t="str">
        <f>IFERROR(__xludf.DUMMYFUNCTION("JOIN("","",FILTER(B346:S346,B346:S346&lt;&gt;""""))"),"#N/A")</f>
        <v>#N/A</v>
      </c>
    </row>
    <row r="347">
      <c r="A347" s="3"/>
      <c r="B347" s="3" t="str">
        <f>IF($A347="","",IF(countif('Womens Lineup'!B$3:B1000,CONCATENATE("=",$A347))=0,"",B$2))</f>
        <v/>
      </c>
      <c r="C347" s="3" t="str">
        <f>IF($A347="","",IF(countif('Womens Lineup'!C$3:C1000,CONCATENATE("=",$A347))=0,"",C$2))</f>
        <v/>
      </c>
      <c r="D347" s="3" t="str">
        <f>IF($A347="","",IF(countif('Womens Lineup'!D$3:D1000,CONCATENATE("=",$A347))=0,"",D$2))</f>
        <v/>
      </c>
      <c r="E347" s="3" t="str">
        <f>IF($A347="","",IF(countif('Womens Lineup'!E$3:E1000,CONCATENATE("=",$A347))=0,"",E$2))</f>
        <v/>
      </c>
      <c r="F347" s="3" t="str">
        <f>IF($A347="","",IF(countif('Womens Lineup'!F$3:F1000,CONCATENATE("=",$A347))=0,"",F$2))</f>
        <v/>
      </c>
      <c r="G347" s="3" t="str">
        <f>IF($A347="","",IF(countif('Womens Lineup'!G$3:G1000,CONCATENATE("=",$A347))=0,"",G$2))</f>
        <v/>
      </c>
      <c r="H347" s="3" t="str">
        <f>IF($A347="","",IF(countif('Womens Lineup'!H$3:H1000,CONCATENATE("=",$A347))=0,"",H$2))</f>
        <v/>
      </c>
      <c r="I347" s="3" t="str">
        <f>IF($A347="","",IF(countif('Womens Lineup'!I$3:I1000,CONCATENATE("=",$A347))=0,"",I$2))</f>
        <v/>
      </c>
      <c r="J347" s="3" t="str">
        <f>IF($A347="","",IF(countif('Womens Lineup'!J$3:J1000,CONCATENATE("=",$A347))=0,"",J$2))</f>
        <v/>
      </c>
      <c r="K347" s="3" t="str">
        <f>IF($A347="","",IF(countif('Womens Lineup'!K$3:K1000,CONCATENATE("=",$A347))=0,"",K$2))</f>
        <v/>
      </c>
      <c r="L347" s="3" t="str">
        <f>IF($A347="","",IF(countif('Womens Lineup'!L$3:L1000,CONCATENATE("=",$A347))=0,"",L$2))</f>
        <v/>
      </c>
      <c r="M347" s="3" t="str">
        <f>IF($A347="","",IF(countif('Womens Lineup'!M$3:M1000,CONCATENATE("=",$A347))=0,"",M$2))</f>
        <v/>
      </c>
      <c r="N347" s="3" t="str">
        <f>IF($A347="","",IF(countif('Womens Lineup'!N$3:N1000,CONCATENATE("=",$A347))=0,"",N$2))</f>
        <v/>
      </c>
      <c r="O347" s="3" t="str">
        <f>IF($A347="","",IF(countif('Womens Lineup'!O$3:O1000,CONCATENATE("=",$A347))=0,"",O$2))</f>
        <v/>
      </c>
      <c r="P347" s="3" t="str">
        <f>IF($A347="","",IF(countif('Womens Lineup'!P$3:P1000,CONCATENATE("=",$A347))=0,"",P$2))</f>
        <v/>
      </c>
      <c r="Q347" s="3" t="str">
        <f>IF($A347="","",IF(countif('Womens Lineup'!Q$3:Q1000,CONCATENATE("=",$A347))=0,"",Q$2))</f>
        <v/>
      </c>
      <c r="R347" s="3" t="str">
        <f>IF($A347="","",IF(countif('Womens Lineup'!R$3:R1000,CONCATENATE("=",$A347))=0,"",R$2))</f>
        <v/>
      </c>
      <c r="S347" s="3" t="str">
        <f>IF($A347="","",IF(countif('Womens Lineup'!S$3:S1000,CONCATENATE("=",$A347))=0,"",S$2))</f>
        <v/>
      </c>
      <c r="W347" s="3" t="str">
        <f>IFERROR(__xludf.DUMMYFUNCTION("JOIN("","",FILTER(B347:S347,B347:S347&lt;&gt;""""))"),"#N/A")</f>
        <v>#N/A</v>
      </c>
    </row>
    <row r="348">
      <c r="A348" s="3"/>
      <c r="B348" s="3" t="str">
        <f>IF($A348="","",IF(countif('Womens Lineup'!B$3:B1000,CONCATENATE("=",$A348))=0,"",B$2))</f>
        <v/>
      </c>
      <c r="C348" s="3" t="str">
        <f>IF($A348="","",IF(countif('Womens Lineup'!C$3:C1000,CONCATENATE("=",$A348))=0,"",C$2))</f>
        <v/>
      </c>
      <c r="D348" s="3" t="str">
        <f>IF($A348="","",IF(countif('Womens Lineup'!D$3:D1000,CONCATENATE("=",$A348))=0,"",D$2))</f>
        <v/>
      </c>
      <c r="E348" s="3" t="str">
        <f>IF($A348="","",IF(countif('Womens Lineup'!E$3:E1000,CONCATENATE("=",$A348))=0,"",E$2))</f>
        <v/>
      </c>
      <c r="F348" s="3" t="str">
        <f>IF($A348="","",IF(countif('Womens Lineup'!F$3:F1000,CONCATENATE("=",$A348))=0,"",F$2))</f>
        <v/>
      </c>
      <c r="G348" s="3" t="str">
        <f>IF($A348="","",IF(countif('Womens Lineup'!G$3:G1000,CONCATENATE("=",$A348))=0,"",G$2))</f>
        <v/>
      </c>
      <c r="H348" s="3" t="str">
        <f>IF($A348="","",IF(countif('Womens Lineup'!H$3:H1000,CONCATENATE("=",$A348))=0,"",H$2))</f>
        <v/>
      </c>
      <c r="I348" s="3" t="str">
        <f>IF($A348="","",IF(countif('Womens Lineup'!I$3:I1000,CONCATENATE("=",$A348))=0,"",I$2))</f>
        <v/>
      </c>
      <c r="J348" s="3" t="str">
        <f>IF($A348="","",IF(countif('Womens Lineup'!J$3:J1000,CONCATENATE("=",$A348))=0,"",J$2))</f>
        <v/>
      </c>
      <c r="K348" s="3" t="str">
        <f>IF($A348="","",IF(countif('Womens Lineup'!K$3:K1000,CONCATENATE("=",$A348))=0,"",K$2))</f>
        <v/>
      </c>
      <c r="L348" s="3" t="str">
        <f>IF($A348="","",IF(countif('Womens Lineup'!L$3:L1000,CONCATENATE("=",$A348))=0,"",L$2))</f>
        <v/>
      </c>
      <c r="M348" s="3" t="str">
        <f>IF($A348="","",IF(countif('Womens Lineup'!M$3:M1000,CONCATENATE("=",$A348))=0,"",M$2))</f>
        <v/>
      </c>
      <c r="N348" s="3" t="str">
        <f>IF($A348="","",IF(countif('Womens Lineup'!N$3:N1000,CONCATENATE("=",$A348))=0,"",N$2))</f>
        <v/>
      </c>
      <c r="O348" s="3" t="str">
        <f>IF($A348="","",IF(countif('Womens Lineup'!O$3:O1000,CONCATENATE("=",$A348))=0,"",O$2))</f>
        <v/>
      </c>
      <c r="P348" s="3" t="str">
        <f>IF($A348="","",IF(countif('Womens Lineup'!P$3:P1000,CONCATENATE("=",$A348))=0,"",P$2))</f>
        <v/>
      </c>
      <c r="Q348" s="3" t="str">
        <f>IF($A348="","",IF(countif('Womens Lineup'!Q$3:Q1000,CONCATENATE("=",$A348))=0,"",Q$2))</f>
        <v/>
      </c>
      <c r="R348" s="3" t="str">
        <f>IF($A348="","",IF(countif('Womens Lineup'!R$3:R1000,CONCATENATE("=",$A348))=0,"",R$2))</f>
        <v/>
      </c>
      <c r="S348" s="3" t="str">
        <f>IF($A348="","",IF(countif('Womens Lineup'!S$3:S1000,CONCATENATE("=",$A348))=0,"",S$2))</f>
        <v/>
      </c>
      <c r="W348" s="3" t="str">
        <f>IFERROR(__xludf.DUMMYFUNCTION("JOIN("","",FILTER(B348:S348,B348:S348&lt;&gt;""""))"),"#N/A")</f>
        <v>#N/A</v>
      </c>
    </row>
    <row r="349">
      <c r="A349" s="3"/>
      <c r="B349" s="3" t="str">
        <f>IF($A349="","",IF(countif('Womens Lineup'!B$3:B1000,CONCATENATE("=",$A349))=0,"",B$2))</f>
        <v/>
      </c>
      <c r="C349" s="3" t="str">
        <f>IF($A349="","",IF(countif('Womens Lineup'!C$3:C1000,CONCATENATE("=",$A349))=0,"",C$2))</f>
        <v/>
      </c>
      <c r="D349" s="3" t="str">
        <f>IF($A349="","",IF(countif('Womens Lineup'!D$3:D1000,CONCATENATE("=",$A349))=0,"",D$2))</f>
        <v/>
      </c>
      <c r="E349" s="3" t="str">
        <f>IF($A349="","",IF(countif('Womens Lineup'!E$3:E1000,CONCATENATE("=",$A349))=0,"",E$2))</f>
        <v/>
      </c>
      <c r="F349" s="3" t="str">
        <f>IF($A349="","",IF(countif('Womens Lineup'!F$3:F1000,CONCATENATE("=",$A349))=0,"",F$2))</f>
        <v/>
      </c>
      <c r="G349" s="3" t="str">
        <f>IF($A349="","",IF(countif('Womens Lineup'!G$3:G1000,CONCATENATE("=",$A349))=0,"",G$2))</f>
        <v/>
      </c>
      <c r="H349" s="3" t="str">
        <f>IF($A349="","",IF(countif('Womens Lineup'!H$3:H1000,CONCATENATE("=",$A349))=0,"",H$2))</f>
        <v/>
      </c>
      <c r="I349" s="3" t="str">
        <f>IF($A349="","",IF(countif('Womens Lineup'!I$3:I1000,CONCATENATE("=",$A349))=0,"",I$2))</f>
        <v/>
      </c>
      <c r="J349" s="3" t="str">
        <f>IF($A349="","",IF(countif('Womens Lineup'!J$3:J1000,CONCATENATE("=",$A349))=0,"",J$2))</f>
        <v/>
      </c>
      <c r="K349" s="3" t="str">
        <f>IF($A349="","",IF(countif('Womens Lineup'!K$3:K1000,CONCATENATE("=",$A349))=0,"",K$2))</f>
        <v/>
      </c>
      <c r="L349" s="3" t="str">
        <f>IF($A349="","",IF(countif('Womens Lineup'!L$3:L1000,CONCATENATE("=",$A349))=0,"",L$2))</f>
        <v/>
      </c>
      <c r="M349" s="3" t="str">
        <f>IF($A349="","",IF(countif('Womens Lineup'!M$3:M1000,CONCATENATE("=",$A349))=0,"",M$2))</f>
        <v/>
      </c>
      <c r="N349" s="3" t="str">
        <f>IF($A349="","",IF(countif('Womens Lineup'!N$3:N1000,CONCATENATE("=",$A349))=0,"",N$2))</f>
        <v/>
      </c>
      <c r="O349" s="3" t="str">
        <f>IF($A349="","",IF(countif('Womens Lineup'!O$3:O1000,CONCATENATE("=",$A349))=0,"",O$2))</f>
        <v/>
      </c>
      <c r="P349" s="3" t="str">
        <f>IF($A349="","",IF(countif('Womens Lineup'!P$3:P1000,CONCATENATE("=",$A349))=0,"",P$2))</f>
        <v/>
      </c>
      <c r="Q349" s="3" t="str">
        <f>IF($A349="","",IF(countif('Womens Lineup'!Q$3:Q1000,CONCATENATE("=",$A349))=0,"",Q$2))</f>
        <v/>
      </c>
      <c r="R349" s="3" t="str">
        <f>IF($A349="","",IF(countif('Womens Lineup'!R$3:R1000,CONCATENATE("=",$A349))=0,"",R$2))</f>
        <v/>
      </c>
      <c r="S349" s="3" t="str">
        <f>IF($A349="","",IF(countif('Womens Lineup'!S$3:S1000,CONCATENATE("=",$A349))=0,"",S$2))</f>
        <v/>
      </c>
      <c r="W349" s="3" t="str">
        <f>IFERROR(__xludf.DUMMYFUNCTION("JOIN("","",FILTER(B349:S349,B349:S349&lt;&gt;""""))"),"#N/A")</f>
        <v>#N/A</v>
      </c>
    </row>
    <row r="350">
      <c r="A350" s="3"/>
      <c r="B350" s="3" t="str">
        <f>IF($A350="","",IF(countif('Womens Lineup'!B$3:B1000,CONCATENATE("=",$A350))=0,"",B$2))</f>
        <v/>
      </c>
      <c r="C350" s="3" t="str">
        <f>IF($A350="","",IF(countif('Womens Lineup'!C$3:C1000,CONCATENATE("=",$A350))=0,"",C$2))</f>
        <v/>
      </c>
      <c r="D350" s="3" t="str">
        <f>IF($A350="","",IF(countif('Womens Lineup'!D$3:D1000,CONCATENATE("=",$A350))=0,"",D$2))</f>
        <v/>
      </c>
      <c r="E350" s="3" t="str">
        <f>IF($A350="","",IF(countif('Womens Lineup'!E$3:E1000,CONCATENATE("=",$A350))=0,"",E$2))</f>
        <v/>
      </c>
      <c r="F350" s="3" t="str">
        <f>IF($A350="","",IF(countif('Womens Lineup'!F$3:F1000,CONCATENATE("=",$A350))=0,"",F$2))</f>
        <v/>
      </c>
      <c r="G350" s="3" t="str">
        <f>IF($A350="","",IF(countif('Womens Lineup'!G$3:G1000,CONCATENATE("=",$A350))=0,"",G$2))</f>
        <v/>
      </c>
      <c r="H350" s="3" t="str">
        <f>IF($A350="","",IF(countif('Womens Lineup'!H$3:H1000,CONCATENATE("=",$A350))=0,"",H$2))</f>
        <v/>
      </c>
      <c r="I350" s="3" t="str">
        <f>IF($A350="","",IF(countif('Womens Lineup'!I$3:I1000,CONCATENATE("=",$A350))=0,"",I$2))</f>
        <v/>
      </c>
      <c r="J350" s="3" t="str">
        <f>IF($A350="","",IF(countif('Womens Lineup'!J$3:J1000,CONCATENATE("=",$A350))=0,"",J$2))</f>
        <v/>
      </c>
      <c r="K350" s="3" t="str">
        <f>IF($A350="","",IF(countif('Womens Lineup'!K$3:K1000,CONCATENATE("=",$A350))=0,"",K$2))</f>
        <v/>
      </c>
      <c r="L350" s="3" t="str">
        <f>IF($A350="","",IF(countif('Womens Lineup'!L$3:L1000,CONCATENATE("=",$A350))=0,"",L$2))</f>
        <v/>
      </c>
      <c r="M350" s="3" t="str">
        <f>IF($A350="","",IF(countif('Womens Lineup'!M$3:M1000,CONCATENATE("=",$A350))=0,"",M$2))</f>
        <v/>
      </c>
      <c r="N350" s="3" t="str">
        <f>IF($A350="","",IF(countif('Womens Lineup'!N$3:N1000,CONCATENATE("=",$A350))=0,"",N$2))</f>
        <v/>
      </c>
      <c r="O350" s="3" t="str">
        <f>IF($A350="","",IF(countif('Womens Lineup'!O$3:O1000,CONCATENATE("=",$A350))=0,"",O$2))</f>
        <v/>
      </c>
      <c r="P350" s="3" t="str">
        <f>IF($A350="","",IF(countif('Womens Lineup'!P$3:P1000,CONCATENATE("=",$A350))=0,"",P$2))</f>
        <v/>
      </c>
      <c r="Q350" s="3" t="str">
        <f>IF($A350="","",IF(countif('Womens Lineup'!Q$3:Q1000,CONCATENATE("=",$A350))=0,"",Q$2))</f>
        <v/>
      </c>
      <c r="R350" s="3" t="str">
        <f>IF($A350="","",IF(countif('Womens Lineup'!R$3:R1000,CONCATENATE("=",$A350))=0,"",R$2))</f>
        <v/>
      </c>
      <c r="S350" s="3" t="str">
        <f>IF($A350="","",IF(countif('Womens Lineup'!S$3:S1000,CONCATENATE("=",$A350))=0,"",S$2))</f>
        <v/>
      </c>
      <c r="W350" s="3" t="str">
        <f>IFERROR(__xludf.DUMMYFUNCTION("JOIN("","",FILTER(B350:S350,B350:S350&lt;&gt;""""))"),"#N/A")</f>
        <v>#N/A</v>
      </c>
    </row>
    <row r="351">
      <c r="A351" s="3"/>
      <c r="B351" s="3" t="str">
        <f>IF($A351="","",IF(countif('Womens Lineup'!B$3:B1000,CONCATENATE("=",$A351))=0,"",B$2))</f>
        <v/>
      </c>
      <c r="C351" s="3" t="str">
        <f>IF($A351="","",IF(countif('Womens Lineup'!C$3:C1000,CONCATENATE("=",$A351))=0,"",C$2))</f>
        <v/>
      </c>
      <c r="D351" s="3" t="str">
        <f>IF($A351="","",IF(countif('Womens Lineup'!D$3:D1000,CONCATENATE("=",$A351))=0,"",D$2))</f>
        <v/>
      </c>
      <c r="E351" s="3" t="str">
        <f>IF($A351="","",IF(countif('Womens Lineup'!E$3:E1000,CONCATENATE("=",$A351))=0,"",E$2))</f>
        <v/>
      </c>
      <c r="F351" s="3" t="str">
        <f>IF($A351="","",IF(countif('Womens Lineup'!F$3:F1000,CONCATENATE("=",$A351))=0,"",F$2))</f>
        <v/>
      </c>
      <c r="G351" s="3" t="str">
        <f>IF($A351="","",IF(countif('Womens Lineup'!G$3:G1000,CONCATENATE("=",$A351))=0,"",G$2))</f>
        <v/>
      </c>
      <c r="H351" s="3" t="str">
        <f>IF($A351="","",IF(countif('Womens Lineup'!H$3:H1000,CONCATENATE("=",$A351))=0,"",H$2))</f>
        <v/>
      </c>
      <c r="I351" s="3" t="str">
        <f>IF($A351="","",IF(countif('Womens Lineup'!I$3:I1000,CONCATENATE("=",$A351))=0,"",I$2))</f>
        <v/>
      </c>
      <c r="J351" s="3" t="str">
        <f>IF($A351="","",IF(countif('Womens Lineup'!J$3:J1000,CONCATENATE("=",$A351))=0,"",J$2))</f>
        <v/>
      </c>
      <c r="K351" s="3" t="str">
        <f>IF($A351="","",IF(countif('Womens Lineup'!K$3:K1000,CONCATENATE("=",$A351))=0,"",K$2))</f>
        <v/>
      </c>
      <c r="L351" s="3" t="str">
        <f>IF($A351="","",IF(countif('Womens Lineup'!L$3:L1000,CONCATENATE("=",$A351))=0,"",L$2))</f>
        <v/>
      </c>
      <c r="M351" s="3" t="str">
        <f>IF($A351="","",IF(countif('Womens Lineup'!M$3:M1000,CONCATENATE("=",$A351))=0,"",M$2))</f>
        <v/>
      </c>
      <c r="N351" s="3" t="str">
        <f>IF($A351="","",IF(countif('Womens Lineup'!N$3:N1000,CONCATENATE("=",$A351))=0,"",N$2))</f>
        <v/>
      </c>
      <c r="O351" s="3" t="str">
        <f>IF($A351="","",IF(countif('Womens Lineup'!O$3:O1000,CONCATENATE("=",$A351))=0,"",O$2))</f>
        <v/>
      </c>
      <c r="P351" s="3" t="str">
        <f>IF($A351="","",IF(countif('Womens Lineup'!P$3:P1000,CONCATENATE("=",$A351))=0,"",P$2))</f>
        <v/>
      </c>
      <c r="Q351" s="3" t="str">
        <f>IF($A351="","",IF(countif('Womens Lineup'!Q$3:Q1000,CONCATENATE("=",$A351))=0,"",Q$2))</f>
        <v/>
      </c>
      <c r="R351" s="3" t="str">
        <f>IF($A351="","",IF(countif('Womens Lineup'!R$3:R1000,CONCATENATE("=",$A351))=0,"",R$2))</f>
        <v/>
      </c>
      <c r="S351" s="3" t="str">
        <f>IF($A351="","",IF(countif('Womens Lineup'!S$3:S1000,CONCATENATE("=",$A351))=0,"",S$2))</f>
        <v/>
      </c>
      <c r="W351" s="3" t="str">
        <f>IFERROR(__xludf.DUMMYFUNCTION("JOIN("","",FILTER(B351:S351,B351:S351&lt;&gt;""""))"),"#N/A")</f>
        <v>#N/A</v>
      </c>
    </row>
    <row r="352">
      <c r="A352" s="3"/>
      <c r="B352" s="3" t="str">
        <f>IF($A352="","",IF(countif('Womens Lineup'!B$3:B1000,CONCATENATE("=",$A352))=0,"",B$2))</f>
        <v/>
      </c>
      <c r="C352" s="3" t="str">
        <f>IF($A352="","",IF(countif('Womens Lineup'!C$3:C1000,CONCATENATE("=",$A352))=0,"",C$2))</f>
        <v/>
      </c>
      <c r="D352" s="3" t="str">
        <f>IF($A352="","",IF(countif('Womens Lineup'!D$3:D1000,CONCATENATE("=",$A352))=0,"",D$2))</f>
        <v/>
      </c>
      <c r="E352" s="3" t="str">
        <f>IF($A352="","",IF(countif('Womens Lineup'!E$3:E1000,CONCATENATE("=",$A352))=0,"",E$2))</f>
        <v/>
      </c>
      <c r="F352" s="3" t="str">
        <f>IF($A352="","",IF(countif('Womens Lineup'!F$3:F1000,CONCATENATE("=",$A352))=0,"",F$2))</f>
        <v/>
      </c>
      <c r="G352" s="3" t="str">
        <f>IF($A352="","",IF(countif('Womens Lineup'!G$3:G1000,CONCATENATE("=",$A352))=0,"",G$2))</f>
        <v/>
      </c>
      <c r="H352" s="3" t="str">
        <f>IF($A352="","",IF(countif('Womens Lineup'!H$3:H1000,CONCATENATE("=",$A352))=0,"",H$2))</f>
        <v/>
      </c>
      <c r="I352" s="3" t="str">
        <f>IF($A352="","",IF(countif('Womens Lineup'!I$3:I1000,CONCATENATE("=",$A352))=0,"",I$2))</f>
        <v/>
      </c>
      <c r="J352" s="3" t="str">
        <f>IF($A352="","",IF(countif('Womens Lineup'!J$3:J1000,CONCATENATE("=",$A352))=0,"",J$2))</f>
        <v/>
      </c>
      <c r="K352" s="3" t="str">
        <f>IF($A352="","",IF(countif('Womens Lineup'!K$3:K1000,CONCATENATE("=",$A352))=0,"",K$2))</f>
        <v/>
      </c>
      <c r="L352" s="3" t="str">
        <f>IF($A352="","",IF(countif('Womens Lineup'!L$3:L1000,CONCATENATE("=",$A352))=0,"",L$2))</f>
        <v/>
      </c>
      <c r="M352" s="3" t="str">
        <f>IF($A352="","",IF(countif('Womens Lineup'!M$3:M1000,CONCATENATE("=",$A352))=0,"",M$2))</f>
        <v/>
      </c>
      <c r="N352" s="3" t="str">
        <f>IF($A352="","",IF(countif('Womens Lineup'!N$3:N1000,CONCATENATE("=",$A352))=0,"",N$2))</f>
        <v/>
      </c>
      <c r="O352" s="3" t="str">
        <f>IF($A352="","",IF(countif('Womens Lineup'!O$3:O1000,CONCATENATE("=",$A352))=0,"",O$2))</f>
        <v/>
      </c>
      <c r="P352" s="3" t="str">
        <f>IF($A352="","",IF(countif('Womens Lineup'!P$3:P1000,CONCATENATE("=",$A352))=0,"",P$2))</f>
        <v/>
      </c>
      <c r="Q352" s="3" t="str">
        <f>IF($A352="","",IF(countif('Womens Lineup'!Q$3:Q1000,CONCATENATE("=",$A352))=0,"",Q$2))</f>
        <v/>
      </c>
      <c r="R352" s="3" t="str">
        <f>IF($A352="","",IF(countif('Womens Lineup'!R$3:R1000,CONCATENATE("=",$A352))=0,"",R$2))</f>
        <v/>
      </c>
      <c r="S352" s="3" t="str">
        <f>IF($A352="","",IF(countif('Womens Lineup'!S$3:S1000,CONCATENATE("=",$A352))=0,"",S$2))</f>
        <v/>
      </c>
      <c r="W352" s="3" t="str">
        <f>IFERROR(__xludf.DUMMYFUNCTION("JOIN("","",FILTER(B352:S352,B352:S352&lt;&gt;""""))"),"#N/A")</f>
        <v>#N/A</v>
      </c>
    </row>
    <row r="353">
      <c r="A353" s="3"/>
      <c r="B353" s="3" t="str">
        <f>IF($A353="","",IF(countif('Womens Lineup'!B$3:B1000,CONCATENATE("=",$A353))=0,"",B$2))</f>
        <v/>
      </c>
      <c r="C353" s="3" t="str">
        <f>IF($A353="","",IF(countif('Womens Lineup'!C$3:C1000,CONCATENATE("=",$A353))=0,"",C$2))</f>
        <v/>
      </c>
      <c r="D353" s="3" t="str">
        <f>IF($A353="","",IF(countif('Womens Lineup'!D$3:D1000,CONCATENATE("=",$A353))=0,"",D$2))</f>
        <v/>
      </c>
      <c r="E353" s="3" t="str">
        <f>IF($A353="","",IF(countif('Womens Lineup'!E$3:E1000,CONCATENATE("=",$A353))=0,"",E$2))</f>
        <v/>
      </c>
      <c r="F353" s="3" t="str">
        <f>IF($A353="","",IF(countif('Womens Lineup'!F$3:F1000,CONCATENATE("=",$A353))=0,"",F$2))</f>
        <v/>
      </c>
      <c r="G353" s="3" t="str">
        <f>IF($A353="","",IF(countif('Womens Lineup'!G$3:G1000,CONCATENATE("=",$A353))=0,"",G$2))</f>
        <v/>
      </c>
      <c r="H353" s="3" t="str">
        <f>IF($A353="","",IF(countif('Womens Lineup'!H$3:H1000,CONCATENATE("=",$A353))=0,"",H$2))</f>
        <v/>
      </c>
      <c r="I353" s="3" t="str">
        <f>IF($A353="","",IF(countif('Womens Lineup'!I$3:I1000,CONCATENATE("=",$A353))=0,"",I$2))</f>
        <v/>
      </c>
      <c r="J353" s="3" t="str">
        <f>IF($A353="","",IF(countif('Womens Lineup'!J$3:J1000,CONCATENATE("=",$A353))=0,"",J$2))</f>
        <v/>
      </c>
      <c r="K353" s="3" t="str">
        <f>IF($A353="","",IF(countif('Womens Lineup'!K$3:K1000,CONCATENATE("=",$A353))=0,"",K$2))</f>
        <v/>
      </c>
      <c r="L353" s="3" t="str">
        <f>IF($A353="","",IF(countif('Womens Lineup'!L$3:L1000,CONCATENATE("=",$A353))=0,"",L$2))</f>
        <v/>
      </c>
      <c r="M353" s="3" t="str">
        <f>IF($A353="","",IF(countif('Womens Lineup'!M$3:M1000,CONCATENATE("=",$A353))=0,"",M$2))</f>
        <v/>
      </c>
      <c r="N353" s="3" t="str">
        <f>IF($A353="","",IF(countif('Womens Lineup'!N$3:N1000,CONCATENATE("=",$A353))=0,"",N$2))</f>
        <v/>
      </c>
      <c r="O353" s="3" t="str">
        <f>IF($A353="","",IF(countif('Womens Lineup'!O$3:O1000,CONCATENATE("=",$A353))=0,"",O$2))</f>
        <v/>
      </c>
      <c r="P353" s="3" t="str">
        <f>IF($A353="","",IF(countif('Womens Lineup'!P$3:P1000,CONCATENATE("=",$A353))=0,"",P$2))</f>
        <v/>
      </c>
      <c r="Q353" s="3" t="str">
        <f>IF($A353="","",IF(countif('Womens Lineup'!Q$3:Q1000,CONCATENATE("=",$A353))=0,"",Q$2))</f>
        <v/>
      </c>
      <c r="R353" s="3" t="str">
        <f>IF($A353="","",IF(countif('Womens Lineup'!R$3:R1000,CONCATENATE("=",$A353))=0,"",R$2))</f>
        <v/>
      </c>
      <c r="S353" s="3" t="str">
        <f>IF($A353="","",IF(countif('Womens Lineup'!S$3:S1000,CONCATENATE("=",$A353))=0,"",S$2))</f>
        <v/>
      </c>
      <c r="W353" s="3" t="str">
        <f>IFERROR(__xludf.DUMMYFUNCTION("JOIN("","",FILTER(B353:S353,B353:S353&lt;&gt;""""))"),"#N/A")</f>
        <v>#N/A</v>
      </c>
    </row>
    <row r="354">
      <c r="A354" s="3"/>
      <c r="B354" s="3" t="str">
        <f>IF($A354="","",IF(countif('Womens Lineup'!B$3:B1000,CONCATENATE("=",$A354))=0,"",B$2))</f>
        <v/>
      </c>
      <c r="C354" s="3" t="str">
        <f>IF($A354="","",IF(countif('Womens Lineup'!C$3:C1000,CONCATENATE("=",$A354))=0,"",C$2))</f>
        <v/>
      </c>
      <c r="D354" s="3" t="str">
        <f>IF($A354="","",IF(countif('Womens Lineup'!D$3:D1000,CONCATENATE("=",$A354))=0,"",D$2))</f>
        <v/>
      </c>
      <c r="E354" s="3" t="str">
        <f>IF($A354="","",IF(countif('Womens Lineup'!E$3:E1000,CONCATENATE("=",$A354))=0,"",E$2))</f>
        <v/>
      </c>
      <c r="F354" s="3" t="str">
        <f>IF($A354="","",IF(countif('Womens Lineup'!F$3:F1000,CONCATENATE("=",$A354))=0,"",F$2))</f>
        <v/>
      </c>
      <c r="G354" s="3" t="str">
        <f>IF($A354="","",IF(countif('Womens Lineup'!G$3:G1000,CONCATENATE("=",$A354))=0,"",G$2))</f>
        <v/>
      </c>
      <c r="H354" s="3" t="str">
        <f>IF($A354="","",IF(countif('Womens Lineup'!H$3:H1000,CONCATENATE("=",$A354))=0,"",H$2))</f>
        <v/>
      </c>
      <c r="I354" s="3" t="str">
        <f>IF($A354="","",IF(countif('Womens Lineup'!I$3:I1000,CONCATENATE("=",$A354))=0,"",I$2))</f>
        <v/>
      </c>
      <c r="J354" s="3" t="str">
        <f>IF($A354="","",IF(countif('Womens Lineup'!J$3:J1000,CONCATENATE("=",$A354))=0,"",J$2))</f>
        <v/>
      </c>
      <c r="K354" s="3" t="str">
        <f>IF($A354="","",IF(countif('Womens Lineup'!K$3:K1000,CONCATENATE("=",$A354))=0,"",K$2))</f>
        <v/>
      </c>
      <c r="L354" s="3" t="str">
        <f>IF($A354="","",IF(countif('Womens Lineup'!L$3:L1000,CONCATENATE("=",$A354))=0,"",L$2))</f>
        <v/>
      </c>
      <c r="M354" s="3" t="str">
        <f>IF($A354="","",IF(countif('Womens Lineup'!M$3:M1000,CONCATENATE("=",$A354))=0,"",M$2))</f>
        <v/>
      </c>
      <c r="N354" s="3" t="str">
        <f>IF($A354="","",IF(countif('Womens Lineup'!N$3:N1000,CONCATENATE("=",$A354))=0,"",N$2))</f>
        <v/>
      </c>
      <c r="O354" s="3" t="str">
        <f>IF($A354="","",IF(countif('Womens Lineup'!O$3:O1000,CONCATENATE("=",$A354))=0,"",O$2))</f>
        <v/>
      </c>
      <c r="P354" s="3" t="str">
        <f>IF($A354="","",IF(countif('Womens Lineup'!P$3:P1000,CONCATENATE("=",$A354))=0,"",P$2))</f>
        <v/>
      </c>
      <c r="Q354" s="3" t="str">
        <f>IF($A354="","",IF(countif('Womens Lineup'!Q$3:Q1000,CONCATENATE("=",$A354))=0,"",Q$2))</f>
        <v/>
      </c>
      <c r="R354" s="3" t="str">
        <f>IF($A354="","",IF(countif('Womens Lineup'!R$3:R1000,CONCATENATE("=",$A354))=0,"",R$2))</f>
        <v/>
      </c>
      <c r="S354" s="3" t="str">
        <f>IF($A354="","",IF(countif('Womens Lineup'!S$3:S1000,CONCATENATE("=",$A354))=0,"",S$2))</f>
        <v/>
      </c>
      <c r="W354" s="3" t="str">
        <f>IFERROR(__xludf.DUMMYFUNCTION("JOIN("","",FILTER(B354:S354,B354:S354&lt;&gt;""""))"),"#N/A")</f>
        <v>#N/A</v>
      </c>
    </row>
    <row r="355">
      <c r="A355" s="3"/>
      <c r="B355" s="3" t="str">
        <f>IF($A355="","",IF(countif('Womens Lineup'!B$3:B1000,CONCATENATE("=",$A355))=0,"",B$2))</f>
        <v/>
      </c>
      <c r="C355" s="3" t="str">
        <f>IF($A355="","",IF(countif('Womens Lineup'!C$3:C1000,CONCATENATE("=",$A355))=0,"",C$2))</f>
        <v/>
      </c>
      <c r="D355" s="3" t="str">
        <f>IF($A355="","",IF(countif('Womens Lineup'!D$3:D1000,CONCATENATE("=",$A355))=0,"",D$2))</f>
        <v/>
      </c>
      <c r="E355" s="3" t="str">
        <f>IF($A355="","",IF(countif('Womens Lineup'!E$3:E1000,CONCATENATE("=",$A355))=0,"",E$2))</f>
        <v/>
      </c>
      <c r="F355" s="3" t="str">
        <f>IF($A355="","",IF(countif('Womens Lineup'!F$3:F1000,CONCATENATE("=",$A355))=0,"",F$2))</f>
        <v/>
      </c>
      <c r="G355" s="3" t="str">
        <f>IF($A355="","",IF(countif('Womens Lineup'!G$3:G1000,CONCATENATE("=",$A355))=0,"",G$2))</f>
        <v/>
      </c>
      <c r="H355" s="3" t="str">
        <f>IF($A355="","",IF(countif('Womens Lineup'!H$3:H1000,CONCATENATE("=",$A355))=0,"",H$2))</f>
        <v/>
      </c>
      <c r="I355" s="3" t="str">
        <f>IF($A355="","",IF(countif('Womens Lineup'!I$3:I1000,CONCATENATE("=",$A355))=0,"",I$2))</f>
        <v/>
      </c>
      <c r="J355" s="3" t="str">
        <f>IF($A355="","",IF(countif('Womens Lineup'!J$3:J1000,CONCATENATE("=",$A355))=0,"",J$2))</f>
        <v/>
      </c>
      <c r="K355" s="3" t="str">
        <f>IF($A355="","",IF(countif('Womens Lineup'!K$3:K1000,CONCATENATE("=",$A355))=0,"",K$2))</f>
        <v/>
      </c>
      <c r="L355" s="3" t="str">
        <f>IF($A355="","",IF(countif('Womens Lineup'!L$3:L1000,CONCATENATE("=",$A355))=0,"",L$2))</f>
        <v/>
      </c>
      <c r="M355" s="3" t="str">
        <f>IF($A355="","",IF(countif('Womens Lineup'!M$3:M1000,CONCATENATE("=",$A355))=0,"",M$2))</f>
        <v/>
      </c>
      <c r="N355" s="3" t="str">
        <f>IF($A355="","",IF(countif('Womens Lineup'!N$3:N1000,CONCATENATE("=",$A355))=0,"",N$2))</f>
        <v/>
      </c>
      <c r="O355" s="3" t="str">
        <f>IF($A355="","",IF(countif('Womens Lineup'!O$3:O1000,CONCATENATE("=",$A355))=0,"",O$2))</f>
        <v/>
      </c>
      <c r="P355" s="3" t="str">
        <f>IF($A355="","",IF(countif('Womens Lineup'!P$3:P1000,CONCATENATE("=",$A355))=0,"",P$2))</f>
        <v/>
      </c>
      <c r="Q355" s="3" t="str">
        <f>IF($A355="","",IF(countif('Womens Lineup'!Q$3:Q1000,CONCATENATE("=",$A355))=0,"",Q$2))</f>
        <v/>
      </c>
      <c r="R355" s="3" t="str">
        <f>IF($A355="","",IF(countif('Womens Lineup'!R$3:R1000,CONCATENATE("=",$A355))=0,"",R$2))</f>
        <v/>
      </c>
      <c r="S355" s="3" t="str">
        <f>IF($A355="","",IF(countif('Womens Lineup'!S$3:S1000,CONCATENATE("=",$A355))=0,"",S$2))</f>
        <v/>
      </c>
      <c r="W355" s="3" t="str">
        <f>IFERROR(__xludf.DUMMYFUNCTION("JOIN("","",FILTER(B355:S355,B355:S355&lt;&gt;""""))"),"#N/A")</f>
        <v>#N/A</v>
      </c>
    </row>
    <row r="356">
      <c r="A356" s="3"/>
      <c r="B356" s="3" t="str">
        <f>IF($A356="","",IF(countif('Womens Lineup'!B$3:B1000,CONCATENATE("=",$A356))=0,"",B$2))</f>
        <v/>
      </c>
      <c r="C356" s="3" t="str">
        <f>IF($A356="","",IF(countif('Womens Lineup'!C$3:C1000,CONCATENATE("=",$A356))=0,"",C$2))</f>
        <v/>
      </c>
      <c r="D356" s="3" t="str">
        <f>IF($A356="","",IF(countif('Womens Lineup'!D$3:D1000,CONCATENATE("=",$A356))=0,"",D$2))</f>
        <v/>
      </c>
      <c r="E356" s="3" t="str">
        <f>IF($A356="","",IF(countif('Womens Lineup'!E$3:E1000,CONCATENATE("=",$A356))=0,"",E$2))</f>
        <v/>
      </c>
      <c r="F356" s="3" t="str">
        <f>IF($A356="","",IF(countif('Womens Lineup'!F$3:F1000,CONCATENATE("=",$A356))=0,"",F$2))</f>
        <v/>
      </c>
      <c r="G356" s="3" t="str">
        <f>IF($A356="","",IF(countif('Womens Lineup'!G$3:G1000,CONCATENATE("=",$A356))=0,"",G$2))</f>
        <v/>
      </c>
      <c r="H356" s="3" t="str">
        <f>IF($A356="","",IF(countif('Womens Lineup'!H$3:H1000,CONCATENATE("=",$A356))=0,"",H$2))</f>
        <v/>
      </c>
      <c r="I356" s="3" t="str">
        <f>IF($A356="","",IF(countif('Womens Lineup'!I$3:I1000,CONCATENATE("=",$A356))=0,"",I$2))</f>
        <v/>
      </c>
      <c r="J356" s="3" t="str">
        <f>IF($A356="","",IF(countif('Womens Lineup'!J$3:J1000,CONCATENATE("=",$A356))=0,"",J$2))</f>
        <v/>
      </c>
      <c r="K356" s="3" t="str">
        <f>IF($A356="","",IF(countif('Womens Lineup'!K$3:K1000,CONCATENATE("=",$A356))=0,"",K$2))</f>
        <v/>
      </c>
      <c r="L356" s="3" t="str">
        <f>IF($A356="","",IF(countif('Womens Lineup'!L$3:L1000,CONCATENATE("=",$A356))=0,"",L$2))</f>
        <v/>
      </c>
      <c r="M356" s="3" t="str">
        <f>IF($A356="","",IF(countif('Womens Lineup'!M$3:M1000,CONCATENATE("=",$A356))=0,"",M$2))</f>
        <v/>
      </c>
      <c r="N356" s="3" t="str">
        <f>IF($A356="","",IF(countif('Womens Lineup'!N$3:N1000,CONCATENATE("=",$A356))=0,"",N$2))</f>
        <v/>
      </c>
      <c r="O356" s="3" t="str">
        <f>IF($A356="","",IF(countif('Womens Lineup'!O$3:O1000,CONCATENATE("=",$A356))=0,"",O$2))</f>
        <v/>
      </c>
      <c r="P356" s="3" t="str">
        <f>IF($A356="","",IF(countif('Womens Lineup'!P$3:P1000,CONCATENATE("=",$A356))=0,"",P$2))</f>
        <v/>
      </c>
      <c r="Q356" s="3" t="str">
        <f>IF($A356="","",IF(countif('Womens Lineup'!Q$3:Q1000,CONCATENATE("=",$A356))=0,"",Q$2))</f>
        <v/>
      </c>
      <c r="R356" s="3" t="str">
        <f>IF($A356="","",IF(countif('Womens Lineup'!R$3:R1000,CONCATENATE("=",$A356))=0,"",R$2))</f>
        <v/>
      </c>
      <c r="S356" s="3" t="str">
        <f>IF($A356="","",IF(countif('Womens Lineup'!S$3:S1000,CONCATENATE("=",$A356))=0,"",S$2))</f>
        <v/>
      </c>
      <c r="W356" s="3" t="str">
        <f>IFERROR(__xludf.DUMMYFUNCTION("JOIN("","",FILTER(B356:S356,B356:S356&lt;&gt;""""))"),"#N/A")</f>
        <v>#N/A</v>
      </c>
    </row>
    <row r="357">
      <c r="A357" s="3"/>
      <c r="B357" s="3" t="str">
        <f>IF($A357="","",IF(countif('Womens Lineup'!B$3:B1000,CONCATENATE("=",$A357))=0,"",B$2))</f>
        <v/>
      </c>
      <c r="C357" s="3" t="str">
        <f>IF($A357="","",IF(countif('Womens Lineup'!C$3:C1000,CONCATENATE("=",$A357))=0,"",C$2))</f>
        <v/>
      </c>
      <c r="D357" s="3" t="str">
        <f>IF($A357="","",IF(countif('Womens Lineup'!D$3:D1000,CONCATENATE("=",$A357))=0,"",D$2))</f>
        <v/>
      </c>
      <c r="E357" s="3" t="str">
        <f>IF($A357="","",IF(countif('Womens Lineup'!E$3:E1000,CONCATENATE("=",$A357))=0,"",E$2))</f>
        <v/>
      </c>
      <c r="F357" s="3" t="str">
        <f>IF($A357="","",IF(countif('Womens Lineup'!F$3:F1000,CONCATENATE("=",$A357))=0,"",F$2))</f>
        <v/>
      </c>
      <c r="G357" s="3" t="str">
        <f>IF($A357="","",IF(countif('Womens Lineup'!G$3:G1000,CONCATENATE("=",$A357))=0,"",G$2))</f>
        <v/>
      </c>
      <c r="H357" s="3" t="str">
        <f>IF($A357="","",IF(countif('Womens Lineup'!H$3:H1000,CONCATENATE("=",$A357))=0,"",H$2))</f>
        <v/>
      </c>
      <c r="I357" s="3" t="str">
        <f>IF($A357="","",IF(countif('Womens Lineup'!I$3:I1000,CONCATENATE("=",$A357))=0,"",I$2))</f>
        <v/>
      </c>
      <c r="J357" s="3" t="str">
        <f>IF($A357="","",IF(countif('Womens Lineup'!J$3:J1000,CONCATENATE("=",$A357))=0,"",J$2))</f>
        <v/>
      </c>
      <c r="K357" s="3" t="str">
        <f>IF($A357="","",IF(countif('Womens Lineup'!K$3:K1000,CONCATENATE("=",$A357))=0,"",K$2))</f>
        <v/>
      </c>
      <c r="L357" s="3" t="str">
        <f>IF($A357="","",IF(countif('Womens Lineup'!L$3:L1000,CONCATENATE("=",$A357))=0,"",L$2))</f>
        <v/>
      </c>
      <c r="M357" s="3" t="str">
        <f>IF($A357="","",IF(countif('Womens Lineup'!M$3:M1000,CONCATENATE("=",$A357))=0,"",M$2))</f>
        <v/>
      </c>
      <c r="N357" s="3" t="str">
        <f>IF($A357="","",IF(countif('Womens Lineup'!N$3:N1000,CONCATENATE("=",$A357))=0,"",N$2))</f>
        <v/>
      </c>
      <c r="O357" s="3" t="str">
        <f>IF($A357="","",IF(countif('Womens Lineup'!O$3:O1000,CONCATENATE("=",$A357))=0,"",O$2))</f>
        <v/>
      </c>
      <c r="P357" s="3" t="str">
        <f>IF($A357="","",IF(countif('Womens Lineup'!P$3:P1000,CONCATENATE("=",$A357))=0,"",P$2))</f>
        <v/>
      </c>
      <c r="Q357" s="3" t="str">
        <f>IF($A357="","",IF(countif('Womens Lineup'!Q$3:Q1000,CONCATENATE("=",$A357))=0,"",Q$2))</f>
        <v/>
      </c>
      <c r="R357" s="3" t="str">
        <f>IF($A357="","",IF(countif('Womens Lineup'!R$3:R1000,CONCATENATE("=",$A357))=0,"",R$2))</f>
        <v/>
      </c>
      <c r="S357" s="3" t="str">
        <f>IF($A357="","",IF(countif('Womens Lineup'!S$3:S1000,CONCATENATE("=",$A357))=0,"",S$2))</f>
        <v/>
      </c>
      <c r="W357" s="3" t="str">
        <f>IFERROR(__xludf.DUMMYFUNCTION("JOIN("","",FILTER(B357:S357,B357:S357&lt;&gt;""""))"),"#N/A")</f>
        <v>#N/A</v>
      </c>
    </row>
    <row r="358">
      <c r="A358" s="3"/>
      <c r="B358" s="3" t="str">
        <f>IF($A358="","",IF(countif('Womens Lineup'!B$3:B1000,CONCATENATE("=",$A358))=0,"",B$2))</f>
        <v/>
      </c>
      <c r="C358" s="3" t="str">
        <f>IF($A358="","",IF(countif('Womens Lineup'!C$3:C1000,CONCATENATE("=",$A358))=0,"",C$2))</f>
        <v/>
      </c>
      <c r="D358" s="3" t="str">
        <f>IF($A358="","",IF(countif('Womens Lineup'!D$3:D1000,CONCATENATE("=",$A358))=0,"",D$2))</f>
        <v/>
      </c>
      <c r="E358" s="3" t="str">
        <f>IF($A358="","",IF(countif('Womens Lineup'!E$3:E1000,CONCATENATE("=",$A358))=0,"",E$2))</f>
        <v/>
      </c>
      <c r="F358" s="3" t="str">
        <f>IF($A358="","",IF(countif('Womens Lineup'!F$3:F1000,CONCATENATE("=",$A358))=0,"",F$2))</f>
        <v/>
      </c>
      <c r="G358" s="3" t="str">
        <f>IF($A358="","",IF(countif('Womens Lineup'!G$3:G1000,CONCATENATE("=",$A358))=0,"",G$2))</f>
        <v/>
      </c>
      <c r="H358" s="3" t="str">
        <f>IF($A358="","",IF(countif('Womens Lineup'!H$3:H1000,CONCATENATE("=",$A358))=0,"",H$2))</f>
        <v/>
      </c>
      <c r="I358" s="3" t="str">
        <f>IF($A358="","",IF(countif('Womens Lineup'!I$3:I1000,CONCATENATE("=",$A358))=0,"",I$2))</f>
        <v/>
      </c>
      <c r="J358" s="3" t="str">
        <f>IF($A358="","",IF(countif('Womens Lineup'!J$3:J1000,CONCATENATE("=",$A358))=0,"",J$2))</f>
        <v/>
      </c>
      <c r="K358" s="3" t="str">
        <f>IF($A358="","",IF(countif('Womens Lineup'!K$3:K1000,CONCATENATE("=",$A358))=0,"",K$2))</f>
        <v/>
      </c>
      <c r="L358" s="3" t="str">
        <f>IF($A358="","",IF(countif('Womens Lineup'!L$3:L1000,CONCATENATE("=",$A358))=0,"",L$2))</f>
        <v/>
      </c>
      <c r="M358" s="3" t="str">
        <f>IF($A358="","",IF(countif('Womens Lineup'!M$3:M1000,CONCATENATE("=",$A358))=0,"",M$2))</f>
        <v/>
      </c>
      <c r="N358" s="3" t="str">
        <f>IF($A358="","",IF(countif('Womens Lineup'!N$3:N1000,CONCATENATE("=",$A358))=0,"",N$2))</f>
        <v/>
      </c>
      <c r="O358" s="3" t="str">
        <f>IF($A358="","",IF(countif('Womens Lineup'!O$3:O1000,CONCATENATE("=",$A358))=0,"",O$2))</f>
        <v/>
      </c>
      <c r="P358" s="3" t="str">
        <f>IF($A358="","",IF(countif('Womens Lineup'!P$3:P1000,CONCATENATE("=",$A358))=0,"",P$2))</f>
        <v/>
      </c>
      <c r="Q358" s="3" t="str">
        <f>IF($A358="","",IF(countif('Womens Lineup'!Q$3:Q1000,CONCATENATE("=",$A358))=0,"",Q$2))</f>
        <v/>
      </c>
      <c r="R358" s="3" t="str">
        <f>IF($A358="","",IF(countif('Womens Lineup'!R$3:R1000,CONCATENATE("=",$A358))=0,"",R$2))</f>
        <v/>
      </c>
      <c r="S358" s="3" t="str">
        <f>IF($A358="","",IF(countif('Womens Lineup'!S$3:S1000,CONCATENATE("=",$A358))=0,"",S$2))</f>
        <v/>
      </c>
      <c r="W358" s="3" t="str">
        <f>IFERROR(__xludf.DUMMYFUNCTION("JOIN("","",FILTER(B358:S358,B358:S358&lt;&gt;""""))"),"#N/A")</f>
        <v>#N/A</v>
      </c>
    </row>
    <row r="359">
      <c r="A359" s="3"/>
      <c r="B359" s="3" t="str">
        <f>IF($A359="","",IF(countif('Womens Lineup'!B$3:B1000,CONCATENATE("=",$A359))=0,"",B$2))</f>
        <v/>
      </c>
      <c r="C359" s="3" t="str">
        <f>IF($A359="","",IF(countif('Womens Lineup'!C$3:C1000,CONCATENATE("=",$A359))=0,"",C$2))</f>
        <v/>
      </c>
      <c r="D359" s="3" t="str">
        <f>IF($A359="","",IF(countif('Womens Lineup'!D$3:D1000,CONCATENATE("=",$A359))=0,"",D$2))</f>
        <v/>
      </c>
      <c r="E359" s="3" t="str">
        <f>IF($A359="","",IF(countif('Womens Lineup'!E$3:E1000,CONCATENATE("=",$A359))=0,"",E$2))</f>
        <v/>
      </c>
      <c r="F359" s="3" t="str">
        <f>IF($A359="","",IF(countif('Womens Lineup'!F$3:F1000,CONCATENATE("=",$A359))=0,"",F$2))</f>
        <v/>
      </c>
      <c r="G359" s="3" t="str">
        <f>IF($A359="","",IF(countif('Womens Lineup'!G$3:G1000,CONCATENATE("=",$A359))=0,"",G$2))</f>
        <v/>
      </c>
      <c r="H359" s="3" t="str">
        <f>IF($A359="","",IF(countif('Womens Lineup'!H$3:H1000,CONCATENATE("=",$A359))=0,"",H$2))</f>
        <v/>
      </c>
      <c r="I359" s="3" t="str">
        <f>IF($A359="","",IF(countif('Womens Lineup'!I$3:I1000,CONCATENATE("=",$A359))=0,"",I$2))</f>
        <v/>
      </c>
      <c r="J359" s="3" t="str">
        <f>IF($A359="","",IF(countif('Womens Lineup'!J$3:J1000,CONCATENATE("=",$A359))=0,"",J$2))</f>
        <v/>
      </c>
      <c r="K359" s="3" t="str">
        <f>IF($A359="","",IF(countif('Womens Lineup'!K$3:K1000,CONCATENATE("=",$A359))=0,"",K$2))</f>
        <v/>
      </c>
      <c r="L359" s="3" t="str">
        <f>IF($A359="","",IF(countif('Womens Lineup'!L$3:L1000,CONCATENATE("=",$A359))=0,"",L$2))</f>
        <v/>
      </c>
      <c r="M359" s="3" t="str">
        <f>IF($A359="","",IF(countif('Womens Lineup'!M$3:M1000,CONCATENATE("=",$A359))=0,"",M$2))</f>
        <v/>
      </c>
      <c r="N359" s="3" t="str">
        <f>IF($A359="","",IF(countif('Womens Lineup'!N$3:N1000,CONCATENATE("=",$A359))=0,"",N$2))</f>
        <v/>
      </c>
      <c r="O359" s="3" t="str">
        <f>IF($A359="","",IF(countif('Womens Lineup'!O$3:O1000,CONCATENATE("=",$A359))=0,"",O$2))</f>
        <v/>
      </c>
      <c r="P359" s="3" t="str">
        <f>IF($A359="","",IF(countif('Womens Lineup'!P$3:P1000,CONCATENATE("=",$A359))=0,"",P$2))</f>
        <v/>
      </c>
      <c r="Q359" s="3" t="str">
        <f>IF($A359="","",IF(countif('Womens Lineup'!Q$3:Q1000,CONCATENATE("=",$A359))=0,"",Q$2))</f>
        <v/>
      </c>
      <c r="R359" s="3" t="str">
        <f>IF($A359="","",IF(countif('Womens Lineup'!R$3:R1000,CONCATENATE("=",$A359))=0,"",R$2))</f>
        <v/>
      </c>
      <c r="S359" s="3" t="str">
        <f>IF($A359="","",IF(countif('Womens Lineup'!S$3:S1000,CONCATENATE("=",$A359))=0,"",S$2))</f>
        <v/>
      </c>
      <c r="W359" s="3" t="str">
        <f>IFERROR(__xludf.DUMMYFUNCTION("JOIN("","",FILTER(B359:S359,B359:S359&lt;&gt;""""))"),"#N/A")</f>
        <v>#N/A</v>
      </c>
    </row>
    <row r="360">
      <c r="A360" s="3"/>
      <c r="B360" s="3" t="str">
        <f>IF($A360="","",IF(countif('Womens Lineup'!B$3:B1000,CONCATENATE("=",$A360))=0,"",B$2))</f>
        <v/>
      </c>
      <c r="C360" s="3" t="str">
        <f>IF($A360="","",IF(countif('Womens Lineup'!C$3:C1000,CONCATENATE("=",$A360))=0,"",C$2))</f>
        <v/>
      </c>
      <c r="D360" s="3" t="str">
        <f>IF($A360="","",IF(countif('Womens Lineup'!D$3:D1000,CONCATENATE("=",$A360))=0,"",D$2))</f>
        <v/>
      </c>
      <c r="E360" s="3" t="str">
        <f>IF($A360="","",IF(countif('Womens Lineup'!E$3:E1000,CONCATENATE("=",$A360))=0,"",E$2))</f>
        <v/>
      </c>
      <c r="F360" s="3" t="str">
        <f>IF($A360="","",IF(countif('Womens Lineup'!F$3:F1000,CONCATENATE("=",$A360))=0,"",F$2))</f>
        <v/>
      </c>
      <c r="G360" s="3" t="str">
        <f>IF($A360="","",IF(countif('Womens Lineup'!G$3:G1000,CONCATENATE("=",$A360))=0,"",G$2))</f>
        <v/>
      </c>
      <c r="H360" s="3" t="str">
        <f>IF($A360="","",IF(countif('Womens Lineup'!H$3:H1000,CONCATENATE("=",$A360))=0,"",H$2))</f>
        <v/>
      </c>
      <c r="I360" s="3" t="str">
        <f>IF($A360="","",IF(countif('Womens Lineup'!I$3:I1000,CONCATENATE("=",$A360))=0,"",I$2))</f>
        <v/>
      </c>
      <c r="J360" s="3" t="str">
        <f>IF($A360="","",IF(countif('Womens Lineup'!J$3:J1000,CONCATENATE("=",$A360))=0,"",J$2))</f>
        <v/>
      </c>
      <c r="K360" s="3" t="str">
        <f>IF($A360="","",IF(countif('Womens Lineup'!K$3:K1000,CONCATENATE("=",$A360))=0,"",K$2))</f>
        <v/>
      </c>
      <c r="L360" s="3" t="str">
        <f>IF($A360="","",IF(countif('Womens Lineup'!L$3:L1000,CONCATENATE("=",$A360))=0,"",L$2))</f>
        <v/>
      </c>
      <c r="M360" s="3" t="str">
        <f>IF($A360="","",IF(countif('Womens Lineup'!M$3:M1000,CONCATENATE("=",$A360))=0,"",M$2))</f>
        <v/>
      </c>
      <c r="N360" s="3" t="str">
        <f>IF($A360="","",IF(countif('Womens Lineup'!N$3:N1000,CONCATENATE("=",$A360))=0,"",N$2))</f>
        <v/>
      </c>
      <c r="O360" s="3" t="str">
        <f>IF($A360="","",IF(countif('Womens Lineup'!O$3:O1000,CONCATENATE("=",$A360))=0,"",O$2))</f>
        <v/>
      </c>
      <c r="P360" s="3" t="str">
        <f>IF($A360="","",IF(countif('Womens Lineup'!P$3:P1000,CONCATENATE("=",$A360))=0,"",P$2))</f>
        <v/>
      </c>
      <c r="Q360" s="3" t="str">
        <f>IF($A360="","",IF(countif('Womens Lineup'!Q$3:Q1000,CONCATENATE("=",$A360))=0,"",Q$2))</f>
        <v/>
      </c>
      <c r="R360" s="3" t="str">
        <f>IF($A360="","",IF(countif('Womens Lineup'!R$3:R1000,CONCATENATE("=",$A360))=0,"",R$2))</f>
        <v/>
      </c>
      <c r="S360" s="3" t="str">
        <f>IF($A360="","",IF(countif('Womens Lineup'!S$3:S1000,CONCATENATE("=",$A360))=0,"",S$2))</f>
        <v/>
      </c>
      <c r="W360" s="3" t="str">
        <f>IFERROR(__xludf.DUMMYFUNCTION("JOIN("","",FILTER(B360:S360,B360:S360&lt;&gt;""""))"),"#N/A")</f>
        <v>#N/A</v>
      </c>
    </row>
    <row r="361">
      <c r="A361" s="3"/>
      <c r="B361" s="3" t="str">
        <f>IF($A361="","",IF(countif('Womens Lineup'!B$3:B1000,CONCATENATE("=",$A361))=0,"",B$2))</f>
        <v/>
      </c>
      <c r="C361" s="3" t="str">
        <f>IF($A361="","",IF(countif('Womens Lineup'!C$3:C1000,CONCATENATE("=",$A361))=0,"",C$2))</f>
        <v/>
      </c>
      <c r="D361" s="3" t="str">
        <f>IF($A361="","",IF(countif('Womens Lineup'!D$3:D1000,CONCATENATE("=",$A361))=0,"",D$2))</f>
        <v/>
      </c>
      <c r="E361" s="3" t="str">
        <f>IF($A361="","",IF(countif('Womens Lineup'!E$3:E1000,CONCATENATE("=",$A361))=0,"",E$2))</f>
        <v/>
      </c>
      <c r="F361" s="3" t="str">
        <f>IF($A361="","",IF(countif('Womens Lineup'!F$3:F1000,CONCATENATE("=",$A361))=0,"",F$2))</f>
        <v/>
      </c>
      <c r="G361" s="3" t="str">
        <f>IF($A361="","",IF(countif('Womens Lineup'!G$3:G1000,CONCATENATE("=",$A361))=0,"",G$2))</f>
        <v/>
      </c>
      <c r="H361" s="3" t="str">
        <f>IF($A361="","",IF(countif('Womens Lineup'!H$3:H1000,CONCATENATE("=",$A361))=0,"",H$2))</f>
        <v/>
      </c>
      <c r="I361" s="3" t="str">
        <f>IF($A361="","",IF(countif('Womens Lineup'!I$3:I1000,CONCATENATE("=",$A361))=0,"",I$2))</f>
        <v/>
      </c>
      <c r="J361" s="3" t="str">
        <f>IF($A361="","",IF(countif('Womens Lineup'!J$3:J1000,CONCATENATE("=",$A361))=0,"",J$2))</f>
        <v/>
      </c>
      <c r="K361" s="3" t="str">
        <f>IF($A361="","",IF(countif('Womens Lineup'!K$3:K1000,CONCATENATE("=",$A361))=0,"",K$2))</f>
        <v/>
      </c>
      <c r="L361" s="3" t="str">
        <f>IF($A361="","",IF(countif('Womens Lineup'!L$3:L1000,CONCATENATE("=",$A361))=0,"",L$2))</f>
        <v/>
      </c>
      <c r="M361" s="3" t="str">
        <f>IF($A361="","",IF(countif('Womens Lineup'!M$3:M1000,CONCATENATE("=",$A361))=0,"",M$2))</f>
        <v/>
      </c>
      <c r="N361" s="3" t="str">
        <f>IF($A361="","",IF(countif('Womens Lineup'!N$3:N1000,CONCATENATE("=",$A361))=0,"",N$2))</f>
        <v/>
      </c>
      <c r="O361" s="3" t="str">
        <f>IF($A361="","",IF(countif('Womens Lineup'!O$3:O1000,CONCATENATE("=",$A361))=0,"",O$2))</f>
        <v/>
      </c>
      <c r="P361" s="3" t="str">
        <f>IF($A361="","",IF(countif('Womens Lineup'!P$3:P1000,CONCATENATE("=",$A361))=0,"",P$2))</f>
        <v/>
      </c>
      <c r="Q361" s="3" t="str">
        <f>IF($A361="","",IF(countif('Womens Lineup'!Q$3:Q1000,CONCATENATE("=",$A361))=0,"",Q$2))</f>
        <v/>
      </c>
      <c r="R361" s="3" t="str">
        <f>IF($A361="","",IF(countif('Womens Lineup'!R$3:R1000,CONCATENATE("=",$A361))=0,"",R$2))</f>
        <v/>
      </c>
      <c r="S361" s="3" t="str">
        <f>IF($A361="","",IF(countif('Womens Lineup'!S$3:S1000,CONCATENATE("=",$A361))=0,"",S$2))</f>
        <v/>
      </c>
      <c r="W361" s="3" t="str">
        <f>IFERROR(__xludf.DUMMYFUNCTION("JOIN("","",FILTER(B361:S361,B361:S361&lt;&gt;""""))"),"#N/A")</f>
        <v>#N/A</v>
      </c>
    </row>
    <row r="362">
      <c r="A362" s="3"/>
      <c r="B362" s="3" t="str">
        <f>IF($A362="","",IF(countif('Womens Lineup'!B$3:B1000,CONCATENATE("=",$A362))=0,"",B$2))</f>
        <v/>
      </c>
      <c r="C362" s="3" t="str">
        <f>IF($A362="","",IF(countif('Womens Lineup'!C$3:C1000,CONCATENATE("=",$A362))=0,"",C$2))</f>
        <v/>
      </c>
      <c r="D362" s="3" t="str">
        <f>IF($A362="","",IF(countif('Womens Lineup'!D$3:D1000,CONCATENATE("=",$A362))=0,"",D$2))</f>
        <v/>
      </c>
      <c r="E362" s="3" t="str">
        <f>IF($A362="","",IF(countif('Womens Lineup'!E$3:E1000,CONCATENATE("=",$A362))=0,"",E$2))</f>
        <v/>
      </c>
      <c r="F362" s="3" t="str">
        <f>IF($A362="","",IF(countif('Womens Lineup'!F$3:F1000,CONCATENATE("=",$A362))=0,"",F$2))</f>
        <v/>
      </c>
      <c r="G362" s="3" t="str">
        <f>IF($A362="","",IF(countif('Womens Lineup'!G$3:G1000,CONCATENATE("=",$A362))=0,"",G$2))</f>
        <v/>
      </c>
      <c r="H362" s="3" t="str">
        <f>IF($A362="","",IF(countif('Womens Lineup'!H$3:H1000,CONCATENATE("=",$A362))=0,"",H$2))</f>
        <v/>
      </c>
      <c r="I362" s="3" t="str">
        <f>IF($A362="","",IF(countif('Womens Lineup'!I$3:I1000,CONCATENATE("=",$A362))=0,"",I$2))</f>
        <v/>
      </c>
      <c r="J362" s="3" t="str">
        <f>IF($A362="","",IF(countif('Womens Lineup'!J$3:J1000,CONCATENATE("=",$A362))=0,"",J$2))</f>
        <v/>
      </c>
      <c r="K362" s="3" t="str">
        <f>IF($A362="","",IF(countif('Womens Lineup'!K$3:K1000,CONCATENATE("=",$A362))=0,"",K$2))</f>
        <v/>
      </c>
      <c r="L362" s="3" t="str">
        <f>IF($A362="","",IF(countif('Womens Lineup'!L$3:L1000,CONCATENATE("=",$A362))=0,"",L$2))</f>
        <v/>
      </c>
      <c r="M362" s="3" t="str">
        <f>IF($A362="","",IF(countif('Womens Lineup'!M$3:M1000,CONCATENATE("=",$A362))=0,"",M$2))</f>
        <v/>
      </c>
      <c r="N362" s="3" t="str">
        <f>IF($A362="","",IF(countif('Womens Lineup'!N$3:N1000,CONCATENATE("=",$A362))=0,"",N$2))</f>
        <v/>
      </c>
      <c r="O362" s="3" t="str">
        <f>IF($A362="","",IF(countif('Womens Lineup'!O$3:O1000,CONCATENATE("=",$A362))=0,"",O$2))</f>
        <v/>
      </c>
      <c r="P362" s="3" t="str">
        <f>IF($A362="","",IF(countif('Womens Lineup'!P$3:P1000,CONCATENATE("=",$A362))=0,"",P$2))</f>
        <v/>
      </c>
      <c r="Q362" s="3" t="str">
        <f>IF($A362="","",IF(countif('Womens Lineup'!Q$3:Q1000,CONCATENATE("=",$A362))=0,"",Q$2))</f>
        <v/>
      </c>
      <c r="R362" s="3" t="str">
        <f>IF($A362="","",IF(countif('Womens Lineup'!R$3:R1000,CONCATENATE("=",$A362))=0,"",R$2))</f>
        <v/>
      </c>
      <c r="S362" s="3" t="str">
        <f>IF($A362="","",IF(countif('Womens Lineup'!S$3:S1000,CONCATENATE("=",$A362))=0,"",S$2))</f>
        <v/>
      </c>
      <c r="W362" s="3" t="str">
        <f>IFERROR(__xludf.DUMMYFUNCTION("JOIN("","",FILTER(B362:S362,B362:S362&lt;&gt;""""))"),"#N/A")</f>
        <v>#N/A</v>
      </c>
    </row>
    <row r="363">
      <c r="A363" s="3"/>
      <c r="B363" s="3" t="str">
        <f>IF($A363="","",IF(countif('Womens Lineup'!B$3:B1000,CONCATENATE("=",$A363))=0,"",B$2))</f>
        <v/>
      </c>
      <c r="C363" s="3" t="str">
        <f>IF($A363="","",IF(countif('Womens Lineup'!C$3:C1000,CONCATENATE("=",$A363))=0,"",C$2))</f>
        <v/>
      </c>
      <c r="D363" s="3" t="str">
        <f>IF($A363="","",IF(countif('Womens Lineup'!D$3:D1000,CONCATENATE("=",$A363))=0,"",D$2))</f>
        <v/>
      </c>
      <c r="E363" s="3" t="str">
        <f>IF($A363="","",IF(countif('Womens Lineup'!E$3:E1000,CONCATENATE("=",$A363))=0,"",E$2))</f>
        <v/>
      </c>
      <c r="F363" s="3" t="str">
        <f>IF($A363="","",IF(countif('Womens Lineup'!F$3:F1000,CONCATENATE("=",$A363))=0,"",F$2))</f>
        <v/>
      </c>
      <c r="G363" s="3" t="str">
        <f>IF($A363="","",IF(countif('Womens Lineup'!G$3:G1000,CONCATENATE("=",$A363))=0,"",G$2))</f>
        <v/>
      </c>
      <c r="H363" s="3" t="str">
        <f>IF($A363="","",IF(countif('Womens Lineup'!H$3:H1000,CONCATENATE("=",$A363))=0,"",H$2))</f>
        <v/>
      </c>
      <c r="I363" s="3" t="str">
        <f>IF($A363="","",IF(countif('Womens Lineup'!I$3:I1000,CONCATENATE("=",$A363))=0,"",I$2))</f>
        <v/>
      </c>
      <c r="J363" s="3" t="str">
        <f>IF($A363="","",IF(countif('Womens Lineup'!J$3:J1000,CONCATENATE("=",$A363))=0,"",J$2))</f>
        <v/>
      </c>
      <c r="K363" s="3" t="str">
        <f>IF($A363="","",IF(countif('Womens Lineup'!K$3:K1000,CONCATENATE("=",$A363))=0,"",K$2))</f>
        <v/>
      </c>
      <c r="L363" s="3" t="str">
        <f>IF($A363="","",IF(countif('Womens Lineup'!L$3:L1000,CONCATENATE("=",$A363))=0,"",L$2))</f>
        <v/>
      </c>
      <c r="M363" s="3" t="str">
        <f>IF($A363="","",IF(countif('Womens Lineup'!M$3:M1000,CONCATENATE("=",$A363))=0,"",M$2))</f>
        <v/>
      </c>
      <c r="N363" s="3" t="str">
        <f>IF($A363="","",IF(countif('Womens Lineup'!N$3:N1000,CONCATENATE("=",$A363))=0,"",N$2))</f>
        <v/>
      </c>
      <c r="O363" s="3" t="str">
        <f>IF($A363="","",IF(countif('Womens Lineup'!O$3:O1000,CONCATENATE("=",$A363))=0,"",O$2))</f>
        <v/>
      </c>
      <c r="P363" s="3" t="str">
        <f>IF($A363="","",IF(countif('Womens Lineup'!P$3:P1000,CONCATENATE("=",$A363))=0,"",P$2))</f>
        <v/>
      </c>
      <c r="Q363" s="3" t="str">
        <f>IF($A363="","",IF(countif('Womens Lineup'!Q$3:Q1000,CONCATENATE("=",$A363))=0,"",Q$2))</f>
        <v/>
      </c>
      <c r="R363" s="3" t="str">
        <f>IF($A363="","",IF(countif('Womens Lineup'!R$3:R1000,CONCATENATE("=",$A363))=0,"",R$2))</f>
        <v/>
      </c>
      <c r="S363" s="3" t="str">
        <f>IF($A363="","",IF(countif('Womens Lineup'!S$3:S1000,CONCATENATE("=",$A363))=0,"",S$2))</f>
        <v/>
      </c>
      <c r="W363" s="3" t="str">
        <f>IFERROR(__xludf.DUMMYFUNCTION("JOIN("","",FILTER(B363:S363,B363:S363&lt;&gt;""""))"),"#N/A")</f>
        <v>#N/A</v>
      </c>
    </row>
    <row r="364">
      <c r="A364" s="3"/>
      <c r="B364" s="3" t="str">
        <f>IF($A364="","",IF(countif('Womens Lineup'!B$3:B1000,CONCATENATE("=",$A364))=0,"",B$2))</f>
        <v/>
      </c>
      <c r="C364" s="3" t="str">
        <f>IF($A364="","",IF(countif('Womens Lineup'!C$3:C1000,CONCATENATE("=",$A364))=0,"",C$2))</f>
        <v/>
      </c>
      <c r="D364" s="3" t="str">
        <f>IF($A364="","",IF(countif('Womens Lineup'!D$3:D1000,CONCATENATE("=",$A364))=0,"",D$2))</f>
        <v/>
      </c>
      <c r="E364" s="3" t="str">
        <f>IF($A364="","",IF(countif('Womens Lineup'!E$3:E1000,CONCATENATE("=",$A364))=0,"",E$2))</f>
        <v/>
      </c>
      <c r="F364" s="3" t="str">
        <f>IF($A364="","",IF(countif('Womens Lineup'!F$3:F1000,CONCATENATE("=",$A364))=0,"",F$2))</f>
        <v/>
      </c>
      <c r="G364" s="3" t="str">
        <f>IF($A364="","",IF(countif('Womens Lineup'!G$3:G1000,CONCATENATE("=",$A364))=0,"",G$2))</f>
        <v/>
      </c>
      <c r="H364" s="3" t="str">
        <f>IF($A364="","",IF(countif('Womens Lineup'!H$3:H1000,CONCATENATE("=",$A364))=0,"",H$2))</f>
        <v/>
      </c>
      <c r="I364" s="3" t="str">
        <f>IF($A364="","",IF(countif('Womens Lineup'!I$3:I1000,CONCATENATE("=",$A364))=0,"",I$2))</f>
        <v/>
      </c>
      <c r="J364" s="3" t="str">
        <f>IF($A364="","",IF(countif('Womens Lineup'!J$3:J1000,CONCATENATE("=",$A364))=0,"",J$2))</f>
        <v/>
      </c>
      <c r="K364" s="3" t="str">
        <f>IF($A364="","",IF(countif('Womens Lineup'!K$3:K1000,CONCATENATE("=",$A364))=0,"",K$2))</f>
        <v/>
      </c>
      <c r="L364" s="3" t="str">
        <f>IF($A364="","",IF(countif('Womens Lineup'!L$3:L1000,CONCATENATE("=",$A364))=0,"",L$2))</f>
        <v/>
      </c>
      <c r="M364" s="3" t="str">
        <f>IF($A364="","",IF(countif('Womens Lineup'!M$3:M1000,CONCATENATE("=",$A364))=0,"",M$2))</f>
        <v/>
      </c>
      <c r="N364" s="3" t="str">
        <f>IF($A364="","",IF(countif('Womens Lineup'!N$3:N1000,CONCATENATE("=",$A364))=0,"",N$2))</f>
        <v/>
      </c>
      <c r="O364" s="3" t="str">
        <f>IF($A364="","",IF(countif('Womens Lineup'!O$3:O1000,CONCATENATE("=",$A364))=0,"",O$2))</f>
        <v/>
      </c>
      <c r="P364" s="3" t="str">
        <f>IF($A364="","",IF(countif('Womens Lineup'!P$3:P1000,CONCATENATE("=",$A364))=0,"",P$2))</f>
        <v/>
      </c>
      <c r="Q364" s="3" t="str">
        <f>IF($A364="","",IF(countif('Womens Lineup'!Q$3:Q1000,CONCATENATE("=",$A364))=0,"",Q$2))</f>
        <v/>
      </c>
      <c r="R364" s="3" t="str">
        <f>IF($A364="","",IF(countif('Womens Lineup'!R$3:R1000,CONCATENATE("=",$A364))=0,"",R$2))</f>
        <v/>
      </c>
      <c r="S364" s="3" t="str">
        <f>IF($A364="","",IF(countif('Womens Lineup'!S$3:S1000,CONCATENATE("=",$A364))=0,"",S$2))</f>
        <v/>
      </c>
      <c r="W364" s="3" t="str">
        <f>IFERROR(__xludf.DUMMYFUNCTION("JOIN("","",FILTER(B364:S364,B364:S364&lt;&gt;""""))"),"#N/A")</f>
        <v>#N/A</v>
      </c>
    </row>
    <row r="365">
      <c r="A365" s="3"/>
      <c r="B365" s="3" t="str">
        <f>IF($A365="","",IF(countif('Womens Lineup'!B$3:B1000,CONCATENATE("=",$A365))=0,"",B$2))</f>
        <v/>
      </c>
      <c r="C365" s="3" t="str">
        <f>IF($A365="","",IF(countif('Womens Lineup'!C$3:C1000,CONCATENATE("=",$A365))=0,"",C$2))</f>
        <v/>
      </c>
      <c r="D365" s="3" t="str">
        <f>IF($A365="","",IF(countif('Womens Lineup'!D$3:D1000,CONCATENATE("=",$A365))=0,"",D$2))</f>
        <v/>
      </c>
      <c r="E365" s="3" t="str">
        <f>IF($A365="","",IF(countif('Womens Lineup'!E$3:E1000,CONCATENATE("=",$A365))=0,"",E$2))</f>
        <v/>
      </c>
      <c r="F365" s="3" t="str">
        <f>IF($A365="","",IF(countif('Womens Lineup'!F$3:F1000,CONCATENATE("=",$A365))=0,"",F$2))</f>
        <v/>
      </c>
      <c r="G365" s="3" t="str">
        <f>IF($A365="","",IF(countif('Womens Lineup'!G$3:G1000,CONCATENATE("=",$A365))=0,"",G$2))</f>
        <v/>
      </c>
      <c r="H365" s="3" t="str">
        <f>IF($A365="","",IF(countif('Womens Lineup'!H$3:H1000,CONCATENATE("=",$A365))=0,"",H$2))</f>
        <v/>
      </c>
      <c r="I365" s="3" t="str">
        <f>IF($A365="","",IF(countif('Womens Lineup'!I$3:I1000,CONCATENATE("=",$A365))=0,"",I$2))</f>
        <v/>
      </c>
      <c r="J365" s="3" t="str">
        <f>IF($A365="","",IF(countif('Womens Lineup'!J$3:J1000,CONCATENATE("=",$A365))=0,"",J$2))</f>
        <v/>
      </c>
      <c r="K365" s="3" t="str">
        <f>IF($A365="","",IF(countif('Womens Lineup'!K$3:K1000,CONCATENATE("=",$A365))=0,"",K$2))</f>
        <v/>
      </c>
      <c r="L365" s="3" t="str">
        <f>IF($A365="","",IF(countif('Womens Lineup'!L$3:L1000,CONCATENATE("=",$A365))=0,"",L$2))</f>
        <v/>
      </c>
      <c r="M365" s="3" t="str">
        <f>IF($A365="","",IF(countif('Womens Lineup'!M$3:M1000,CONCATENATE("=",$A365))=0,"",M$2))</f>
        <v/>
      </c>
      <c r="N365" s="3" t="str">
        <f>IF($A365="","",IF(countif('Womens Lineup'!N$3:N1000,CONCATENATE("=",$A365))=0,"",N$2))</f>
        <v/>
      </c>
      <c r="O365" s="3" t="str">
        <f>IF($A365="","",IF(countif('Womens Lineup'!O$3:O1000,CONCATENATE("=",$A365))=0,"",O$2))</f>
        <v/>
      </c>
      <c r="P365" s="3" t="str">
        <f>IF($A365="","",IF(countif('Womens Lineup'!P$3:P1000,CONCATENATE("=",$A365))=0,"",P$2))</f>
        <v/>
      </c>
      <c r="Q365" s="3" t="str">
        <f>IF($A365="","",IF(countif('Womens Lineup'!Q$3:Q1000,CONCATENATE("=",$A365))=0,"",Q$2))</f>
        <v/>
      </c>
      <c r="R365" s="3" t="str">
        <f>IF($A365="","",IF(countif('Womens Lineup'!R$3:R1000,CONCATENATE("=",$A365))=0,"",R$2))</f>
        <v/>
      </c>
      <c r="S365" s="3" t="str">
        <f>IF($A365="","",IF(countif('Womens Lineup'!S$3:S1000,CONCATENATE("=",$A365))=0,"",S$2))</f>
        <v/>
      </c>
      <c r="W365" s="3" t="str">
        <f>IFERROR(__xludf.DUMMYFUNCTION("JOIN("","",FILTER(B365:S365,B365:S365&lt;&gt;""""))"),"#N/A")</f>
        <v>#N/A</v>
      </c>
    </row>
    <row r="366">
      <c r="A366" s="3"/>
      <c r="B366" s="3" t="str">
        <f>IF($A366="","",IF(countif('Womens Lineup'!B$3:B1000,CONCATENATE("=",$A366))=0,"",B$2))</f>
        <v/>
      </c>
      <c r="C366" s="3" t="str">
        <f>IF($A366="","",IF(countif('Womens Lineup'!C$3:C1000,CONCATENATE("=",$A366))=0,"",C$2))</f>
        <v/>
      </c>
      <c r="D366" s="3" t="str">
        <f>IF($A366="","",IF(countif('Womens Lineup'!D$3:D1000,CONCATENATE("=",$A366))=0,"",D$2))</f>
        <v/>
      </c>
      <c r="E366" s="3" t="str">
        <f>IF($A366="","",IF(countif('Womens Lineup'!E$3:E1000,CONCATENATE("=",$A366))=0,"",E$2))</f>
        <v/>
      </c>
      <c r="F366" s="3" t="str">
        <f>IF($A366="","",IF(countif('Womens Lineup'!F$3:F1000,CONCATENATE("=",$A366))=0,"",F$2))</f>
        <v/>
      </c>
      <c r="G366" s="3" t="str">
        <f>IF($A366="","",IF(countif('Womens Lineup'!G$3:G1000,CONCATENATE("=",$A366))=0,"",G$2))</f>
        <v/>
      </c>
      <c r="H366" s="3" t="str">
        <f>IF($A366="","",IF(countif('Womens Lineup'!H$3:H1000,CONCATENATE("=",$A366))=0,"",H$2))</f>
        <v/>
      </c>
      <c r="I366" s="3" t="str">
        <f>IF($A366="","",IF(countif('Womens Lineup'!I$3:I1000,CONCATENATE("=",$A366))=0,"",I$2))</f>
        <v/>
      </c>
      <c r="J366" s="3" t="str">
        <f>IF($A366="","",IF(countif('Womens Lineup'!J$3:J1000,CONCATENATE("=",$A366))=0,"",J$2))</f>
        <v/>
      </c>
      <c r="K366" s="3" t="str">
        <f>IF($A366="","",IF(countif('Womens Lineup'!K$3:K1000,CONCATENATE("=",$A366))=0,"",K$2))</f>
        <v/>
      </c>
      <c r="L366" s="3" t="str">
        <f>IF($A366="","",IF(countif('Womens Lineup'!L$3:L1000,CONCATENATE("=",$A366))=0,"",L$2))</f>
        <v/>
      </c>
      <c r="M366" s="3" t="str">
        <f>IF($A366="","",IF(countif('Womens Lineup'!M$3:M1000,CONCATENATE("=",$A366))=0,"",M$2))</f>
        <v/>
      </c>
      <c r="N366" s="3" t="str">
        <f>IF($A366="","",IF(countif('Womens Lineup'!N$3:N1000,CONCATENATE("=",$A366))=0,"",N$2))</f>
        <v/>
      </c>
      <c r="O366" s="3" t="str">
        <f>IF($A366="","",IF(countif('Womens Lineup'!O$3:O1000,CONCATENATE("=",$A366))=0,"",O$2))</f>
        <v/>
      </c>
      <c r="P366" s="3" t="str">
        <f>IF($A366="","",IF(countif('Womens Lineup'!P$3:P1000,CONCATENATE("=",$A366))=0,"",P$2))</f>
        <v/>
      </c>
      <c r="Q366" s="3" t="str">
        <f>IF($A366="","",IF(countif('Womens Lineup'!Q$3:Q1000,CONCATENATE("=",$A366))=0,"",Q$2))</f>
        <v/>
      </c>
      <c r="R366" s="3" t="str">
        <f>IF($A366="","",IF(countif('Womens Lineup'!R$3:R1000,CONCATENATE("=",$A366))=0,"",R$2))</f>
        <v/>
      </c>
      <c r="S366" s="3" t="str">
        <f>IF($A366="","",IF(countif('Womens Lineup'!S$3:S1000,CONCATENATE("=",$A366))=0,"",S$2))</f>
        <v/>
      </c>
      <c r="W366" s="3" t="str">
        <f>IFERROR(__xludf.DUMMYFUNCTION("JOIN("","",FILTER(B366:S366,B366:S366&lt;&gt;""""))"),"#N/A")</f>
        <v>#N/A</v>
      </c>
    </row>
    <row r="367">
      <c r="A367" s="3"/>
      <c r="B367" s="3" t="str">
        <f>IF($A367="","",IF(countif('Womens Lineup'!B$3:B1000,CONCATENATE("=",$A367))=0,"",B$2))</f>
        <v/>
      </c>
      <c r="C367" s="3" t="str">
        <f>IF($A367="","",IF(countif('Womens Lineup'!C$3:C1000,CONCATENATE("=",$A367))=0,"",C$2))</f>
        <v/>
      </c>
      <c r="D367" s="3" t="str">
        <f>IF($A367="","",IF(countif('Womens Lineup'!D$3:D1000,CONCATENATE("=",$A367))=0,"",D$2))</f>
        <v/>
      </c>
      <c r="E367" s="3" t="str">
        <f>IF($A367="","",IF(countif('Womens Lineup'!E$3:E1000,CONCATENATE("=",$A367))=0,"",E$2))</f>
        <v/>
      </c>
      <c r="F367" s="3" t="str">
        <f>IF($A367="","",IF(countif('Womens Lineup'!F$3:F1000,CONCATENATE("=",$A367))=0,"",F$2))</f>
        <v/>
      </c>
      <c r="G367" s="3" t="str">
        <f>IF($A367="","",IF(countif('Womens Lineup'!G$3:G1000,CONCATENATE("=",$A367))=0,"",G$2))</f>
        <v/>
      </c>
      <c r="H367" s="3" t="str">
        <f>IF($A367="","",IF(countif('Womens Lineup'!H$3:H1000,CONCATENATE("=",$A367))=0,"",H$2))</f>
        <v/>
      </c>
      <c r="I367" s="3" t="str">
        <f>IF($A367="","",IF(countif('Womens Lineup'!I$3:I1000,CONCATENATE("=",$A367))=0,"",I$2))</f>
        <v/>
      </c>
      <c r="J367" s="3" t="str">
        <f>IF($A367="","",IF(countif('Womens Lineup'!J$3:J1000,CONCATENATE("=",$A367))=0,"",J$2))</f>
        <v/>
      </c>
      <c r="K367" s="3" t="str">
        <f>IF($A367="","",IF(countif('Womens Lineup'!K$3:K1000,CONCATENATE("=",$A367))=0,"",K$2))</f>
        <v/>
      </c>
      <c r="L367" s="3" t="str">
        <f>IF($A367="","",IF(countif('Womens Lineup'!L$3:L1000,CONCATENATE("=",$A367))=0,"",L$2))</f>
        <v/>
      </c>
      <c r="M367" s="3" t="str">
        <f>IF($A367="","",IF(countif('Womens Lineup'!M$3:M1000,CONCATENATE("=",$A367))=0,"",M$2))</f>
        <v/>
      </c>
      <c r="N367" s="3" t="str">
        <f>IF($A367="","",IF(countif('Womens Lineup'!N$3:N1000,CONCATENATE("=",$A367))=0,"",N$2))</f>
        <v/>
      </c>
      <c r="O367" s="3" t="str">
        <f>IF($A367="","",IF(countif('Womens Lineup'!O$3:O1000,CONCATENATE("=",$A367))=0,"",O$2))</f>
        <v/>
      </c>
      <c r="P367" s="3" t="str">
        <f>IF($A367="","",IF(countif('Womens Lineup'!P$3:P1000,CONCATENATE("=",$A367))=0,"",P$2))</f>
        <v/>
      </c>
      <c r="Q367" s="3" t="str">
        <f>IF($A367="","",IF(countif('Womens Lineup'!Q$3:Q1000,CONCATENATE("=",$A367))=0,"",Q$2))</f>
        <v/>
      </c>
      <c r="R367" s="3" t="str">
        <f>IF($A367="","",IF(countif('Womens Lineup'!R$3:R1000,CONCATENATE("=",$A367))=0,"",R$2))</f>
        <v/>
      </c>
      <c r="S367" s="3" t="str">
        <f>IF($A367="","",IF(countif('Womens Lineup'!S$3:S1000,CONCATENATE("=",$A367))=0,"",S$2))</f>
        <v/>
      </c>
      <c r="W367" s="3" t="str">
        <f>IFERROR(__xludf.DUMMYFUNCTION("JOIN("","",FILTER(B367:S367,B367:S367&lt;&gt;""""))"),"#N/A")</f>
        <v>#N/A</v>
      </c>
    </row>
    <row r="368">
      <c r="A368" s="3"/>
      <c r="B368" s="3" t="str">
        <f>IF($A368="","",IF(countif('Womens Lineup'!B$3:B1000,CONCATENATE("=",$A368))=0,"",B$2))</f>
        <v/>
      </c>
      <c r="C368" s="3" t="str">
        <f>IF($A368="","",IF(countif('Womens Lineup'!C$3:C1000,CONCATENATE("=",$A368))=0,"",C$2))</f>
        <v/>
      </c>
      <c r="D368" s="3" t="str">
        <f>IF($A368="","",IF(countif('Womens Lineup'!D$3:D1000,CONCATENATE("=",$A368))=0,"",D$2))</f>
        <v/>
      </c>
      <c r="E368" s="3" t="str">
        <f>IF($A368="","",IF(countif('Womens Lineup'!E$3:E1000,CONCATENATE("=",$A368))=0,"",E$2))</f>
        <v/>
      </c>
      <c r="F368" s="3" t="str">
        <f>IF($A368="","",IF(countif('Womens Lineup'!F$3:F1000,CONCATENATE("=",$A368))=0,"",F$2))</f>
        <v/>
      </c>
      <c r="G368" s="3" t="str">
        <f>IF($A368="","",IF(countif('Womens Lineup'!G$3:G1000,CONCATENATE("=",$A368))=0,"",G$2))</f>
        <v/>
      </c>
      <c r="H368" s="3" t="str">
        <f>IF($A368="","",IF(countif('Womens Lineup'!H$3:H1000,CONCATENATE("=",$A368))=0,"",H$2))</f>
        <v/>
      </c>
      <c r="I368" s="3" t="str">
        <f>IF($A368="","",IF(countif('Womens Lineup'!I$3:I1000,CONCATENATE("=",$A368))=0,"",I$2))</f>
        <v/>
      </c>
      <c r="J368" s="3" t="str">
        <f>IF($A368="","",IF(countif('Womens Lineup'!J$3:J1000,CONCATENATE("=",$A368))=0,"",J$2))</f>
        <v/>
      </c>
      <c r="K368" s="3" t="str">
        <f>IF($A368="","",IF(countif('Womens Lineup'!K$3:K1000,CONCATENATE("=",$A368))=0,"",K$2))</f>
        <v/>
      </c>
      <c r="L368" s="3" t="str">
        <f>IF($A368="","",IF(countif('Womens Lineup'!L$3:L1000,CONCATENATE("=",$A368))=0,"",L$2))</f>
        <v/>
      </c>
      <c r="M368" s="3" t="str">
        <f>IF($A368="","",IF(countif('Womens Lineup'!M$3:M1000,CONCATENATE("=",$A368))=0,"",M$2))</f>
        <v/>
      </c>
      <c r="N368" s="3" t="str">
        <f>IF($A368="","",IF(countif('Womens Lineup'!N$3:N1000,CONCATENATE("=",$A368))=0,"",N$2))</f>
        <v/>
      </c>
      <c r="O368" s="3" t="str">
        <f>IF($A368="","",IF(countif('Womens Lineup'!O$3:O1000,CONCATENATE("=",$A368))=0,"",O$2))</f>
        <v/>
      </c>
      <c r="P368" s="3" t="str">
        <f>IF($A368="","",IF(countif('Womens Lineup'!P$3:P1000,CONCATENATE("=",$A368))=0,"",P$2))</f>
        <v/>
      </c>
      <c r="Q368" s="3" t="str">
        <f>IF($A368="","",IF(countif('Womens Lineup'!Q$3:Q1000,CONCATENATE("=",$A368))=0,"",Q$2))</f>
        <v/>
      </c>
      <c r="R368" s="3" t="str">
        <f>IF($A368="","",IF(countif('Womens Lineup'!R$3:R1000,CONCATENATE("=",$A368))=0,"",R$2))</f>
        <v/>
      </c>
      <c r="S368" s="3" t="str">
        <f>IF($A368="","",IF(countif('Womens Lineup'!S$3:S1000,CONCATENATE("=",$A368))=0,"",S$2))</f>
        <v/>
      </c>
      <c r="W368" s="3" t="str">
        <f>IFERROR(__xludf.DUMMYFUNCTION("JOIN("","",FILTER(B368:S368,B368:S368&lt;&gt;""""))"),"#N/A")</f>
        <v>#N/A</v>
      </c>
    </row>
    <row r="369">
      <c r="A369" s="3"/>
      <c r="B369" s="3" t="str">
        <f>IF($A369="","",IF(countif('Womens Lineup'!B$3:B1000,CONCATENATE("=",$A369))=0,"",B$2))</f>
        <v/>
      </c>
      <c r="C369" s="3" t="str">
        <f>IF($A369="","",IF(countif('Womens Lineup'!C$3:C1000,CONCATENATE("=",$A369))=0,"",C$2))</f>
        <v/>
      </c>
      <c r="D369" s="3" t="str">
        <f>IF($A369="","",IF(countif('Womens Lineup'!D$3:D1000,CONCATENATE("=",$A369))=0,"",D$2))</f>
        <v/>
      </c>
      <c r="E369" s="3" t="str">
        <f>IF($A369="","",IF(countif('Womens Lineup'!E$3:E1000,CONCATENATE("=",$A369))=0,"",E$2))</f>
        <v/>
      </c>
      <c r="F369" s="3" t="str">
        <f>IF($A369="","",IF(countif('Womens Lineup'!F$3:F1000,CONCATENATE("=",$A369))=0,"",F$2))</f>
        <v/>
      </c>
      <c r="G369" s="3" t="str">
        <f>IF($A369="","",IF(countif('Womens Lineup'!G$3:G1000,CONCATENATE("=",$A369))=0,"",G$2))</f>
        <v/>
      </c>
      <c r="H369" s="3" t="str">
        <f>IF($A369="","",IF(countif('Womens Lineup'!H$3:H1000,CONCATENATE("=",$A369))=0,"",H$2))</f>
        <v/>
      </c>
      <c r="I369" s="3" t="str">
        <f>IF($A369="","",IF(countif('Womens Lineup'!I$3:I1000,CONCATENATE("=",$A369))=0,"",I$2))</f>
        <v/>
      </c>
      <c r="J369" s="3" t="str">
        <f>IF($A369="","",IF(countif('Womens Lineup'!J$3:J1000,CONCATENATE("=",$A369))=0,"",J$2))</f>
        <v/>
      </c>
      <c r="K369" s="3" t="str">
        <f>IF($A369="","",IF(countif('Womens Lineup'!K$3:K1000,CONCATENATE("=",$A369))=0,"",K$2))</f>
        <v/>
      </c>
      <c r="L369" s="3" t="str">
        <f>IF($A369="","",IF(countif('Womens Lineup'!L$3:L1000,CONCATENATE("=",$A369))=0,"",L$2))</f>
        <v/>
      </c>
      <c r="M369" s="3" t="str">
        <f>IF($A369="","",IF(countif('Womens Lineup'!M$3:M1000,CONCATENATE("=",$A369))=0,"",M$2))</f>
        <v/>
      </c>
      <c r="N369" s="3" t="str">
        <f>IF($A369="","",IF(countif('Womens Lineup'!N$3:N1000,CONCATENATE("=",$A369))=0,"",N$2))</f>
        <v/>
      </c>
      <c r="O369" s="3" t="str">
        <f>IF($A369="","",IF(countif('Womens Lineup'!O$3:O1000,CONCATENATE("=",$A369))=0,"",O$2))</f>
        <v/>
      </c>
      <c r="P369" s="3" t="str">
        <f>IF($A369="","",IF(countif('Womens Lineup'!P$3:P1000,CONCATENATE("=",$A369))=0,"",P$2))</f>
        <v/>
      </c>
      <c r="Q369" s="3" t="str">
        <f>IF($A369="","",IF(countif('Womens Lineup'!Q$3:Q1000,CONCATENATE("=",$A369))=0,"",Q$2))</f>
        <v/>
      </c>
      <c r="R369" s="3" t="str">
        <f>IF($A369="","",IF(countif('Womens Lineup'!R$3:R1000,CONCATENATE("=",$A369))=0,"",R$2))</f>
        <v/>
      </c>
      <c r="S369" s="3" t="str">
        <f>IF($A369="","",IF(countif('Womens Lineup'!S$3:S1000,CONCATENATE("=",$A369))=0,"",S$2))</f>
        <v/>
      </c>
      <c r="W369" s="3" t="str">
        <f>IFERROR(__xludf.DUMMYFUNCTION("JOIN("","",FILTER(B369:S369,B369:S369&lt;&gt;""""))"),"#N/A")</f>
        <v>#N/A</v>
      </c>
    </row>
    <row r="370">
      <c r="A370" s="3"/>
      <c r="B370" s="3" t="str">
        <f>IF($A370="","",IF(countif('Womens Lineup'!B$3:B1000,CONCATENATE("=",$A370))=0,"",B$2))</f>
        <v/>
      </c>
      <c r="C370" s="3" t="str">
        <f>IF($A370="","",IF(countif('Womens Lineup'!C$3:C1000,CONCATENATE("=",$A370))=0,"",C$2))</f>
        <v/>
      </c>
      <c r="D370" s="3" t="str">
        <f>IF($A370="","",IF(countif('Womens Lineup'!D$3:D1000,CONCATENATE("=",$A370))=0,"",D$2))</f>
        <v/>
      </c>
      <c r="E370" s="3" t="str">
        <f>IF($A370="","",IF(countif('Womens Lineup'!E$3:E1000,CONCATENATE("=",$A370))=0,"",E$2))</f>
        <v/>
      </c>
      <c r="F370" s="3" t="str">
        <f>IF($A370="","",IF(countif('Womens Lineup'!F$3:F1000,CONCATENATE("=",$A370))=0,"",F$2))</f>
        <v/>
      </c>
      <c r="G370" s="3" t="str">
        <f>IF($A370="","",IF(countif('Womens Lineup'!G$3:G1000,CONCATENATE("=",$A370))=0,"",G$2))</f>
        <v/>
      </c>
      <c r="H370" s="3" t="str">
        <f>IF($A370="","",IF(countif('Womens Lineup'!H$3:H1000,CONCATENATE("=",$A370))=0,"",H$2))</f>
        <v/>
      </c>
      <c r="I370" s="3" t="str">
        <f>IF($A370="","",IF(countif('Womens Lineup'!I$3:I1000,CONCATENATE("=",$A370))=0,"",I$2))</f>
        <v/>
      </c>
      <c r="J370" s="3" t="str">
        <f>IF($A370="","",IF(countif('Womens Lineup'!J$3:J1000,CONCATENATE("=",$A370))=0,"",J$2))</f>
        <v/>
      </c>
      <c r="K370" s="3" t="str">
        <f>IF($A370="","",IF(countif('Womens Lineup'!K$3:K1000,CONCATENATE("=",$A370))=0,"",K$2))</f>
        <v/>
      </c>
      <c r="L370" s="3" t="str">
        <f>IF($A370="","",IF(countif('Womens Lineup'!L$3:L1000,CONCATENATE("=",$A370))=0,"",L$2))</f>
        <v/>
      </c>
      <c r="M370" s="3" t="str">
        <f>IF($A370="","",IF(countif('Womens Lineup'!M$3:M1000,CONCATENATE("=",$A370))=0,"",M$2))</f>
        <v/>
      </c>
      <c r="N370" s="3" t="str">
        <f>IF($A370="","",IF(countif('Womens Lineup'!N$3:N1000,CONCATENATE("=",$A370))=0,"",N$2))</f>
        <v/>
      </c>
      <c r="O370" s="3" t="str">
        <f>IF($A370="","",IF(countif('Womens Lineup'!O$3:O1000,CONCATENATE("=",$A370))=0,"",O$2))</f>
        <v/>
      </c>
      <c r="P370" s="3" t="str">
        <f>IF($A370="","",IF(countif('Womens Lineup'!P$3:P1000,CONCATENATE("=",$A370))=0,"",P$2))</f>
        <v/>
      </c>
      <c r="Q370" s="3" t="str">
        <f>IF($A370="","",IF(countif('Womens Lineup'!Q$3:Q1000,CONCATENATE("=",$A370))=0,"",Q$2))</f>
        <v/>
      </c>
      <c r="R370" s="3" t="str">
        <f>IF($A370="","",IF(countif('Womens Lineup'!R$3:R1000,CONCATENATE("=",$A370))=0,"",R$2))</f>
        <v/>
      </c>
      <c r="S370" s="3" t="str">
        <f>IF($A370="","",IF(countif('Womens Lineup'!S$3:S1000,CONCATENATE("=",$A370))=0,"",S$2))</f>
        <v/>
      </c>
      <c r="W370" s="3" t="str">
        <f>IFERROR(__xludf.DUMMYFUNCTION("JOIN("","",FILTER(B370:S370,B370:S370&lt;&gt;""""))"),"#N/A")</f>
        <v>#N/A</v>
      </c>
    </row>
    <row r="371">
      <c r="A371" s="3"/>
      <c r="B371" s="3" t="str">
        <f>IF($A371="","",IF(countif('Womens Lineup'!B$3:B1000,CONCATENATE("=",$A371))=0,"",B$2))</f>
        <v/>
      </c>
      <c r="C371" s="3" t="str">
        <f>IF($A371="","",IF(countif('Womens Lineup'!C$3:C1000,CONCATENATE("=",$A371))=0,"",C$2))</f>
        <v/>
      </c>
      <c r="D371" s="3" t="str">
        <f>IF($A371="","",IF(countif('Womens Lineup'!D$3:D1000,CONCATENATE("=",$A371))=0,"",D$2))</f>
        <v/>
      </c>
      <c r="E371" s="3" t="str">
        <f>IF($A371="","",IF(countif('Womens Lineup'!E$3:E1000,CONCATENATE("=",$A371))=0,"",E$2))</f>
        <v/>
      </c>
      <c r="F371" s="3" t="str">
        <f>IF($A371="","",IF(countif('Womens Lineup'!F$3:F1000,CONCATENATE("=",$A371))=0,"",F$2))</f>
        <v/>
      </c>
      <c r="G371" s="3" t="str">
        <f>IF($A371="","",IF(countif('Womens Lineup'!G$3:G1000,CONCATENATE("=",$A371))=0,"",G$2))</f>
        <v/>
      </c>
      <c r="H371" s="3" t="str">
        <f>IF($A371="","",IF(countif('Womens Lineup'!H$3:H1000,CONCATENATE("=",$A371))=0,"",H$2))</f>
        <v/>
      </c>
      <c r="I371" s="3" t="str">
        <f>IF($A371="","",IF(countif('Womens Lineup'!I$3:I1000,CONCATENATE("=",$A371))=0,"",I$2))</f>
        <v/>
      </c>
      <c r="J371" s="3" t="str">
        <f>IF($A371="","",IF(countif('Womens Lineup'!J$3:J1000,CONCATENATE("=",$A371))=0,"",J$2))</f>
        <v/>
      </c>
      <c r="K371" s="3" t="str">
        <f>IF($A371="","",IF(countif('Womens Lineup'!K$3:K1000,CONCATENATE("=",$A371))=0,"",K$2))</f>
        <v/>
      </c>
      <c r="L371" s="3" t="str">
        <f>IF($A371="","",IF(countif('Womens Lineup'!L$3:L1000,CONCATENATE("=",$A371))=0,"",L$2))</f>
        <v/>
      </c>
      <c r="M371" s="3" t="str">
        <f>IF($A371="","",IF(countif('Womens Lineup'!M$3:M1000,CONCATENATE("=",$A371))=0,"",M$2))</f>
        <v/>
      </c>
      <c r="N371" s="3" t="str">
        <f>IF($A371="","",IF(countif('Womens Lineup'!N$3:N1000,CONCATENATE("=",$A371))=0,"",N$2))</f>
        <v/>
      </c>
      <c r="O371" s="3" t="str">
        <f>IF($A371="","",IF(countif('Womens Lineup'!O$3:O1000,CONCATENATE("=",$A371))=0,"",O$2))</f>
        <v/>
      </c>
      <c r="P371" s="3" t="str">
        <f>IF($A371="","",IF(countif('Womens Lineup'!P$3:P1000,CONCATENATE("=",$A371))=0,"",P$2))</f>
        <v/>
      </c>
      <c r="Q371" s="3" t="str">
        <f>IF($A371="","",IF(countif('Womens Lineup'!Q$3:Q1000,CONCATENATE("=",$A371))=0,"",Q$2))</f>
        <v/>
      </c>
      <c r="R371" s="3" t="str">
        <f>IF($A371="","",IF(countif('Womens Lineup'!R$3:R1000,CONCATENATE("=",$A371))=0,"",R$2))</f>
        <v/>
      </c>
      <c r="S371" s="3" t="str">
        <f>IF($A371="","",IF(countif('Womens Lineup'!S$3:S1000,CONCATENATE("=",$A371))=0,"",S$2))</f>
        <v/>
      </c>
      <c r="W371" s="3" t="str">
        <f>IFERROR(__xludf.DUMMYFUNCTION("JOIN("","",FILTER(B371:S371,B371:S371&lt;&gt;""""))"),"#N/A")</f>
        <v>#N/A</v>
      </c>
    </row>
    <row r="372">
      <c r="A372" s="3"/>
      <c r="B372" s="3" t="str">
        <f>IF($A372="","",IF(countif('Womens Lineup'!B$3:B1000,CONCATENATE("=",$A372))=0,"",B$2))</f>
        <v/>
      </c>
      <c r="C372" s="3" t="str">
        <f>IF($A372="","",IF(countif('Womens Lineup'!C$3:C1000,CONCATENATE("=",$A372))=0,"",C$2))</f>
        <v/>
      </c>
      <c r="D372" s="3" t="str">
        <f>IF($A372="","",IF(countif('Womens Lineup'!D$3:D1000,CONCATENATE("=",$A372))=0,"",D$2))</f>
        <v/>
      </c>
      <c r="E372" s="3" t="str">
        <f>IF($A372="","",IF(countif('Womens Lineup'!E$3:E1000,CONCATENATE("=",$A372))=0,"",E$2))</f>
        <v/>
      </c>
      <c r="F372" s="3" t="str">
        <f>IF($A372="","",IF(countif('Womens Lineup'!F$3:F1000,CONCATENATE("=",$A372))=0,"",F$2))</f>
        <v/>
      </c>
      <c r="G372" s="3" t="str">
        <f>IF($A372="","",IF(countif('Womens Lineup'!G$3:G1000,CONCATENATE("=",$A372))=0,"",G$2))</f>
        <v/>
      </c>
      <c r="H372" s="3" t="str">
        <f>IF($A372="","",IF(countif('Womens Lineup'!H$3:H1000,CONCATENATE("=",$A372))=0,"",H$2))</f>
        <v/>
      </c>
      <c r="I372" s="3" t="str">
        <f>IF($A372="","",IF(countif('Womens Lineup'!I$3:I1000,CONCATENATE("=",$A372))=0,"",I$2))</f>
        <v/>
      </c>
      <c r="J372" s="3" t="str">
        <f>IF($A372="","",IF(countif('Womens Lineup'!J$3:J1000,CONCATENATE("=",$A372))=0,"",J$2))</f>
        <v/>
      </c>
      <c r="K372" s="3" t="str">
        <f>IF($A372="","",IF(countif('Womens Lineup'!K$3:K1000,CONCATENATE("=",$A372))=0,"",K$2))</f>
        <v/>
      </c>
      <c r="L372" s="3" t="str">
        <f>IF($A372="","",IF(countif('Womens Lineup'!L$3:L1000,CONCATENATE("=",$A372))=0,"",L$2))</f>
        <v/>
      </c>
      <c r="M372" s="3" t="str">
        <f>IF($A372="","",IF(countif('Womens Lineup'!M$3:M1000,CONCATENATE("=",$A372))=0,"",M$2))</f>
        <v/>
      </c>
      <c r="N372" s="3" t="str">
        <f>IF($A372="","",IF(countif('Womens Lineup'!N$3:N1000,CONCATENATE("=",$A372))=0,"",N$2))</f>
        <v/>
      </c>
      <c r="O372" s="3" t="str">
        <f>IF($A372="","",IF(countif('Womens Lineup'!O$3:O1000,CONCATENATE("=",$A372))=0,"",O$2))</f>
        <v/>
      </c>
      <c r="P372" s="3" t="str">
        <f>IF($A372="","",IF(countif('Womens Lineup'!P$3:P1000,CONCATENATE("=",$A372))=0,"",P$2))</f>
        <v/>
      </c>
      <c r="Q372" s="3" t="str">
        <f>IF($A372="","",IF(countif('Womens Lineup'!Q$3:Q1000,CONCATENATE("=",$A372))=0,"",Q$2))</f>
        <v/>
      </c>
      <c r="R372" s="3" t="str">
        <f>IF($A372="","",IF(countif('Womens Lineup'!R$3:R1000,CONCATENATE("=",$A372))=0,"",R$2))</f>
        <v/>
      </c>
      <c r="S372" s="3" t="str">
        <f>IF($A372="","",IF(countif('Womens Lineup'!S$3:S1000,CONCATENATE("=",$A372))=0,"",S$2))</f>
        <v/>
      </c>
      <c r="W372" s="3" t="str">
        <f>IFERROR(__xludf.DUMMYFUNCTION("JOIN("","",FILTER(B372:S372,B372:S372&lt;&gt;""""))"),"#N/A")</f>
        <v>#N/A</v>
      </c>
    </row>
    <row r="373">
      <c r="A373" s="3"/>
      <c r="B373" s="3" t="str">
        <f>IF($A373="","",IF(countif('Womens Lineup'!B$3:B1000,CONCATENATE("=",$A373))=0,"",B$2))</f>
        <v/>
      </c>
      <c r="C373" s="3" t="str">
        <f>IF($A373="","",IF(countif('Womens Lineup'!C$3:C1000,CONCATENATE("=",$A373))=0,"",C$2))</f>
        <v/>
      </c>
      <c r="D373" s="3" t="str">
        <f>IF($A373="","",IF(countif('Womens Lineup'!D$3:D1000,CONCATENATE("=",$A373))=0,"",D$2))</f>
        <v/>
      </c>
      <c r="E373" s="3" t="str">
        <f>IF($A373="","",IF(countif('Womens Lineup'!E$3:E1000,CONCATENATE("=",$A373))=0,"",E$2))</f>
        <v/>
      </c>
      <c r="F373" s="3" t="str">
        <f>IF($A373="","",IF(countif('Womens Lineup'!F$3:F1000,CONCATENATE("=",$A373))=0,"",F$2))</f>
        <v/>
      </c>
      <c r="G373" s="3" t="str">
        <f>IF($A373="","",IF(countif('Womens Lineup'!G$3:G1000,CONCATENATE("=",$A373))=0,"",G$2))</f>
        <v/>
      </c>
      <c r="H373" s="3" t="str">
        <f>IF($A373="","",IF(countif('Womens Lineup'!H$3:H1000,CONCATENATE("=",$A373))=0,"",H$2))</f>
        <v/>
      </c>
      <c r="I373" s="3" t="str">
        <f>IF($A373="","",IF(countif('Womens Lineup'!I$3:I1000,CONCATENATE("=",$A373))=0,"",I$2))</f>
        <v/>
      </c>
      <c r="J373" s="3" t="str">
        <f>IF($A373="","",IF(countif('Womens Lineup'!J$3:J1000,CONCATENATE("=",$A373))=0,"",J$2))</f>
        <v/>
      </c>
      <c r="K373" s="3" t="str">
        <f>IF($A373="","",IF(countif('Womens Lineup'!K$3:K1000,CONCATENATE("=",$A373))=0,"",K$2))</f>
        <v/>
      </c>
      <c r="L373" s="3" t="str">
        <f>IF($A373="","",IF(countif('Womens Lineup'!L$3:L1000,CONCATENATE("=",$A373))=0,"",L$2))</f>
        <v/>
      </c>
      <c r="M373" s="3" t="str">
        <f>IF($A373="","",IF(countif('Womens Lineup'!M$3:M1000,CONCATENATE("=",$A373))=0,"",M$2))</f>
        <v/>
      </c>
      <c r="N373" s="3" t="str">
        <f>IF($A373="","",IF(countif('Womens Lineup'!N$3:N1000,CONCATENATE("=",$A373))=0,"",N$2))</f>
        <v/>
      </c>
      <c r="O373" s="3" t="str">
        <f>IF($A373="","",IF(countif('Womens Lineup'!O$3:O1000,CONCATENATE("=",$A373))=0,"",O$2))</f>
        <v/>
      </c>
      <c r="P373" s="3" t="str">
        <f>IF($A373="","",IF(countif('Womens Lineup'!P$3:P1000,CONCATENATE("=",$A373))=0,"",P$2))</f>
        <v/>
      </c>
      <c r="Q373" s="3" t="str">
        <f>IF($A373="","",IF(countif('Womens Lineup'!Q$3:Q1000,CONCATENATE("=",$A373))=0,"",Q$2))</f>
        <v/>
      </c>
      <c r="R373" s="3" t="str">
        <f>IF($A373="","",IF(countif('Womens Lineup'!R$3:R1000,CONCATENATE("=",$A373))=0,"",R$2))</f>
        <v/>
      </c>
      <c r="S373" s="3" t="str">
        <f>IF($A373="","",IF(countif('Womens Lineup'!S$3:S1000,CONCATENATE("=",$A373))=0,"",S$2))</f>
        <v/>
      </c>
      <c r="W373" s="3" t="str">
        <f>IFERROR(__xludf.DUMMYFUNCTION("JOIN("","",FILTER(B373:S373,B373:S373&lt;&gt;""""))"),"#N/A")</f>
        <v>#N/A</v>
      </c>
    </row>
    <row r="374">
      <c r="A374" s="3"/>
      <c r="B374" s="3" t="str">
        <f>IF($A374="","",IF(countif('Womens Lineup'!B$3:B1000,CONCATENATE("=",$A374))=0,"",B$2))</f>
        <v/>
      </c>
      <c r="C374" s="3" t="str">
        <f>IF($A374="","",IF(countif('Womens Lineup'!C$3:C1000,CONCATENATE("=",$A374))=0,"",C$2))</f>
        <v/>
      </c>
      <c r="D374" s="3" t="str">
        <f>IF($A374="","",IF(countif('Womens Lineup'!D$3:D1000,CONCATENATE("=",$A374))=0,"",D$2))</f>
        <v/>
      </c>
      <c r="E374" s="3" t="str">
        <f>IF($A374="","",IF(countif('Womens Lineup'!E$3:E1000,CONCATENATE("=",$A374))=0,"",E$2))</f>
        <v/>
      </c>
      <c r="F374" s="3" t="str">
        <f>IF($A374="","",IF(countif('Womens Lineup'!F$3:F1000,CONCATENATE("=",$A374))=0,"",F$2))</f>
        <v/>
      </c>
      <c r="G374" s="3" t="str">
        <f>IF($A374="","",IF(countif('Womens Lineup'!G$3:G1000,CONCATENATE("=",$A374))=0,"",G$2))</f>
        <v/>
      </c>
      <c r="H374" s="3" t="str">
        <f>IF($A374="","",IF(countif('Womens Lineup'!H$3:H1000,CONCATENATE("=",$A374))=0,"",H$2))</f>
        <v/>
      </c>
      <c r="I374" s="3" t="str">
        <f>IF($A374="","",IF(countif('Womens Lineup'!I$3:I1000,CONCATENATE("=",$A374))=0,"",I$2))</f>
        <v/>
      </c>
      <c r="J374" s="3" t="str">
        <f>IF($A374="","",IF(countif('Womens Lineup'!J$3:J1000,CONCATENATE("=",$A374))=0,"",J$2))</f>
        <v/>
      </c>
      <c r="K374" s="3" t="str">
        <f>IF($A374="","",IF(countif('Womens Lineup'!K$3:K1000,CONCATENATE("=",$A374))=0,"",K$2))</f>
        <v/>
      </c>
      <c r="L374" s="3" t="str">
        <f>IF($A374="","",IF(countif('Womens Lineup'!L$3:L1000,CONCATENATE("=",$A374))=0,"",L$2))</f>
        <v/>
      </c>
      <c r="M374" s="3" t="str">
        <f>IF($A374="","",IF(countif('Womens Lineup'!M$3:M1000,CONCATENATE("=",$A374))=0,"",M$2))</f>
        <v/>
      </c>
      <c r="N374" s="3" t="str">
        <f>IF($A374="","",IF(countif('Womens Lineup'!N$3:N1000,CONCATENATE("=",$A374))=0,"",N$2))</f>
        <v/>
      </c>
      <c r="O374" s="3" t="str">
        <f>IF($A374="","",IF(countif('Womens Lineup'!O$3:O1000,CONCATENATE("=",$A374))=0,"",O$2))</f>
        <v/>
      </c>
      <c r="P374" s="3" t="str">
        <f>IF($A374="","",IF(countif('Womens Lineup'!P$3:P1000,CONCATENATE("=",$A374))=0,"",P$2))</f>
        <v/>
      </c>
      <c r="Q374" s="3" t="str">
        <f>IF($A374="","",IF(countif('Womens Lineup'!Q$3:Q1000,CONCATENATE("=",$A374))=0,"",Q$2))</f>
        <v/>
      </c>
      <c r="R374" s="3" t="str">
        <f>IF($A374="","",IF(countif('Womens Lineup'!R$3:R1000,CONCATENATE("=",$A374))=0,"",R$2))</f>
        <v/>
      </c>
      <c r="S374" s="3" t="str">
        <f>IF($A374="","",IF(countif('Womens Lineup'!S$3:S1000,CONCATENATE("=",$A374))=0,"",S$2))</f>
        <v/>
      </c>
      <c r="W374" s="3" t="str">
        <f>IFERROR(__xludf.DUMMYFUNCTION("JOIN("","",FILTER(B374:S374,B374:S374&lt;&gt;""""))"),"#N/A")</f>
        <v>#N/A</v>
      </c>
    </row>
    <row r="375">
      <c r="A375" s="3"/>
      <c r="B375" s="3" t="str">
        <f>IF($A375="","",IF(countif('Womens Lineup'!B$3:B1000,CONCATENATE("=",$A375))=0,"",B$2))</f>
        <v/>
      </c>
      <c r="C375" s="3" t="str">
        <f>IF($A375="","",IF(countif('Womens Lineup'!C$3:C1000,CONCATENATE("=",$A375))=0,"",C$2))</f>
        <v/>
      </c>
      <c r="D375" s="3" t="str">
        <f>IF($A375="","",IF(countif('Womens Lineup'!D$3:D1000,CONCATENATE("=",$A375))=0,"",D$2))</f>
        <v/>
      </c>
      <c r="E375" s="3" t="str">
        <f>IF($A375="","",IF(countif('Womens Lineup'!E$3:E1000,CONCATENATE("=",$A375))=0,"",E$2))</f>
        <v/>
      </c>
      <c r="F375" s="3" t="str">
        <f>IF($A375="","",IF(countif('Womens Lineup'!F$3:F1000,CONCATENATE("=",$A375))=0,"",F$2))</f>
        <v/>
      </c>
      <c r="G375" s="3" t="str">
        <f>IF($A375="","",IF(countif('Womens Lineup'!G$3:G1000,CONCATENATE("=",$A375))=0,"",G$2))</f>
        <v/>
      </c>
      <c r="H375" s="3" t="str">
        <f>IF($A375="","",IF(countif('Womens Lineup'!H$3:H1000,CONCATENATE("=",$A375))=0,"",H$2))</f>
        <v/>
      </c>
      <c r="I375" s="3" t="str">
        <f>IF($A375="","",IF(countif('Womens Lineup'!I$3:I1000,CONCATENATE("=",$A375))=0,"",I$2))</f>
        <v/>
      </c>
      <c r="J375" s="3" t="str">
        <f>IF($A375="","",IF(countif('Womens Lineup'!J$3:J1000,CONCATENATE("=",$A375))=0,"",J$2))</f>
        <v/>
      </c>
      <c r="K375" s="3" t="str">
        <f>IF($A375="","",IF(countif('Womens Lineup'!K$3:K1000,CONCATENATE("=",$A375))=0,"",K$2))</f>
        <v/>
      </c>
      <c r="L375" s="3" t="str">
        <f>IF($A375="","",IF(countif('Womens Lineup'!L$3:L1000,CONCATENATE("=",$A375))=0,"",L$2))</f>
        <v/>
      </c>
      <c r="M375" s="3" t="str">
        <f>IF($A375="","",IF(countif('Womens Lineup'!M$3:M1000,CONCATENATE("=",$A375))=0,"",M$2))</f>
        <v/>
      </c>
      <c r="N375" s="3" t="str">
        <f>IF($A375="","",IF(countif('Womens Lineup'!N$3:N1000,CONCATENATE("=",$A375))=0,"",N$2))</f>
        <v/>
      </c>
      <c r="O375" s="3" t="str">
        <f>IF($A375="","",IF(countif('Womens Lineup'!O$3:O1000,CONCATENATE("=",$A375))=0,"",O$2))</f>
        <v/>
      </c>
      <c r="P375" s="3" t="str">
        <f>IF($A375="","",IF(countif('Womens Lineup'!P$3:P1000,CONCATENATE("=",$A375))=0,"",P$2))</f>
        <v/>
      </c>
      <c r="Q375" s="3" t="str">
        <f>IF($A375="","",IF(countif('Womens Lineup'!Q$3:Q1000,CONCATENATE("=",$A375))=0,"",Q$2))</f>
        <v/>
      </c>
      <c r="R375" s="3" t="str">
        <f>IF($A375="","",IF(countif('Womens Lineup'!R$3:R1000,CONCATENATE("=",$A375))=0,"",R$2))</f>
        <v/>
      </c>
      <c r="S375" s="3" t="str">
        <f>IF($A375="","",IF(countif('Womens Lineup'!S$3:S1000,CONCATENATE("=",$A375))=0,"",S$2))</f>
        <v/>
      </c>
      <c r="W375" s="3" t="str">
        <f>IFERROR(__xludf.DUMMYFUNCTION("JOIN("","",FILTER(B375:S375,B375:S375&lt;&gt;""""))"),"#N/A")</f>
        <v>#N/A</v>
      </c>
    </row>
    <row r="376">
      <c r="A376" s="3"/>
      <c r="B376" s="3" t="str">
        <f>IF($A376="","",IF(countif('Womens Lineup'!B$3:B1000,CONCATENATE("=",$A376))=0,"",B$2))</f>
        <v/>
      </c>
      <c r="C376" s="3" t="str">
        <f>IF($A376="","",IF(countif('Womens Lineup'!C$3:C1000,CONCATENATE("=",$A376))=0,"",C$2))</f>
        <v/>
      </c>
      <c r="D376" s="3" t="str">
        <f>IF($A376="","",IF(countif('Womens Lineup'!D$3:D1000,CONCATENATE("=",$A376))=0,"",D$2))</f>
        <v/>
      </c>
      <c r="E376" s="3" t="str">
        <f>IF($A376="","",IF(countif('Womens Lineup'!E$3:E1000,CONCATENATE("=",$A376))=0,"",E$2))</f>
        <v/>
      </c>
      <c r="F376" s="3" t="str">
        <f>IF($A376="","",IF(countif('Womens Lineup'!F$3:F1000,CONCATENATE("=",$A376))=0,"",F$2))</f>
        <v/>
      </c>
      <c r="G376" s="3" t="str">
        <f>IF($A376="","",IF(countif('Womens Lineup'!G$3:G1000,CONCATENATE("=",$A376))=0,"",G$2))</f>
        <v/>
      </c>
      <c r="H376" s="3" t="str">
        <f>IF($A376="","",IF(countif('Womens Lineup'!H$3:H1000,CONCATENATE("=",$A376))=0,"",H$2))</f>
        <v/>
      </c>
      <c r="I376" s="3" t="str">
        <f>IF($A376="","",IF(countif('Womens Lineup'!I$3:I1000,CONCATENATE("=",$A376))=0,"",I$2))</f>
        <v/>
      </c>
      <c r="J376" s="3" t="str">
        <f>IF($A376="","",IF(countif('Womens Lineup'!J$3:J1000,CONCATENATE("=",$A376))=0,"",J$2))</f>
        <v/>
      </c>
      <c r="K376" s="3" t="str">
        <f>IF($A376="","",IF(countif('Womens Lineup'!K$3:K1000,CONCATENATE("=",$A376))=0,"",K$2))</f>
        <v/>
      </c>
      <c r="L376" s="3" t="str">
        <f>IF($A376="","",IF(countif('Womens Lineup'!L$3:L1000,CONCATENATE("=",$A376))=0,"",L$2))</f>
        <v/>
      </c>
      <c r="M376" s="3" t="str">
        <f>IF($A376="","",IF(countif('Womens Lineup'!M$3:M1000,CONCATENATE("=",$A376))=0,"",M$2))</f>
        <v/>
      </c>
      <c r="N376" s="3" t="str">
        <f>IF($A376="","",IF(countif('Womens Lineup'!N$3:N1000,CONCATENATE("=",$A376))=0,"",N$2))</f>
        <v/>
      </c>
      <c r="O376" s="3" t="str">
        <f>IF($A376="","",IF(countif('Womens Lineup'!O$3:O1000,CONCATENATE("=",$A376))=0,"",O$2))</f>
        <v/>
      </c>
      <c r="P376" s="3" t="str">
        <f>IF($A376="","",IF(countif('Womens Lineup'!P$3:P1000,CONCATENATE("=",$A376))=0,"",P$2))</f>
        <v/>
      </c>
      <c r="Q376" s="3" t="str">
        <f>IF($A376="","",IF(countif('Womens Lineup'!Q$3:Q1000,CONCATENATE("=",$A376))=0,"",Q$2))</f>
        <v/>
      </c>
      <c r="R376" s="3" t="str">
        <f>IF($A376="","",IF(countif('Womens Lineup'!R$3:R1000,CONCATENATE("=",$A376))=0,"",R$2))</f>
        <v/>
      </c>
      <c r="S376" s="3" t="str">
        <f>IF($A376="","",IF(countif('Womens Lineup'!S$3:S1000,CONCATENATE("=",$A376))=0,"",S$2))</f>
        <v/>
      </c>
      <c r="W376" s="3" t="str">
        <f>IFERROR(__xludf.DUMMYFUNCTION("JOIN("","",FILTER(B376:S376,B376:S376&lt;&gt;""""))"),"#N/A")</f>
        <v>#N/A</v>
      </c>
    </row>
    <row r="377">
      <c r="A377" s="3"/>
      <c r="B377" s="3" t="str">
        <f>IF($A377="","",IF(countif('Womens Lineup'!B$3:B1000,CONCATENATE("=",$A377))=0,"",B$2))</f>
        <v/>
      </c>
      <c r="C377" s="3" t="str">
        <f>IF($A377="","",IF(countif('Womens Lineup'!C$3:C1000,CONCATENATE("=",$A377))=0,"",C$2))</f>
        <v/>
      </c>
      <c r="D377" s="3" t="str">
        <f>IF($A377="","",IF(countif('Womens Lineup'!D$3:D1000,CONCATENATE("=",$A377))=0,"",D$2))</f>
        <v/>
      </c>
      <c r="E377" s="3" t="str">
        <f>IF($A377="","",IF(countif('Womens Lineup'!E$3:E1000,CONCATENATE("=",$A377))=0,"",E$2))</f>
        <v/>
      </c>
      <c r="F377" s="3" t="str">
        <f>IF($A377="","",IF(countif('Womens Lineup'!F$3:F1000,CONCATENATE("=",$A377))=0,"",F$2))</f>
        <v/>
      </c>
      <c r="G377" s="3" t="str">
        <f>IF($A377="","",IF(countif('Womens Lineup'!G$3:G1000,CONCATENATE("=",$A377))=0,"",G$2))</f>
        <v/>
      </c>
      <c r="H377" s="3" t="str">
        <f>IF($A377="","",IF(countif('Womens Lineup'!H$3:H1000,CONCATENATE("=",$A377))=0,"",H$2))</f>
        <v/>
      </c>
      <c r="I377" s="3" t="str">
        <f>IF($A377="","",IF(countif('Womens Lineup'!I$3:I1000,CONCATENATE("=",$A377))=0,"",I$2))</f>
        <v/>
      </c>
      <c r="J377" s="3" t="str">
        <f>IF($A377="","",IF(countif('Womens Lineup'!J$3:J1000,CONCATENATE("=",$A377))=0,"",J$2))</f>
        <v/>
      </c>
      <c r="K377" s="3" t="str">
        <f>IF($A377="","",IF(countif('Womens Lineup'!K$3:K1000,CONCATENATE("=",$A377))=0,"",K$2))</f>
        <v/>
      </c>
      <c r="L377" s="3" t="str">
        <f>IF($A377="","",IF(countif('Womens Lineup'!L$3:L1000,CONCATENATE("=",$A377))=0,"",L$2))</f>
        <v/>
      </c>
      <c r="M377" s="3" t="str">
        <f>IF($A377="","",IF(countif('Womens Lineup'!M$3:M1000,CONCATENATE("=",$A377))=0,"",M$2))</f>
        <v/>
      </c>
      <c r="N377" s="3" t="str">
        <f>IF($A377="","",IF(countif('Womens Lineup'!N$3:N1000,CONCATENATE("=",$A377))=0,"",N$2))</f>
        <v/>
      </c>
      <c r="O377" s="3" t="str">
        <f>IF($A377="","",IF(countif('Womens Lineup'!O$3:O1000,CONCATENATE("=",$A377))=0,"",O$2))</f>
        <v/>
      </c>
      <c r="P377" s="3" t="str">
        <f>IF($A377="","",IF(countif('Womens Lineup'!P$3:P1000,CONCATENATE("=",$A377))=0,"",P$2))</f>
        <v/>
      </c>
      <c r="Q377" s="3" t="str">
        <f>IF($A377="","",IF(countif('Womens Lineup'!Q$3:Q1000,CONCATENATE("=",$A377))=0,"",Q$2))</f>
        <v/>
      </c>
      <c r="R377" s="3" t="str">
        <f>IF($A377="","",IF(countif('Womens Lineup'!R$3:R1000,CONCATENATE("=",$A377))=0,"",R$2))</f>
        <v/>
      </c>
      <c r="S377" s="3" t="str">
        <f>IF($A377="","",IF(countif('Womens Lineup'!S$3:S1000,CONCATENATE("=",$A377))=0,"",S$2))</f>
        <v/>
      </c>
      <c r="W377" s="3" t="str">
        <f>IFERROR(__xludf.DUMMYFUNCTION("JOIN("","",FILTER(B377:S377,B377:S377&lt;&gt;""""))"),"#N/A")</f>
        <v>#N/A</v>
      </c>
    </row>
    <row r="378">
      <c r="A378" s="3"/>
      <c r="B378" s="3" t="str">
        <f>IF($A378="","",IF(countif('Womens Lineup'!B$3:B1000,CONCATENATE("=",$A378))=0,"",B$2))</f>
        <v/>
      </c>
      <c r="C378" s="3" t="str">
        <f>IF($A378="","",IF(countif('Womens Lineup'!C$3:C1000,CONCATENATE("=",$A378))=0,"",C$2))</f>
        <v/>
      </c>
      <c r="D378" s="3" t="str">
        <f>IF($A378="","",IF(countif('Womens Lineup'!D$3:D1000,CONCATENATE("=",$A378))=0,"",D$2))</f>
        <v/>
      </c>
      <c r="E378" s="3" t="str">
        <f>IF($A378="","",IF(countif('Womens Lineup'!E$3:E1000,CONCATENATE("=",$A378))=0,"",E$2))</f>
        <v/>
      </c>
      <c r="F378" s="3" t="str">
        <f>IF($A378="","",IF(countif('Womens Lineup'!F$3:F1000,CONCATENATE("=",$A378))=0,"",F$2))</f>
        <v/>
      </c>
      <c r="G378" s="3" t="str">
        <f>IF($A378="","",IF(countif('Womens Lineup'!G$3:G1000,CONCATENATE("=",$A378))=0,"",G$2))</f>
        <v/>
      </c>
      <c r="H378" s="3" t="str">
        <f>IF($A378="","",IF(countif('Womens Lineup'!H$3:H1000,CONCATENATE("=",$A378))=0,"",H$2))</f>
        <v/>
      </c>
      <c r="I378" s="3" t="str">
        <f>IF($A378="","",IF(countif('Womens Lineup'!I$3:I1000,CONCATENATE("=",$A378))=0,"",I$2))</f>
        <v/>
      </c>
      <c r="J378" s="3" t="str">
        <f>IF($A378="","",IF(countif('Womens Lineup'!J$3:J1000,CONCATENATE("=",$A378))=0,"",J$2))</f>
        <v/>
      </c>
      <c r="K378" s="3" t="str">
        <f>IF($A378="","",IF(countif('Womens Lineup'!K$3:K1000,CONCATENATE("=",$A378))=0,"",K$2))</f>
        <v/>
      </c>
      <c r="L378" s="3" t="str">
        <f>IF($A378="","",IF(countif('Womens Lineup'!L$3:L1000,CONCATENATE("=",$A378))=0,"",L$2))</f>
        <v/>
      </c>
      <c r="M378" s="3" t="str">
        <f>IF($A378="","",IF(countif('Womens Lineup'!M$3:M1000,CONCATENATE("=",$A378))=0,"",M$2))</f>
        <v/>
      </c>
      <c r="N378" s="3" t="str">
        <f>IF($A378="","",IF(countif('Womens Lineup'!N$3:N1000,CONCATENATE("=",$A378))=0,"",N$2))</f>
        <v/>
      </c>
      <c r="O378" s="3" t="str">
        <f>IF($A378="","",IF(countif('Womens Lineup'!O$3:O1000,CONCATENATE("=",$A378))=0,"",O$2))</f>
        <v/>
      </c>
      <c r="P378" s="3" t="str">
        <f>IF($A378="","",IF(countif('Womens Lineup'!P$3:P1000,CONCATENATE("=",$A378))=0,"",P$2))</f>
        <v/>
      </c>
      <c r="Q378" s="3" t="str">
        <f>IF($A378="","",IF(countif('Womens Lineup'!Q$3:Q1000,CONCATENATE("=",$A378))=0,"",Q$2))</f>
        <v/>
      </c>
      <c r="R378" s="3" t="str">
        <f>IF($A378="","",IF(countif('Womens Lineup'!R$3:R1000,CONCATENATE("=",$A378))=0,"",R$2))</f>
        <v/>
      </c>
      <c r="S378" s="3" t="str">
        <f>IF($A378="","",IF(countif('Womens Lineup'!S$3:S1000,CONCATENATE("=",$A378))=0,"",S$2))</f>
        <v/>
      </c>
      <c r="W378" s="3" t="str">
        <f>IFERROR(__xludf.DUMMYFUNCTION("JOIN("","",FILTER(B378:S378,B378:S378&lt;&gt;""""))"),"#N/A")</f>
        <v>#N/A</v>
      </c>
    </row>
    <row r="379">
      <c r="A379" s="3"/>
      <c r="B379" s="3" t="str">
        <f>IF($A379="","",IF(countif('Womens Lineup'!B$3:B1000,CONCATENATE("=",$A379))=0,"",B$2))</f>
        <v/>
      </c>
      <c r="C379" s="3" t="str">
        <f>IF($A379="","",IF(countif('Womens Lineup'!C$3:C1000,CONCATENATE("=",$A379))=0,"",C$2))</f>
        <v/>
      </c>
      <c r="D379" s="3" t="str">
        <f>IF($A379="","",IF(countif('Womens Lineup'!D$3:D1000,CONCATENATE("=",$A379))=0,"",D$2))</f>
        <v/>
      </c>
      <c r="E379" s="3" t="str">
        <f>IF($A379="","",IF(countif('Womens Lineup'!E$3:E1000,CONCATENATE("=",$A379))=0,"",E$2))</f>
        <v/>
      </c>
      <c r="F379" s="3" t="str">
        <f>IF($A379="","",IF(countif('Womens Lineup'!F$3:F1000,CONCATENATE("=",$A379))=0,"",F$2))</f>
        <v/>
      </c>
      <c r="G379" s="3" t="str">
        <f>IF($A379="","",IF(countif('Womens Lineup'!G$3:G1000,CONCATENATE("=",$A379))=0,"",G$2))</f>
        <v/>
      </c>
      <c r="H379" s="3" t="str">
        <f>IF($A379="","",IF(countif('Womens Lineup'!H$3:H1000,CONCATENATE("=",$A379))=0,"",H$2))</f>
        <v/>
      </c>
      <c r="I379" s="3" t="str">
        <f>IF($A379="","",IF(countif('Womens Lineup'!I$3:I1000,CONCATENATE("=",$A379))=0,"",I$2))</f>
        <v/>
      </c>
      <c r="J379" s="3" t="str">
        <f>IF($A379="","",IF(countif('Womens Lineup'!J$3:J1000,CONCATENATE("=",$A379))=0,"",J$2))</f>
        <v/>
      </c>
      <c r="K379" s="3" t="str">
        <f>IF($A379="","",IF(countif('Womens Lineup'!K$3:K1000,CONCATENATE("=",$A379))=0,"",K$2))</f>
        <v/>
      </c>
      <c r="L379" s="3" t="str">
        <f>IF($A379="","",IF(countif('Womens Lineup'!L$3:L1000,CONCATENATE("=",$A379))=0,"",L$2))</f>
        <v/>
      </c>
      <c r="M379" s="3" t="str">
        <f>IF($A379="","",IF(countif('Womens Lineup'!M$3:M1000,CONCATENATE("=",$A379))=0,"",M$2))</f>
        <v/>
      </c>
      <c r="N379" s="3" t="str">
        <f>IF($A379="","",IF(countif('Womens Lineup'!N$3:N1000,CONCATENATE("=",$A379))=0,"",N$2))</f>
        <v/>
      </c>
      <c r="O379" s="3" t="str">
        <f>IF($A379="","",IF(countif('Womens Lineup'!O$3:O1000,CONCATENATE("=",$A379))=0,"",O$2))</f>
        <v/>
      </c>
      <c r="P379" s="3" t="str">
        <f>IF($A379="","",IF(countif('Womens Lineup'!P$3:P1000,CONCATENATE("=",$A379))=0,"",P$2))</f>
        <v/>
      </c>
      <c r="Q379" s="3" t="str">
        <f>IF($A379="","",IF(countif('Womens Lineup'!Q$3:Q1000,CONCATENATE("=",$A379))=0,"",Q$2))</f>
        <v/>
      </c>
      <c r="R379" s="3" t="str">
        <f>IF($A379="","",IF(countif('Womens Lineup'!R$3:R1000,CONCATENATE("=",$A379))=0,"",R$2))</f>
        <v/>
      </c>
      <c r="S379" s="3" t="str">
        <f>IF($A379="","",IF(countif('Womens Lineup'!S$3:S1000,CONCATENATE("=",$A379))=0,"",S$2))</f>
        <v/>
      </c>
      <c r="W379" s="3" t="str">
        <f>IFERROR(__xludf.DUMMYFUNCTION("JOIN("","",FILTER(B379:S379,B379:S379&lt;&gt;""""))"),"#N/A")</f>
        <v>#N/A</v>
      </c>
    </row>
    <row r="380">
      <c r="A380" s="3"/>
      <c r="B380" s="3" t="str">
        <f>IF($A380="","",IF(countif('Womens Lineup'!B$3:B1000,CONCATENATE("=",$A380))=0,"",B$2))</f>
        <v/>
      </c>
      <c r="C380" s="3" t="str">
        <f>IF($A380="","",IF(countif('Womens Lineup'!C$3:C1000,CONCATENATE("=",$A380))=0,"",C$2))</f>
        <v/>
      </c>
      <c r="D380" s="3" t="str">
        <f>IF($A380="","",IF(countif('Womens Lineup'!D$3:D1000,CONCATENATE("=",$A380))=0,"",D$2))</f>
        <v/>
      </c>
      <c r="E380" s="3" t="str">
        <f>IF($A380="","",IF(countif('Womens Lineup'!E$3:E1000,CONCATENATE("=",$A380))=0,"",E$2))</f>
        <v/>
      </c>
      <c r="F380" s="3" t="str">
        <f>IF($A380="","",IF(countif('Womens Lineup'!F$3:F1000,CONCATENATE("=",$A380))=0,"",F$2))</f>
        <v/>
      </c>
      <c r="G380" s="3" t="str">
        <f>IF($A380="","",IF(countif('Womens Lineup'!G$3:G1000,CONCATENATE("=",$A380))=0,"",G$2))</f>
        <v/>
      </c>
      <c r="H380" s="3" t="str">
        <f>IF($A380="","",IF(countif('Womens Lineup'!H$3:H1000,CONCATENATE("=",$A380))=0,"",H$2))</f>
        <v/>
      </c>
      <c r="I380" s="3" t="str">
        <f>IF($A380="","",IF(countif('Womens Lineup'!I$3:I1000,CONCATENATE("=",$A380))=0,"",I$2))</f>
        <v/>
      </c>
      <c r="J380" s="3" t="str">
        <f>IF($A380="","",IF(countif('Womens Lineup'!J$3:J1000,CONCATENATE("=",$A380))=0,"",J$2))</f>
        <v/>
      </c>
      <c r="K380" s="3" t="str">
        <f>IF($A380="","",IF(countif('Womens Lineup'!K$3:K1000,CONCATENATE("=",$A380))=0,"",K$2))</f>
        <v/>
      </c>
      <c r="L380" s="3" t="str">
        <f>IF($A380="","",IF(countif('Womens Lineup'!L$3:L1000,CONCATENATE("=",$A380))=0,"",L$2))</f>
        <v/>
      </c>
      <c r="M380" s="3" t="str">
        <f>IF($A380="","",IF(countif('Womens Lineup'!M$3:M1000,CONCATENATE("=",$A380))=0,"",M$2))</f>
        <v/>
      </c>
      <c r="N380" s="3" t="str">
        <f>IF($A380="","",IF(countif('Womens Lineup'!N$3:N1000,CONCATENATE("=",$A380))=0,"",N$2))</f>
        <v/>
      </c>
      <c r="O380" s="3" t="str">
        <f>IF($A380="","",IF(countif('Womens Lineup'!O$3:O1000,CONCATENATE("=",$A380))=0,"",O$2))</f>
        <v/>
      </c>
      <c r="P380" s="3" t="str">
        <f>IF($A380="","",IF(countif('Womens Lineup'!P$3:P1000,CONCATENATE("=",$A380))=0,"",P$2))</f>
        <v/>
      </c>
      <c r="Q380" s="3" t="str">
        <f>IF($A380="","",IF(countif('Womens Lineup'!Q$3:Q1000,CONCATENATE("=",$A380))=0,"",Q$2))</f>
        <v/>
      </c>
      <c r="R380" s="3" t="str">
        <f>IF($A380="","",IF(countif('Womens Lineup'!R$3:R1000,CONCATENATE("=",$A380))=0,"",R$2))</f>
        <v/>
      </c>
      <c r="S380" s="3" t="str">
        <f>IF($A380="","",IF(countif('Womens Lineup'!S$3:S1000,CONCATENATE("=",$A380))=0,"",S$2))</f>
        <v/>
      </c>
      <c r="W380" s="3" t="str">
        <f>IFERROR(__xludf.DUMMYFUNCTION("JOIN("","",FILTER(B380:S380,B380:S380&lt;&gt;""""))"),"#N/A")</f>
        <v>#N/A</v>
      </c>
    </row>
    <row r="381">
      <c r="A381" s="3"/>
      <c r="B381" s="3" t="str">
        <f>IF($A381="","",IF(countif('Womens Lineup'!B$3:B1000,CONCATENATE("=",$A381))=0,"",B$2))</f>
        <v/>
      </c>
      <c r="C381" s="3" t="str">
        <f>IF($A381="","",IF(countif('Womens Lineup'!C$3:C1000,CONCATENATE("=",$A381))=0,"",C$2))</f>
        <v/>
      </c>
      <c r="D381" s="3" t="str">
        <f>IF($A381="","",IF(countif('Womens Lineup'!D$3:D1000,CONCATENATE("=",$A381))=0,"",D$2))</f>
        <v/>
      </c>
      <c r="E381" s="3" t="str">
        <f>IF($A381="","",IF(countif('Womens Lineup'!E$3:E1000,CONCATENATE("=",$A381))=0,"",E$2))</f>
        <v/>
      </c>
      <c r="F381" s="3" t="str">
        <f>IF($A381="","",IF(countif('Womens Lineup'!F$3:F1000,CONCATENATE("=",$A381))=0,"",F$2))</f>
        <v/>
      </c>
      <c r="G381" s="3" t="str">
        <f>IF($A381="","",IF(countif('Womens Lineup'!G$3:G1000,CONCATENATE("=",$A381))=0,"",G$2))</f>
        <v/>
      </c>
      <c r="H381" s="3" t="str">
        <f>IF($A381="","",IF(countif('Womens Lineup'!H$3:H1000,CONCATENATE("=",$A381))=0,"",H$2))</f>
        <v/>
      </c>
      <c r="I381" s="3" t="str">
        <f>IF($A381="","",IF(countif('Womens Lineup'!I$3:I1000,CONCATENATE("=",$A381))=0,"",I$2))</f>
        <v/>
      </c>
      <c r="J381" s="3" t="str">
        <f>IF($A381="","",IF(countif('Womens Lineup'!J$3:J1000,CONCATENATE("=",$A381))=0,"",J$2))</f>
        <v/>
      </c>
      <c r="K381" s="3" t="str">
        <f>IF($A381="","",IF(countif('Womens Lineup'!K$3:K1000,CONCATENATE("=",$A381))=0,"",K$2))</f>
        <v/>
      </c>
      <c r="L381" s="3" t="str">
        <f>IF($A381="","",IF(countif('Womens Lineup'!L$3:L1000,CONCATENATE("=",$A381))=0,"",L$2))</f>
        <v/>
      </c>
      <c r="M381" s="3" t="str">
        <f>IF($A381="","",IF(countif('Womens Lineup'!M$3:M1000,CONCATENATE("=",$A381))=0,"",M$2))</f>
        <v/>
      </c>
      <c r="N381" s="3" t="str">
        <f>IF($A381="","",IF(countif('Womens Lineup'!N$3:N1000,CONCATENATE("=",$A381))=0,"",N$2))</f>
        <v/>
      </c>
      <c r="O381" s="3" t="str">
        <f>IF($A381="","",IF(countif('Womens Lineup'!O$3:O1000,CONCATENATE("=",$A381))=0,"",O$2))</f>
        <v/>
      </c>
      <c r="P381" s="3" t="str">
        <f>IF($A381="","",IF(countif('Womens Lineup'!P$3:P1000,CONCATENATE("=",$A381))=0,"",P$2))</f>
        <v/>
      </c>
      <c r="Q381" s="3" t="str">
        <f>IF($A381="","",IF(countif('Womens Lineup'!Q$3:Q1000,CONCATENATE("=",$A381))=0,"",Q$2))</f>
        <v/>
      </c>
      <c r="R381" s="3" t="str">
        <f>IF($A381="","",IF(countif('Womens Lineup'!R$3:R1000,CONCATENATE("=",$A381))=0,"",R$2))</f>
        <v/>
      </c>
      <c r="S381" s="3" t="str">
        <f>IF($A381="","",IF(countif('Womens Lineup'!S$3:S1000,CONCATENATE("=",$A381))=0,"",S$2))</f>
        <v/>
      </c>
      <c r="W381" s="3" t="str">
        <f>IFERROR(__xludf.DUMMYFUNCTION("JOIN("","",FILTER(B381:S381,B381:S381&lt;&gt;""""))"),"#N/A")</f>
        <v>#N/A</v>
      </c>
    </row>
    <row r="382">
      <c r="A382" s="3"/>
      <c r="B382" s="3" t="str">
        <f>IF($A382="","",IF(countif('Womens Lineup'!B$3:B1000,CONCATENATE("=",$A382))=0,"",B$2))</f>
        <v/>
      </c>
      <c r="C382" s="3" t="str">
        <f>IF($A382="","",IF(countif('Womens Lineup'!C$3:C1000,CONCATENATE("=",$A382))=0,"",C$2))</f>
        <v/>
      </c>
      <c r="D382" s="3" t="str">
        <f>IF($A382="","",IF(countif('Womens Lineup'!D$3:D1000,CONCATENATE("=",$A382))=0,"",D$2))</f>
        <v/>
      </c>
      <c r="E382" s="3" t="str">
        <f>IF($A382="","",IF(countif('Womens Lineup'!E$3:E1000,CONCATENATE("=",$A382))=0,"",E$2))</f>
        <v/>
      </c>
      <c r="F382" s="3" t="str">
        <f>IF($A382="","",IF(countif('Womens Lineup'!F$3:F1000,CONCATENATE("=",$A382))=0,"",F$2))</f>
        <v/>
      </c>
      <c r="G382" s="3" t="str">
        <f>IF($A382="","",IF(countif('Womens Lineup'!G$3:G1000,CONCATENATE("=",$A382))=0,"",G$2))</f>
        <v/>
      </c>
      <c r="H382" s="3" t="str">
        <f>IF($A382="","",IF(countif('Womens Lineup'!H$3:H1000,CONCATENATE("=",$A382))=0,"",H$2))</f>
        <v/>
      </c>
      <c r="I382" s="3" t="str">
        <f>IF($A382="","",IF(countif('Womens Lineup'!I$3:I1000,CONCATENATE("=",$A382))=0,"",I$2))</f>
        <v/>
      </c>
      <c r="J382" s="3" t="str">
        <f>IF($A382="","",IF(countif('Womens Lineup'!J$3:J1000,CONCATENATE("=",$A382))=0,"",J$2))</f>
        <v/>
      </c>
      <c r="K382" s="3" t="str">
        <f>IF($A382="","",IF(countif('Womens Lineup'!K$3:K1000,CONCATENATE("=",$A382))=0,"",K$2))</f>
        <v/>
      </c>
      <c r="L382" s="3" t="str">
        <f>IF($A382="","",IF(countif('Womens Lineup'!L$3:L1000,CONCATENATE("=",$A382))=0,"",L$2))</f>
        <v/>
      </c>
      <c r="M382" s="3" t="str">
        <f>IF($A382="","",IF(countif('Womens Lineup'!M$3:M1000,CONCATENATE("=",$A382))=0,"",M$2))</f>
        <v/>
      </c>
      <c r="N382" s="3" t="str">
        <f>IF($A382="","",IF(countif('Womens Lineup'!N$3:N1000,CONCATENATE("=",$A382))=0,"",N$2))</f>
        <v/>
      </c>
      <c r="O382" s="3" t="str">
        <f>IF($A382="","",IF(countif('Womens Lineup'!O$3:O1000,CONCATENATE("=",$A382))=0,"",O$2))</f>
        <v/>
      </c>
      <c r="P382" s="3" t="str">
        <f>IF($A382="","",IF(countif('Womens Lineup'!P$3:P1000,CONCATENATE("=",$A382))=0,"",P$2))</f>
        <v/>
      </c>
      <c r="Q382" s="3" t="str">
        <f>IF($A382="","",IF(countif('Womens Lineup'!Q$3:Q1000,CONCATENATE("=",$A382))=0,"",Q$2))</f>
        <v/>
      </c>
      <c r="R382" s="3" t="str">
        <f>IF($A382="","",IF(countif('Womens Lineup'!R$3:R1000,CONCATENATE("=",$A382))=0,"",R$2))</f>
        <v/>
      </c>
      <c r="S382" s="3" t="str">
        <f>IF($A382="","",IF(countif('Womens Lineup'!S$3:S1000,CONCATENATE("=",$A382))=0,"",S$2))</f>
        <v/>
      </c>
      <c r="W382" s="3" t="str">
        <f>IFERROR(__xludf.DUMMYFUNCTION("JOIN("","",FILTER(B382:S382,B382:S382&lt;&gt;""""))"),"#N/A")</f>
        <v>#N/A</v>
      </c>
    </row>
    <row r="383">
      <c r="A383" s="3"/>
      <c r="B383" s="3" t="str">
        <f>IF($A383="","",IF(countif('Womens Lineup'!B$3:B1000,CONCATENATE("=",$A383))=0,"",B$2))</f>
        <v/>
      </c>
      <c r="C383" s="3" t="str">
        <f>IF($A383="","",IF(countif('Womens Lineup'!C$3:C1000,CONCATENATE("=",$A383))=0,"",C$2))</f>
        <v/>
      </c>
      <c r="D383" s="3" t="str">
        <f>IF($A383="","",IF(countif('Womens Lineup'!D$3:D1000,CONCATENATE("=",$A383))=0,"",D$2))</f>
        <v/>
      </c>
      <c r="E383" s="3" t="str">
        <f>IF($A383="","",IF(countif('Womens Lineup'!E$3:E1000,CONCATENATE("=",$A383))=0,"",E$2))</f>
        <v/>
      </c>
      <c r="F383" s="3" t="str">
        <f>IF($A383="","",IF(countif('Womens Lineup'!F$3:F1000,CONCATENATE("=",$A383))=0,"",F$2))</f>
        <v/>
      </c>
      <c r="G383" s="3" t="str">
        <f>IF($A383="","",IF(countif('Womens Lineup'!G$3:G1000,CONCATENATE("=",$A383))=0,"",G$2))</f>
        <v/>
      </c>
      <c r="H383" s="3" t="str">
        <f>IF($A383="","",IF(countif('Womens Lineup'!H$3:H1000,CONCATENATE("=",$A383))=0,"",H$2))</f>
        <v/>
      </c>
      <c r="I383" s="3" t="str">
        <f>IF($A383="","",IF(countif('Womens Lineup'!I$3:I1000,CONCATENATE("=",$A383))=0,"",I$2))</f>
        <v/>
      </c>
      <c r="J383" s="3" t="str">
        <f>IF($A383="","",IF(countif('Womens Lineup'!J$3:J1000,CONCATENATE("=",$A383))=0,"",J$2))</f>
        <v/>
      </c>
      <c r="K383" s="3" t="str">
        <f>IF($A383="","",IF(countif('Womens Lineup'!K$3:K1000,CONCATENATE("=",$A383))=0,"",K$2))</f>
        <v/>
      </c>
      <c r="L383" s="3" t="str">
        <f>IF($A383="","",IF(countif('Womens Lineup'!L$3:L1000,CONCATENATE("=",$A383))=0,"",L$2))</f>
        <v/>
      </c>
      <c r="M383" s="3" t="str">
        <f>IF($A383="","",IF(countif('Womens Lineup'!M$3:M1000,CONCATENATE("=",$A383))=0,"",M$2))</f>
        <v/>
      </c>
      <c r="N383" s="3" t="str">
        <f>IF($A383="","",IF(countif('Womens Lineup'!N$3:N1000,CONCATENATE("=",$A383))=0,"",N$2))</f>
        <v/>
      </c>
      <c r="O383" s="3" t="str">
        <f>IF($A383="","",IF(countif('Womens Lineup'!O$3:O1000,CONCATENATE("=",$A383))=0,"",O$2))</f>
        <v/>
      </c>
      <c r="P383" s="3" t="str">
        <f>IF($A383="","",IF(countif('Womens Lineup'!P$3:P1000,CONCATENATE("=",$A383))=0,"",P$2))</f>
        <v/>
      </c>
      <c r="Q383" s="3" t="str">
        <f>IF($A383="","",IF(countif('Womens Lineup'!Q$3:Q1000,CONCATENATE("=",$A383))=0,"",Q$2))</f>
        <v/>
      </c>
      <c r="R383" s="3" t="str">
        <f>IF($A383="","",IF(countif('Womens Lineup'!R$3:R1000,CONCATENATE("=",$A383))=0,"",R$2))</f>
        <v/>
      </c>
      <c r="S383" s="3" t="str">
        <f>IF($A383="","",IF(countif('Womens Lineup'!S$3:S1000,CONCATENATE("=",$A383))=0,"",S$2))</f>
        <v/>
      </c>
      <c r="W383" s="3" t="str">
        <f>IFERROR(__xludf.DUMMYFUNCTION("JOIN("","",FILTER(B383:S383,B383:S383&lt;&gt;""""))"),"#N/A")</f>
        <v>#N/A</v>
      </c>
    </row>
    <row r="384">
      <c r="A384" s="3"/>
      <c r="B384" s="3" t="str">
        <f>IF($A384="","",IF(countif('Womens Lineup'!B$3:B1000,CONCATENATE("=",$A384))=0,"",B$2))</f>
        <v/>
      </c>
      <c r="C384" s="3" t="str">
        <f>IF($A384="","",IF(countif('Womens Lineup'!C$3:C1000,CONCATENATE("=",$A384))=0,"",C$2))</f>
        <v/>
      </c>
      <c r="D384" s="3" t="str">
        <f>IF($A384="","",IF(countif('Womens Lineup'!D$3:D1000,CONCATENATE("=",$A384))=0,"",D$2))</f>
        <v/>
      </c>
      <c r="E384" s="3" t="str">
        <f>IF($A384="","",IF(countif('Womens Lineup'!E$3:E1000,CONCATENATE("=",$A384))=0,"",E$2))</f>
        <v/>
      </c>
      <c r="F384" s="3" t="str">
        <f>IF($A384="","",IF(countif('Womens Lineup'!F$3:F1000,CONCATENATE("=",$A384))=0,"",F$2))</f>
        <v/>
      </c>
      <c r="G384" s="3" t="str">
        <f>IF($A384="","",IF(countif('Womens Lineup'!G$3:G1000,CONCATENATE("=",$A384))=0,"",G$2))</f>
        <v/>
      </c>
      <c r="H384" s="3" t="str">
        <f>IF($A384="","",IF(countif('Womens Lineup'!H$3:H1000,CONCATENATE("=",$A384))=0,"",H$2))</f>
        <v/>
      </c>
      <c r="I384" s="3" t="str">
        <f>IF($A384="","",IF(countif('Womens Lineup'!I$3:I1000,CONCATENATE("=",$A384))=0,"",I$2))</f>
        <v/>
      </c>
      <c r="J384" s="3" t="str">
        <f>IF($A384="","",IF(countif('Womens Lineup'!J$3:J1000,CONCATENATE("=",$A384))=0,"",J$2))</f>
        <v/>
      </c>
      <c r="K384" s="3" t="str">
        <f>IF($A384="","",IF(countif('Womens Lineup'!K$3:K1000,CONCATENATE("=",$A384))=0,"",K$2))</f>
        <v/>
      </c>
      <c r="L384" s="3" t="str">
        <f>IF($A384="","",IF(countif('Womens Lineup'!L$3:L1000,CONCATENATE("=",$A384))=0,"",L$2))</f>
        <v/>
      </c>
      <c r="M384" s="3" t="str">
        <f>IF($A384="","",IF(countif('Womens Lineup'!M$3:M1000,CONCATENATE("=",$A384))=0,"",M$2))</f>
        <v/>
      </c>
      <c r="N384" s="3" t="str">
        <f>IF($A384="","",IF(countif('Womens Lineup'!N$3:N1000,CONCATENATE("=",$A384))=0,"",N$2))</f>
        <v/>
      </c>
      <c r="O384" s="3" t="str">
        <f>IF($A384="","",IF(countif('Womens Lineup'!O$3:O1000,CONCATENATE("=",$A384))=0,"",O$2))</f>
        <v/>
      </c>
      <c r="P384" s="3" t="str">
        <f>IF($A384="","",IF(countif('Womens Lineup'!P$3:P1000,CONCATENATE("=",$A384))=0,"",P$2))</f>
        <v/>
      </c>
      <c r="Q384" s="3" t="str">
        <f>IF($A384="","",IF(countif('Womens Lineup'!Q$3:Q1000,CONCATENATE("=",$A384))=0,"",Q$2))</f>
        <v/>
      </c>
      <c r="R384" s="3" t="str">
        <f>IF($A384="","",IF(countif('Womens Lineup'!R$3:R1000,CONCATENATE("=",$A384))=0,"",R$2))</f>
        <v/>
      </c>
      <c r="S384" s="3" t="str">
        <f>IF($A384="","",IF(countif('Womens Lineup'!S$3:S1000,CONCATENATE("=",$A384))=0,"",S$2))</f>
        <v/>
      </c>
      <c r="W384" s="3" t="str">
        <f>IFERROR(__xludf.DUMMYFUNCTION("JOIN("","",FILTER(B384:S384,B384:S384&lt;&gt;""""))"),"#N/A")</f>
        <v>#N/A</v>
      </c>
    </row>
    <row r="385">
      <c r="A385" s="3"/>
      <c r="B385" s="3" t="str">
        <f>IF($A385="","",IF(countif('Womens Lineup'!B$3:B1000,CONCATENATE("=",$A385))=0,"",B$2))</f>
        <v/>
      </c>
      <c r="C385" s="3" t="str">
        <f>IF($A385="","",IF(countif('Womens Lineup'!C$3:C1000,CONCATENATE("=",$A385))=0,"",C$2))</f>
        <v/>
      </c>
      <c r="D385" s="3" t="str">
        <f>IF($A385="","",IF(countif('Womens Lineup'!D$3:D1000,CONCATENATE("=",$A385))=0,"",D$2))</f>
        <v/>
      </c>
      <c r="E385" s="3" t="str">
        <f>IF($A385="","",IF(countif('Womens Lineup'!E$3:E1000,CONCATENATE("=",$A385))=0,"",E$2))</f>
        <v/>
      </c>
      <c r="F385" s="3" t="str">
        <f>IF($A385="","",IF(countif('Womens Lineup'!F$3:F1000,CONCATENATE("=",$A385))=0,"",F$2))</f>
        <v/>
      </c>
      <c r="G385" s="3" t="str">
        <f>IF($A385="","",IF(countif('Womens Lineup'!G$3:G1000,CONCATENATE("=",$A385))=0,"",G$2))</f>
        <v/>
      </c>
      <c r="H385" s="3" t="str">
        <f>IF($A385="","",IF(countif('Womens Lineup'!H$3:H1000,CONCATENATE("=",$A385))=0,"",H$2))</f>
        <v/>
      </c>
      <c r="I385" s="3" t="str">
        <f>IF($A385="","",IF(countif('Womens Lineup'!I$3:I1000,CONCATENATE("=",$A385))=0,"",I$2))</f>
        <v/>
      </c>
      <c r="J385" s="3" t="str">
        <f>IF($A385="","",IF(countif('Womens Lineup'!J$3:J1000,CONCATENATE("=",$A385))=0,"",J$2))</f>
        <v/>
      </c>
      <c r="K385" s="3" t="str">
        <f>IF($A385="","",IF(countif('Womens Lineup'!K$3:K1000,CONCATENATE("=",$A385))=0,"",K$2))</f>
        <v/>
      </c>
      <c r="L385" s="3" t="str">
        <f>IF($A385="","",IF(countif('Womens Lineup'!L$3:L1000,CONCATENATE("=",$A385))=0,"",L$2))</f>
        <v/>
      </c>
      <c r="M385" s="3" t="str">
        <f>IF($A385="","",IF(countif('Womens Lineup'!M$3:M1000,CONCATENATE("=",$A385))=0,"",M$2))</f>
        <v/>
      </c>
      <c r="N385" s="3" t="str">
        <f>IF($A385="","",IF(countif('Womens Lineup'!N$3:N1000,CONCATENATE("=",$A385))=0,"",N$2))</f>
        <v/>
      </c>
      <c r="O385" s="3" t="str">
        <f>IF($A385="","",IF(countif('Womens Lineup'!O$3:O1000,CONCATENATE("=",$A385))=0,"",O$2))</f>
        <v/>
      </c>
      <c r="P385" s="3" t="str">
        <f>IF($A385="","",IF(countif('Womens Lineup'!P$3:P1000,CONCATENATE("=",$A385))=0,"",P$2))</f>
        <v/>
      </c>
      <c r="Q385" s="3" t="str">
        <f>IF($A385="","",IF(countif('Womens Lineup'!Q$3:Q1000,CONCATENATE("=",$A385))=0,"",Q$2))</f>
        <v/>
      </c>
      <c r="R385" s="3" t="str">
        <f>IF($A385="","",IF(countif('Womens Lineup'!R$3:R1000,CONCATENATE("=",$A385))=0,"",R$2))</f>
        <v/>
      </c>
      <c r="S385" s="3" t="str">
        <f>IF($A385="","",IF(countif('Womens Lineup'!S$3:S1000,CONCATENATE("=",$A385))=0,"",S$2))</f>
        <v/>
      </c>
      <c r="W385" s="3" t="str">
        <f>IFERROR(__xludf.DUMMYFUNCTION("JOIN("","",FILTER(B385:S385,B385:S385&lt;&gt;""""))"),"#N/A")</f>
        <v>#N/A</v>
      </c>
    </row>
    <row r="386">
      <c r="A386" s="3"/>
      <c r="B386" s="3" t="str">
        <f>IF($A386="","",IF(countif('Womens Lineup'!B$3:B1000,CONCATENATE("=",$A386))=0,"",B$2))</f>
        <v/>
      </c>
      <c r="C386" s="3" t="str">
        <f>IF($A386="","",IF(countif('Womens Lineup'!C$3:C1000,CONCATENATE("=",$A386))=0,"",C$2))</f>
        <v/>
      </c>
      <c r="D386" s="3" t="str">
        <f>IF($A386="","",IF(countif('Womens Lineup'!D$3:D1000,CONCATENATE("=",$A386))=0,"",D$2))</f>
        <v/>
      </c>
      <c r="E386" s="3" t="str">
        <f>IF($A386="","",IF(countif('Womens Lineup'!E$3:E1000,CONCATENATE("=",$A386))=0,"",E$2))</f>
        <v/>
      </c>
      <c r="F386" s="3" t="str">
        <f>IF($A386="","",IF(countif('Womens Lineup'!F$3:F1000,CONCATENATE("=",$A386))=0,"",F$2))</f>
        <v/>
      </c>
      <c r="G386" s="3" t="str">
        <f>IF($A386="","",IF(countif('Womens Lineup'!G$3:G1000,CONCATENATE("=",$A386))=0,"",G$2))</f>
        <v/>
      </c>
      <c r="H386" s="3" t="str">
        <f>IF($A386="","",IF(countif('Womens Lineup'!H$3:H1000,CONCATENATE("=",$A386))=0,"",H$2))</f>
        <v/>
      </c>
      <c r="I386" s="3" t="str">
        <f>IF($A386="","",IF(countif('Womens Lineup'!I$3:I1000,CONCATENATE("=",$A386))=0,"",I$2))</f>
        <v/>
      </c>
      <c r="J386" s="3" t="str">
        <f>IF($A386="","",IF(countif('Womens Lineup'!J$3:J1000,CONCATENATE("=",$A386))=0,"",J$2))</f>
        <v/>
      </c>
      <c r="K386" s="3" t="str">
        <f>IF($A386="","",IF(countif('Womens Lineup'!K$3:K1000,CONCATENATE("=",$A386))=0,"",K$2))</f>
        <v/>
      </c>
      <c r="L386" s="3" t="str">
        <f>IF($A386="","",IF(countif('Womens Lineup'!L$3:L1000,CONCATENATE("=",$A386))=0,"",L$2))</f>
        <v/>
      </c>
      <c r="M386" s="3" t="str">
        <f>IF($A386="","",IF(countif('Womens Lineup'!M$3:M1000,CONCATENATE("=",$A386))=0,"",M$2))</f>
        <v/>
      </c>
      <c r="N386" s="3" t="str">
        <f>IF($A386="","",IF(countif('Womens Lineup'!N$3:N1000,CONCATENATE("=",$A386))=0,"",N$2))</f>
        <v/>
      </c>
      <c r="O386" s="3" t="str">
        <f>IF($A386="","",IF(countif('Womens Lineup'!O$3:O1000,CONCATENATE("=",$A386))=0,"",O$2))</f>
        <v/>
      </c>
      <c r="P386" s="3" t="str">
        <f>IF($A386="","",IF(countif('Womens Lineup'!P$3:P1000,CONCATENATE("=",$A386))=0,"",P$2))</f>
        <v/>
      </c>
      <c r="Q386" s="3" t="str">
        <f>IF($A386="","",IF(countif('Womens Lineup'!Q$3:Q1000,CONCATENATE("=",$A386))=0,"",Q$2))</f>
        <v/>
      </c>
      <c r="R386" s="3" t="str">
        <f>IF($A386="","",IF(countif('Womens Lineup'!R$3:R1000,CONCATENATE("=",$A386))=0,"",R$2))</f>
        <v/>
      </c>
      <c r="S386" s="3" t="str">
        <f>IF($A386="","",IF(countif('Womens Lineup'!S$3:S1000,CONCATENATE("=",$A386))=0,"",S$2))</f>
        <v/>
      </c>
      <c r="W386" s="3" t="str">
        <f>IFERROR(__xludf.DUMMYFUNCTION("JOIN("","",FILTER(B386:S386,B386:S386&lt;&gt;""""))"),"#N/A")</f>
        <v>#N/A</v>
      </c>
    </row>
    <row r="387">
      <c r="A387" s="3"/>
      <c r="B387" s="3" t="str">
        <f>IF($A387="","",IF(countif('Womens Lineup'!B$3:B1000,CONCATENATE("=",$A387))=0,"",B$2))</f>
        <v/>
      </c>
      <c r="C387" s="3" t="str">
        <f>IF($A387="","",IF(countif('Womens Lineup'!C$3:C1000,CONCATENATE("=",$A387))=0,"",C$2))</f>
        <v/>
      </c>
      <c r="D387" s="3" t="str">
        <f>IF($A387="","",IF(countif('Womens Lineup'!D$3:D1000,CONCATENATE("=",$A387))=0,"",D$2))</f>
        <v/>
      </c>
      <c r="E387" s="3" t="str">
        <f>IF($A387="","",IF(countif('Womens Lineup'!E$3:E1000,CONCATENATE("=",$A387))=0,"",E$2))</f>
        <v/>
      </c>
      <c r="F387" s="3" t="str">
        <f>IF($A387="","",IF(countif('Womens Lineup'!F$3:F1000,CONCATENATE("=",$A387))=0,"",F$2))</f>
        <v/>
      </c>
      <c r="G387" s="3" t="str">
        <f>IF($A387="","",IF(countif('Womens Lineup'!G$3:G1000,CONCATENATE("=",$A387))=0,"",G$2))</f>
        <v/>
      </c>
      <c r="H387" s="3" t="str">
        <f>IF($A387="","",IF(countif('Womens Lineup'!H$3:H1000,CONCATENATE("=",$A387))=0,"",H$2))</f>
        <v/>
      </c>
      <c r="I387" s="3" t="str">
        <f>IF($A387="","",IF(countif('Womens Lineup'!I$3:I1000,CONCATENATE("=",$A387))=0,"",I$2))</f>
        <v/>
      </c>
      <c r="J387" s="3" t="str">
        <f>IF($A387="","",IF(countif('Womens Lineup'!J$3:J1000,CONCATENATE("=",$A387))=0,"",J$2))</f>
        <v/>
      </c>
      <c r="K387" s="3" t="str">
        <f>IF($A387="","",IF(countif('Womens Lineup'!K$3:K1000,CONCATENATE("=",$A387))=0,"",K$2))</f>
        <v/>
      </c>
      <c r="L387" s="3" t="str">
        <f>IF($A387="","",IF(countif('Womens Lineup'!L$3:L1000,CONCATENATE("=",$A387))=0,"",L$2))</f>
        <v/>
      </c>
      <c r="M387" s="3" t="str">
        <f>IF($A387="","",IF(countif('Womens Lineup'!M$3:M1000,CONCATENATE("=",$A387))=0,"",M$2))</f>
        <v/>
      </c>
      <c r="N387" s="3" t="str">
        <f>IF($A387="","",IF(countif('Womens Lineup'!N$3:N1000,CONCATENATE("=",$A387))=0,"",N$2))</f>
        <v/>
      </c>
      <c r="O387" s="3" t="str">
        <f>IF($A387="","",IF(countif('Womens Lineup'!O$3:O1000,CONCATENATE("=",$A387))=0,"",O$2))</f>
        <v/>
      </c>
      <c r="P387" s="3" t="str">
        <f>IF($A387="","",IF(countif('Womens Lineup'!P$3:P1000,CONCATENATE("=",$A387))=0,"",P$2))</f>
        <v/>
      </c>
      <c r="Q387" s="3" t="str">
        <f>IF($A387="","",IF(countif('Womens Lineup'!Q$3:Q1000,CONCATENATE("=",$A387))=0,"",Q$2))</f>
        <v/>
      </c>
      <c r="R387" s="3" t="str">
        <f>IF($A387="","",IF(countif('Womens Lineup'!R$3:R1000,CONCATENATE("=",$A387))=0,"",R$2))</f>
        <v/>
      </c>
      <c r="S387" s="3" t="str">
        <f>IF($A387="","",IF(countif('Womens Lineup'!S$3:S1000,CONCATENATE("=",$A387))=0,"",S$2))</f>
        <v/>
      </c>
      <c r="W387" s="3" t="str">
        <f>IFERROR(__xludf.DUMMYFUNCTION("JOIN("","",FILTER(B387:S387,B387:S387&lt;&gt;""""))"),"#N/A")</f>
        <v>#N/A</v>
      </c>
    </row>
    <row r="388">
      <c r="A388" s="3"/>
      <c r="B388" s="3" t="str">
        <f>IF($A388="","",IF(countif('Womens Lineup'!B$3:B1000,CONCATENATE("=",$A388))=0,"",B$2))</f>
        <v/>
      </c>
      <c r="C388" s="3" t="str">
        <f>IF($A388="","",IF(countif('Womens Lineup'!C$3:C1000,CONCATENATE("=",$A388))=0,"",C$2))</f>
        <v/>
      </c>
      <c r="D388" s="3" t="str">
        <f>IF($A388="","",IF(countif('Womens Lineup'!D$3:D1000,CONCATENATE("=",$A388))=0,"",D$2))</f>
        <v/>
      </c>
      <c r="E388" s="3" t="str">
        <f>IF($A388="","",IF(countif('Womens Lineup'!E$3:E1000,CONCATENATE("=",$A388))=0,"",E$2))</f>
        <v/>
      </c>
      <c r="F388" s="3" t="str">
        <f>IF($A388="","",IF(countif('Womens Lineup'!F$3:F1000,CONCATENATE("=",$A388))=0,"",F$2))</f>
        <v/>
      </c>
      <c r="G388" s="3" t="str">
        <f>IF($A388="","",IF(countif('Womens Lineup'!G$3:G1000,CONCATENATE("=",$A388))=0,"",G$2))</f>
        <v/>
      </c>
      <c r="H388" s="3" t="str">
        <f>IF($A388="","",IF(countif('Womens Lineup'!H$3:H1000,CONCATENATE("=",$A388))=0,"",H$2))</f>
        <v/>
      </c>
      <c r="I388" s="3" t="str">
        <f>IF($A388="","",IF(countif('Womens Lineup'!I$3:I1000,CONCATENATE("=",$A388))=0,"",I$2))</f>
        <v/>
      </c>
      <c r="J388" s="3" t="str">
        <f>IF($A388="","",IF(countif('Womens Lineup'!J$3:J1000,CONCATENATE("=",$A388))=0,"",J$2))</f>
        <v/>
      </c>
      <c r="K388" s="3" t="str">
        <f>IF($A388="","",IF(countif('Womens Lineup'!K$3:K1000,CONCATENATE("=",$A388))=0,"",K$2))</f>
        <v/>
      </c>
      <c r="L388" s="3" t="str">
        <f>IF($A388="","",IF(countif('Womens Lineup'!L$3:L1000,CONCATENATE("=",$A388))=0,"",L$2))</f>
        <v/>
      </c>
      <c r="M388" s="3" t="str">
        <f>IF($A388="","",IF(countif('Womens Lineup'!M$3:M1000,CONCATENATE("=",$A388))=0,"",M$2))</f>
        <v/>
      </c>
      <c r="N388" s="3" t="str">
        <f>IF($A388="","",IF(countif('Womens Lineup'!N$3:N1000,CONCATENATE("=",$A388))=0,"",N$2))</f>
        <v/>
      </c>
      <c r="O388" s="3" t="str">
        <f>IF($A388="","",IF(countif('Womens Lineup'!O$3:O1000,CONCATENATE("=",$A388))=0,"",O$2))</f>
        <v/>
      </c>
      <c r="P388" s="3" t="str">
        <f>IF($A388="","",IF(countif('Womens Lineup'!P$3:P1000,CONCATENATE("=",$A388))=0,"",P$2))</f>
        <v/>
      </c>
      <c r="Q388" s="3" t="str">
        <f>IF($A388="","",IF(countif('Womens Lineup'!Q$3:Q1000,CONCATENATE("=",$A388))=0,"",Q$2))</f>
        <v/>
      </c>
      <c r="R388" s="3" t="str">
        <f>IF($A388="","",IF(countif('Womens Lineup'!R$3:R1000,CONCATENATE("=",$A388))=0,"",R$2))</f>
        <v/>
      </c>
      <c r="S388" s="3" t="str">
        <f>IF($A388="","",IF(countif('Womens Lineup'!S$3:S1000,CONCATENATE("=",$A388))=0,"",S$2))</f>
        <v/>
      </c>
      <c r="W388" s="3" t="str">
        <f>IFERROR(__xludf.DUMMYFUNCTION("JOIN("","",FILTER(B388:S388,B388:S388&lt;&gt;""""))"),"#N/A")</f>
        <v>#N/A</v>
      </c>
    </row>
    <row r="389">
      <c r="A389" s="3"/>
      <c r="B389" s="3" t="str">
        <f>IF($A389="","",IF(countif('Womens Lineup'!B$3:B1000,CONCATENATE("=",$A389))=0,"",B$2))</f>
        <v/>
      </c>
      <c r="C389" s="3" t="str">
        <f>IF($A389="","",IF(countif('Womens Lineup'!C$3:C1000,CONCATENATE("=",$A389))=0,"",C$2))</f>
        <v/>
      </c>
      <c r="D389" s="3" t="str">
        <f>IF($A389="","",IF(countif('Womens Lineup'!D$3:D1000,CONCATENATE("=",$A389))=0,"",D$2))</f>
        <v/>
      </c>
      <c r="E389" s="3" t="str">
        <f>IF($A389="","",IF(countif('Womens Lineup'!E$3:E1000,CONCATENATE("=",$A389))=0,"",E$2))</f>
        <v/>
      </c>
      <c r="F389" s="3" t="str">
        <f>IF($A389="","",IF(countif('Womens Lineup'!F$3:F1000,CONCATENATE("=",$A389))=0,"",F$2))</f>
        <v/>
      </c>
      <c r="G389" s="3" t="str">
        <f>IF($A389="","",IF(countif('Womens Lineup'!G$3:G1000,CONCATENATE("=",$A389))=0,"",G$2))</f>
        <v/>
      </c>
      <c r="H389" s="3" t="str">
        <f>IF($A389="","",IF(countif('Womens Lineup'!H$3:H1000,CONCATENATE("=",$A389))=0,"",H$2))</f>
        <v/>
      </c>
      <c r="I389" s="3" t="str">
        <f>IF($A389="","",IF(countif('Womens Lineup'!I$3:I1000,CONCATENATE("=",$A389))=0,"",I$2))</f>
        <v/>
      </c>
      <c r="J389" s="3" t="str">
        <f>IF($A389="","",IF(countif('Womens Lineup'!J$3:J1000,CONCATENATE("=",$A389))=0,"",J$2))</f>
        <v/>
      </c>
      <c r="K389" s="3" t="str">
        <f>IF($A389="","",IF(countif('Womens Lineup'!K$3:K1000,CONCATENATE("=",$A389))=0,"",K$2))</f>
        <v/>
      </c>
      <c r="L389" s="3" t="str">
        <f>IF($A389="","",IF(countif('Womens Lineup'!L$3:L1000,CONCATENATE("=",$A389))=0,"",L$2))</f>
        <v/>
      </c>
      <c r="M389" s="3" t="str">
        <f>IF($A389="","",IF(countif('Womens Lineup'!M$3:M1000,CONCATENATE("=",$A389))=0,"",M$2))</f>
        <v/>
      </c>
      <c r="N389" s="3" t="str">
        <f>IF($A389="","",IF(countif('Womens Lineup'!N$3:N1000,CONCATENATE("=",$A389))=0,"",N$2))</f>
        <v/>
      </c>
      <c r="O389" s="3" t="str">
        <f>IF($A389="","",IF(countif('Womens Lineup'!O$3:O1000,CONCATENATE("=",$A389))=0,"",O$2))</f>
        <v/>
      </c>
      <c r="P389" s="3" t="str">
        <f>IF($A389="","",IF(countif('Womens Lineup'!P$3:P1000,CONCATENATE("=",$A389))=0,"",P$2))</f>
        <v/>
      </c>
      <c r="Q389" s="3" t="str">
        <f>IF($A389="","",IF(countif('Womens Lineup'!Q$3:Q1000,CONCATENATE("=",$A389))=0,"",Q$2))</f>
        <v/>
      </c>
      <c r="R389" s="3" t="str">
        <f>IF($A389="","",IF(countif('Womens Lineup'!R$3:R1000,CONCATENATE("=",$A389))=0,"",R$2))</f>
        <v/>
      </c>
      <c r="S389" s="3" t="str">
        <f>IF($A389="","",IF(countif('Womens Lineup'!S$3:S1000,CONCATENATE("=",$A389))=0,"",S$2))</f>
        <v/>
      </c>
      <c r="W389" s="3" t="str">
        <f>IFERROR(__xludf.DUMMYFUNCTION("JOIN("","",FILTER(B389:S389,B389:S389&lt;&gt;""""))"),"#N/A")</f>
        <v>#N/A</v>
      </c>
    </row>
    <row r="390">
      <c r="A390" s="3"/>
      <c r="B390" s="3" t="str">
        <f>IF($A390="","",IF(countif('Womens Lineup'!B$3:B1000,CONCATENATE("=",$A390))=0,"",B$2))</f>
        <v/>
      </c>
      <c r="C390" s="3" t="str">
        <f>IF($A390="","",IF(countif('Womens Lineup'!C$3:C1000,CONCATENATE("=",$A390))=0,"",C$2))</f>
        <v/>
      </c>
      <c r="D390" s="3" t="str">
        <f>IF($A390="","",IF(countif('Womens Lineup'!D$3:D1000,CONCATENATE("=",$A390))=0,"",D$2))</f>
        <v/>
      </c>
      <c r="E390" s="3" t="str">
        <f>IF($A390="","",IF(countif('Womens Lineup'!E$3:E1000,CONCATENATE("=",$A390))=0,"",E$2))</f>
        <v/>
      </c>
      <c r="F390" s="3" t="str">
        <f>IF($A390="","",IF(countif('Womens Lineup'!F$3:F1000,CONCATENATE("=",$A390))=0,"",F$2))</f>
        <v/>
      </c>
      <c r="G390" s="3" t="str">
        <f>IF($A390="","",IF(countif('Womens Lineup'!G$3:G1000,CONCATENATE("=",$A390))=0,"",G$2))</f>
        <v/>
      </c>
      <c r="H390" s="3" t="str">
        <f>IF($A390="","",IF(countif('Womens Lineup'!H$3:H1000,CONCATENATE("=",$A390))=0,"",H$2))</f>
        <v/>
      </c>
      <c r="I390" s="3" t="str">
        <f>IF($A390="","",IF(countif('Womens Lineup'!I$3:I1000,CONCATENATE("=",$A390))=0,"",I$2))</f>
        <v/>
      </c>
      <c r="J390" s="3" t="str">
        <f>IF($A390="","",IF(countif('Womens Lineup'!J$3:J1000,CONCATENATE("=",$A390))=0,"",J$2))</f>
        <v/>
      </c>
      <c r="K390" s="3" t="str">
        <f>IF($A390="","",IF(countif('Womens Lineup'!K$3:K1000,CONCATENATE("=",$A390))=0,"",K$2))</f>
        <v/>
      </c>
      <c r="L390" s="3" t="str">
        <f>IF($A390="","",IF(countif('Womens Lineup'!L$3:L1000,CONCATENATE("=",$A390))=0,"",L$2))</f>
        <v/>
      </c>
      <c r="M390" s="3" t="str">
        <f>IF($A390="","",IF(countif('Womens Lineup'!M$3:M1000,CONCATENATE("=",$A390))=0,"",M$2))</f>
        <v/>
      </c>
      <c r="N390" s="3" t="str">
        <f>IF($A390="","",IF(countif('Womens Lineup'!N$3:N1000,CONCATENATE("=",$A390))=0,"",N$2))</f>
        <v/>
      </c>
      <c r="O390" s="3" t="str">
        <f>IF($A390="","",IF(countif('Womens Lineup'!O$3:O1000,CONCATENATE("=",$A390))=0,"",O$2))</f>
        <v/>
      </c>
      <c r="P390" s="3" t="str">
        <f>IF($A390="","",IF(countif('Womens Lineup'!P$3:P1000,CONCATENATE("=",$A390))=0,"",P$2))</f>
        <v/>
      </c>
      <c r="Q390" s="3" t="str">
        <f>IF($A390="","",IF(countif('Womens Lineup'!Q$3:Q1000,CONCATENATE("=",$A390))=0,"",Q$2))</f>
        <v/>
      </c>
      <c r="R390" s="3" t="str">
        <f>IF($A390="","",IF(countif('Womens Lineup'!R$3:R1000,CONCATENATE("=",$A390))=0,"",R$2))</f>
        <v/>
      </c>
      <c r="S390" s="3" t="str">
        <f>IF($A390="","",IF(countif('Womens Lineup'!S$3:S1000,CONCATENATE("=",$A390))=0,"",S$2))</f>
        <v/>
      </c>
      <c r="W390" s="3" t="str">
        <f>IFERROR(__xludf.DUMMYFUNCTION("JOIN("","",FILTER(B390:S390,B390:S390&lt;&gt;""""))"),"#N/A")</f>
        <v>#N/A</v>
      </c>
    </row>
    <row r="391">
      <c r="A391" s="3"/>
      <c r="B391" s="3" t="str">
        <f>IF($A391="","",IF(countif('Womens Lineup'!B$3:B1000,CONCATENATE("=",$A391))=0,"",B$2))</f>
        <v/>
      </c>
      <c r="C391" s="3" t="str">
        <f>IF($A391="","",IF(countif('Womens Lineup'!C$3:C1000,CONCATENATE("=",$A391))=0,"",C$2))</f>
        <v/>
      </c>
      <c r="D391" s="3" t="str">
        <f>IF($A391="","",IF(countif('Womens Lineup'!D$3:D1000,CONCATENATE("=",$A391))=0,"",D$2))</f>
        <v/>
      </c>
      <c r="E391" s="3" t="str">
        <f>IF($A391="","",IF(countif('Womens Lineup'!E$3:E1000,CONCATENATE("=",$A391))=0,"",E$2))</f>
        <v/>
      </c>
      <c r="F391" s="3" t="str">
        <f>IF($A391="","",IF(countif('Womens Lineup'!F$3:F1000,CONCATENATE("=",$A391))=0,"",F$2))</f>
        <v/>
      </c>
      <c r="G391" s="3" t="str">
        <f>IF($A391="","",IF(countif('Womens Lineup'!G$3:G1000,CONCATENATE("=",$A391))=0,"",G$2))</f>
        <v/>
      </c>
      <c r="H391" s="3" t="str">
        <f>IF($A391="","",IF(countif('Womens Lineup'!H$3:H1000,CONCATENATE("=",$A391))=0,"",H$2))</f>
        <v/>
      </c>
      <c r="I391" s="3" t="str">
        <f>IF($A391="","",IF(countif('Womens Lineup'!I$3:I1000,CONCATENATE("=",$A391))=0,"",I$2))</f>
        <v/>
      </c>
      <c r="J391" s="3" t="str">
        <f>IF($A391="","",IF(countif('Womens Lineup'!J$3:J1000,CONCATENATE("=",$A391))=0,"",J$2))</f>
        <v/>
      </c>
      <c r="K391" s="3" t="str">
        <f>IF($A391="","",IF(countif('Womens Lineup'!K$3:K1000,CONCATENATE("=",$A391))=0,"",K$2))</f>
        <v/>
      </c>
      <c r="L391" s="3" t="str">
        <f>IF($A391="","",IF(countif('Womens Lineup'!L$3:L1000,CONCATENATE("=",$A391))=0,"",L$2))</f>
        <v/>
      </c>
      <c r="M391" s="3" t="str">
        <f>IF($A391="","",IF(countif('Womens Lineup'!M$3:M1000,CONCATENATE("=",$A391))=0,"",M$2))</f>
        <v/>
      </c>
      <c r="N391" s="3" t="str">
        <f>IF($A391="","",IF(countif('Womens Lineup'!N$3:N1000,CONCATENATE("=",$A391))=0,"",N$2))</f>
        <v/>
      </c>
      <c r="O391" s="3" t="str">
        <f>IF($A391="","",IF(countif('Womens Lineup'!O$3:O1000,CONCATENATE("=",$A391))=0,"",O$2))</f>
        <v/>
      </c>
      <c r="P391" s="3" t="str">
        <f>IF($A391="","",IF(countif('Womens Lineup'!P$3:P1000,CONCATENATE("=",$A391))=0,"",P$2))</f>
        <v/>
      </c>
      <c r="Q391" s="3" t="str">
        <f>IF($A391="","",IF(countif('Womens Lineup'!Q$3:Q1000,CONCATENATE("=",$A391))=0,"",Q$2))</f>
        <v/>
      </c>
      <c r="R391" s="3" t="str">
        <f>IF($A391="","",IF(countif('Womens Lineup'!R$3:R1000,CONCATENATE("=",$A391))=0,"",R$2))</f>
        <v/>
      </c>
      <c r="S391" s="3" t="str">
        <f>IF($A391="","",IF(countif('Womens Lineup'!S$3:S1000,CONCATENATE("=",$A391))=0,"",S$2))</f>
        <v/>
      </c>
      <c r="W391" s="3" t="str">
        <f>IFERROR(__xludf.DUMMYFUNCTION("JOIN("","",FILTER(B391:S391,B391:S391&lt;&gt;""""))"),"#N/A")</f>
        <v>#N/A</v>
      </c>
    </row>
    <row r="392">
      <c r="A392" s="3"/>
      <c r="B392" s="3" t="str">
        <f>IF($A392="","",IF(countif('Womens Lineup'!B$3:B1000,CONCATENATE("=",$A392))=0,"",B$2))</f>
        <v/>
      </c>
      <c r="C392" s="3" t="str">
        <f>IF($A392="","",IF(countif('Womens Lineup'!C$3:C1000,CONCATENATE("=",$A392))=0,"",C$2))</f>
        <v/>
      </c>
      <c r="D392" s="3" t="str">
        <f>IF($A392="","",IF(countif('Womens Lineup'!D$3:D1000,CONCATENATE("=",$A392))=0,"",D$2))</f>
        <v/>
      </c>
      <c r="E392" s="3" t="str">
        <f>IF($A392="","",IF(countif('Womens Lineup'!E$3:E1000,CONCATENATE("=",$A392))=0,"",E$2))</f>
        <v/>
      </c>
      <c r="F392" s="3" t="str">
        <f>IF($A392="","",IF(countif('Womens Lineup'!F$3:F1000,CONCATENATE("=",$A392))=0,"",F$2))</f>
        <v/>
      </c>
      <c r="G392" s="3" t="str">
        <f>IF($A392="","",IF(countif('Womens Lineup'!G$3:G1000,CONCATENATE("=",$A392))=0,"",G$2))</f>
        <v/>
      </c>
      <c r="H392" s="3" t="str">
        <f>IF($A392="","",IF(countif('Womens Lineup'!H$3:H1000,CONCATENATE("=",$A392))=0,"",H$2))</f>
        <v/>
      </c>
      <c r="I392" s="3" t="str">
        <f>IF($A392="","",IF(countif('Womens Lineup'!I$3:I1000,CONCATENATE("=",$A392))=0,"",I$2))</f>
        <v/>
      </c>
      <c r="J392" s="3" t="str">
        <f>IF($A392="","",IF(countif('Womens Lineup'!J$3:J1000,CONCATENATE("=",$A392))=0,"",J$2))</f>
        <v/>
      </c>
      <c r="K392" s="3" t="str">
        <f>IF($A392="","",IF(countif('Womens Lineup'!K$3:K1000,CONCATENATE("=",$A392))=0,"",K$2))</f>
        <v/>
      </c>
      <c r="L392" s="3" t="str">
        <f>IF($A392="","",IF(countif('Womens Lineup'!L$3:L1000,CONCATENATE("=",$A392))=0,"",L$2))</f>
        <v/>
      </c>
      <c r="M392" s="3" t="str">
        <f>IF($A392="","",IF(countif('Womens Lineup'!M$3:M1000,CONCATENATE("=",$A392))=0,"",M$2))</f>
        <v/>
      </c>
      <c r="N392" s="3" t="str">
        <f>IF($A392="","",IF(countif('Womens Lineup'!N$3:N1000,CONCATENATE("=",$A392))=0,"",N$2))</f>
        <v/>
      </c>
      <c r="O392" s="3" t="str">
        <f>IF($A392="","",IF(countif('Womens Lineup'!O$3:O1000,CONCATENATE("=",$A392))=0,"",O$2))</f>
        <v/>
      </c>
      <c r="P392" s="3" t="str">
        <f>IF($A392="","",IF(countif('Womens Lineup'!P$3:P1000,CONCATENATE("=",$A392))=0,"",P$2))</f>
        <v/>
      </c>
      <c r="Q392" s="3" t="str">
        <f>IF($A392="","",IF(countif('Womens Lineup'!Q$3:Q1000,CONCATENATE("=",$A392))=0,"",Q$2))</f>
        <v/>
      </c>
      <c r="R392" s="3" t="str">
        <f>IF($A392="","",IF(countif('Womens Lineup'!R$3:R1000,CONCATENATE("=",$A392))=0,"",R$2))</f>
        <v/>
      </c>
      <c r="S392" s="3" t="str">
        <f>IF($A392="","",IF(countif('Womens Lineup'!S$3:S1000,CONCATENATE("=",$A392))=0,"",S$2))</f>
        <v/>
      </c>
      <c r="W392" s="3" t="str">
        <f>IFERROR(__xludf.DUMMYFUNCTION("JOIN("","",FILTER(B392:S392,B392:S392&lt;&gt;""""))"),"#N/A")</f>
        <v>#N/A</v>
      </c>
    </row>
    <row r="393">
      <c r="A393" s="3"/>
      <c r="B393" s="3" t="str">
        <f>IF($A393="","",IF(countif('Womens Lineup'!B$3:B1000,CONCATENATE("=",$A393))=0,"",B$2))</f>
        <v/>
      </c>
      <c r="C393" s="3" t="str">
        <f>IF($A393="","",IF(countif('Womens Lineup'!C$3:C1000,CONCATENATE("=",$A393))=0,"",C$2))</f>
        <v/>
      </c>
      <c r="D393" s="3" t="str">
        <f>IF($A393="","",IF(countif('Womens Lineup'!D$3:D1000,CONCATENATE("=",$A393))=0,"",D$2))</f>
        <v/>
      </c>
      <c r="E393" s="3" t="str">
        <f>IF($A393="","",IF(countif('Womens Lineup'!E$3:E1000,CONCATENATE("=",$A393))=0,"",E$2))</f>
        <v/>
      </c>
      <c r="F393" s="3" t="str">
        <f>IF($A393="","",IF(countif('Womens Lineup'!F$3:F1000,CONCATENATE("=",$A393))=0,"",F$2))</f>
        <v/>
      </c>
      <c r="G393" s="3" t="str">
        <f>IF($A393="","",IF(countif('Womens Lineup'!G$3:G1000,CONCATENATE("=",$A393))=0,"",G$2))</f>
        <v/>
      </c>
      <c r="H393" s="3" t="str">
        <f>IF($A393="","",IF(countif('Womens Lineup'!H$3:H1000,CONCATENATE("=",$A393))=0,"",H$2))</f>
        <v/>
      </c>
      <c r="I393" s="3" t="str">
        <f>IF($A393="","",IF(countif('Womens Lineup'!I$3:I1000,CONCATENATE("=",$A393))=0,"",I$2))</f>
        <v/>
      </c>
      <c r="J393" s="3" t="str">
        <f>IF($A393="","",IF(countif('Womens Lineup'!J$3:J1000,CONCATENATE("=",$A393))=0,"",J$2))</f>
        <v/>
      </c>
      <c r="K393" s="3" t="str">
        <f>IF($A393="","",IF(countif('Womens Lineup'!K$3:K1000,CONCATENATE("=",$A393))=0,"",K$2))</f>
        <v/>
      </c>
      <c r="L393" s="3" t="str">
        <f>IF($A393="","",IF(countif('Womens Lineup'!L$3:L1000,CONCATENATE("=",$A393))=0,"",L$2))</f>
        <v/>
      </c>
      <c r="M393" s="3" t="str">
        <f>IF($A393="","",IF(countif('Womens Lineup'!M$3:M1000,CONCATENATE("=",$A393))=0,"",M$2))</f>
        <v/>
      </c>
      <c r="N393" s="3" t="str">
        <f>IF($A393="","",IF(countif('Womens Lineup'!N$3:N1000,CONCATENATE("=",$A393))=0,"",N$2))</f>
        <v/>
      </c>
      <c r="O393" s="3" t="str">
        <f>IF($A393="","",IF(countif('Womens Lineup'!O$3:O1000,CONCATENATE("=",$A393))=0,"",O$2))</f>
        <v/>
      </c>
      <c r="P393" s="3" t="str">
        <f>IF($A393="","",IF(countif('Womens Lineup'!P$3:P1000,CONCATENATE("=",$A393))=0,"",P$2))</f>
        <v/>
      </c>
      <c r="Q393" s="3" t="str">
        <f>IF($A393="","",IF(countif('Womens Lineup'!Q$3:Q1000,CONCATENATE("=",$A393))=0,"",Q$2))</f>
        <v/>
      </c>
      <c r="R393" s="3" t="str">
        <f>IF($A393="","",IF(countif('Womens Lineup'!R$3:R1000,CONCATENATE("=",$A393))=0,"",R$2))</f>
        <v/>
      </c>
      <c r="S393" s="3" t="str">
        <f>IF($A393="","",IF(countif('Womens Lineup'!S$3:S1000,CONCATENATE("=",$A393))=0,"",S$2))</f>
        <v/>
      </c>
      <c r="W393" s="3" t="str">
        <f>IFERROR(__xludf.DUMMYFUNCTION("JOIN("","",FILTER(B393:S393,B393:S393&lt;&gt;""""))"),"#N/A")</f>
        <v>#N/A</v>
      </c>
    </row>
    <row r="394">
      <c r="A394" s="3"/>
      <c r="B394" s="3" t="str">
        <f>IF($A394="","",IF(countif('Womens Lineup'!B$3:B1000,CONCATENATE("=",$A394))=0,"",B$2))</f>
        <v/>
      </c>
      <c r="C394" s="3" t="str">
        <f>IF($A394="","",IF(countif('Womens Lineup'!C$3:C1000,CONCATENATE("=",$A394))=0,"",C$2))</f>
        <v/>
      </c>
      <c r="D394" s="3" t="str">
        <f>IF($A394="","",IF(countif('Womens Lineup'!D$3:D1000,CONCATENATE("=",$A394))=0,"",D$2))</f>
        <v/>
      </c>
      <c r="E394" s="3" t="str">
        <f>IF($A394="","",IF(countif('Womens Lineup'!E$3:E1000,CONCATENATE("=",$A394))=0,"",E$2))</f>
        <v/>
      </c>
      <c r="F394" s="3" t="str">
        <f>IF($A394="","",IF(countif('Womens Lineup'!F$3:F1000,CONCATENATE("=",$A394))=0,"",F$2))</f>
        <v/>
      </c>
      <c r="G394" s="3" t="str">
        <f>IF($A394="","",IF(countif('Womens Lineup'!G$3:G1000,CONCATENATE("=",$A394))=0,"",G$2))</f>
        <v/>
      </c>
      <c r="H394" s="3" t="str">
        <f>IF($A394="","",IF(countif('Womens Lineup'!H$3:H1000,CONCATENATE("=",$A394))=0,"",H$2))</f>
        <v/>
      </c>
      <c r="I394" s="3" t="str">
        <f>IF($A394="","",IF(countif('Womens Lineup'!I$3:I1000,CONCATENATE("=",$A394))=0,"",I$2))</f>
        <v/>
      </c>
      <c r="J394" s="3" t="str">
        <f>IF($A394="","",IF(countif('Womens Lineup'!J$3:J1000,CONCATENATE("=",$A394))=0,"",J$2))</f>
        <v/>
      </c>
      <c r="K394" s="3" t="str">
        <f>IF($A394="","",IF(countif('Womens Lineup'!K$3:K1000,CONCATENATE("=",$A394))=0,"",K$2))</f>
        <v/>
      </c>
      <c r="L394" s="3" t="str">
        <f>IF($A394="","",IF(countif('Womens Lineup'!L$3:L1000,CONCATENATE("=",$A394))=0,"",L$2))</f>
        <v/>
      </c>
      <c r="M394" s="3" t="str">
        <f>IF($A394="","",IF(countif('Womens Lineup'!M$3:M1000,CONCATENATE("=",$A394))=0,"",M$2))</f>
        <v/>
      </c>
      <c r="N394" s="3" t="str">
        <f>IF($A394="","",IF(countif('Womens Lineup'!N$3:N1000,CONCATENATE("=",$A394))=0,"",N$2))</f>
        <v/>
      </c>
      <c r="O394" s="3" t="str">
        <f>IF($A394="","",IF(countif('Womens Lineup'!O$3:O1000,CONCATENATE("=",$A394))=0,"",O$2))</f>
        <v/>
      </c>
      <c r="P394" s="3" t="str">
        <f>IF($A394="","",IF(countif('Womens Lineup'!P$3:P1000,CONCATENATE("=",$A394))=0,"",P$2))</f>
        <v/>
      </c>
      <c r="Q394" s="3" t="str">
        <f>IF($A394="","",IF(countif('Womens Lineup'!Q$3:Q1000,CONCATENATE("=",$A394))=0,"",Q$2))</f>
        <v/>
      </c>
      <c r="R394" s="3" t="str">
        <f>IF($A394="","",IF(countif('Womens Lineup'!R$3:R1000,CONCATENATE("=",$A394))=0,"",R$2))</f>
        <v/>
      </c>
      <c r="S394" s="3" t="str">
        <f>IF($A394="","",IF(countif('Womens Lineup'!S$3:S1000,CONCATENATE("=",$A394))=0,"",S$2))</f>
        <v/>
      </c>
      <c r="W394" s="3" t="str">
        <f>IFERROR(__xludf.DUMMYFUNCTION("JOIN("","",FILTER(B394:S394,B394:S394&lt;&gt;""""))"),"#N/A")</f>
        <v>#N/A</v>
      </c>
    </row>
    <row r="395">
      <c r="A395" s="3"/>
      <c r="B395" s="3" t="str">
        <f>IF($A395="","",IF(countif('Womens Lineup'!B$3:B1000,CONCATENATE("=",$A395))=0,"",B$2))</f>
        <v/>
      </c>
      <c r="C395" s="3" t="str">
        <f>IF($A395="","",IF(countif('Womens Lineup'!C$3:C1000,CONCATENATE("=",$A395))=0,"",C$2))</f>
        <v/>
      </c>
      <c r="D395" s="3" t="str">
        <f>IF($A395="","",IF(countif('Womens Lineup'!D$3:D1000,CONCATENATE("=",$A395))=0,"",D$2))</f>
        <v/>
      </c>
      <c r="E395" s="3" t="str">
        <f>IF($A395="","",IF(countif('Womens Lineup'!E$3:E1000,CONCATENATE("=",$A395))=0,"",E$2))</f>
        <v/>
      </c>
      <c r="F395" s="3" t="str">
        <f>IF($A395="","",IF(countif('Womens Lineup'!F$3:F1000,CONCATENATE("=",$A395))=0,"",F$2))</f>
        <v/>
      </c>
      <c r="G395" s="3" t="str">
        <f>IF($A395="","",IF(countif('Womens Lineup'!G$3:G1000,CONCATENATE("=",$A395))=0,"",G$2))</f>
        <v/>
      </c>
      <c r="H395" s="3" t="str">
        <f>IF($A395="","",IF(countif('Womens Lineup'!H$3:H1000,CONCATENATE("=",$A395))=0,"",H$2))</f>
        <v/>
      </c>
      <c r="I395" s="3" t="str">
        <f>IF($A395="","",IF(countif('Womens Lineup'!I$3:I1000,CONCATENATE("=",$A395))=0,"",I$2))</f>
        <v/>
      </c>
      <c r="J395" s="3" t="str">
        <f>IF($A395="","",IF(countif('Womens Lineup'!J$3:J1000,CONCATENATE("=",$A395))=0,"",J$2))</f>
        <v/>
      </c>
      <c r="K395" s="3" t="str">
        <f>IF($A395="","",IF(countif('Womens Lineup'!K$3:K1000,CONCATENATE("=",$A395))=0,"",K$2))</f>
        <v/>
      </c>
      <c r="L395" s="3" t="str">
        <f>IF($A395="","",IF(countif('Womens Lineup'!L$3:L1000,CONCATENATE("=",$A395))=0,"",L$2))</f>
        <v/>
      </c>
      <c r="M395" s="3" t="str">
        <f>IF($A395="","",IF(countif('Womens Lineup'!M$3:M1000,CONCATENATE("=",$A395))=0,"",M$2))</f>
        <v/>
      </c>
      <c r="N395" s="3" t="str">
        <f>IF($A395="","",IF(countif('Womens Lineup'!N$3:N1000,CONCATENATE("=",$A395))=0,"",N$2))</f>
        <v/>
      </c>
      <c r="O395" s="3" t="str">
        <f>IF($A395="","",IF(countif('Womens Lineup'!O$3:O1000,CONCATENATE("=",$A395))=0,"",O$2))</f>
        <v/>
      </c>
      <c r="P395" s="3" t="str">
        <f>IF($A395="","",IF(countif('Womens Lineup'!P$3:P1000,CONCATENATE("=",$A395))=0,"",P$2))</f>
        <v/>
      </c>
      <c r="Q395" s="3" t="str">
        <f>IF($A395="","",IF(countif('Womens Lineup'!Q$3:Q1000,CONCATENATE("=",$A395))=0,"",Q$2))</f>
        <v/>
      </c>
      <c r="R395" s="3" t="str">
        <f>IF($A395="","",IF(countif('Womens Lineup'!R$3:R1000,CONCATENATE("=",$A395))=0,"",R$2))</f>
        <v/>
      </c>
      <c r="S395" s="3" t="str">
        <f>IF($A395="","",IF(countif('Womens Lineup'!S$3:S1000,CONCATENATE("=",$A395))=0,"",S$2))</f>
        <v/>
      </c>
      <c r="W395" s="3" t="str">
        <f>IFERROR(__xludf.DUMMYFUNCTION("JOIN("","",FILTER(B395:S395,B395:S395&lt;&gt;""""))"),"#N/A")</f>
        <v>#N/A</v>
      </c>
    </row>
    <row r="396">
      <c r="A396" s="3"/>
      <c r="B396" s="3" t="str">
        <f>IF($A396="","",IF(countif('Womens Lineup'!B$3:B1000,CONCATENATE("=",$A396))=0,"",B$2))</f>
        <v/>
      </c>
      <c r="C396" s="3" t="str">
        <f>IF($A396="","",IF(countif('Womens Lineup'!C$3:C1000,CONCATENATE("=",$A396))=0,"",C$2))</f>
        <v/>
      </c>
      <c r="D396" s="3" t="str">
        <f>IF($A396="","",IF(countif('Womens Lineup'!D$3:D1000,CONCATENATE("=",$A396))=0,"",D$2))</f>
        <v/>
      </c>
      <c r="E396" s="3" t="str">
        <f>IF($A396="","",IF(countif('Womens Lineup'!E$3:E1000,CONCATENATE("=",$A396))=0,"",E$2))</f>
        <v/>
      </c>
      <c r="F396" s="3" t="str">
        <f>IF($A396="","",IF(countif('Womens Lineup'!F$3:F1000,CONCATENATE("=",$A396))=0,"",F$2))</f>
        <v/>
      </c>
      <c r="G396" s="3" t="str">
        <f>IF($A396="","",IF(countif('Womens Lineup'!G$3:G1000,CONCATENATE("=",$A396))=0,"",G$2))</f>
        <v/>
      </c>
      <c r="H396" s="3" t="str">
        <f>IF($A396="","",IF(countif('Womens Lineup'!H$3:H1000,CONCATENATE("=",$A396))=0,"",H$2))</f>
        <v/>
      </c>
      <c r="I396" s="3" t="str">
        <f>IF($A396="","",IF(countif('Womens Lineup'!I$3:I1000,CONCATENATE("=",$A396))=0,"",I$2))</f>
        <v/>
      </c>
      <c r="J396" s="3" t="str">
        <f>IF($A396="","",IF(countif('Womens Lineup'!J$3:J1000,CONCATENATE("=",$A396))=0,"",J$2))</f>
        <v/>
      </c>
      <c r="K396" s="3" t="str">
        <f>IF($A396="","",IF(countif('Womens Lineup'!K$3:K1000,CONCATENATE("=",$A396))=0,"",K$2))</f>
        <v/>
      </c>
      <c r="L396" s="3" t="str">
        <f>IF($A396="","",IF(countif('Womens Lineup'!L$3:L1000,CONCATENATE("=",$A396))=0,"",L$2))</f>
        <v/>
      </c>
      <c r="M396" s="3" t="str">
        <f>IF($A396="","",IF(countif('Womens Lineup'!M$3:M1000,CONCATENATE("=",$A396))=0,"",M$2))</f>
        <v/>
      </c>
      <c r="N396" s="3" t="str">
        <f>IF($A396="","",IF(countif('Womens Lineup'!N$3:N1000,CONCATENATE("=",$A396))=0,"",N$2))</f>
        <v/>
      </c>
      <c r="O396" s="3" t="str">
        <f>IF($A396="","",IF(countif('Womens Lineup'!O$3:O1000,CONCATENATE("=",$A396))=0,"",O$2))</f>
        <v/>
      </c>
      <c r="P396" s="3" t="str">
        <f>IF($A396="","",IF(countif('Womens Lineup'!P$3:P1000,CONCATENATE("=",$A396))=0,"",P$2))</f>
        <v/>
      </c>
      <c r="Q396" s="3" t="str">
        <f>IF($A396="","",IF(countif('Womens Lineup'!Q$3:Q1000,CONCATENATE("=",$A396))=0,"",Q$2))</f>
        <v/>
      </c>
      <c r="R396" s="3" t="str">
        <f>IF($A396="","",IF(countif('Womens Lineup'!R$3:R1000,CONCATENATE("=",$A396))=0,"",R$2))</f>
        <v/>
      </c>
      <c r="S396" s="3" t="str">
        <f>IF($A396="","",IF(countif('Womens Lineup'!S$3:S1000,CONCATENATE("=",$A396))=0,"",S$2))</f>
        <v/>
      </c>
      <c r="W396" s="3" t="str">
        <f>IFERROR(__xludf.DUMMYFUNCTION("JOIN("","",FILTER(B396:S396,B396:S396&lt;&gt;""""))"),"#N/A")</f>
        <v>#N/A</v>
      </c>
    </row>
    <row r="397">
      <c r="A397" s="3"/>
      <c r="B397" s="3" t="str">
        <f>IF($A397="","",IF(countif('Womens Lineup'!B$3:B1000,CONCATENATE("=",$A397))=0,"",B$2))</f>
        <v/>
      </c>
      <c r="C397" s="3" t="str">
        <f>IF($A397="","",IF(countif('Womens Lineup'!C$3:C1000,CONCATENATE("=",$A397))=0,"",C$2))</f>
        <v/>
      </c>
      <c r="D397" s="3" t="str">
        <f>IF($A397="","",IF(countif('Womens Lineup'!D$3:D1000,CONCATENATE("=",$A397))=0,"",D$2))</f>
        <v/>
      </c>
      <c r="E397" s="3" t="str">
        <f>IF($A397="","",IF(countif('Womens Lineup'!E$3:E1000,CONCATENATE("=",$A397))=0,"",E$2))</f>
        <v/>
      </c>
      <c r="F397" s="3" t="str">
        <f>IF($A397="","",IF(countif('Womens Lineup'!F$3:F1000,CONCATENATE("=",$A397))=0,"",F$2))</f>
        <v/>
      </c>
      <c r="G397" s="3" t="str">
        <f>IF($A397="","",IF(countif('Womens Lineup'!G$3:G1000,CONCATENATE("=",$A397))=0,"",G$2))</f>
        <v/>
      </c>
      <c r="H397" s="3" t="str">
        <f>IF($A397="","",IF(countif('Womens Lineup'!H$3:H1000,CONCATENATE("=",$A397))=0,"",H$2))</f>
        <v/>
      </c>
      <c r="I397" s="3" t="str">
        <f>IF($A397="","",IF(countif('Womens Lineup'!I$3:I1000,CONCATENATE("=",$A397))=0,"",I$2))</f>
        <v/>
      </c>
      <c r="J397" s="3" t="str">
        <f>IF($A397="","",IF(countif('Womens Lineup'!J$3:J1000,CONCATENATE("=",$A397))=0,"",J$2))</f>
        <v/>
      </c>
      <c r="K397" s="3" t="str">
        <f>IF($A397="","",IF(countif('Womens Lineup'!K$3:K1000,CONCATENATE("=",$A397))=0,"",K$2))</f>
        <v/>
      </c>
      <c r="L397" s="3" t="str">
        <f>IF($A397="","",IF(countif('Womens Lineup'!L$3:L1000,CONCATENATE("=",$A397))=0,"",L$2))</f>
        <v/>
      </c>
      <c r="M397" s="3" t="str">
        <f>IF($A397="","",IF(countif('Womens Lineup'!M$3:M1000,CONCATENATE("=",$A397))=0,"",M$2))</f>
        <v/>
      </c>
      <c r="N397" s="3" t="str">
        <f>IF($A397="","",IF(countif('Womens Lineup'!N$3:N1000,CONCATENATE("=",$A397))=0,"",N$2))</f>
        <v/>
      </c>
      <c r="O397" s="3" t="str">
        <f>IF($A397="","",IF(countif('Womens Lineup'!O$3:O1000,CONCATENATE("=",$A397))=0,"",O$2))</f>
        <v/>
      </c>
      <c r="P397" s="3" t="str">
        <f>IF($A397="","",IF(countif('Womens Lineup'!P$3:P1000,CONCATENATE("=",$A397))=0,"",P$2))</f>
        <v/>
      </c>
      <c r="Q397" s="3" t="str">
        <f>IF($A397="","",IF(countif('Womens Lineup'!Q$3:Q1000,CONCATENATE("=",$A397))=0,"",Q$2))</f>
        <v/>
      </c>
      <c r="R397" s="3" t="str">
        <f>IF($A397="","",IF(countif('Womens Lineup'!R$3:R1000,CONCATENATE("=",$A397))=0,"",R$2))</f>
        <v/>
      </c>
      <c r="S397" s="3" t="str">
        <f>IF($A397="","",IF(countif('Womens Lineup'!S$3:S1000,CONCATENATE("=",$A397))=0,"",S$2))</f>
        <v/>
      </c>
      <c r="W397" s="3" t="str">
        <f>IFERROR(__xludf.DUMMYFUNCTION("JOIN("","",FILTER(B397:S397,B397:S397&lt;&gt;""""))"),"#N/A")</f>
        <v>#N/A</v>
      </c>
    </row>
    <row r="398">
      <c r="A398" s="3"/>
      <c r="B398" s="3" t="str">
        <f>IF($A398="","",IF(countif('Womens Lineup'!B$3:B1000,CONCATENATE("=",$A398))=0,"",B$2))</f>
        <v/>
      </c>
      <c r="C398" s="3" t="str">
        <f>IF($A398="","",IF(countif('Womens Lineup'!C$3:C1000,CONCATENATE("=",$A398))=0,"",C$2))</f>
        <v/>
      </c>
      <c r="D398" s="3" t="str">
        <f>IF($A398="","",IF(countif('Womens Lineup'!D$3:D1000,CONCATENATE("=",$A398))=0,"",D$2))</f>
        <v/>
      </c>
      <c r="E398" s="3" t="str">
        <f>IF($A398="","",IF(countif('Womens Lineup'!E$3:E1000,CONCATENATE("=",$A398))=0,"",E$2))</f>
        <v/>
      </c>
      <c r="F398" s="3" t="str">
        <f>IF($A398="","",IF(countif('Womens Lineup'!F$3:F1000,CONCATENATE("=",$A398))=0,"",F$2))</f>
        <v/>
      </c>
      <c r="G398" s="3" t="str">
        <f>IF($A398="","",IF(countif('Womens Lineup'!G$3:G1000,CONCATENATE("=",$A398))=0,"",G$2))</f>
        <v/>
      </c>
      <c r="H398" s="3" t="str">
        <f>IF($A398="","",IF(countif('Womens Lineup'!H$3:H1000,CONCATENATE("=",$A398))=0,"",H$2))</f>
        <v/>
      </c>
      <c r="I398" s="3" t="str">
        <f>IF($A398="","",IF(countif('Womens Lineup'!I$3:I1000,CONCATENATE("=",$A398))=0,"",I$2))</f>
        <v/>
      </c>
      <c r="J398" s="3" t="str">
        <f>IF($A398="","",IF(countif('Womens Lineup'!J$3:J1000,CONCATENATE("=",$A398))=0,"",J$2))</f>
        <v/>
      </c>
      <c r="K398" s="3" t="str">
        <f>IF($A398="","",IF(countif('Womens Lineup'!K$3:K1000,CONCATENATE("=",$A398))=0,"",K$2))</f>
        <v/>
      </c>
      <c r="L398" s="3" t="str">
        <f>IF($A398="","",IF(countif('Womens Lineup'!L$3:L1000,CONCATENATE("=",$A398))=0,"",L$2))</f>
        <v/>
      </c>
      <c r="M398" s="3" t="str">
        <f>IF($A398="","",IF(countif('Womens Lineup'!M$3:M1000,CONCATENATE("=",$A398))=0,"",M$2))</f>
        <v/>
      </c>
      <c r="N398" s="3" t="str">
        <f>IF($A398="","",IF(countif('Womens Lineup'!N$3:N1000,CONCATENATE("=",$A398))=0,"",N$2))</f>
        <v/>
      </c>
      <c r="O398" s="3" t="str">
        <f>IF($A398="","",IF(countif('Womens Lineup'!O$3:O1000,CONCATENATE("=",$A398))=0,"",O$2))</f>
        <v/>
      </c>
      <c r="P398" s="3" t="str">
        <f>IF($A398="","",IF(countif('Womens Lineup'!P$3:P1000,CONCATENATE("=",$A398))=0,"",P$2))</f>
        <v/>
      </c>
      <c r="Q398" s="3" t="str">
        <f>IF($A398="","",IF(countif('Womens Lineup'!Q$3:Q1000,CONCATENATE("=",$A398))=0,"",Q$2))</f>
        <v/>
      </c>
      <c r="R398" s="3" t="str">
        <f>IF($A398="","",IF(countif('Womens Lineup'!R$3:R1000,CONCATENATE("=",$A398))=0,"",R$2))</f>
        <v/>
      </c>
      <c r="S398" s="3" t="str">
        <f>IF($A398="","",IF(countif('Womens Lineup'!S$3:S1000,CONCATENATE("=",$A398))=0,"",S$2))</f>
        <v/>
      </c>
      <c r="W398" s="3" t="str">
        <f>IFERROR(__xludf.DUMMYFUNCTION("JOIN("","",FILTER(B398:S398,B398:S398&lt;&gt;""""))"),"#N/A")</f>
        <v>#N/A</v>
      </c>
    </row>
    <row r="399">
      <c r="A399" s="3"/>
      <c r="B399" s="3" t="str">
        <f>IF($A399="","",IF(countif('Womens Lineup'!B$3:B1000,CONCATENATE("=",$A399))=0,"",B$2))</f>
        <v/>
      </c>
      <c r="C399" s="3" t="str">
        <f>IF($A399="","",IF(countif('Womens Lineup'!C$3:C1000,CONCATENATE("=",$A399))=0,"",C$2))</f>
        <v/>
      </c>
      <c r="D399" s="3" t="str">
        <f>IF($A399="","",IF(countif('Womens Lineup'!D$3:D1000,CONCATENATE("=",$A399))=0,"",D$2))</f>
        <v/>
      </c>
      <c r="E399" s="3" t="str">
        <f>IF($A399="","",IF(countif('Womens Lineup'!E$3:E1000,CONCATENATE("=",$A399))=0,"",E$2))</f>
        <v/>
      </c>
      <c r="F399" s="3" t="str">
        <f>IF($A399="","",IF(countif('Womens Lineup'!F$3:F1000,CONCATENATE("=",$A399))=0,"",F$2))</f>
        <v/>
      </c>
      <c r="G399" s="3" t="str">
        <f>IF($A399="","",IF(countif('Womens Lineup'!G$3:G1000,CONCATENATE("=",$A399))=0,"",G$2))</f>
        <v/>
      </c>
      <c r="H399" s="3" t="str">
        <f>IF($A399="","",IF(countif('Womens Lineup'!H$3:H1000,CONCATENATE("=",$A399))=0,"",H$2))</f>
        <v/>
      </c>
      <c r="I399" s="3" t="str">
        <f>IF($A399="","",IF(countif('Womens Lineup'!I$3:I1000,CONCATENATE("=",$A399))=0,"",I$2))</f>
        <v/>
      </c>
      <c r="J399" s="3" t="str">
        <f>IF($A399="","",IF(countif('Womens Lineup'!J$3:J1000,CONCATENATE("=",$A399))=0,"",J$2))</f>
        <v/>
      </c>
      <c r="K399" s="3" t="str">
        <f>IF($A399="","",IF(countif('Womens Lineup'!K$3:K1000,CONCATENATE("=",$A399))=0,"",K$2))</f>
        <v/>
      </c>
      <c r="L399" s="3" t="str">
        <f>IF($A399="","",IF(countif('Womens Lineup'!L$3:L1000,CONCATENATE("=",$A399))=0,"",L$2))</f>
        <v/>
      </c>
      <c r="M399" s="3" t="str">
        <f>IF($A399="","",IF(countif('Womens Lineup'!M$3:M1000,CONCATENATE("=",$A399))=0,"",M$2))</f>
        <v/>
      </c>
      <c r="N399" s="3" t="str">
        <f>IF($A399="","",IF(countif('Womens Lineup'!N$3:N1000,CONCATENATE("=",$A399))=0,"",N$2))</f>
        <v/>
      </c>
      <c r="O399" s="3" t="str">
        <f>IF($A399="","",IF(countif('Womens Lineup'!O$3:O1000,CONCATENATE("=",$A399))=0,"",O$2))</f>
        <v/>
      </c>
      <c r="P399" s="3" t="str">
        <f>IF($A399="","",IF(countif('Womens Lineup'!P$3:P1000,CONCATENATE("=",$A399))=0,"",P$2))</f>
        <v/>
      </c>
      <c r="Q399" s="3" t="str">
        <f>IF($A399="","",IF(countif('Womens Lineup'!Q$3:Q1000,CONCATENATE("=",$A399))=0,"",Q$2))</f>
        <v/>
      </c>
      <c r="R399" s="3" t="str">
        <f>IF($A399="","",IF(countif('Womens Lineup'!R$3:R1000,CONCATENATE("=",$A399))=0,"",R$2))</f>
        <v/>
      </c>
      <c r="S399" s="3" t="str">
        <f>IF($A399="","",IF(countif('Womens Lineup'!S$3:S1000,CONCATENATE("=",$A399))=0,"",S$2))</f>
        <v/>
      </c>
      <c r="W399" s="3" t="str">
        <f>IFERROR(__xludf.DUMMYFUNCTION("JOIN("","",FILTER(B399:S399,B399:S399&lt;&gt;""""))"),"#N/A")</f>
        <v>#N/A</v>
      </c>
    </row>
    <row r="400">
      <c r="A400" s="3"/>
      <c r="B400" s="3" t="str">
        <f>IF($A400="","",IF(countif('Womens Lineup'!B$3:B1000,CONCATENATE("=",$A400))=0,"",B$2))</f>
        <v/>
      </c>
      <c r="C400" s="3" t="str">
        <f>IF($A400="","",IF(countif('Womens Lineup'!C$3:C1000,CONCATENATE("=",$A400))=0,"",C$2))</f>
        <v/>
      </c>
      <c r="D400" s="3" t="str">
        <f>IF($A400="","",IF(countif('Womens Lineup'!D$3:D1000,CONCATENATE("=",$A400))=0,"",D$2))</f>
        <v/>
      </c>
      <c r="E400" s="3" t="str">
        <f>IF($A400="","",IF(countif('Womens Lineup'!E$3:E1000,CONCATENATE("=",$A400))=0,"",E$2))</f>
        <v/>
      </c>
      <c r="F400" s="3" t="str">
        <f>IF($A400="","",IF(countif('Womens Lineup'!F$3:F1000,CONCATENATE("=",$A400))=0,"",F$2))</f>
        <v/>
      </c>
      <c r="G400" s="3" t="str">
        <f>IF($A400="","",IF(countif('Womens Lineup'!G$3:G1000,CONCATENATE("=",$A400))=0,"",G$2))</f>
        <v/>
      </c>
      <c r="H400" s="3" t="str">
        <f>IF($A400="","",IF(countif('Womens Lineup'!H$3:H1000,CONCATENATE("=",$A400))=0,"",H$2))</f>
        <v/>
      </c>
      <c r="I400" s="3" t="str">
        <f>IF($A400="","",IF(countif('Womens Lineup'!I$3:I1000,CONCATENATE("=",$A400))=0,"",I$2))</f>
        <v/>
      </c>
      <c r="J400" s="3" t="str">
        <f>IF($A400="","",IF(countif('Womens Lineup'!J$3:J1000,CONCATENATE("=",$A400))=0,"",J$2))</f>
        <v/>
      </c>
      <c r="K400" s="3" t="str">
        <f>IF($A400="","",IF(countif('Womens Lineup'!K$3:K1000,CONCATENATE("=",$A400))=0,"",K$2))</f>
        <v/>
      </c>
      <c r="L400" s="3" t="str">
        <f>IF($A400="","",IF(countif('Womens Lineup'!L$3:L1000,CONCATENATE("=",$A400))=0,"",L$2))</f>
        <v/>
      </c>
      <c r="M400" s="3" t="str">
        <f>IF($A400="","",IF(countif('Womens Lineup'!M$3:M1000,CONCATENATE("=",$A400))=0,"",M$2))</f>
        <v/>
      </c>
      <c r="N400" s="3" t="str">
        <f>IF($A400="","",IF(countif('Womens Lineup'!N$3:N1000,CONCATENATE("=",$A400))=0,"",N$2))</f>
        <v/>
      </c>
      <c r="O400" s="3" t="str">
        <f>IF($A400="","",IF(countif('Womens Lineup'!O$3:O1000,CONCATENATE("=",$A400))=0,"",O$2))</f>
        <v/>
      </c>
      <c r="P400" s="3" t="str">
        <f>IF($A400="","",IF(countif('Womens Lineup'!P$3:P1000,CONCATENATE("=",$A400))=0,"",P$2))</f>
        <v/>
      </c>
      <c r="Q400" s="3" t="str">
        <f>IF($A400="","",IF(countif('Womens Lineup'!Q$3:Q1000,CONCATENATE("=",$A400))=0,"",Q$2))</f>
        <v/>
      </c>
      <c r="R400" s="3" t="str">
        <f>IF($A400="","",IF(countif('Womens Lineup'!R$3:R1000,CONCATENATE("=",$A400))=0,"",R$2))</f>
        <v/>
      </c>
      <c r="S400" s="3" t="str">
        <f>IF($A400="","",IF(countif('Womens Lineup'!S$3:S1000,CONCATENATE("=",$A400))=0,"",S$2))</f>
        <v/>
      </c>
      <c r="W400" s="3" t="str">
        <f>IFERROR(__xludf.DUMMYFUNCTION("JOIN("","",FILTER(B400:S400,B400:S400&lt;&gt;""""))"),"#N/A")</f>
        <v>#N/A</v>
      </c>
    </row>
    <row r="401">
      <c r="A401" s="3"/>
      <c r="B401" s="3" t="str">
        <f>IF($A401="","",IF(countif('Womens Lineup'!B$3:B1000,CONCATENATE("=",$A401))=0,"",B$2))</f>
        <v/>
      </c>
      <c r="C401" s="3" t="str">
        <f>IF($A401="","",IF(countif('Womens Lineup'!C$3:C1000,CONCATENATE("=",$A401))=0,"",C$2))</f>
        <v/>
      </c>
      <c r="D401" s="3" t="str">
        <f>IF($A401="","",IF(countif('Womens Lineup'!D$3:D1000,CONCATENATE("=",$A401))=0,"",D$2))</f>
        <v/>
      </c>
      <c r="E401" s="3" t="str">
        <f>IF($A401="","",IF(countif('Womens Lineup'!E$3:E1000,CONCATENATE("=",$A401))=0,"",E$2))</f>
        <v/>
      </c>
      <c r="F401" s="3" t="str">
        <f>IF($A401="","",IF(countif('Womens Lineup'!F$3:F1000,CONCATENATE("=",$A401))=0,"",F$2))</f>
        <v/>
      </c>
      <c r="G401" s="3" t="str">
        <f>IF($A401="","",IF(countif('Womens Lineup'!G$3:G1000,CONCATENATE("=",$A401))=0,"",G$2))</f>
        <v/>
      </c>
      <c r="H401" s="3" t="str">
        <f>IF($A401="","",IF(countif('Womens Lineup'!H$3:H1000,CONCATENATE("=",$A401))=0,"",H$2))</f>
        <v/>
      </c>
      <c r="I401" s="3" t="str">
        <f>IF($A401="","",IF(countif('Womens Lineup'!I$3:I1000,CONCATENATE("=",$A401))=0,"",I$2))</f>
        <v/>
      </c>
      <c r="J401" s="3" t="str">
        <f>IF($A401="","",IF(countif('Womens Lineup'!J$3:J1000,CONCATENATE("=",$A401))=0,"",J$2))</f>
        <v/>
      </c>
      <c r="K401" s="3" t="str">
        <f>IF($A401="","",IF(countif('Womens Lineup'!K$3:K1000,CONCATENATE("=",$A401))=0,"",K$2))</f>
        <v/>
      </c>
      <c r="L401" s="3" t="str">
        <f>IF($A401="","",IF(countif('Womens Lineup'!L$3:L1000,CONCATENATE("=",$A401))=0,"",L$2))</f>
        <v/>
      </c>
      <c r="M401" s="3" t="str">
        <f>IF($A401="","",IF(countif('Womens Lineup'!M$3:M1000,CONCATENATE("=",$A401))=0,"",M$2))</f>
        <v/>
      </c>
      <c r="N401" s="3" t="str">
        <f>IF($A401="","",IF(countif('Womens Lineup'!N$3:N1000,CONCATENATE("=",$A401))=0,"",N$2))</f>
        <v/>
      </c>
      <c r="O401" s="3" t="str">
        <f>IF($A401="","",IF(countif('Womens Lineup'!O$3:O1000,CONCATENATE("=",$A401))=0,"",O$2))</f>
        <v/>
      </c>
      <c r="P401" s="3" t="str">
        <f>IF($A401="","",IF(countif('Womens Lineup'!P$3:P1000,CONCATENATE("=",$A401))=0,"",P$2))</f>
        <v/>
      </c>
      <c r="Q401" s="3" t="str">
        <f>IF($A401="","",IF(countif('Womens Lineup'!Q$3:Q1000,CONCATENATE("=",$A401))=0,"",Q$2))</f>
        <v/>
      </c>
      <c r="R401" s="3" t="str">
        <f>IF($A401="","",IF(countif('Womens Lineup'!R$3:R1000,CONCATENATE("=",$A401))=0,"",R$2))</f>
        <v/>
      </c>
      <c r="S401" s="3" t="str">
        <f>IF($A401="","",IF(countif('Womens Lineup'!S$3:S1000,CONCATENATE("=",$A401))=0,"",S$2))</f>
        <v/>
      </c>
      <c r="W401" s="3" t="str">
        <f>IFERROR(__xludf.DUMMYFUNCTION("JOIN("","",FILTER(B401:S401,B401:S401&lt;&gt;""""))"),"#N/A")</f>
        <v>#N/A</v>
      </c>
    </row>
    <row r="402">
      <c r="A402" s="3"/>
      <c r="B402" s="3" t="str">
        <f>IF($A402="","",IF(countif('Womens Lineup'!B$3:B1000,CONCATENATE("=",$A402))=0,"",B$2))</f>
        <v/>
      </c>
      <c r="C402" s="3" t="str">
        <f>IF($A402="","",IF(countif('Womens Lineup'!C$3:C1000,CONCATENATE("=",$A402))=0,"",C$2))</f>
        <v/>
      </c>
      <c r="D402" s="3" t="str">
        <f>IF($A402="","",IF(countif('Womens Lineup'!D$3:D1000,CONCATENATE("=",$A402))=0,"",D$2))</f>
        <v/>
      </c>
      <c r="E402" s="3" t="str">
        <f>IF($A402="","",IF(countif('Womens Lineup'!E$3:E1000,CONCATENATE("=",$A402))=0,"",E$2))</f>
        <v/>
      </c>
      <c r="F402" s="3" t="str">
        <f>IF($A402="","",IF(countif('Womens Lineup'!F$3:F1000,CONCATENATE("=",$A402))=0,"",F$2))</f>
        <v/>
      </c>
      <c r="G402" s="3" t="str">
        <f>IF($A402="","",IF(countif('Womens Lineup'!G$3:G1000,CONCATENATE("=",$A402))=0,"",G$2))</f>
        <v/>
      </c>
      <c r="H402" s="3" t="str">
        <f>IF($A402="","",IF(countif('Womens Lineup'!H$3:H1000,CONCATENATE("=",$A402))=0,"",H$2))</f>
        <v/>
      </c>
      <c r="I402" s="3" t="str">
        <f>IF($A402="","",IF(countif('Womens Lineup'!I$3:I1000,CONCATENATE("=",$A402))=0,"",I$2))</f>
        <v/>
      </c>
      <c r="J402" s="3" t="str">
        <f>IF($A402="","",IF(countif('Womens Lineup'!J$3:J1000,CONCATENATE("=",$A402))=0,"",J$2))</f>
        <v/>
      </c>
      <c r="K402" s="3" t="str">
        <f>IF($A402="","",IF(countif('Womens Lineup'!K$3:K1000,CONCATENATE("=",$A402))=0,"",K$2))</f>
        <v/>
      </c>
      <c r="L402" s="3" t="str">
        <f>IF($A402="","",IF(countif('Womens Lineup'!L$3:L1000,CONCATENATE("=",$A402))=0,"",L$2))</f>
        <v/>
      </c>
      <c r="M402" s="3" t="str">
        <f>IF($A402="","",IF(countif('Womens Lineup'!M$3:M1000,CONCATENATE("=",$A402))=0,"",M$2))</f>
        <v/>
      </c>
      <c r="N402" s="3" t="str">
        <f>IF($A402="","",IF(countif('Womens Lineup'!N$3:N1000,CONCATENATE("=",$A402))=0,"",N$2))</f>
        <v/>
      </c>
      <c r="O402" s="3" t="str">
        <f>IF($A402="","",IF(countif('Womens Lineup'!O$3:O1000,CONCATENATE("=",$A402))=0,"",O$2))</f>
        <v/>
      </c>
      <c r="P402" s="3" t="str">
        <f>IF($A402="","",IF(countif('Womens Lineup'!P$3:P1000,CONCATENATE("=",$A402))=0,"",P$2))</f>
        <v/>
      </c>
      <c r="Q402" s="3" t="str">
        <f>IF($A402="","",IF(countif('Womens Lineup'!Q$3:Q1000,CONCATENATE("=",$A402))=0,"",Q$2))</f>
        <v/>
      </c>
      <c r="R402" s="3" t="str">
        <f>IF($A402="","",IF(countif('Womens Lineup'!R$3:R1000,CONCATENATE("=",$A402))=0,"",R$2))</f>
        <v/>
      </c>
      <c r="S402" s="3" t="str">
        <f>IF($A402="","",IF(countif('Womens Lineup'!S$3:S1000,CONCATENATE("=",$A402))=0,"",S$2))</f>
        <v/>
      </c>
      <c r="W402" s="3" t="str">
        <f>IFERROR(__xludf.DUMMYFUNCTION("JOIN("","",FILTER(B402:S402,B402:S402&lt;&gt;""""))"),"#N/A")</f>
        <v>#N/A</v>
      </c>
    </row>
    <row r="403">
      <c r="A403" s="3"/>
      <c r="B403" s="3" t="str">
        <f>IF($A403="","",IF(countif('Womens Lineup'!B$3:B1000,CONCATENATE("=",$A403))=0,"",B$2))</f>
        <v/>
      </c>
      <c r="C403" s="3" t="str">
        <f>IF($A403="","",IF(countif('Womens Lineup'!C$3:C1000,CONCATENATE("=",$A403))=0,"",C$2))</f>
        <v/>
      </c>
      <c r="D403" s="3" t="str">
        <f>IF($A403="","",IF(countif('Womens Lineup'!D$3:D1000,CONCATENATE("=",$A403))=0,"",D$2))</f>
        <v/>
      </c>
      <c r="E403" s="3" t="str">
        <f>IF($A403="","",IF(countif('Womens Lineup'!E$3:E1000,CONCATENATE("=",$A403))=0,"",E$2))</f>
        <v/>
      </c>
      <c r="F403" s="3" t="str">
        <f>IF($A403="","",IF(countif('Womens Lineup'!F$3:F1000,CONCATENATE("=",$A403))=0,"",F$2))</f>
        <v/>
      </c>
      <c r="G403" s="3" t="str">
        <f>IF($A403="","",IF(countif('Womens Lineup'!G$3:G1000,CONCATENATE("=",$A403))=0,"",G$2))</f>
        <v/>
      </c>
      <c r="H403" s="3" t="str">
        <f>IF($A403="","",IF(countif('Womens Lineup'!H$3:H1000,CONCATENATE("=",$A403))=0,"",H$2))</f>
        <v/>
      </c>
      <c r="I403" s="3" t="str">
        <f>IF($A403="","",IF(countif('Womens Lineup'!I$3:I1000,CONCATENATE("=",$A403))=0,"",I$2))</f>
        <v/>
      </c>
      <c r="J403" s="3" t="str">
        <f>IF($A403="","",IF(countif('Womens Lineup'!J$3:J1000,CONCATENATE("=",$A403))=0,"",J$2))</f>
        <v/>
      </c>
      <c r="K403" s="3" t="str">
        <f>IF($A403="","",IF(countif('Womens Lineup'!K$3:K1000,CONCATENATE("=",$A403))=0,"",K$2))</f>
        <v/>
      </c>
      <c r="L403" s="3" t="str">
        <f>IF($A403="","",IF(countif('Womens Lineup'!L$3:L1000,CONCATENATE("=",$A403))=0,"",L$2))</f>
        <v/>
      </c>
      <c r="M403" s="3" t="str">
        <f>IF($A403="","",IF(countif('Womens Lineup'!M$3:M1000,CONCATENATE("=",$A403))=0,"",M$2))</f>
        <v/>
      </c>
      <c r="N403" s="3" t="str">
        <f>IF($A403="","",IF(countif('Womens Lineup'!N$3:N1000,CONCATENATE("=",$A403))=0,"",N$2))</f>
        <v/>
      </c>
      <c r="O403" s="3" t="str">
        <f>IF($A403="","",IF(countif('Womens Lineup'!O$3:O1000,CONCATENATE("=",$A403))=0,"",O$2))</f>
        <v/>
      </c>
      <c r="P403" s="3" t="str">
        <f>IF($A403="","",IF(countif('Womens Lineup'!P$3:P1000,CONCATENATE("=",$A403))=0,"",P$2))</f>
        <v/>
      </c>
      <c r="Q403" s="3" t="str">
        <f>IF($A403="","",IF(countif('Womens Lineup'!Q$3:Q1000,CONCATENATE("=",$A403))=0,"",Q$2))</f>
        <v/>
      </c>
      <c r="R403" s="3" t="str">
        <f>IF($A403="","",IF(countif('Womens Lineup'!R$3:R1000,CONCATENATE("=",$A403))=0,"",R$2))</f>
        <v/>
      </c>
      <c r="S403" s="3" t="str">
        <f>IF($A403="","",IF(countif('Womens Lineup'!S$3:S1000,CONCATENATE("=",$A403))=0,"",S$2))</f>
        <v/>
      </c>
      <c r="W403" s="3" t="str">
        <f>IFERROR(__xludf.DUMMYFUNCTION("JOIN("","",FILTER(B403:S403,B403:S403&lt;&gt;""""))"),"#N/A")</f>
        <v>#N/A</v>
      </c>
    </row>
    <row r="404">
      <c r="A404" s="3"/>
      <c r="B404" s="3" t="str">
        <f>IF($A404="","",IF(countif('Womens Lineup'!B$3:B1000,CONCATENATE("=",$A404))=0,"",B$2))</f>
        <v/>
      </c>
      <c r="C404" s="3" t="str">
        <f>IF($A404="","",IF(countif('Womens Lineup'!C$3:C1000,CONCATENATE("=",$A404))=0,"",C$2))</f>
        <v/>
      </c>
      <c r="D404" s="3" t="str">
        <f>IF($A404="","",IF(countif('Womens Lineup'!D$3:D1000,CONCATENATE("=",$A404))=0,"",D$2))</f>
        <v/>
      </c>
      <c r="E404" s="3" t="str">
        <f>IF($A404="","",IF(countif('Womens Lineup'!E$3:E1000,CONCATENATE("=",$A404))=0,"",E$2))</f>
        <v/>
      </c>
      <c r="F404" s="3" t="str">
        <f>IF($A404="","",IF(countif('Womens Lineup'!F$3:F1000,CONCATENATE("=",$A404))=0,"",F$2))</f>
        <v/>
      </c>
      <c r="G404" s="3" t="str">
        <f>IF($A404="","",IF(countif('Womens Lineup'!G$3:G1000,CONCATENATE("=",$A404))=0,"",G$2))</f>
        <v/>
      </c>
      <c r="H404" s="3" t="str">
        <f>IF($A404="","",IF(countif('Womens Lineup'!H$3:H1000,CONCATENATE("=",$A404))=0,"",H$2))</f>
        <v/>
      </c>
      <c r="I404" s="3" t="str">
        <f>IF($A404="","",IF(countif('Womens Lineup'!I$3:I1000,CONCATENATE("=",$A404))=0,"",I$2))</f>
        <v/>
      </c>
      <c r="J404" s="3" t="str">
        <f>IF($A404="","",IF(countif('Womens Lineup'!J$3:J1000,CONCATENATE("=",$A404))=0,"",J$2))</f>
        <v/>
      </c>
      <c r="K404" s="3" t="str">
        <f>IF($A404="","",IF(countif('Womens Lineup'!K$3:K1000,CONCATENATE("=",$A404))=0,"",K$2))</f>
        <v/>
      </c>
      <c r="L404" s="3" t="str">
        <f>IF($A404="","",IF(countif('Womens Lineup'!L$3:L1000,CONCATENATE("=",$A404))=0,"",L$2))</f>
        <v/>
      </c>
      <c r="M404" s="3" t="str">
        <f>IF($A404="","",IF(countif('Womens Lineup'!M$3:M1000,CONCATENATE("=",$A404))=0,"",M$2))</f>
        <v/>
      </c>
      <c r="N404" s="3" t="str">
        <f>IF($A404="","",IF(countif('Womens Lineup'!N$3:N1000,CONCATENATE("=",$A404))=0,"",N$2))</f>
        <v/>
      </c>
      <c r="O404" s="3" t="str">
        <f>IF($A404="","",IF(countif('Womens Lineup'!O$3:O1000,CONCATENATE("=",$A404))=0,"",O$2))</f>
        <v/>
      </c>
      <c r="P404" s="3" t="str">
        <f>IF($A404="","",IF(countif('Womens Lineup'!P$3:P1000,CONCATENATE("=",$A404))=0,"",P$2))</f>
        <v/>
      </c>
      <c r="Q404" s="3" t="str">
        <f>IF($A404="","",IF(countif('Womens Lineup'!Q$3:Q1000,CONCATENATE("=",$A404))=0,"",Q$2))</f>
        <v/>
      </c>
      <c r="R404" s="3" t="str">
        <f>IF($A404="","",IF(countif('Womens Lineup'!R$3:R1000,CONCATENATE("=",$A404))=0,"",R$2))</f>
        <v/>
      </c>
      <c r="S404" s="3" t="str">
        <f>IF($A404="","",IF(countif('Womens Lineup'!S$3:S1000,CONCATENATE("=",$A404))=0,"",S$2))</f>
        <v/>
      </c>
      <c r="W404" s="3" t="str">
        <f>IFERROR(__xludf.DUMMYFUNCTION("JOIN("","",FILTER(B404:S404,B404:S404&lt;&gt;""""))"),"#N/A")</f>
        <v>#N/A</v>
      </c>
    </row>
    <row r="405">
      <c r="A405" s="3"/>
      <c r="B405" s="3" t="str">
        <f>IF($A405="","",IF(countif('Womens Lineup'!B$3:B1000,CONCATENATE("=",$A405))=0,"",B$2))</f>
        <v/>
      </c>
      <c r="C405" s="3" t="str">
        <f>IF($A405="","",IF(countif('Womens Lineup'!C$3:C1000,CONCATENATE("=",$A405))=0,"",C$2))</f>
        <v/>
      </c>
      <c r="D405" s="3" t="str">
        <f>IF($A405="","",IF(countif('Womens Lineup'!D$3:D1000,CONCATENATE("=",$A405))=0,"",D$2))</f>
        <v/>
      </c>
      <c r="E405" s="3" t="str">
        <f>IF($A405="","",IF(countif('Womens Lineup'!E$3:E1000,CONCATENATE("=",$A405))=0,"",E$2))</f>
        <v/>
      </c>
      <c r="F405" s="3" t="str">
        <f>IF($A405="","",IF(countif('Womens Lineup'!F$3:F1000,CONCATENATE("=",$A405))=0,"",F$2))</f>
        <v/>
      </c>
      <c r="G405" s="3" t="str">
        <f>IF($A405="","",IF(countif('Womens Lineup'!G$3:G1000,CONCATENATE("=",$A405))=0,"",G$2))</f>
        <v/>
      </c>
      <c r="H405" s="3" t="str">
        <f>IF($A405="","",IF(countif('Womens Lineup'!H$3:H1000,CONCATENATE("=",$A405))=0,"",H$2))</f>
        <v/>
      </c>
      <c r="I405" s="3" t="str">
        <f>IF($A405="","",IF(countif('Womens Lineup'!I$3:I1000,CONCATENATE("=",$A405))=0,"",I$2))</f>
        <v/>
      </c>
      <c r="J405" s="3" t="str">
        <f>IF($A405="","",IF(countif('Womens Lineup'!J$3:J1000,CONCATENATE("=",$A405))=0,"",J$2))</f>
        <v/>
      </c>
      <c r="K405" s="3" t="str">
        <f>IF($A405="","",IF(countif('Womens Lineup'!K$3:K1000,CONCATENATE("=",$A405))=0,"",K$2))</f>
        <v/>
      </c>
      <c r="L405" s="3" t="str">
        <f>IF($A405="","",IF(countif('Womens Lineup'!L$3:L1000,CONCATENATE("=",$A405))=0,"",L$2))</f>
        <v/>
      </c>
      <c r="M405" s="3" t="str">
        <f>IF($A405="","",IF(countif('Womens Lineup'!M$3:M1000,CONCATENATE("=",$A405))=0,"",M$2))</f>
        <v/>
      </c>
      <c r="N405" s="3" t="str">
        <f>IF($A405="","",IF(countif('Womens Lineup'!N$3:N1000,CONCATENATE("=",$A405))=0,"",N$2))</f>
        <v/>
      </c>
      <c r="O405" s="3" t="str">
        <f>IF($A405="","",IF(countif('Womens Lineup'!O$3:O1000,CONCATENATE("=",$A405))=0,"",O$2))</f>
        <v/>
      </c>
      <c r="P405" s="3" t="str">
        <f>IF($A405="","",IF(countif('Womens Lineup'!P$3:P1000,CONCATENATE("=",$A405))=0,"",P$2))</f>
        <v/>
      </c>
      <c r="Q405" s="3" t="str">
        <f>IF($A405="","",IF(countif('Womens Lineup'!Q$3:Q1000,CONCATENATE("=",$A405))=0,"",Q$2))</f>
        <v/>
      </c>
      <c r="R405" s="3" t="str">
        <f>IF($A405="","",IF(countif('Womens Lineup'!R$3:R1000,CONCATENATE("=",$A405))=0,"",R$2))</f>
        <v/>
      </c>
      <c r="S405" s="3" t="str">
        <f>IF($A405="","",IF(countif('Womens Lineup'!S$3:S1000,CONCATENATE("=",$A405))=0,"",S$2))</f>
        <v/>
      </c>
      <c r="W405" s="3" t="str">
        <f>IFERROR(__xludf.DUMMYFUNCTION("JOIN("","",FILTER(B405:S405,B405:S405&lt;&gt;""""))"),"#N/A")</f>
        <v>#N/A</v>
      </c>
    </row>
    <row r="406">
      <c r="A406" s="3"/>
      <c r="B406" s="3" t="str">
        <f>IF($A406="","",IF(countif('Womens Lineup'!B$3:B1000,CONCATENATE("=",$A406))=0,"",B$2))</f>
        <v/>
      </c>
      <c r="C406" s="3" t="str">
        <f>IF($A406="","",IF(countif('Womens Lineup'!C$3:C1000,CONCATENATE("=",$A406))=0,"",C$2))</f>
        <v/>
      </c>
      <c r="D406" s="3" t="str">
        <f>IF($A406="","",IF(countif('Womens Lineup'!D$3:D1000,CONCATENATE("=",$A406))=0,"",D$2))</f>
        <v/>
      </c>
      <c r="E406" s="3" t="str">
        <f>IF($A406="","",IF(countif('Womens Lineup'!E$3:E1000,CONCATENATE("=",$A406))=0,"",E$2))</f>
        <v/>
      </c>
      <c r="F406" s="3" t="str">
        <f>IF($A406="","",IF(countif('Womens Lineup'!F$3:F1000,CONCATENATE("=",$A406))=0,"",F$2))</f>
        <v/>
      </c>
      <c r="G406" s="3" t="str">
        <f>IF($A406="","",IF(countif('Womens Lineup'!G$3:G1000,CONCATENATE("=",$A406))=0,"",G$2))</f>
        <v/>
      </c>
      <c r="H406" s="3" t="str">
        <f>IF($A406="","",IF(countif('Womens Lineup'!H$3:H1000,CONCATENATE("=",$A406))=0,"",H$2))</f>
        <v/>
      </c>
      <c r="I406" s="3" t="str">
        <f>IF($A406="","",IF(countif('Womens Lineup'!I$3:I1000,CONCATENATE("=",$A406))=0,"",I$2))</f>
        <v/>
      </c>
      <c r="J406" s="3" t="str">
        <f>IF($A406="","",IF(countif('Womens Lineup'!J$3:J1000,CONCATENATE("=",$A406))=0,"",J$2))</f>
        <v/>
      </c>
      <c r="K406" s="3" t="str">
        <f>IF($A406="","",IF(countif('Womens Lineup'!K$3:K1000,CONCATENATE("=",$A406))=0,"",K$2))</f>
        <v/>
      </c>
      <c r="L406" s="3" t="str">
        <f>IF($A406="","",IF(countif('Womens Lineup'!L$3:L1000,CONCATENATE("=",$A406))=0,"",L$2))</f>
        <v/>
      </c>
      <c r="M406" s="3" t="str">
        <f>IF($A406="","",IF(countif('Womens Lineup'!M$3:M1000,CONCATENATE("=",$A406))=0,"",M$2))</f>
        <v/>
      </c>
      <c r="N406" s="3" t="str">
        <f>IF($A406="","",IF(countif('Womens Lineup'!N$3:N1000,CONCATENATE("=",$A406))=0,"",N$2))</f>
        <v/>
      </c>
      <c r="O406" s="3" t="str">
        <f>IF($A406="","",IF(countif('Womens Lineup'!O$3:O1000,CONCATENATE("=",$A406))=0,"",O$2))</f>
        <v/>
      </c>
      <c r="P406" s="3" t="str">
        <f>IF($A406="","",IF(countif('Womens Lineup'!P$3:P1000,CONCATENATE("=",$A406))=0,"",P$2))</f>
        <v/>
      </c>
      <c r="Q406" s="3" t="str">
        <f>IF($A406="","",IF(countif('Womens Lineup'!Q$3:Q1000,CONCATENATE("=",$A406))=0,"",Q$2))</f>
        <v/>
      </c>
      <c r="R406" s="3" t="str">
        <f>IF($A406="","",IF(countif('Womens Lineup'!R$3:R1000,CONCATENATE("=",$A406))=0,"",R$2))</f>
        <v/>
      </c>
      <c r="S406" s="3" t="str">
        <f>IF($A406="","",IF(countif('Womens Lineup'!S$3:S1000,CONCATENATE("=",$A406))=0,"",S$2))</f>
        <v/>
      </c>
      <c r="W406" s="3" t="str">
        <f>IFERROR(__xludf.DUMMYFUNCTION("JOIN("","",FILTER(B406:S406,B406:S406&lt;&gt;""""))"),"#N/A")</f>
        <v>#N/A</v>
      </c>
    </row>
    <row r="407">
      <c r="A407" s="3"/>
      <c r="B407" s="3" t="str">
        <f>IF($A407="","",IF(countif('Womens Lineup'!B$3:B1000,CONCATENATE("=",$A407))=0,"",B$2))</f>
        <v/>
      </c>
      <c r="C407" s="3" t="str">
        <f>IF($A407="","",IF(countif('Womens Lineup'!C$3:C1000,CONCATENATE("=",$A407))=0,"",C$2))</f>
        <v/>
      </c>
      <c r="D407" s="3" t="str">
        <f>IF($A407="","",IF(countif('Womens Lineup'!D$3:D1000,CONCATENATE("=",$A407))=0,"",D$2))</f>
        <v/>
      </c>
      <c r="E407" s="3" t="str">
        <f>IF($A407="","",IF(countif('Womens Lineup'!E$3:E1000,CONCATENATE("=",$A407))=0,"",E$2))</f>
        <v/>
      </c>
      <c r="F407" s="3" t="str">
        <f>IF($A407="","",IF(countif('Womens Lineup'!F$3:F1000,CONCATENATE("=",$A407))=0,"",F$2))</f>
        <v/>
      </c>
      <c r="G407" s="3" t="str">
        <f>IF($A407="","",IF(countif('Womens Lineup'!G$3:G1000,CONCATENATE("=",$A407))=0,"",G$2))</f>
        <v/>
      </c>
      <c r="H407" s="3" t="str">
        <f>IF($A407="","",IF(countif('Womens Lineup'!H$3:H1000,CONCATENATE("=",$A407))=0,"",H$2))</f>
        <v/>
      </c>
      <c r="I407" s="3" t="str">
        <f>IF($A407="","",IF(countif('Womens Lineup'!I$3:I1000,CONCATENATE("=",$A407))=0,"",I$2))</f>
        <v/>
      </c>
      <c r="J407" s="3" t="str">
        <f>IF($A407="","",IF(countif('Womens Lineup'!J$3:J1000,CONCATENATE("=",$A407))=0,"",J$2))</f>
        <v/>
      </c>
      <c r="K407" s="3" t="str">
        <f>IF($A407="","",IF(countif('Womens Lineup'!K$3:K1000,CONCATENATE("=",$A407))=0,"",K$2))</f>
        <v/>
      </c>
      <c r="L407" s="3" t="str">
        <f>IF($A407="","",IF(countif('Womens Lineup'!L$3:L1000,CONCATENATE("=",$A407))=0,"",L$2))</f>
        <v/>
      </c>
      <c r="M407" s="3" t="str">
        <f>IF($A407="","",IF(countif('Womens Lineup'!M$3:M1000,CONCATENATE("=",$A407))=0,"",M$2))</f>
        <v/>
      </c>
      <c r="N407" s="3" t="str">
        <f>IF($A407="","",IF(countif('Womens Lineup'!N$3:N1000,CONCATENATE("=",$A407))=0,"",N$2))</f>
        <v/>
      </c>
      <c r="O407" s="3" t="str">
        <f>IF($A407="","",IF(countif('Womens Lineup'!O$3:O1000,CONCATENATE("=",$A407))=0,"",O$2))</f>
        <v/>
      </c>
      <c r="P407" s="3" t="str">
        <f>IF($A407="","",IF(countif('Womens Lineup'!P$3:P1000,CONCATENATE("=",$A407))=0,"",P$2))</f>
        <v/>
      </c>
      <c r="Q407" s="3" t="str">
        <f>IF($A407="","",IF(countif('Womens Lineup'!Q$3:Q1000,CONCATENATE("=",$A407))=0,"",Q$2))</f>
        <v/>
      </c>
      <c r="R407" s="3" t="str">
        <f>IF($A407="","",IF(countif('Womens Lineup'!R$3:R1000,CONCATENATE("=",$A407))=0,"",R$2))</f>
        <v/>
      </c>
      <c r="S407" s="3" t="str">
        <f>IF($A407="","",IF(countif('Womens Lineup'!S$3:S1000,CONCATENATE("=",$A407))=0,"",S$2))</f>
        <v/>
      </c>
      <c r="W407" s="3" t="str">
        <f>IFERROR(__xludf.DUMMYFUNCTION("JOIN("","",FILTER(B407:S407,B407:S407&lt;&gt;""""))"),"#N/A")</f>
        <v>#N/A</v>
      </c>
    </row>
    <row r="408">
      <c r="A408" s="3"/>
      <c r="B408" s="3" t="str">
        <f>IF($A408="","",IF(countif('Womens Lineup'!B$3:B1000,CONCATENATE("=",$A408))=0,"",B$2))</f>
        <v/>
      </c>
      <c r="C408" s="3" t="str">
        <f>IF($A408="","",IF(countif('Womens Lineup'!C$3:C1000,CONCATENATE("=",$A408))=0,"",C$2))</f>
        <v/>
      </c>
      <c r="D408" s="3" t="str">
        <f>IF($A408="","",IF(countif('Womens Lineup'!D$3:D1000,CONCATENATE("=",$A408))=0,"",D$2))</f>
        <v/>
      </c>
      <c r="E408" s="3" t="str">
        <f>IF($A408="","",IF(countif('Womens Lineup'!E$3:E1000,CONCATENATE("=",$A408))=0,"",E$2))</f>
        <v/>
      </c>
      <c r="F408" s="3" t="str">
        <f>IF($A408="","",IF(countif('Womens Lineup'!F$3:F1000,CONCATENATE("=",$A408))=0,"",F$2))</f>
        <v/>
      </c>
      <c r="G408" s="3" t="str">
        <f>IF($A408="","",IF(countif('Womens Lineup'!G$3:G1000,CONCATENATE("=",$A408))=0,"",G$2))</f>
        <v/>
      </c>
      <c r="H408" s="3" t="str">
        <f>IF($A408="","",IF(countif('Womens Lineup'!H$3:H1000,CONCATENATE("=",$A408))=0,"",H$2))</f>
        <v/>
      </c>
      <c r="I408" s="3" t="str">
        <f>IF($A408="","",IF(countif('Womens Lineup'!I$3:I1000,CONCATENATE("=",$A408))=0,"",I$2))</f>
        <v/>
      </c>
      <c r="J408" s="3" t="str">
        <f>IF($A408="","",IF(countif('Womens Lineup'!J$3:J1000,CONCATENATE("=",$A408))=0,"",J$2))</f>
        <v/>
      </c>
      <c r="K408" s="3" t="str">
        <f>IF($A408="","",IF(countif('Womens Lineup'!K$3:K1000,CONCATENATE("=",$A408))=0,"",K$2))</f>
        <v/>
      </c>
      <c r="L408" s="3" t="str">
        <f>IF($A408="","",IF(countif('Womens Lineup'!L$3:L1000,CONCATENATE("=",$A408))=0,"",L$2))</f>
        <v/>
      </c>
      <c r="M408" s="3" t="str">
        <f>IF($A408="","",IF(countif('Womens Lineup'!M$3:M1000,CONCATENATE("=",$A408))=0,"",M$2))</f>
        <v/>
      </c>
      <c r="N408" s="3" t="str">
        <f>IF($A408="","",IF(countif('Womens Lineup'!N$3:N1000,CONCATENATE("=",$A408))=0,"",N$2))</f>
        <v/>
      </c>
      <c r="O408" s="3" t="str">
        <f>IF($A408="","",IF(countif('Womens Lineup'!O$3:O1000,CONCATENATE("=",$A408))=0,"",O$2))</f>
        <v/>
      </c>
      <c r="P408" s="3" t="str">
        <f>IF($A408="","",IF(countif('Womens Lineup'!P$3:P1000,CONCATENATE("=",$A408))=0,"",P$2))</f>
        <v/>
      </c>
      <c r="Q408" s="3" t="str">
        <f>IF($A408="","",IF(countif('Womens Lineup'!Q$3:Q1000,CONCATENATE("=",$A408))=0,"",Q$2))</f>
        <v/>
      </c>
      <c r="R408" s="3" t="str">
        <f>IF($A408="","",IF(countif('Womens Lineup'!R$3:R1000,CONCATENATE("=",$A408))=0,"",R$2))</f>
        <v/>
      </c>
      <c r="S408" s="3" t="str">
        <f>IF($A408="","",IF(countif('Womens Lineup'!S$3:S1000,CONCATENATE("=",$A408))=0,"",S$2))</f>
        <v/>
      </c>
      <c r="W408" s="3" t="str">
        <f>IFERROR(__xludf.DUMMYFUNCTION("JOIN("","",FILTER(B408:S408,B408:S408&lt;&gt;""""))"),"#N/A")</f>
        <v>#N/A</v>
      </c>
    </row>
    <row r="409">
      <c r="A409" s="3"/>
      <c r="B409" s="3" t="str">
        <f>IF($A409="","",IF(countif('Womens Lineup'!B$3:B1000,CONCATENATE("=",$A409))=0,"",B$2))</f>
        <v/>
      </c>
      <c r="C409" s="3" t="str">
        <f>IF($A409="","",IF(countif('Womens Lineup'!C$3:C1000,CONCATENATE("=",$A409))=0,"",C$2))</f>
        <v/>
      </c>
      <c r="D409" s="3" t="str">
        <f>IF($A409="","",IF(countif('Womens Lineup'!D$3:D1000,CONCATENATE("=",$A409))=0,"",D$2))</f>
        <v/>
      </c>
      <c r="E409" s="3" t="str">
        <f>IF($A409="","",IF(countif('Womens Lineup'!E$3:E1000,CONCATENATE("=",$A409))=0,"",E$2))</f>
        <v/>
      </c>
      <c r="F409" s="3" t="str">
        <f>IF($A409="","",IF(countif('Womens Lineup'!F$3:F1000,CONCATENATE("=",$A409))=0,"",F$2))</f>
        <v/>
      </c>
      <c r="G409" s="3" t="str">
        <f>IF($A409="","",IF(countif('Womens Lineup'!G$3:G1000,CONCATENATE("=",$A409))=0,"",G$2))</f>
        <v/>
      </c>
      <c r="H409" s="3" t="str">
        <f>IF($A409="","",IF(countif('Womens Lineup'!H$3:H1000,CONCATENATE("=",$A409))=0,"",H$2))</f>
        <v/>
      </c>
      <c r="I409" s="3" t="str">
        <f>IF($A409="","",IF(countif('Womens Lineup'!I$3:I1000,CONCATENATE("=",$A409))=0,"",I$2))</f>
        <v/>
      </c>
      <c r="J409" s="3" t="str">
        <f>IF($A409="","",IF(countif('Womens Lineup'!J$3:J1000,CONCATENATE("=",$A409))=0,"",J$2))</f>
        <v/>
      </c>
      <c r="K409" s="3" t="str">
        <f>IF($A409="","",IF(countif('Womens Lineup'!K$3:K1000,CONCATENATE("=",$A409))=0,"",K$2))</f>
        <v/>
      </c>
      <c r="L409" s="3" t="str">
        <f>IF($A409="","",IF(countif('Womens Lineup'!L$3:L1000,CONCATENATE("=",$A409))=0,"",L$2))</f>
        <v/>
      </c>
      <c r="M409" s="3" t="str">
        <f>IF($A409="","",IF(countif('Womens Lineup'!M$3:M1000,CONCATENATE("=",$A409))=0,"",M$2))</f>
        <v/>
      </c>
      <c r="N409" s="3" t="str">
        <f>IF($A409="","",IF(countif('Womens Lineup'!N$3:N1000,CONCATENATE("=",$A409))=0,"",N$2))</f>
        <v/>
      </c>
      <c r="O409" s="3" t="str">
        <f>IF($A409="","",IF(countif('Womens Lineup'!O$3:O1000,CONCATENATE("=",$A409))=0,"",O$2))</f>
        <v/>
      </c>
      <c r="P409" s="3" t="str">
        <f>IF($A409="","",IF(countif('Womens Lineup'!P$3:P1000,CONCATENATE("=",$A409))=0,"",P$2))</f>
        <v/>
      </c>
      <c r="Q409" s="3" t="str">
        <f>IF($A409="","",IF(countif('Womens Lineup'!Q$3:Q1000,CONCATENATE("=",$A409))=0,"",Q$2))</f>
        <v/>
      </c>
      <c r="R409" s="3" t="str">
        <f>IF($A409="","",IF(countif('Womens Lineup'!R$3:R1000,CONCATENATE("=",$A409))=0,"",R$2))</f>
        <v/>
      </c>
      <c r="S409" s="3" t="str">
        <f>IF($A409="","",IF(countif('Womens Lineup'!S$3:S1000,CONCATENATE("=",$A409))=0,"",S$2))</f>
        <v/>
      </c>
      <c r="W409" s="3" t="str">
        <f>IFERROR(__xludf.DUMMYFUNCTION("JOIN("","",FILTER(B409:S409,B409:S409&lt;&gt;""""))"),"#N/A")</f>
        <v>#N/A</v>
      </c>
    </row>
    <row r="410">
      <c r="A410" s="3"/>
      <c r="B410" s="3" t="str">
        <f>IF($A410="","",IF(countif('Womens Lineup'!B$3:B1000,CONCATENATE("=",$A410))=0,"",B$2))</f>
        <v/>
      </c>
      <c r="C410" s="3" t="str">
        <f>IF($A410="","",IF(countif('Womens Lineup'!C$3:C1000,CONCATENATE("=",$A410))=0,"",C$2))</f>
        <v/>
      </c>
      <c r="D410" s="3" t="str">
        <f>IF($A410="","",IF(countif('Womens Lineup'!D$3:D1000,CONCATENATE("=",$A410))=0,"",D$2))</f>
        <v/>
      </c>
      <c r="E410" s="3" t="str">
        <f>IF($A410="","",IF(countif('Womens Lineup'!E$3:E1000,CONCATENATE("=",$A410))=0,"",E$2))</f>
        <v/>
      </c>
      <c r="F410" s="3" t="str">
        <f>IF($A410="","",IF(countif('Womens Lineup'!F$3:F1000,CONCATENATE("=",$A410))=0,"",F$2))</f>
        <v/>
      </c>
      <c r="G410" s="3" t="str">
        <f>IF($A410="","",IF(countif('Womens Lineup'!G$3:G1000,CONCATENATE("=",$A410))=0,"",G$2))</f>
        <v/>
      </c>
      <c r="H410" s="3" t="str">
        <f>IF($A410="","",IF(countif('Womens Lineup'!H$3:H1000,CONCATENATE("=",$A410))=0,"",H$2))</f>
        <v/>
      </c>
      <c r="I410" s="3" t="str">
        <f>IF($A410="","",IF(countif('Womens Lineup'!I$3:I1000,CONCATENATE("=",$A410))=0,"",I$2))</f>
        <v/>
      </c>
      <c r="J410" s="3" t="str">
        <f>IF($A410="","",IF(countif('Womens Lineup'!J$3:J1000,CONCATENATE("=",$A410))=0,"",J$2))</f>
        <v/>
      </c>
      <c r="K410" s="3" t="str">
        <f>IF($A410="","",IF(countif('Womens Lineup'!K$3:K1000,CONCATENATE("=",$A410))=0,"",K$2))</f>
        <v/>
      </c>
      <c r="L410" s="3" t="str">
        <f>IF($A410="","",IF(countif('Womens Lineup'!L$3:L1000,CONCATENATE("=",$A410))=0,"",L$2))</f>
        <v/>
      </c>
      <c r="M410" s="3" t="str">
        <f>IF($A410="","",IF(countif('Womens Lineup'!M$3:M1000,CONCATENATE("=",$A410))=0,"",M$2))</f>
        <v/>
      </c>
      <c r="N410" s="3" t="str">
        <f>IF($A410="","",IF(countif('Womens Lineup'!N$3:N1000,CONCATENATE("=",$A410))=0,"",N$2))</f>
        <v/>
      </c>
      <c r="O410" s="3" t="str">
        <f>IF($A410="","",IF(countif('Womens Lineup'!O$3:O1000,CONCATENATE("=",$A410))=0,"",O$2))</f>
        <v/>
      </c>
      <c r="P410" s="3" t="str">
        <f>IF($A410="","",IF(countif('Womens Lineup'!P$3:P1000,CONCATENATE("=",$A410))=0,"",P$2))</f>
        <v/>
      </c>
      <c r="Q410" s="3" t="str">
        <f>IF($A410="","",IF(countif('Womens Lineup'!Q$3:Q1000,CONCATENATE("=",$A410))=0,"",Q$2))</f>
        <v/>
      </c>
      <c r="R410" s="3" t="str">
        <f>IF($A410="","",IF(countif('Womens Lineup'!R$3:R1000,CONCATENATE("=",$A410))=0,"",R$2))</f>
        <v/>
      </c>
      <c r="S410" s="3" t="str">
        <f>IF($A410="","",IF(countif('Womens Lineup'!S$3:S1000,CONCATENATE("=",$A410))=0,"",S$2))</f>
        <v/>
      </c>
      <c r="W410" s="3" t="str">
        <f>IFERROR(__xludf.DUMMYFUNCTION("JOIN("","",FILTER(B410:S410,B410:S410&lt;&gt;""""))"),"#N/A")</f>
        <v>#N/A</v>
      </c>
    </row>
    <row r="411">
      <c r="A411" s="3"/>
      <c r="B411" s="3" t="str">
        <f>IF($A411="","",IF(countif('Womens Lineup'!B$3:B1000,CONCATENATE("=",$A411))=0,"",B$2))</f>
        <v/>
      </c>
      <c r="C411" s="3" t="str">
        <f>IF($A411="","",IF(countif('Womens Lineup'!C$3:C1000,CONCATENATE("=",$A411))=0,"",C$2))</f>
        <v/>
      </c>
      <c r="D411" s="3" t="str">
        <f>IF($A411="","",IF(countif('Womens Lineup'!D$3:D1000,CONCATENATE("=",$A411))=0,"",D$2))</f>
        <v/>
      </c>
      <c r="E411" s="3" t="str">
        <f>IF($A411="","",IF(countif('Womens Lineup'!E$3:E1000,CONCATENATE("=",$A411))=0,"",E$2))</f>
        <v/>
      </c>
      <c r="F411" s="3" t="str">
        <f>IF($A411="","",IF(countif('Womens Lineup'!F$3:F1000,CONCATENATE("=",$A411))=0,"",F$2))</f>
        <v/>
      </c>
      <c r="G411" s="3" t="str">
        <f>IF($A411="","",IF(countif('Womens Lineup'!G$3:G1000,CONCATENATE("=",$A411))=0,"",G$2))</f>
        <v/>
      </c>
      <c r="H411" s="3" t="str">
        <f>IF($A411="","",IF(countif('Womens Lineup'!H$3:H1000,CONCATENATE("=",$A411))=0,"",H$2))</f>
        <v/>
      </c>
      <c r="I411" s="3" t="str">
        <f>IF($A411="","",IF(countif('Womens Lineup'!I$3:I1000,CONCATENATE("=",$A411))=0,"",I$2))</f>
        <v/>
      </c>
      <c r="J411" s="3" t="str">
        <f>IF($A411="","",IF(countif('Womens Lineup'!J$3:J1000,CONCATENATE("=",$A411))=0,"",J$2))</f>
        <v/>
      </c>
      <c r="K411" s="3" t="str">
        <f>IF($A411="","",IF(countif('Womens Lineup'!K$3:K1000,CONCATENATE("=",$A411))=0,"",K$2))</f>
        <v/>
      </c>
      <c r="L411" s="3" t="str">
        <f>IF($A411="","",IF(countif('Womens Lineup'!L$3:L1000,CONCATENATE("=",$A411))=0,"",L$2))</f>
        <v/>
      </c>
      <c r="M411" s="3" t="str">
        <f>IF($A411="","",IF(countif('Womens Lineup'!M$3:M1000,CONCATENATE("=",$A411))=0,"",M$2))</f>
        <v/>
      </c>
      <c r="N411" s="3" t="str">
        <f>IF($A411="","",IF(countif('Womens Lineup'!N$3:N1000,CONCATENATE("=",$A411))=0,"",N$2))</f>
        <v/>
      </c>
      <c r="O411" s="3" t="str">
        <f>IF($A411="","",IF(countif('Womens Lineup'!O$3:O1000,CONCATENATE("=",$A411))=0,"",O$2))</f>
        <v/>
      </c>
      <c r="P411" s="3" t="str">
        <f>IF($A411="","",IF(countif('Womens Lineup'!P$3:P1000,CONCATENATE("=",$A411))=0,"",P$2))</f>
        <v/>
      </c>
      <c r="Q411" s="3" t="str">
        <f>IF($A411="","",IF(countif('Womens Lineup'!Q$3:Q1000,CONCATENATE("=",$A411))=0,"",Q$2))</f>
        <v/>
      </c>
      <c r="R411" s="3" t="str">
        <f>IF($A411="","",IF(countif('Womens Lineup'!R$3:R1000,CONCATENATE("=",$A411))=0,"",R$2))</f>
        <v/>
      </c>
      <c r="S411" s="3" t="str">
        <f>IF($A411="","",IF(countif('Womens Lineup'!S$3:S1000,CONCATENATE("=",$A411))=0,"",S$2))</f>
        <v/>
      </c>
      <c r="W411" s="3" t="str">
        <f>IFERROR(__xludf.DUMMYFUNCTION("JOIN("","",FILTER(B411:S411,B411:S411&lt;&gt;""""))"),"#N/A")</f>
        <v>#N/A</v>
      </c>
    </row>
    <row r="412">
      <c r="A412" s="3"/>
      <c r="B412" s="3" t="str">
        <f>IF($A412="","",IF(countif('Womens Lineup'!B$3:B1000,CONCATENATE("=",$A412))=0,"",B$2))</f>
        <v/>
      </c>
      <c r="C412" s="3" t="str">
        <f>IF($A412="","",IF(countif('Womens Lineup'!C$3:C1000,CONCATENATE("=",$A412))=0,"",C$2))</f>
        <v/>
      </c>
      <c r="D412" s="3" t="str">
        <f>IF($A412="","",IF(countif('Womens Lineup'!D$3:D1000,CONCATENATE("=",$A412))=0,"",D$2))</f>
        <v/>
      </c>
      <c r="E412" s="3" t="str">
        <f>IF($A412="","",IF(countif('Womens Lineup'!E$3:E1000,CONCATENATE("=",$A412))=0,"",E$2))</f>
        <v/>
      </c>
      <c r="F412" s="3" t="str">
        <f>IF($A412="","",IF(countif('Womens Lineup'!F$3:F1000,CONCATENATE("=",$A412))=0,"",F$2))</f>
        <v/>
      </c>
      <c r="G412" s="3" t="str">
        <f>IF($A412="","",IF(countif('Womens Lineup'!G$3:G1000,CONCATENATE("=",$A412))=0,"",G$2))</f>
        <v/>
      </c>
      <c r="H412" s="3" t="str">
        <f>IF($A412="","",IF(countif('Womens Lineup'!H$3:H1000,CONCATENATE("=",$A412))=0,"",H$2))</f>
        <v/>
      </c>
      <c r="I412" s="3" t="str">
        <f>IF($A412="","",IF(countif('Womens Lineup'!I$3:I1000,CONCATENATE("=",$A412))=0,"",I$2))</f>
        <v/>
      </c>
      <c r="J412" s="3" t="str">
        <f>IF($A412="","",IF(countif('Womens Lineup'!J$3:J1000,CONCATENATE("=",$A412))=0,"",J$2))</f>
        <v/>
      </c>
      <c r="K412" s="3" t="str">
        <f>IF($A412="","",IF(countif('Womens Lineup'!K$3:K1000,CONCATENATE("=",$A412))=0,"",K$2))</f>
        <v/>
      </c>
      <c r="L412" s="3" t="str">
        <f>IF($A412="","",IF(countif('Womens Lineup'!L$3:L1000,CONCATENATE("=",$A412))=0,"",L$2))</f>
        <v/>
      </c>
      <c r="M412" s="3" t="str">
        <f>IF($A412="","",IF(countif('Womens Lineup'!M$3:M1000,CONCATENATE("=",$A412))=0,"",M$2))</f>
        <v/>
      </c>
      <c r="N412" s="3" t="str">
        <f>IF($A412="","",IF(countif('Womens Lineup'!N$3:N1000,CONCATENATE("=",$A412))=0,"",N$2))</f>
        <v/>
      </c>
      <c r="O412" s="3" t="str">
        <f>IF($A412="","",IF(countif('Womens Lineup'!O$3:O1000,CONCATENATE("=",$A412))=0,"",O$2))</f>
        <v/>
      </c>
      <c r="P412" s="3" t="str">
        <f>IF($A412="","",IF(countif('Womens Lineup'!P$3:P1000,CONCATENATE("=",$A412))=0,"",P$2))</f>
        <v/>
      </c>
      <c r="Q412" s="3" t="str">
        <f>IF($A412="","",IF(countif('Womens Lineup'!Q$3:Q1000,CONCATENATE("=",$A412))=0,"",Q$2))</f>
        <v/>
      </c>
      <c r="R412" s="3" t="str">
        <f>IF($A412="","",IF(countif('Womens Lineup'!R$3:R1000,CONCATENATE("=",$A412))=0,"",R$2))</f>
        <v/>
      </c>
      <c r="S412" s="3" t="str">
        <f>IF($A412="","",IF(countif('Womens Lineup'!S$3:S1000,CONCATENATE("=",$A412))=0,"",S$2))</f>
        <v/>
      </c>
      <c r="W412" s="3" t="str">
        <f>IFERROR(__xludf.DUMMYFUNCTION("JOIN("","",FILTER(B412:S412,B412:S412&lt;&gt;""""))"),"#N/A")</f>
        <v>#N/A</v>
      </c>
    </row>
    <row r="413">
      <c r="A413" s="3"/>
      <c r="B413" s="3" t="str">
        <f>IF($A413="","",IF(countif('Womens Lineup'!B$3:B1000,CONCATENATE("=",$A413))=0,"",B$2))</f>
        <v/>
      </c>
      <c r="C413" s="3" t="str">
        <f>IF($A413="","",IF(countif('Womens Lineup'!C$3:C1000,CONCATENATE("=",$A413))=0,"",C$2))</f>
        <v/>
      </c>
      <c r="D413" s="3" t="str">
        <f>IF($A413="","",IF(countif('Womens Lineup'!D$3:D1000,CONCATENATE("=",$A413))=0,"",D$2))</f>
        <v/>
      </c>
      <c r="E413" s="3" t="str">
        <f>IF($A413="","",IF(countif('Womens Lineup'!E$3:E1000,CONCATENATE("=",$A413))=0,"",E$2))</f>
        <v/>
      </c>
      <c r="F413" s="3" t="str">
        <f>IF($A413="","",IF(countif('Womens Lineup'!F$3:F1000,CONCATENATE("=",$A413))=0,"",F$2))</f>
        <v/>
      </c>
      <c r="G413" s="3" t="str">
        <f>IF($A413="","",IF(countif('Womens Lineup'!G$3:G1000,CONCATENATE("=",$A413))=0,"",G$2))</f>
        <v/>
      </c>
      <c r="H413" s="3" t="str">
        <f>IF($A413="","",IF(countif('Womens Lineup'!H$3:H1000,CONCATENATE("=",$A413))=0,"",H$2))</f>
        <v/>
      </c>
      <c r="I413" s="3" t="str">
        <f>IF($A413="","",IF(countif('Womens Lineup'!I$3:I1000,CONCATENATE("=",$A413))=0,"",I$2))</f>
        <v/>
      </c>
      <c r="J413" s="3" t="str">
        <f>IF($A413="","",IF(countif('Womens Lineup'!J$3:J1000,CONCATENATE("=",$A413))=0,"",J$2))</f>
        <v/>
      </c>
      <c r="K413" s="3" t="str">
        <f>IF($A413="","",IF(countif('Womens Lineup'!K$3:K1000,CONCATENATE("=",$A413))=0,"",K$2))</f>
        <v/>
      </c>
      <c r="L413" s="3" t="str">
        <f>IF($A413="","",IF(countif('Womens Lineup'!L$3:L1000,CONCATENATE("=",$A413))=0,"",L$2))</f>
        <v/>
      </c>
      <c r="M413" s="3" t="str">
        <f>IF($A413="","",IF(countif('Womens Lineup'!M$3:M1000,CONCATENATE("=",$A413))=0,"",M$2))</f>
        <v/>
      </c>
      <c r="N413" s="3" t="str">
        <f>IF($A413="","",IF(countif('Womens Lineup'!N$3:N1000,CONCATENATE("=",$A413))=0,"",N$2))</f>
        <v/>
      </c>
      <c r="O413" s="3" t="str">
        <f>IF($A413="","",IF(countif('Womens Lineup'!O$3:O1000,CONCATENATE("=",$A413))=0,"",O$2))</f>
        <v/>
      </c>
      <c r="P413" s="3" t="str">
        <f>IF($A413="","",IF(countif('Womens Lineup'!P$3:P1000,CONCATENATE("=",$A413))=0,"",P$2))</f>
        <v/>
      </c>
      <c r="Q413" s="3" t="str">
        <f>IF($A413="","",IF(countif('Womens Lineup'!Q$3:Q1000,CONCATENATE("=",$A413))=0,"",Q$2))</f>
        <v/>
      </c>
      <c r="R413" s="3" t="str">
        <f>IF($A413="","",IF(countif('Womens Lineup'!R$3:R1000,CONCATENATE("=",$A413))=0,"",R$2))</f>
        <v/>
      </c>
      <c r="S413" s="3" t="str">
        <f>IF($A413="","",IF(countif('Womens Lineup'!S$3:S1000,CONCATENATE("=",$A413))=0,"",S$2))</f>
        <v/>
      </c>
      <c r="W413" s="3" t="str">
        <f>IFERROR(__xludf.DUMMYFUNCTION("JOIN("","",FILTER(B413:S413,B413:S413&lt;&gt;""""))"),"#N/A")</f>
        <v>#N/A</v>
      </c>
    </row>
    <row r="414">
      <c r="A414" s="3"/>
      <c r="B414" s="3" t="str">
        <f>IF($A414="","",IF(countif('Womens Lineup'!B$3:B1000,CONCATENATE("=",$A414))=0,"",B$2))</f>
        <v/>
      </c>
      <c r="C414" s="3" t="str">
        <f>IF($A414="","",IF(countif('Womens Lineup'!C$3:C1000,CONCATENATE("=",$A414))=0,"",C$2))</f>
        <v/>
      </c>
      <c r="D414" s="3" t="str">
        <f>IF($A414="","",IF(countif('Womens Lineup'!D$3:D1000,CONCATENATE("=",$A414))=0,"",D$2))</f>
        <v/>
      </c>
      <c r="E414" s="3" t="str">
        <f>IF($A414="","",IF(countif('Womens Lineup'!E$3:E1000,CONCATENATE("=",$A414))=0,"",E$2))</f>
        <v/>
      </c>
      <c r="F414" s="3" t="str">
        <f>IF($A414="","",IF(countif('Womens Lineup'!F$3:F1000,CONCATENATE("=",$A414))=0,"",F$2))</f>
        <v/>
      </c>
      <c r="G414" s="3" t="str">
        <f>IF($A414="","",IF(countif('Womens Lineup'!G$3:G1000,CONCATENATE("=",$A414))=0,"",G$2))</f>
        <v/>
      </c>
      <c r="H414" s="3" t="str">
        <f>IF($A414="","",IF(countif('Womens Lineup'!H$3:H1000,CONCATENATE("=",$A414))=0,"",H$2))</f>
        <v/>
      </c>
      <c r="I414" s="3" t="str">
        <f>IF($A414="","",IF(countif('Womens Lineup'!I$3:I1000,CONCATENATE("=",$A414))=0,"",I$2))</f>
        <v/>
      </c>
      <c r="J414" s="3" t="str">
        <f>IF($A414="","",IF(countif('Womens Lineup'!J$3:J1000,CONCATENATE("=",$A414))=0,"",J$2))</f>
        <v/>
      </c>
      <c r="K414" s="3" t="str">
        <f>IF($A414="","",IF(countif('Womens Lineup'!K$3:K1000,CONCATENATE("=",$A414))=0,"",K$2))</f>
        <v/>
      </c>
      <c r="L414" s="3" t="str">
        <f>IF($A414="","",IF(countif('Womens Lineup'!L$3:L1000,CONCATENATE("=",$A414))=0,"",L$2))</f>
        <v/>
      </c>
      <c r="M414" s="3" t="str">
        <f>IF($A414="","",IF(countif('Womens Lineup'!M$3:M1000,CONCATENATE("=",$A414))=0,"",M$2))</f>
        <v/>
      </c>
      <c r="N414" s="3" t="str">
        <f>IF($A414="","",IF(countif('Womens Lineup'!N$3:N1000,CONCATENATE("=",$A414))=0,"",N$2))</f>
        <v/>
      </c>
      <c r="O414" s="3" t="str">
        <f>IF($A414="","",IF(countif('Womens Lineup'!O$3:O1000,CONCATENATE("=",$A414))=0,"",O$2))</f>
        <v/>
      </c>
      <c r="P414" s="3" t="str">
        <f>IF($A414="","",IF(countif('Womens Lineup'!P$3:P1000,CONCATENATE("=",$A414))=0,"",P$2))</f>
        <v/>
      </c>
      <c r="Q414" s="3" t="str">
        <f>IF($A414="","",IF(countif('Womens Lineup'!Q$3:Q1000,CONCATENATE("=",$A414))=0,"",Q$2))</f>
        <v/>
      </c>
      <c r="R414" s="3" t="str">
        <f>IF($A414="","",IF(countif('Womens Lineup'!R$3:R1000,CONCATENATE("=",$A414))=0,"",R$2))</f>
        <v/>
      </c>
      <c r="S414" s="3" t="str">
        <f>IF($A414="","",IF(countif('Womens Lineup'!S$3:S1000,CONCATENATE("=",$A414))=0,"",S$2))</f>
        <v/>
      </c>
      <c r="W414" s="3" t="str">
        <f>IFERROR(__xludf.DUMMYFUNCTION("JOIN("","",FILTER(B414:S414,B414:S414&lt;&gt;""""))"),"#N/A")</f>
        <v>#N/A</v>
      </c>
    </row>
    <row r="415">
      <c r="A415" s="3"/>
      <c r="B415" s="3" t="str">
        <f>IF($A415="","",IF(countif('Womens Lineup'!B$3:B1000,CONCATENATE("=",$A415))=0,"",B$2))</f>
        <v/>
      </c>
      <c r="C415" s="3" t="str">
        <f>IF($A415="","",IF(countif('Womens Lineup'!C$3:C1000,CONCATENATE("=",$A415))=0,"",C$2))</f>
        <v/>
      </c>
      <c r="D415" s="3" t="str">
        <f>IF($A415="","",IF(countif('Womens Lineup'!D$3:D1000,CONCATENATE("=",$A415))=0,"",D$2))</f>
        <v/>
      </c>
      <c r="E415" s="3" t="str">
        <f>IF($A415="","",IF(countif('Womens Lineup'!E$3:E1000,CONCATENATE("=",$A415))=0,"",E$2))</f>
        <v/>
      </c>
      <c r="F415" s="3" t="str">
        <f>IF($A415="","",IF(countif('Womens Lineup'!F$3:F1000,CONCATENATE("=",$A415))=0,"",F$2))</f>
        <v/>
      </c>
      <c r="G415" s="3" t="str">
        <f>IF($A415="","",IF(countif('Womens Lineup'!G$3:G1000,CONCATENATE("=",$A415))=0,"",G$2))</f>
        <v/>
      </c>
      <c r="H415" s="3" t="str">
        <f>IF($A415="","",IF(countif('Womens Lineup'!H$3:H1000,CONCATENATE("=",$A415))=0,"",H$2))</f>
        <v/>
      </c>
      <c r="I415" s="3" t="str">
        <f>IF($A415="","",IF(countif('Womens Lineup'!I$3:I1000,CONCATENATE("=",$A415))=0,"",I$2))</f>
        <v/>
      </c>
      <c r="J415" s="3" t="str">
        <f>IF($A415="","",IF(countif('Womens Lineup'!J$3:J1000,CONCATENATE("=",$A415))=0,"",J$2))</f>
        <v/>
      </c>
      <c r="K415" s="3" t="str">
        <f>IF($A415="","",IF(countif('Womens Lineup'!K$3:K1000,CONCATENATE("=",$A415))=0,"",K$2))</f>
        <v/>
      </c>
      <c r="L415" s="3" t="str">
        <f>IF($A415="","",IF(countif('Womens Lineup'!L$3:L1000,CONCATENATE("=",$A415))=0,"",L$2))</f>
        <v/>
      </c>
      <c r="M415" s="3" t="str">
        <f>IF($A415="","",IF(countif('Womens Lineup'!M$3:M1000,CONCATENATE("=",$A415))=0,"",M$2))</f>
        <v/>
      </c>
      <c r="N415" s="3" t="str">
        <f>IF($A415="","",IF(countif('Womens Lineup'!N$3:N1000,CONCATENATE("=",$A415))=0,"",N$2))</f>
        <v/>
      </c>
      <c r="O415" s="3" t="str">
        <f>IF($A415="","",IF(countif('Womens Lineup'!O$3:O1000,CONCATENATE("=",$A415))=0,"",O$2))</f>
        <v/>
      </c>
      <c r="P415" s="3" t="str">
        <f>IF($A415="","",IF(countif('Womens Lineup'!P$3:P1000,CONCATENATE("=",$A415))=0,"",P$2))</f>
        <v/>
      </c>
      <c r="Q415" s="3" t="str">
        <f>IF($A415="","",IF(countif('Womens Lineup'!Q$3:Q1000,CONCATENATE("=",$A415))=0,"",Q$2))</f>
        <v/>
      </c>
      <c r="R415" s="3" t="str">
        <f>IF($A415="","",IF(countif('Womens Lineup'!R$3:R1000,CONCATENATE("=",$A415))=0,"",R$2))</f>
        <v/>
      </c>
      <c r="S415" s="3" t="str">
        <f>IF($A415="","",IF(countif('Womens Lineup'!S$3:S1000,CONCATENATE("=",$A415))=0,"",S$2))</f>
        <v/>
      </c>
      <c r="W415" s="3" t="str">
        <f>IFERROR(__xludf.DUMMYFUNCTION("JOIN("","",FILTER(B415:S415,B415:S415&lt;&gt;""""))"),"#N/A")</f>
        <v>#N/A</v>
      </c>
    </row>
    <row r="416">
      <c r="A416" s="3"/>
      <c r="B416" s="3" t="str">
        <f>IF($A416="","",IF(countif('Womens Lineup'!B$3:B1000,CONCATENATE("=",$A416))=0,"",B$2))</f>
        <v/>
      </c>
      <c r="C416" s="3" t="str">
        <f>IF($A416="","",IF(countif('Womens Lineup'!C$3:C1000,CONCATENATE("=",$A416))=0,"",C$2))</f>
        <v/>
      </c>
      <c r="D416" s="3" t="str">
        <f>IF($A416="","",IF(countif('Womens Lineup'!D$3:D1000,CONCATENATE("=",$A416))=0,"",D$2))</f>
        <v/>
      </c>
      <c r="E416" s="3" t="str">
        <f>IF($A416="","",IF(countif('Womens Lineup'!E$3:E1000,CONCATENATE("=",$A416))=0,"",E$2))</f>
        <v/>
      </c>
      <c r="F416" s="3" t="str">
        <f>IF($A416="","",IF(countif('Womens Lineup'!F$3:F1000,CONCATENATE("=",$A416))=0,"",F$2))</f>
        <v/>
      </c>
      <c r="G416" s="3" t="str">
        <f>IF($A416="","",IF(countif('Womens Lineup'!G$3:G1000,CONCATENATE("=",$A416))=0,"",G$2))</f>
        <v/>
      </c>
      <c r="H416" s="3" t="str">
        <f>IF($A416="","",IF(countif('Womens Lineup'!H$3:H1000,CONCATENATE("=",$A416))=0,"",H$2))</f>
        <v/>
      </c>
      <c r="I416" s="3" t="str">
        <f>IF($A416="","",IF(countif('Womens Lineup'!I$3:I1000,CONCATENATE("=",$A416))=0,"",I$2))</f>
        <v/>
      </c>
      <c r="J416" s="3" t="str">
        <f>IF($A416="","",IF(countif('Womens Lineup'!J$3:J1000,CONCATENATE("=",$A416))=0,"",J$2))</f>
        <v/>
      </c>
      <c r="K416" s="3" t="str">
        <f>IF($A416="","",IF(countif('Womens Lineup'!K$3:K1000,CONCATENATE("=",$A416))=0,"",K$2))</f>
        <v/>
      </c>
      <c r="L416" s="3" t="str">
        <f>IF($A416="","",IF(countif('Womens Lineup'!L$3:L1000,CONCATENATE("=",$A416))=0,"",L$2))</f>
        <v/>
      </c>
      <c r="M416" s="3" t="str">
        <f>IF($A416="","",IF(countif('Womens Lineup'!M$3:M1000,CONCATENATE("=",$A416))=0,"",M$2))</f>
        <v/>
      </c>
      <c r="N416" s="3" t="str">
        <f>IF($A416="","",IF(countif('Womens Lineup'!N$3:N1000,CONCATENATE("=",$A416))=0,"",N$2))</f>
        <v/>
      </c>
      <c r="O416" s="3" t="str">
        <f>IF($A416="","",IF(countif('Womens Lineup'!O$3:O1000,CONCATENATE("=",$A416))=0,"",O$2))</f>
        <v/>
      </c>
      <c r="P416" s="3" t="str">
        <f>IF($A416="","",IF(countif('Womens Lineup'!P$3:P1000,CONCATENATE("=",$A416))=0,"",P$2))</f>
        <v/>
      </c>
      <c r="Q416" s="3" t="str">
        <f>IF($A416="","",IF(countif('Womens Lineup'!Q$3:Q1000,CONCATENATE("=",$A416))=0,"",Q$2))</f>
        <v/>
      </c>
      <c r="R416" s="3" t="str">
        <f>IF($A416="","",IF(countif('Womens Lineup'!R$3:R1000,CONCATENATE("=",$A416))=0,"",R$2))</f>
        <v/>
      </c>
      <c r="S416" s="3" t="str">
        <f>IF($A416="","",IF(countif('Womens Lineup'!S$3:S1000,CONCATENATE("=",$A416))=0,"",S$2))</f>
        <v/>
      </c>
      <c r="W416" s="3" t="str">
        <f>IFERROR(__xludf.DUMMYFUNCTION("JOIN("","",FILTER(B416:S416,B416:S416&lt;&gt;""""))"),"#N/A")</f>
        <v>#N/A</v>
      </c>
    </row>
    <row r="417">
      <c r="A417" s="3"/>
      <c r="B417" s="3" t="str">
        <f>IF($A417="","",IF(countif('Womens Lineup'!B$3:B1000,CONCATENATE("=",$A417))=0,"",B$2))</f>
        <v/>
      </c>
      <c r="C417" s="3" t="str">
        <f>IF($A417="","",IF(countif('Womens Lineup'!C$3:C1000,CONCATENATE("=",$A417))=0,"",C$2))</f>
        <v/>
      </c>
      <c r="D417" s="3" t="str">
        <f>IF($A417="","",IF(countif('Womens Lineup'!D$3:D1000,CONCATENATE("=",$A417))=0,"",D$2))</f>
        <v/>
      </c>
      <c r="E417" s="3" t="str">
        <f>IF($A417="","",IF(countif('Womens Lineup'!E$3:E1000,CONCATENATE("=",$A417))=0,"",E$2))</f>
        <v/>
      </c>
      <c r="F417" s="3" t="str">
        <f>IF($A417="","",IF(countif('Womens Lineup'!F$3:F1000,CONCATENATE("=",$A417))=0,"",F$2))</f>
        <v/>
      </c>
      <c r="G417" s="3" t="str">
        <f>IF($A417="","",IF(countif('Womens Lineup'!G$3:G1000,CONCATENATE("=",$A417))=0,"",G$2))</f>
        <v/>
      </c>
      <c r="H417" s="3" t="str">
        <f>IF($A417="","",IF(countif('Womens Lineup'!H$3:H1000,CONCATENATE("=",$A417))=0,"",H$2))</f>
        <v/>
      </c>
      <c r="I417" s="3" t="str">
        <f>IF($A417="","",IF(countif('Womens Lineup'!I$3:I1000,CONCATENATE("=",$A417))=0,"",I$2))</f>
        <v/>
      </c>
      <c r="J417" s="3" t="str">
        <f>IF($A417="","",IF(countif('Womens Lineup'!J$3:J1000,CONCATENATE("=",$A417))=0,"",J$2))</f>
        <v/>
      </c>
      <c r="K417" s="3" t="str">
        <f>IF($A417="","",IF(countif('Womens Lineup'!K$3:K1000,CONCATENATE("=",$A417))=0,"",K$2))</f>
        <v/>
      </c>
      <c r="L417" s="3" t="str">
        <f>IF($A417="","",IF(countif('Womens Lineup'!L$3:L1000,CONCATENATE("=",$A417))=0,"",L$2))</f>
        <v/>
      </c>
      <c r="M417" s="3" t="str">
        <f>IF($A417="","",IF(countif('Womens Lineup'!M$3:M1000,CONCATENATE("=",$A417))=0,"",M$2))</f>
        <v/>
      </c>
      <c r="N417" s="3" t="str">
        <f>IF($A417="","",IF(countif('Womens Lineup'!N$3:N1000,CONCATENATE("=",$A417))=0,"",N$2))</f>
        <v/>
      </c>
      <c r="O417" s="3" t="str">
        <f>IF($A417="","",IF(countif('Womens Lineup'!O$3:O1000,CONCATENATE("=",$A417))=0,"",O$2))</f>
        <v/>
      </c>
      <c r="P417" s="3" t="str">
        <f>IF($A417="","",IF(countif('Womens Lineup'!P$3:P1000,CONCATENATE("=",$A417))=0,"",P$2))</f>
        <v/>
      </c>
      <c r="Q417" s="3" t="str">
        <f>IF($A417="","",IF(countif('Womens Lineup'!Q$3:Q1000,CONCATENATE("=",$A417))=0,"",Q$2))</f>
        <v/>
      </c>
      <c r="R417" s="3" t="str">
        <f>IF($A417="","",IF(countif('Womens Lineup'!R$3:R1000,CONCATENATE("=",$A417))=0,"",R$2))</f>
        <v/>
      </c>
      <c r="S417" s="3" t="str">
        <f>IF($A417="","",IF(countif('Womens Lineup'!S$3:S1000,CONCATENATE("=",$A417))=0,"",S$2))</f>
        <v/>
      </c>
      <c r="W417" s="3" t="str">
        <f>IFERROR(__xludf.DUMMYFUNCTION("JOIN("","",FILTER(B417:S417,B417:S417&lt;&gt;""""))"),"#N/A")</f>
        <v>#N/A</v>
      </c>
    </row>
    <row r="418">
      <c r="A418" s="3"/>
      <c r="B418" s="3" t="str">
        <f>IF($A418="","",IF(countif('Womens Lineup'!B$3:B1000,CONCATENATE("=",$A418))=0,"",B$2))</f>
        <v/>
      </c>
      <c r="C418" s="3" t="str">
        <f>IF($A418="","",IF(countif('Womens Lineup'!C$3:C1000,CONCATENATE("=",$A418))=0,"",C$2))</f>
        <v/>
      </c>
      <c r="D418" s="3" t="str">
        <f>IF($A418="","",IF(countif('Womens Lineup'!D$3:D1000,CONCATENATE("=",$A418))=0,"",D$2))</f>
        <v/>
      </c>
      <c r="E418" s="3" t="str">
        <f>IF($A418="","",IF(countif('Womens Lineup'!E$3:E1000,CONCATENATE("=",$A418))=0,"",E$2))</f>
        <v/>
      </c>
      <c r="F418" s="3" t="str">
        <f>IF($A418="","",IF(countif('Womens Lineup'!F$3:F1000,CONCATENATE("=",$A418))=0,"",F$2))</f>
        <v/>
      </c>
      <c r="G418" s="3" t="str">
        <f>IF($A418="","",IF(countif('Womens Lineup'!G$3:G1000,CONCATENATE("=",$A418))=0,"",G$2))</f>
        <v/>
      </c>
      <c r="H418" s="3" t="str">
        <f>IF($A418="","",IF(countif('Womens Lineup'!H$3:H1000,CONCATENATE("=",$A418))=0,"",H$2))</f>
        <v/>
      </c>
      <c r="I418" s="3" t="str">
        <f>IF($A418="","",IF(countif('Womens Lineup'!I$3:I1000,CONCATENATE("=",$A418))=0,"",I$2))</f>
        <v/>
      </c>
      <c r="J418" s="3" t="str">
        <f>IF($A418="","",IF(countif('Womens Lineup'!J$3:J1000,CONCATENATE("=",$A418))=0,"",J$2))</f>
        <v/>
      </c>
      <c r="K418" s="3" t="str">
        <f>IF($A418="","",IF(countif('Womens Lineup'!K$3:K1000,CONCATENATE("=",$A418))=0,"",K$2))</f>
        <v/>
      </c>
      <c r="L418" s="3" t="str">
        <f>IF($A418="","",IF(countif('Womens Lineup'!L$3:L1000,CONCATENATE("=",$A418))=0,"",L$2))</f>
        <v/>
      </c>
      <c r="M418" s="3" t="str">
        <f>IF($A418="","",IF(countif('Womens Lineup'!M$3:M1000,CONCATENATE("=",$A418))=0,"",M$2))</f>
        <v/>
      </c>
      <c r="N418" s="3" t="str">
        <f>IF($A418="","",IF(countif('Womens Lineup'!N$3:N1000,CONCATENATE("=",$A418))=0,"",N$2))</f>
        <v/>
      </c>
      <c r="O418" s="3" t="str">
        <f>IF($A418="","",IF(countif('Womens Lineup'!O$3:O1000,CONCATENATE("=",$A418))=0,"",O$2))</f>
        <v/>
      </c>
      <c r="P418" s="3" t="str">
        <f>IF($A418="","",IF(countif('Womens Lineup'!P$3:P1000,CONCATENATE("=",$A418))=0,"",P$2))</f>
        <v/>
      </c>
      <c r="Q418" s="3" t="str">
        <f>IF($A418="","",IF(countif('Womens Lineup'!Q$3:Q1000,CONCATENATE("=",$A418))=0,"",Q$2))</f>
        <v/>
      </c>
      <c r="R418" s="3" t="str">
        <f>IF($A418="","",IF(countif('Womens Lineup'!R$3:R1000,CONCATENATE("=",$A418))=0,"",R$2))</f>
        <v/>
      </c>
      <c r="S418" s="3" t="str">
        <f>IF($A418="","",IF(countif('Womens Lineup'!S$3:S1000,CONCATENATE("=",$A418))=0,"",S$2))</f>
        <v/>
      </c>
      <c r="W418" s="3" t="str">
        <f>IFERROR(__xludf.DUMMYFUNCTION("JOIN("","",FILTER(B418:S418,B418:S418&lt;&gt;""""))"),"#N/A")</f>
        <v>#N/A</v>
      </c>
    </row>
    <row r="419">
      <c r="A419" s="3"/>
      <c r="B419" s="3" t="str">
        <f>IF($A419="","",IF(countif('Womens Lineup'!B$3:B1000,CONCATENATE("=",$A419))=0,"",B$2))</f>
        <v/>
      </c>
      <c r="C419" s="3" t="str">
        <f>IF($A419="","",IF(countif('Womens Lineup'!C$3:C1000,CONCATENATE("=",$A419))=0,"",C$2))</f>
        <v/>
      </c>
      <c r="D419" s="3" t="str">
        <f>IF($A419="","",IF(countif('Womens Lineup'!D$3:D1000,CONCATENATE("=",$A419))=0,"",D$2))</f>
        <v/>
      </c>
      <c r="E419" s="3" t="str">
        <f>IF($A419="","",IF(countif('Womens Lineup'!E$3:E1000,CONCATENATE("=",$A419))=0,"",E$2))</f>
        <v/>
      </c>
      <c r="F419" s="3" t="str">
        <f>IF($A419="","",IF(countif('Womens Lineup'!F$3:F1000,CONCATENATE("=",$A419))=0,"",F$2))</f>
        <v/>
      </c>
      <c r="G419" s="3" t="str">
        <f>IF($A419="","",IF(countif('Womens Lineup'!G$3:G1000,CONCATENATE("=",$A419))=0,"",G$2))</f>
        <v/>
      </c>
      <c r="H419" s="3" t="str">
        <f>IF($A419="","",IF(countif('Womens Lineup'!H$3:H1000,CONCATENATE("=",$A419))=0,"",H$2))</f>
        <v/>
      </c>
      <c r="I419" s="3" t="str">
        <f>IF($A419="","",IF(countif('Womens Lineup'!I$3:I1000,CONCATENATE("=",$A419))=0,"",I$2))</f>
        <v/>
      </c>
      <c r="J419" s="3" t="str">
        <f>IF($A419="","",IF(countif('Womens Lineup'!J$3:J1000,CONCATENATE("=",$A419))=0,"",J$2))</f>
        <v/>
      </c>
      <c r="K419" s="3" t="str">
        <f>IF($A419="","",IF(countif('Womens Lineup'!K$3:K1000,CONCATENATE("=",$A419))=0,"",K$2))</f>
        <v/>
      </c>
      <c r="L419" s="3" t="str">
        <f>IF($A419="","",IF(countif('Womens Lineup'!L$3:L1000,CONCATENATE("=",$A419))=0,"",L$2))</f>
        <v/>
      </c>
      <c r="M419" s="3" t="str">
        <f>IF($A419="","",IF(countif('Womens Lineup'!M$3:M1000,CONCATENATE("=",$A419))=0,"",M$2))</f>
        <v/>
      </c>
      <c r="N419" s="3" t="str">
        <f>IF($A419="","",IF(countif('Womens Lineup'!N$3:N1000,CONCATENATE("=",$A419))=0,"",N$2))</f>
        <v/>
      </c>
      <c r="O419" s="3" t="str">
        <f>IF($A419="","",IF(countif('Womens Lineup'!O$3:O1000,CONCATENATE("=",$A419))=0,"",O$2))</f>
        <v/>
      </c>
      <c r="P419" s="3" t="str">
        <f>IF($A419="","",IF(countif('Womens Lineup'!P$3:P1000,CONCATENATE("=",$A419))=0,"",P$2))</f>
        <v/>
      </c>
      <c r="Q419" s="3" t="str">
        <f>IF($A419="","",IF(countif('Womens Lineup'!Q$3:Q1000,CONCATENATE("=",$A419))=0,"",Q$2))</f>
        <v/>
      </c>
      <c r="R419" s="3" t="str">
        <f>IF($A419="","",IF(countif('Womens Lineup'!R$3:R1000,CONCATENATE("=",$A419))=0,"",R$2))</f>
        <v/>
      </c>
      <c r="S419" s="3" t="str">
        <f>IF($A419="","",IF(countif('Womens Lineup'!S$3:S1000,CONCATENATE("=",$A419))=0,"",S$2))</f>
        <v/>
      </c>
      <c r="W419" s="3" t="str">
        <f>IFERROR(__xludf.DUMMYFUNCTION("JOIN("","",FILTER(B419:S419,B419:S419&lt;&gt;""""))"),"#N/A")</f>
        <v>#N/A</v>
      </c>
    </row>
    <row r="420">
      <c r="A420" s="3"/>
      <c r="B420" s="3" t="str">
        <f>IF($A420="","",IF(countif('Womens Lineup'!B$3:B1000,CONCATENATE("=",$A420))=0,"",B$2))</f>
        <v/>
      </c>
      <c r="C420" s="3" t="str">
        <f>IF($A420="","",IF(countif('Womens Lineup'!C$3:C1000,CONCATENATE("=",$A420))=0,"",C$2))</f>
        <v/>
      </c>
      <c r="D420" s="3" t="str">
        <f>IF($A420="","",IF(countif('Womens Lineup'!D$3:D1000,CONCATENATE("=",$A420))=0,"",D$2))</f>
        <v/>
      </c>
      <c r="E420" s="3" t="str">
        <f>IF($A420="","",IF(countif('Womens Lineup'!E$3:E1000,CONCATENATE("=",$A420))=0,"",E$2))</f>
        <v/>
      </c>
      <c r="F420" s="3" t="str">
        <f>IF($A420="","",IF(countif('Womens Lineup'!F$3:F1000,CONCATENATE("=",$A420))=0,"",F$2))</f>
        <v/>
      </c>
      <c r="G420" s="3" t="str">
        <f>IF($A420="","",IF(countif('Womens Lineup'!G$3:G1000,CONCATENATE("=",$A420))=0,"",G$2))</f>
        <v/>
      </c>
      <c r="H420" s="3" t="str">
        <f>IF($A420="","",IF(countif('Womens Lineup'!H$3:H1000,CONCATENATE("=",$A420))=0,"",H$2))</f>
        <v/>
      </c>
      <c r="I420" s="3" t="str">
        <f>IF($A420="","",IF(countif('Womens Lineup'!I$3:I1000,CONCATENATE("=",$A420))=0,"",I$2))</f>
        <v/>
      </c>
      <c r="J420" s="3" t="str">
        <f>IF($A420="","",IF(countif('Womens Lineup'!J$3:J1000,CONCATENATE("=",$A420))=0,"",J$2))</f>
        <v/>
      </c>
      <c r="K420" s="3" t="str">
        <f>IF($A420="","",IF(countif('Womens Lineup'!K$3:K1000,CONCATENATE("=",$A420))=0,"",K$2))</f>
        <v/>
      </c>
      <c r="L420" s="3" t="str">
        <f>IF($A420="","",IF(countif('Womens Lineup'!L$3:L1000,CONCATENATE("=",$A420))=0,"",L$2))</f>
        <v/>
      </c>
      <c r="M420" s="3" t="str">
        <f>IF($A420="","",IF(countif('Womens Lineup'!M$3:M1000,CONCATENATE("=",$A420))=0,"",M$2))</f>
        <v/>
      </c>
      <c r="N420" s="3" t="str">
        <f>IF($A420="","",IF(countif('Womens Lineup'!N$3:N1000,CONCATENATE("=",$A420))=0,"",N$2))</f>
        <v/>
      </c>
      <c r="O420" s="3" t="str">
        <f>IF($A420="","",IF(countif('Womens Lineup'!O$3:O1000,CONCATENATE("=",$A420))=0,"",O$2))</f>
        <v/>
      </c>
      <c r="P420" s="3" t="str">
        <f>IF($A420="","",IF(countif('Womens Lineup'!P$3:P1000,CONCATENATE("=",$A420))=0,"",P$2))</f>
        <v/>
      </c>
      <c r="Q420" s="3" t="str">
        <f>IF($A420="","",IF(countif('Womens Lineup'!Q$3:Q1000,CONCATENATE("=",$A420))=0,"",Q$2))</f>
        <v/>
      </c>
      <c r="R420" s="3" t="str">
        <f>IF($A420="","",IF(countif('Womens Lineup'!R$3:R1000,CONCATENATE("=",$A420))=0,"",R$2))</f>
        <v/>
      </c>
      <c r="S420" s="3" t="str">
        <f>IF($A420="","",IF(countif('Womens Lineup'!S$3:S1000,CONCATENATE("=",$A420))=0,"",S$2))</f>
        <v/>
      </c>
      <c r="W420" s="3" t="str">
        <f>IFERROR(__xludf.DUMMYFUNCTION("JOIN("","",FILTER(B420:S420,B420:S420&lt;&gt;""""))"),"#N/A")</f>
        <v>#N/A</v>
      </c>
    </row>
    <row r="421">
      <c r="A421" s="3"/>
      <c r="B421" s="3" t="str">
        <f>IF($A421="","",IF(countif('Womens Lineup'!B$3:B1000,CONCATENATE("=",$A421))=0,"",B$2))</f>
        <v/>
      </c>
      <c r="C421" s="3" t="str">
        <f>IF($A421="","",IF(countif('Womens Lineup'!C$3:C1000,CONCATENATE("=",$A421))=0,"",C$2))</f>
        <v/>
      </c>
      <c r="D421" s="3" t="str">
        <f>IF($A421="","",IF(countif('Womens Lineup'!D$3:D1000,CONCATENATE("=",$A421))=0,"",D$2))</f>
        <v/>
      </c>
      <c r="E421" s="3" t="str">
        <f>IF($A421="","",IF(countif('Womens Lineup'!E$3:E1000,CONCATENATE("=",$A421))=0,"",E$2))</f>
        <v/>
      </c>
      <c r="F421" s="3" t="str">
        <f>IF($A421="","",IF(countif('Womens Lineup'!F$3:F1000,CONCATENATE("=",$A421))=0,"",F$2))</f>
        <v/>
      </c>
      <c r="G421" s="3" t="str">
        <f>IF($A421="","",IF(countif('Womens Lineup'!G$3:G1000,CONCATENATE("=",$A421))=0,"",G$2))</f>
        <v/>
      </c>
      <c r="H421" s="3" t="str">
        <f>IF($A421="","",IF(countif('Womens Lineup'!H$3:H1000,CONCATENATE("=",$A421))=0,"",H$2))</f>
        <v/>
      </c>
      <c r="I421" s="3" t="str">
        <f>IF($A421="","",IF(countif('Womens Lineup'!I$3:I1000,CONCATENATE("=",$A421))=0,"",I$2))</f>
        <v/>
      </c>
      <c r="J421" s="3" t="str">
        <f>IF($A421="","",IF(countif('Womens Lineup'!J$3:J1000,CONCATENATE("=",$A421))=0,"",J$2))</f>
        <v/>
      </c>
      <c r="K421" s="3" t="str">
        <f>IF($A421="","",IF(countif('Womens Lineup'!K$3:K1000,CONCATENATE("=",$A421))=0,"",K$2))</f>
        <v/>
      </c>
      <c r="L421" s="3" t="str">
        <f>IF($A421="","",IF(countif('Womens Lineup'!L$3:L1000,CONCATENATE("=",$A421))=0,"",L$2))</f>
        <v/>
      </c>
      <c r="M421" s="3" t="str">
        <f>IF($A421="","",IF(countif('Womens Lineup'!M$3:M1000,CONCATENATE("=",$A421))=0,"",M$2))</f>
        <v/>
      </c>
      <c r="N421" s="3" t="str">
        <f>IF($A421="","",IF(countif('Womens Lineup'!N$3:N1000,CONCATENATE("=",$A421))=0,"",N$2))</f>
        <v/>
      </c>
      <c r="O421" s="3" t="str">
        <f>IF($A421="","",IF(countif('Womens Lineup'!O$3:O1000,CONCATENATE("=",$A421))=0,"",O$2))</f>
        <v/>
      </c>
      <c r="P421" s="3" t="str">
        <f>IF($A421="","",IF(countif('Womens Lineup'!P$3:P1000,CONCATENATE("=",$A421))=0,"",P$2))</f>
        <v/>
      </c>
      <c r="Q421" s="3" t="str">
        <f>IF($A421="","",IF(countif('Womens Lineup'!Q$3:Q1000,CONCATENATE("=",$A421))=0,"",Q$2))</f>
        <v/>
      </c>
      <c r="R421" s="3" t="str">
        <f>IF($A421="","",IF(countif('Womens Lineup'!R$3:R1000,CONCATENATE("=",$A421))=0,"",R$2))</f>
        <v/>
      </c>
      <c r="S421" s="3" t="str">
        <f>IF($A421="","",IF(countif('Womens Lineup'!S$3:S1000,CONCATENATE("=",$A421))=0,"",S$2))</f>
        <v/>
      </c>
      <c r="W421" s="3" t="str">
        <f>IFERROR(__xludf.DUMMYFUNCTION("JOIN("","",FILTER(B421:S421,B421:S421&lt;&gt;""""))"),"#N/A")</f>
        <v>#N/A</v>
      </c>
    </row>
    <row r="422">
      <c r="A422" s="3"/>
      <c r="B422" s="3" t="str">
        <f>IF($A422="","",IF(countif('Womens Lineup'!B$3:B1000,CONCATENATE("=",$A422))=0,"",B$2))</f>
        <v/>
      </c>
      <c r="C422" s="3" t="str">
        <f>IF($A422="","",IF(countif('Womens Lineup'!C$3:C1000,CONCATENATE("=",$A422))=0,"",C$2))</f>
        <v/>
      </c>
      <c r="D422" s="3" t="str">
        <f>IF($A422="","",IF(countif('Womens Lineup'!D$3:D1000,CONCATENATE("=",$A422))=0,"",D$2))</f>
        <v/>
      </c>
      <c r="E422" s="3" t="str">
        <f>IF($A422="","",IF(countif('Womens Lineup'!E$3:E1000,CONCATENATE("=",$A422))=0,"",E$2))</f>
        <v/>
      </c>
      <c r="F422" s="3" t="str">
        <f>IF($A422="","",IF(countif('Womens Lineup'!F$3:F1000,CONCATENATE("=",$A422))=0,"",F$2))</f>
        <v/>
      </c>
      <c r="G422" s="3" t="str">
        <f>IF($A422="","",IF(countif('Womens Lineup'!G$3:G1000,CONCATENATE("=",$A422))=0,"",G$2))</f>
        <v/>
      </c>
      <c r="H422" s="3" t="str">
        <f>IF($A422="","",IF(countif('Womens Lineup'!H$3:H1000,CONCATENATE("=",$A422))=0,"",H$2))</f>
        <v/>
      </c>
      <c r="I422" s="3" t="str">
        <f>IF($A422="","",IF(countif('Womens Lineup'!I$3:I1000,CONCATENATE("=",$A422))=0,"",I$2))</f>
        <v/>
      </c>
      <c r="J422" s="3" t="str">
        <f>IF($A422="","",IF(countif('Womens Lineup'!J$3:J1000,CONCATENATE("=",$A422))=0,"",J$2))</f>
        <v/>
      </c>
      <c r="K422" s="3" t="str">
        <f>IF($A422="","",IF(countif('Womens Lineup'!K$3:K1000,CONCATENATE("=",$A422))=0,"",K$2))</f>
        <v/>
      </c>
      <c r="L422" s="3" t="str">
        <f>IF($A422="","",IF(countif('Womens Lineup'!L$3:L1000,CONCATENATE("=",$A422))=0,"",L$2))</f>
        <v/>
      </c>
      <c r="M422" s="3" t="str">
        <f>IF($A422="","",IF(countif('Womens Lineup'!M$3:M1000,CONCATENATE("=",$A422))=0,"",M$2))</f>
        <v/>
      </c>
      <c r="N422" s="3" t="str">
        <f>IF($A422="","",IF(countif('Womens Lineup'!N$3:N1000,CONCATENATE("=",$A422))=0,"",N$2))</f>
        <v/>
      </c>
      <c r="O422" s="3" t="str">
        <f>IF($A422="","",IF(countif('Womens Lineup'!O$3:O1000,CONCATENATE("=",$A422))=0,"",O$2))</f>
        <v/>
      </c>
      <c r="P422" s="3" t="str">
        <f>IF($A422="","",IF(countif('Womens Lineup'!P$3:P1000,CONCATENATE("=",$A422))=0,"",P$2))</f>
        <v/>
      </c>
      <c r="Q422" s="3" t="str">
        <f>IF($A422="","",IF(countif('Womens Lineup'!Q$3:Q1000,CONCATENATE("=",$A422))=0,"",Q$2))</f>
        <v/>
      </c>
      <c r="R422" s="3" t="str">
        <f>IF($A422="","",IF(countif('Womens Lineup'!R$3:R1000,CONCATENATE("=",$A422))=0,"",R$2))</f>
        <v/>
      </c>
      <c r="S422" s="3" t="str">
        <f>IF($A422="","",IF(countif('Womens Lineup'!S$3:S1000,CONCATENATE("=",$A422))=0,"",S$2))</f>
        <v/>
      </c>
      <c r="W422" s="3" t="str">
        <f>IFERROR(__xludf.DUMMYFUNCTION("JOIN("","",FILTER(B422:S422,B422:S422&lt;&gt;""""))"),"#N/A")</f>
        <v>#N/A</v>
      </c>
    </row>
    <row r="423">
      <c r="A423" s="3"/>
      <c r="B423" s="3" t="str">
        <f>IF($A423="","",IF(countif('Womens Lineup'!B$3:B1000,CONCATENATE("=",$A423))=0,"",B$2))</f>
        <v/>
      </c>
      <c r="C423" s="3" t="str">
        <f>IF($A423="","",IF(countif('Womens Lineup'!C$3:C1000,CONCATENATE("=",$A423))=0,"",C$2))</f>
        <v/>
      </c>
      <c r="D423" s="3" t="str">
        <f>IF($A423="","",IF(countif('Womens Lineup'!D$3:D1000,CONCATENATE("=",$A423))=0,"",D$2))</f>
        <v/>
      </c>
      <c r="E423" s="3" t="str">
        <f>IF($A423="","",IF(countif('Womens Lineup'!E$3:E1000,CONCATENATE("=",$A423))=0,"",E$2))</f>
        <v/>
      </c>
      <c r="F423" s="3" t="str">
        <f>IF($A423="","",IF(countif('Womens Lineup'!F$3:F1000,CONCATENATE("=",$A423))=0,"",F$2))</f>
        <v/>
      </c>
      <c r="G423" s="3" t="str">
        <f>IF($A423="","",IF(countif('Womens Lineup'!G$3:G1000,CONCATENATE("=",$A423))=0,"",G$2))</f>
        <v/>
      </c>
      <c r="H423" s="3" t="str">
        <f>IF($A423="","",IF(countif('Womens Lineup'!H$3:H1000,CONCATENATE("=",$A423))=0,"",H$2))</f>
        <v/>
      </c>
      <c r="I423" s="3" t="str">
        <f>IF($A423="","",IF(countif('Womens Lineup'!I$3:I1000,CONCATENATE("=",$A423))=0,"",I$2))</f>
        <v/>
      </c>
      <c r="J423" s="3" t="str">
        <f>IF($A423="","",IF(countif('Womens Lineup'!J$3:J1000,CONCATENATE("=",$A423))=0,"",J$2))</f>
        <v/>
      </c>
      <c r="K423" s="3" t="str">
        <f>IF($A423="","",IF(countif('Womens Lineup'!K$3:K1000,CONCATENATE("=",$A423))=0,"",K$2))</f>
        <v/>
      </c>
      <c r="L423" s="3" t="str">
        <f>IF($A423="","",IF(countif('Womens Lineup'!L$3:L1000,CONCATENATE("=",$A423))=0,"",L$2))</f>
        <v/>
      </c>
      <c r="M423" s="3" t="str">
        <f>IF($A423="","",IF(countif('Womens Lineup'!M$3:M1000,CONCATENATE("=",$A423))=0,"",M$2))</f>
        <v/>
      </c>
      <c r="N423" s="3" t="str">
        <f>IF($A423="","",IF(countif('Womens Lineup'!N$3:N1000,CONCATENATE("=",$A423))=0,"",N$2))</f>
        <v/>
      </c>
      <c r="O423" s="3" t="str">
        <f>IF($A423="","",IF(countif('Womens Lineup'!O$3:O1000,CONCATENATE("=",$A423))=0,"",O$2))</f>
        <v/>
      </c>
      <c r="P423" s="3" t="str">
        <f>IF($A423="","",IF(countif('Womens Lineup'!P$3:P1000,CONCATENATE("=",$A423))=0,"",P$2))</f>
        <v/>
      </c>
      <c r="Q423" s="3" t="str">
        <f>IF($A423="","",IF(countif('Womens Lineup'!Q$3:Q1000,CONCATENATE("=",$A423))=0,"",Q$2))</f>
        <v/>
      </c>
      <c r="R423" s="3" t="str">
        <f>IF($A423="","",IF(countif('Womens Lineup'!R$3:R1000,CONCATENATE("=",$A423))=0,"",R$2))</f>
        <v/>
      </c>
      <c r="S423" s="3" t="str">
        <f>IF($A423="","",IF(countif('Womens Lineup'!S$3:S1000,CONCATENATE("=",$A423))=0,"",S$2))</f>
        <v/>
      </c>
      <c r="W423" s="3" t="str">
        <f>IFERROR(__xludf.DUMMYFUNCTION("JOIN("","",FILTER(B423:S423,B423:S423&lt;&gt;""""))"),"#N/A")</f>
        <v>#N/A</v>
      </c>
    </row>
    <row r="424">
      <c r="A424" s="3"/>
      <c r="B424" s="3" t="str">
        <f>IF($A424="","",IF(countif('Womens Lineup'!B$3:B1000,CONCATENATE("=",$A424))=0,"",B$2))</f>
        <v/>
      </c>
      <c r="C424" s="3" t="str">
        <f>IF($A424="","",IF(countif('Womens Lineup'!C$3:C1000,CONCATENATE("=",$A424))=0,"",C$2))</f>
        <v/>
      </c>
      <c r="D424" s="3" t="str">
        <f>IF($A424="","",IF(countif('Womens Lineup'!D$3:D1000,CONCATENATE("=",$A424))=0,"",D$2))</f>
        <v/>
      </c>
      <c r="E424" s="3" t="str">
        <f>IF($A424="","",IF(countif('Womens Lineup'!E$3:E1000,CONCATENATE("=",$A424))=0,"",E$2))</f>
        <v/>
      </c>
      <c r="F424" s="3" t="str">
        <f>IF($A424="","",IF(countif('Womens Lineup'!F$3:F1000,CONCATENATE("=",$A424))=0,"",F$2))</f>
        <v/>
      </c>
      <c r="G424" s="3" t="str">
        <f>IF($A424="","",IF(countif('Womens Lineup'!G$3:G1000,CONCATENATE("=",$A424))=0,"",G$2))</f>
        <v/>
      </c>
      <c r="H424" s="3" t="str">
        <f>IF($A424="","",IF(countif('Womens Lineup'!H$3:H1000,CONCATENATE("=",$A424))=0,"",H$2))</f>
        <v/>
      </c>
      <c r="I424" s="3" t="str">
        <f>IF($A424="","",IF(countif('Womens Lineup'!I$3:I1000,CONCATENATE("=",$A424))=0,"",I$2))</f>
        <v/>
      </c>
      <c r="J424" s="3" t="str">
        <f>IF($A424="","",IF(countif('Womens Lineup'!J$3:J1000,CONCATENATE("=",$A424))=0,"",J$2))</f>
        <v/>
      </c>
      <c r="K424" s="3" t="str">
        <f>IF($A424="","",IF(countif('Womens Lineup'!K$3:K1000,CONCATENATE("=",$A424))=0,"",K$2))</f>
        <v/>
      </c>
      <c r="L424" s="3" t="str">
        <f>IF($A424="","",IF(countif('Womens Lineup'!L$3:L1000,CONCATENATE("=",$A424))=0,"",L$2))</f>
        <v/>
      </c>
      <c r="M424" s="3" t="str">
        <f>IF($A424="","",IF(countif('Womens Lineup'!M$3:M1000,CONCATENATE("=",$A424))=0,"",M$2))</f>
        <v/>
      </c>
      <c r="N424" s="3" t="str">
        <f>IF($A424="","",IF(countif('Womens Lineup'!N$3:N1000,CONCATENATE("=",$A424))=0,"",N$2))</f>
        <v/>
      </c>
      <c r="O424" s="3" t="str">
        <f>IF($A424="","",IF(countif('Womens Lineup'!O$3:O1000,CONCATENATE("=",$A424))=0,"",O$2))</f>
        <v/>
      </c>
      <c r="P424" s="3" t="str">
        <f>IF($A424="","",IF(countif('Womens Lineup'!P$3:P1000,CONCATENATE("=",$A424))=0,"",P$2))</f>
        <v/>
      </c>
      <c r="Q424" s="3" t="str">
        <f>IF($A424="","",IF(countif('Womens Lineup'!Q$3:Q1000,CONCATENATE("=",$A424))=0,"",Q$2))</f>
        <v/>
      </c>
      <c r="R424" s="3" t="str">
        <f>IF($A424="","",IF(countif('Womens Lineup'!R$3:R1000,CONCATENATE("=",$A424))=0,"",R$2))</f>
        <v/>
      </c>
      <c r="S424" s="3" t="str">
        <f>IF($A424="","",IF(countif('Womens Lineup'!S$3:S1000,CONCATENATE("=",$A424))=0,"",S$2))</f>
        <v/>
      </c>
      <c r="W424" s="3" t="str">
        <f>IFERROR(__xludf.DUMMYFUNCTION("JOIN("","",FILTER(B424:S424,B424:S424&lt;&gt;""""))"),"#N/A")</f>
        <v>#N/A</v>
      </c>
    </row>
    <row r="425">
      <c r="A425" s="3"/>
      <c r="B425" s="3" t="str">
        <f>IF($A425="","",IF(countif('Womens Lineup'!B$3:B1000,CONCATENATE("=",$A425))=0,"",B$2))</f>
        <v/>
      </c>
      <c r="C425" s="3" t="str">
        <f>IF($A425="","",IF(countif('Womens Lineup'!C$3:C1000,CONCATENATE("=",$A425))=0,"",C$2))</f>
        <v/>
      </c>
      <c r="D425" s="3" t="str">
        <f>IF($A425="","",IF(countif('Womens Lineup'!D$3:D1000,CONCATENATE("=",$A425))=0,"",D$2))</f>
        <v/>
      </c>
      <c r="E425" s="3" t="str">
        <f>IF($A425="","",IF(countif('Womens Lineup'!E$3:E1000,CONCATENATE("=",$A425))=0,"",E$2))</f>
        <v/>
      </c>
      <c r="F425" s="3" t="str">
        <f>IF($A425="","",IF(countif('Womens Lineup'!F$3:F1000,CONCATENATE("=",$A425))=0,"",F$2))</f>
        <v/>
      </c>
      <c r="G425" s="3" t="str">
        <f>IF($A425="","",IF(countif('Womens Lineup'!G$3:G1000,CONCATENATE("=",$A425))=0,"",G$2))</f>
        <v/>
      </c>
      <c r="H425" s="3" t="str">
        <f>IF($A425="","",IF(countif('Womens Lineup'!H$3:H1000,CONCATENATE("=",$A425))=0,"",H$2))</f>
        <v/>
      </c>
      <c r="I425" s="3" t="str">
        <f>IF($A425="","",IF(countif('Womens Lineup'!I$3:I1000,CONCATENATE("=",$A425))=0,"",I$2))</f>
        <v/>
      </c>
      <c r="J425" s="3" t="str">
        <f>IF($A425="","",IF(countif('Womens Lineup'!J$3:J1000,CONCATENATE("=",$A425))=0,"",J$2))</f>
        <v/>
      </c>
      <c r="K425" s="3" t="str">
        <f>IF($A425="","",IF(countif('Womens Lineup'!K$3:K1000,CONCATENATE("=",$A425))=0,"",K$2))</f>
        <v/>
      </c>
      <c r="L425" s="3" t="str">
        <f>IF($A425="","",IF(countif('Womens Lineup'!L$3:L1000,CONCATENATE("=",$A425))=0,"",L$2))</f>
        <v/>
      </c>
      <c r="M425" s="3" t="str">
        <f>IF($A425="","",IF(countif('Womens Lineup'!M$3:M1000,CONCATENATE("=",$A425))=0,"",M$2))</f>
        <v/>
      </c>
      <c r="N425" s="3" t="str">
        <f>IF($A425="","",IF(countif('Womens Lineup'!N$3:N1000,CONCATENATE("=",$A425))=0,"",N$2))</f>
        <v/>
      </c>
      <c r="O425" s="3" t="str">
        <f>IF($A425="","",IF(countif('Womens Lineup'!O$3:O1000,CONCATENATE("=",$A425))=0,"",O$2))</f>
        <v/>
      </c>
      <c r="P425" s="3" t="str">
        <f>IF($A425="","",IF(countif('Womens Lineup'!P$3:P1000,CONCATENATE("=",$A425))=0,"",P$2))</f>
        <v/>
      </c>
      <c r="Q425" s="3" t="str">
        <f>IF($A425="","",IF(countif('Womens Lineup'!Q$3:Q1000,CONCATENATE("=",$A425))=0,"",Q$2))</f>
        <v/>
      </c>
      <c r="R425" s="3" t="str">
        <f>IF($A425="","",IF(countif('Womens Lineup'!R$3:R1000,CONCATENATE("=",$A425))=0,"",R$2))</f>
        <v/>
      </c>
      <c r="S425" s="3" t="str">
        <f>IF($A425="","",IF(countif('Womens Lineup'!S$3:S1000,CONCATENATE("=",$A425))=0,"",S$2))</f>
        <v/>
      </c>
      <c r="W425" s="3" t="str">
        <f>IFERROR(__xludf.DUMMYFUNCTION("JOIN("","",FILTER(B425:S425,B425:S425&lt;&gt;""""))"),"#N/A")</f>
        <v>#N/A</v>
      </c>
    </row>
    <row r="426">
      <c r="A426" s="3"/>
      <c r="B426" s="3" t="str">
        <f>IF($A426="","",IF(countif('Womens Lineup'!B$3:B1000,CONCATENATE("=",$A426))=0,"",B$2))</f>
        <v/>
      </c>
      <c r="C426" s="3" t="str">
        <f>IF($A426="","",IF(countif('Womens Lineup'!C$3:C1000,CONCATENATE("=",$A426))=0,"",C$2))</f>
        <v/>
      </c>
      <c r="D426" s="3" t="str">
        <f>IF($A426="","",IF(countif('Womens Lineup'!D$3:D1000,CONCATENATE("=",$A426))=0,"",D$2))</f>
        <v/>
      </c>
      <c r="E426" s="3" t="str">
        <f>IF($A426="","",IF(countif('Womens Lineup'!E$3:E1000,CONCATENATE("=",$A426))=0,"",E$2))</f>
        <v/>
      </c>
      <c r="F426" s="3" t="str">
        <f>IF($A426="","",IF(countif('Womens Lineup'!F$3:F1000,CONCATENATE("=",$A426))=0,"",F$2))</f>
        <v/>
      </c>
      <c r="G426" s="3" t="str">
        <f>IF($A426="","",IF(countif('Womens Lineup'!G$3:G1000,CONCATENATE("=",$A426))=0,"",G$2))</f>
        <v/>
      </c>
      <c r="H426" s="3" t="str">
        <f>IF($A426="","",IF(countif('Womens Lineup'!H$3:H1000,CONCATENATE("=",$A426))=0,"",H$2))</f>
        <v/>
      </c>
      <c r="I426" s="3" t="str">
        <f>IF($A426="","",IF(countif('Womens Lineup'!I$3:I1000,CONCATENATE("=",$A426))=0,"",I$2))</f>
        <v/>
      </c>
      <c r="J426" s="3" t="str">
        <f>IF($A426="","",IF(countif('Womens Lineup'!J$3:J1000,CONCATENATE("=",$A426))=0,"",J$2))</f>
        <v/>
      </c>
      <c r="K426" s="3" t="str">
        <f>IF($A426="","",IF(countif('Womens Lineup'!K$3:K1000,CONCATENATE("=",$A426))=0,"",K$2))</f>
        <v/>
      </c>
      <c r="L426" s="3" t="str">
        <f>IF($A426="","",IF(countif('Womens Lineup'!L$3:L1000,CONCATENATE("=",$A426))=0,"",L$2))</f>
        <v/>
      </c>
      <c r="M426" s="3" t="str">
        <f>IF($A426="","",IF(countif('Womens Lineup'!M$3:M1000,CONCATENATE("=",$A426))=0,"",M$2))</f>
        <v/>
      </c>
      <c r="N426" s="3" t="str">
        <f>IF($A426="","",IF(countif('Womens Lineup'!N$3:N1000,CONCATENATE("=",$A426))=0,"",N$2))</f>
        <v/>
      </c>
      <c r="O426" s="3" t="str">
        <f>IF($A426="","",IF(countif('Womens Lineup'!O$3:O1000,CONCATENATE("=",$A426))=0,"",O$2))</f>
        <v/>
      </c>
      <c r="P426" s="3" t="str">
        <f>IF($A426="","",IF(countif('Womens Lineup'!P$3:P1000,CONCATENATE("=",$A426))=0,"",P$2))</f>
        <v/>
      </c>
      <c r="Q426" s="3" t="str">
        <f>IF($A426="","",IF(countif('Womens Lineup'!Q$3:Q1000,CONCATENATE("=",$A426))=0,"",Q$2))</f>
        <v/>
      </c>
      <c r="R426" s="3" t="str">
        <f>IF($A426="","",IF(countif('Womens Lineup'!R$3:R1000,CONCATENATE("=",$A426))=0,"",R$2))</f>
        <v/>
      </c>
      <c r="S426" s="3" t="str">
        <f>IF($A426="","",IF(countif('Womens Lineup'!S$3:S1000,CONCATENATE("=",$A426))=0,"",S$2))</f>
        <v/>
      </c>
      <c r="W426" s="3" t="str">
        <f>IFERROR(__xludf.DUMMYFUNCTION("JOIN("","",FILTER(B426:S426,B426:S426&lt;&gt;""""))"),"#N/A")</f>
        <v>#N/A</v>
      </c>
    </row>
    <row r="427">
      <c r="A427" s="3"/>
      <c r="B427" s="3" t="str">
        <f>IF($A427="","",IF(countif('Womens Lineup'!B$3:B1000,CONCATENATE("=",$A427))=0,"",B$2))</f>
        <v/>
      </c>
      <c r="C427" s="3" t="str">
        <f>IF($A427="","",IF(countif('Womens Lineup'!C$3:C1000,CONCATENATE("=",$A427))=0,"",C$2))</f>
        <v/>
      </c>
      <c r="D427" s="3" t="str">
        <f>IF($A427="","",IF(countif('Womens Lineup'!D$3:D1000,CONCATENATE("=",$A427))=0,"",D$2))</f>
        <v/>
      </c>
      <c r="E427" s="3" t="str">
        <f>IF($A427="","",IF(countif('Womens Lineup'!E$3:E1000,CONCATENATE("=",$A427))=0,"",E$2))</f>
        <v/>
      </c>
      <c r="F427" s="3" t="str">
        <f>IF($A427="","",IF(countif('Womens Lineup'!F$3:F1000,CONCATENATE("=",$A427))=0,"",F$2))</f>
        <v/>
      </c>
      <c r="G427" s="3" t="str">
        <f>IF($A427="","",IF(countif('Womens Lineup'!G$3:G1000,CONCATENATE("=",$A427))=0,"",G$2))</f>
        <v/>
      </c>
      <c r="H427" s="3" t="str">
        <f>IF($A427="","",IF(countif('Womens Lineup'!H$3:H1000,CONCATENATE("=",$A427))=0,"",H$2))</f>
        <v/>
      </c>
      <c r="I427" s="3" t="str">
        <f>IF($A427="","",IF(countif('Womens Lineup'!I$3:I1000,CONCATENATE("=",$A427))=0,"",I$2))</f>
        <v/>
      </c>
      <c r="J427" s="3" t="str">
        <f>IF($A427="","",IF(countif('Womens Lineup'!J$3:J1000,CONCATENATE("=",$A427))=0,"",J$2))</f>
        <v/>
      </c>
      <c r="K427" s="3" t="str">
        <f>IF($A427="","",IF(countif('Womens Lineup'!K$3:K1000,CONCATENATE("=",$A427))=0,"",K$2))</f>
        <v/>
      </c>
      <c r="L427" s="3" t="str">
        <f>IF($A427="","",IF(countif('Womens Lineup'!L$3:L1000,CONCATENATE("=",$A427))=0,"",L$2))</f>
        <v/>
      </c>
      <c r="M427" s="3" t="str">
        <f>IF($A427="","",IF(countif('Womens Lineup'!M$3:M1000,CONCATENATE("=",$A427))=0,"",M$2))</f>
        <v/>
      </c>
      <c r="N427" s="3" t="str">
        <f>IF($A427="","",IF(countif('Womens Lineup'!N$3:N1000,CONCATENATE("=",$A427))=0,"",N$2))</f>
        <v/>
      </c>
      <c r="O427" s="3" t="str">
        <f>IF($A427="","",IF(countif('Womens Lineup'!O$3:O1000,CONCATENATE("=",$A427))=0,"",O$2))</f>
        <v/>
      </c>
      <c r="P427" s="3" t="str">
        <f>IF($A427="","",IF(countif('Womens Lineup'!P$3:P1000,CONCATENATE("=",$A427))=0,"",P$2))</f>
        <v/>
      </c>
      <c r="Q427" s="3" t="str">
        <f>IF($A427="","",IF(countif('Womens Lineup'!Q$3:Q1000,CONCATENATE("=",$A427))=0,"",Q$2))</f>
        <v/>
      </c>
      <c r="R427" s="3" t="str">
        <f>IF($A427="","",IF(countif('Womens Lineup'!R$3:R1000,CONCATENATE("=",$A427))=0,"",R$2))</f>
        <v/>
      </c>
      <c r="S427" s="3" t="str">
        <f>IF($A427="","",IF(countif('Womens Lineup'!S$3:S1000,CONCATENATE("=",$A427))=0,"",S$2))</f>
        <v/>
      </c>
      <c r="W427" s="3" t="str">
        <f>IFERROR(__xludf.DUMMYFUNCTION("JOIN("","",FILTER(B427:S427,B427:S427&lt;&gt;""""))"),"#N/A")</f>
        <v>#N/A</v>
      </c>
    </row>
    <row r="428">
      <c r="A428" s="3"/>
      <c r="B428" s="3" t="str">
        <f>IF($A428="","",IF(countif('Womens Lineup'!B$3:B1000,CONCATENATE("=",$A428))=0,"",B$2))</f>
        <v/>
      </c>
      <c r="C428" s="3" t="str">
        <f>IF($A428="","",IF(countif('Womens Lineup'!C$3:C1000,CONCATENATE("=",$A428))=0,"",C$2))</f>
        <v/>
      </c>
      <c r="D428" s="3" t="str">
        <f>IF($A428="","",IF(countif('Womens Lineup'!D$3:D1000,CONCATENATE("=",$A428))=0,"",D$2))</f>
        <v/>
      </c>
      <c r="E428" s="3" t="str">
        <f>IF($A428="","",IF(countif('Womens Lineup'!E$3:E1000,CONCATENATE("=",$A428))=0,"",E$2))</f>
        <v/>
      </c>
      <c r="F428" s="3" t="str">
        <f>IF($A428="","",IF(countif('Womens Lineup'!F$3:F1000,CONCATENATE("=",$A428))=0,"",F$2))</f>
        <v/>
      </c>
      <c r="G428" s="3" t="str">
        <f>IF($A428="","",IF(countif('Womens Lineup'!G$3:G1000,CONCATENATE("=",$A428))=0,"",G$2))</f>
        <v/>
      </c>
      <c r="H428" s="3" t="str">
        <f>IF($A428="","",IF(countif('Womens Lineup'!H$3:H1000,CONCATENATE("=",$A428))=0,"",H$2))</f>
        <v/>
      </c>
      <c r="I428" s="3" t="str">
        <f>IF($A428="","",IF(countif('Womens Lineup'!I$3:I1000,CONCATENATE("=",$A428))=0,"",I$2))</f>
        <v/>
      </c>
      <c r="J428" s="3" t="str">
        <f>IF($A428="","",IF(countif('Womens Lineup'!J$3:J1000,CONCATENATE("=",$A428))=0,"",J$2))</f>
        <v/>
      </c>
      <c r="K428" s="3" t="str">
        <f>IF($A428="","",IF(countif('Womens Lineup'!K$3:K1000,CONCATENATE("=",$A428))=0,"",K$2))</f>
        <v/>
      </c>
      <c r="L428" s="3" t="str">
        <f>IF($A428="","",IF(countif('Womens Lineup'!L$3:L1000,CONCATENATE("=",$A428))=0,"",L$2))</f>
        <v/>
      </c>
      <c r="M428" s="3" t="str">
        <f>IF($A428="","",IF(countif('Womens Lineup'!M$3:M1000,CONCATENATE("=",$A428))=0,"",M$2))</f>
        <v/>
      </c>
      <c r="N428" s="3" t="str">
        <f>IF($A428="","",IF(countif('Womens Lineup'!N$3:N1000,CONCATENATE("=",$A428))=0,"",N$2))</f>
        <v/>
      </c>
      <c r="O428" s="3" t="str">
        <f>IF($A428="","",IF(countif('Womens Lineup'!O$3:O1000,CONCATENATE("=",$A428))=0,"",O$2))</f>
        <v/>
      </c>
      <c r="P428" s="3" t="str">
        <f>IF($A428="","",IF(countif('Womens Lineup'!P$3:P1000,CONCATENATE("=",$A428))=0,"",P$2))</f>
        <v/>
      </c>
      <c r="Q428" s="3" t="str">
        <f>IF($A428="","",IF(countif('Womens Lineup'!Q$3:Q1000,CONCATENATE("=",$A428))=0,"",Q$2))</f>
        <v/>
      </c>
      <c r="R428" s="3" t="str">
        <f>IF($A428="","",IF(countif('Womens Lineup'!R$3:R1000,CONCATENATE("=",$A428))=0,"",R$2))</f>
        <v/>
      </c>
      <c r="S428" s="3" t="str">
        <f>IF($A428="","",IF(countif('Womens Lineup'!S$3:S1000,CONCATENATE("=",$A428))=0,"",S$2))</f>
        <v/>
      </c>
      <c r="W428" s="3" t="str">
        <f>IFERROR(__xludf.DUMMYFUNCTION("JOIN("","",FILTER(B428:S428,B428:S428&lt;&gt;""""))"),"#N/A")</f>
        <v>#N/A</v>
      </c>
    </row>
    <row r="429">
      <c r="A429" s="3"/>
      <c r="B429" s="3" t="str">
        <f>IF($A429="","",IF(countif('Womens Lineup'!B$3:B1000,CONCATENATE("=",$A429))=0,"",B$2))</f>
        <v/>
      </c>
      <c r="C429" s="3" t="str">
        <f>IF($A429="","",IF(countif('Womens Lineup'!C$3:C1000,CONCATENATE("=",$A429))=0,"",C$2))</f>
        <v/>
      </c>
      <c r="D429" s="3" t="str">
        <f>IF($A429="","",IF(countif('Womens Lineup'!D$3:D1000,CONCATENATE("=",$A429))=0,"",D$2))</f>
        <v/>
      </c>
      <c r="E429" s="3" t="str">
        <f>IF($A429="","",IF(countif('Womens Lineup'!E$3:E1000,CONCATENATE("=",$A429))=0,"",E$2))</f>
        <v/>
      </c>
      <c r="F429" s="3" t="str">
        <f>IF($A429="","",IF(countif('Womens Lineup'!F$3:F1000,CONCATENATE("=",$A429))=0,"",F$2))</f>
        <v/>
      </c>
      <c r="G429" s="3" t="str">
        <f>IF($A429="","",IF(countif('Womens Lineup'!G$3:G1000,CONCATENATE("=",$A429))=0,"",G$2))</f>
        <v/>
      </c>
      <c r="H429" s="3" t="str">
        <f>IF($A429="","",IF(countif('Womens Lineup'!H$3:H1000,CONCATENATE("=",$A429))=0,"",H$2))</f>
        <v/>
      </c>
      <c r="I429" s="3" t="str">
        <f>IF($A429="","",IF(countif('Womens Lineup'!I$3:I1000,CONCATENATE("=",$A429))=0,"",I$2))</f>
        <v/>
      </c>
      <c r="J429" s="3" t="str">
        <f>IF($A429="","",IF(countif('Womens Lineup'!J$3:J1000,CONCATENATE("=",$A429))=0,"",J$2))</f>
        <v/>
      </c>
      <c r="K429" s="3" t="str">
        <f>IF($A429="","",IF(countif('Womens Lineup'!K$3:K1000,CONCATENATE("=",$A429))=0,"",K$2))</f>
        <v/>
      </c>
      <c r="L429" s="3" t="str">
        <f>IF($A429="","",IF(countif('Womens Lineup'!L$3:L1000,CONCATENATE("=",$A429))=0,"",L$2))</f>
        <v/>
      </c>
      <c r="M429" s="3" t="str">
        <f>IF($A429="","",IF(countif('Womens Lineup'!M$3:M1000,CONCATENATE("=",$A429))=0,"",M$2))</f>
        <v/>
      </c>
      <c r="N429" s="3" t="str">
        <f>IF($A429="","",IF(countif('Womens Lineup'!N$3:N1000,CONCATENATE("=",$A429))=0,"",N$2))</f>
        <v/>
      </c>
      <c r="O429" s="3" t="str">
        <f>IF($A429="","",IF(countif('Womens Lineup'!O$3:O1000,CONCATENATE("=",$A429))=0,"",O$2))</f>
        <v/>
      </c>
      <c r="P429" s="3" t="str">
        <f>IF($A429="","",IF(countif('Womens Lineup'!P$3:P1000,CONCATENATE("=",$A429))=0,"",P$2))</f>
        <v/>
      </c>
      <c r="Q429" s="3" t="str">
        <f>IF($A429="","",IF(countif('Womens Lineup'!Q$3:Q1000,CONCATENATE("=",$A429))=0,"",Q$2))</f>
        <v/>
      </c>
      <c r="R429" s="3" t="str">
        <f>IF($A429="","",IF(countif('Womens Lineup'!R$3:R1000,CONCATENATE("=",$A429))=0,"",R$2))</f>
        <v/>
      </c>
      <c r="S429" s="3" t="str">
        <f>IF($A429="","",IF(countif('Womens Lineup'!S$3:S1000,CONCATENATE("=",$A429))=0,"",S$2))</f>
        <v/>
      </c>
      <c r="W429" s="3" t="str">
        <f>IFERROR(__xludf.DUMMYFUNCTION("JOIN("","",FILTER(B429:S429,B429:S429&lt;&gt;""""))"),"#N/A")</f>
        <v>#N/A</v>
      </c>
    </row>
    <row r="430">
      <c r="A430" s="3"/>
      <c r="B430" s="3" t="str">
        <f>IF($A430="","",IF(countif('Womens Lineup'!B$3:B1000,CONCATENATE("=",$A430))=0,"",B$2))</f>
        <v/>
      </c>
      <c r="C430" s="3" t="str">
        <f>IF($A430="","",IF(countif('Womens Lineup'!C$3:C1000,CONCATENATE("=",$A430))=0,"",C$2))</f>
        <v/>
      </c>
      <c r="D430" s="3" t="str">
        <f>IF($A430="","",IF(countif('Womens Lineup'!D$3:D1000,CONCATENATE("=",$A430))=0,"",D$2))</f>
        <v/>
      </c>
      <c r="E430" s="3" t="str">
        <f>IF($A430="","",IF(countif('Womens Lineup'!E$3:E1000,CONCATENATE("=",$A430))=0,"",E$2))</f>
        <v/>
      </c>
      <c r="F430" s="3" t="str">
        <f>IF($A430="","",IF(countif('Womens Lineup'!F$3:F1000,CONCATENATE("=",$A430))=0,"",F$2))</f>
        <v/>
      </c>
      <c r="G430" s="3" t="str">
        <f>IF($A430="","",IF(countif('Womens Lineup'!G$3:G1000,CONCATENATE("=",$A430))=0,"",G$2))</f>
        <v/>
      </c>
      <c r="H430" s="3" t="str">
        <f>IF($A430="","",IF(countif('Womens Lineup'!H$3:H1000,CONCATENATE("=",$A430))=0,"",H$2))</f>
        <v/>
      </c>
      <c r="I430" s="3" t="str">
        <f>IF($A430="","",IF(countif('Womens Lineup'!I$3:I1000,CONCATENATE("=",$A430))=0,"",I$2))</f>
        <v/>
      </c>
      <c r="J430" s="3" t="str">
        <f>IF($A430="","",IF(countif('Womens Lineup'!J$3:J1000,CONCATENATE("=",$A430))=0,"",J$2))</f>
        <v/>
      </c>
      <c r="K430" s="3" t="str">
        <f>IF($A430="","",IF(countif('Womens Lineup'!K$3:K1000,CONCATENATE("=",$A430))=0,"",K$2))</f>
        <v/>
      </c>
      <c r="L430" s="3" t="str">
        <f>IF($A430="","",IF(countif('Womens Lineup'!L$3:L1000,CONCATENATE("=",$A430))=0,"",L$2))</f>
        <v/>
      </c>
      <c r="M430" s="3" t="str">
        <f>IF($A430="","",IF(countif('Womens Lineup'!M$3:M1000,CONCATENATE("=",$A430))=0,"",M$2))</f>
        <v/>
      </c>
      <c r="N430" s="3" t="str">
        <f>IF($A430="","",IF(countif('Womens Lineup'!N$3:N1000,CONCATENATE("=",$A430))=0,"",N$2))</f>
        <v/>
      </c>
      <c r="O430" s="3" t="str">
        <f>IF($A430="","",IF(countif('Womens Lineup'!O$3:O1000,CONCATENATE("=",$A430))=0,"",O$2))</f>
        <v/>
      </c>
      <c r="P430" s="3" t="str">
        <f>IF($A430="","",IF(countif('Womens Lineup'!P$3:P1000,CONCATENATE("=",$A430))=0,"",P$2))</f>
        <v/>
      </c>
      <c r="Q430" s="3" t="str">
        <f>IF($A430="","",IF(countif('Womens Lineup'!Q$3:Q1000,CONCATENATE("=",$A430))=0,"",Q$2))</f>
        <v/>
      </c>
      <c r="R430" s="3" t="str">
        <f>IF($A430="","",IF(countif('Womens Lineup'!R$3:R1000,CONCATENATE("=",$A430))=0,"",R$2))</f>
        <v/>
      </c>
      <c r="S430" s="3" t="str">
        <f>IF($A430="","",IF(countif('Womens Lineup'!S$3:S1000,CONCATENATE("=",$A430))=0,"",S$2))</f>
        <v/>
      </c>
      <c r="W430" s="3" t="str">
        <f>IFERROR(__xludf.DUMMYFUNCTION("JOIN("","",FILTER(B430:S430,B430:S430&lt;&gt;""""))"),"#N/A")</f>
        <v>#N/A</v>
      </c>
    </row>
    <row r="431">
      <c r="A431" s="3"/>
      <c r="B431" s="3" t="str">
        <f>IF($A431="","",IF(countif('Womens Lineup'!B$3:B1000,CONCATENATE("=",$A431))=0,"",B$2))</f>
        <v/>
      </c>
      <c r="C431" s="3" t="str">
        <f>IF($A431="","",IF(countif('Womens Lineup'!C$3:C1000,CONCATENATE("=",$A431))=0,"",C$2))</f>
        <v/>
      </c>
      <c r="D431" s="3" t="str">
        <f>IF($A431="","",IF(countif('Womens Lineup'!D$3:D1000,CONCATENATE("=",$A431))=0,"",D$2))</f>
        <v/>
      </c>
      <c r="E431" s="3" t="str">
        <f>IF($A431="","",IF(countif('Womens Lineup'!E$3:E1000,CONCATENATE("=",$A431))=0,"",E$2))</f>
        <v/>
      </c>
      <c r="F431" s="3" t="str">
        <f>IF($A431="","",IF(countif('Womens Lineup'!F$3:F1000,CONCATENATE("=",$A431))=0,"",F$2))</f>
        <v/>
      </c>
      <c r="G431" s="3" t="str">
        <f>IF($A431="","",IF(countif('Womens Lineup'!G$3:G1000,CONCATENATE("=",$A431))=0,"",G$2))</f>
        <v/>
      </c>
      <c r="H431" s="3" t="str">
        <f>IF($A431="","",IF(countif('Womens Lineup'!H$3:H1000,CONCATENATE("=",$A431))=0,"",H$2))</f>
        <v/>
      </c>
      <c r="I431" s="3" t="str">
        <f>IF($A431="","",IF(countif('Womens Lineup'!I$3:I1000,CONCATENATE("=",$A431))=0,"",I$2))</f>
        <v/>
      </c>
      <c r="J431" s="3" t="str">
        <f>IF($A431="","",IF(countif('Womens Lineup'!J$3:J1000,CONCATENATE("=",$A431))=0,"",J$2))</f>
        <v/>
      </c>
      <c r="K431" s="3" t="str">
        <f>IF($A431="","",IF(countif('Womens Lineup'!K$3:K1000,CONCATENATE("=",$A431))=0,"",K$2))</f>
        <v/>
      </c>
      <c r="L431" s="3" t="str">
        <f>IF($A431="","",IF(countif('Womens Lineup'!L$3:L1000,CONCATENATE("=",$A431))=0,"",L$2))</f>
        <v/>
      </c>
      <c r="M431" s="3" t="str">
        <f>IF($A431="","",IF(countif('Womens Lineup'!M$3:M1000,CONCATENATE("=",$A431))=0,"",M$2))</f>
        <v/>
      </c>
      <c r="N431" s="3" t="str">
        <f>IF($A431="","",IF(countif('Womens Lineup'!N$3:N1000,CONCATENATE("=",$A431))=0,"",N$2))</f>
        <v/>
      </c>
      <c r="O431" s="3" t="str">
        <f>IF($A431="","",IF(countif('Womens Lineup'!O$3:O1000,CONCATENATE("=",$A431))=0,"",O$2))</f>
        <v/>
      </c>
      <c r="P431" s="3" t="str">
        <f>IF($A431="","",IF(countif('Womens Lineup'!P$3:P1000,CONCATENATE("=",$A431))=0,"",P$2))</f>
        <v/>
      </c>
      <c r="Q431" s="3" t="str">
        <f>IF($A431="","",IF(countif('Womens Lineup'!Q$3:Q1000,CONCATENATE("=",$A431))=0,"",Q$2))</f>
        <v/>
      </c>
      <c r="R431" s="3" t="str">
        <f>IF($A431="","",IF(countif('Womens Lineup'!R$3:R1000,CONCATENATE("=",$A431))=0,"",R$2))</f>
        <v/>
      </c>
      <c r="S431" s="3" t="str">
        <f>IF($A431="","",IF(countif('Womens Lineup'!S$3:S1000,CONCATENATE("=",$A431))=0,"",S$2))</f>
        <v/>
      </c>
      <c r="W431" s="3" t="str">
        <f>IFERROR(__xludf.DUMMYFUNCTION("JOIN("","",FILTER(B431:S431,B431:S431&lt;&gt;""""))"),"#N/A")</f>
        <v>#N/A</v>
      </c>
    </row>
    <row r="432">
      <c r="A432" s="3"/>
      <c r="B432" s="3" t="str">
        <f>IF($A432="","",IF(countif('Womens Lineup'!B$3:B1000,CONCATENATE("=",$A432))=0,"",B$2))</f>
        <v/>
      </c>
      <c r="C432" s="3" t="str">
        <f>IF($A432="","",IF(countif('Womens Lineup'!C$3:C1000,CONCATENATE("=",$A432))=0,"",C$2))</f>
        <v/>
      </c>
      <c r="D432" s="3" t="str">
        <f>IF($A432="","",IF(countif('Womens Lineup'!D$3:D1000,CONCATENATE("=",$A432))=0,"",D$2))</f>
        <v/>
      </c>
      <c r="E432" s="3" t="str">
        <f>IF($A432="","",IF(countif('Womens Lineup'!E$3:E1000,CONCATENATE("=",$A432))=0,"",E$2))</f>
        <v/>
      </c>
      <c r="F432" s="3" t="str">
        <f>IF($A432="","",IF(countif('Womens Lineup'!F$3:F1000,CONCATENATE("=",$A432))=0,"",F$2))</f>
        <v/>
      </c>
      <c r="G432" s="3" t="str">
        <f>IF($A432="","",IF(countif('Womens Lineup'!G$3:G1000,CONCATENATE("=",$A432))=0,"",G$2))</f>
        <v/>
      </c>
      <c r="H432" s="3" t="str">
        <f>IF($A432="","",IF(countif('Womens Lineup'!H$3:H1000,CONCATENATE("=",$A432))=0,"",H$2))</f>
        <v/>
      </c>
      <c r="I432" s="3" t="str">
        <f>IF($A432="","",IF(countif('Womens Lineup'!I$3:I1000,CONCATENATE("=",$A432))=0,"",I$2))</f>
        <v/>
      </c>
      <c r="J432" s="3" t="str">
        <f>IF($A432="","",IF(countif('Womens Lineup'!J$3:J1000,CONCATENATE("=",$A432))=0,"",J$2))</f>
        <v/>
      </c>
      <c r="K432" s="3" t="str">
        <f>IF($A432="","",IF(countif('Womens Lineup'!K$3:K1000,CONCATENATE("=",$A432))=0,"",K$2))</f>
        <v/>
      </c>
      <c r="L432" s="3" t="str">
        <f>IF($A432="","",IF(countif('Womens Lineup'!L$3:L1000,CONCATENATE("=",$A432))=0,"",L$2))</f>
        <v/>
      </c>
      <c r="M432" s="3" t="str">
        <f>IF($A432="","",IF(countif('Womens Lineup'!M$3:M1000,CONCATENATE("=",$A432))=0,"",M$2))</f>
        <v/>
      </c>
      <c r="N432" s="3" t="str">
        <f>IF($A432="","",IF(countif('Womens Lineup'!N$3:N1000,CONCATENATE("=",$A432))=0,"",N$2))</f>
        <v/>
      </c>
      <c r="O432" s="3" t="str">
        <f>IF($A432="","",IF(countif('Womens Lineup'!O$3:O1000,CONCATENATE("=",$A432))=0,"",O$2))</f>
        <v/>
      </c>
      <c r="P432" s="3" t="str">
        <f>IF($A432="","",IF(countif('Womens Lineup'!P$3:P1000,CONCATENATE("=",$A432))=0,"",P$2))</f>
        <v/>
      </c>
      <c r="Q432" s="3" t="str">
        <f>IF($A432="","",IF(countif('Womens Lineup'!Q$3:Q1000,CONCATENATE("=",$A432))=0,"",Q$2))</f>
        <v/>
      </c>
      <c r="R432" s="3" t="str">
        <f>IF($A432="","",IF(countif('Womens Lineup'!R$3:R1000,CONCATENATE("=",$A432))=0,"",R$2))</f>
        <v/>
      </c>
      <c r="S432" s="3" t="str">
        <f>IF($A432="","",IF(countif('Womens Lineup'!S$3:S1000,CONCATENATE("=",$A432))=0,"",S$2))</f>
        <v/>
      </c>
      <c r="W432" s="3" t="str">
        <f>IFERROR(__xludf.DUMMYFUNCTION("JOIN("","",FILTER(B432:S432,B432:S432&lt;&gt;""""))"),"#N/A")</f>
        <v>#N/A</v>
      </c>
    </row>
    <row r="433">
      <c r="A433" s="3"/>
      <c r="B433" s="3" t="str">
        <f>IF($A433="","",IF(countif('Womens Lineup'!B$3:B1000,CONCATENATE("=",$A433))=0,"",B$2))</f>
        <v/>
      </c>
      <c r="C433" s="3" t="str">
        <f>IF($A433="","",IF(countif('Womens Lineup'!C$3:C1000,CONCATENATE("=",$A433))=0,"",C$2))</f>
        <v/>
      </c>
      <c r="D433" s="3" t="str">
        <f>IF($A433="","",IF(countif('Womens Lineup'!D$3:D1000,CONCATENATE("=",$A433))=0,"",D$2))</f>
        <v/>
      </c>
      <c r="E433" s="3" t="str">
        <f>IF($A433="","",IF(countif('Womens Lineup'!E$3:E1000,CONCATENATE("=",$A433))=0,"",E$2))</f>
        <v/>
      </c>
      <c r="F433" s="3" t="str">
        <f>IF($A433="","",IF(countif('Womens Lineup'!F$3:F1000,CONCATENATE("=",$A433))=0,"",F$2))</f>
        <v/>
      </c>
      <c r="G433" s="3" t="str">
        <f>IF($A433="","",IF(countif('Womens Lineup'!G$3:G1000,CONCATENATE("=",$A433))=0,"",G$2))</f>
        <v/>
      </c>
      <c r="H433" s="3" t="str">
        <f>IF($A433="","",IF(countif('Womens Lineup'!H$3:H1000,CONCATENATE("=",$A433))=0,"",H$2))</f>
        <v/>
      </c>
      <c r="I433" s="3" t="str">
        <f>IF($A433="","",IF(countif('Womens Lineup'!I$3:I1000,CONCATENATE("=",$A433))=0,"",I$2))</f>
        <v/>
      </c>
      <c r="J433" s="3" t="str">
        <f>IF($A433="","",IF(countif('Womens Lineup'!J$3:J1000,CONCATENATE("=",$A433))=0,"",J$2))</f>
        <v/>
      </c>
      <c r="K433" s="3" t="str">
        <f>IF($A433="","",IF(countif('Womens Lineup'!K$3:K1000,CONCATENATE("=",$A433))=0,"",K$2))</f>
        <v/>
      </c>
      <c r="L433" s="3" t="str">
        <f>IF($A433="","",IF(countif('Womens Lineup'!L$3:L1000,CONCATENATE("=",$A433))=0,"",L$2))</f>
        <v/>
      </c>
      <c r="M433" s="3" t="str">
        <f>IF($A433="","",IF(countif('Womens Lineup'!M$3:M1000,CONCATENATE("=",$A433))=0,"",M$2))</f>
        <v/>
      </c>
      <c r="N433" s="3" t="str">
        <f>IF($A433="","",IF(countif('Womens Lineup'!N$3:N1000,CONCATENATE("=",$A433))=0,"",N$2))</f>
        <v/>
      </c>
      <c r="O433" s="3" t="str">
        <f>IF($A433="","",IF(countif('Womens Lineup'!O$3:O1000,CONCATENATE("=",$A433))=0,"",O$2))</f>
        <v/>
      </c>
      <c r="P433" s="3" t="str">
        <f>IF($A433="","",IF(countif('Womens Lineup'!P$3:P1000,CONCATENATE("=",$A433))=0,"",P$2))</f>
        <v/>
      </c>
      <c r="Q433" s="3" t="str">
        <f>IF($A433="","",IF(countif('Womens Lineup'!Q$3:Q1000,CONCATENATE("=",$A433))=0,"",Q$2))</f>
        <v/>
      </c>
      <c r="R433" s="3" t="str">
        <f>IF($A433="","",IF(countif('Womens Lineup'!R$3:R1000,CONCATENATE("=",$A433))=0,"",R$2))</f>
        <v/>
      </c>
      <c r="S433" s="3" t="str">
        <f>IF($A433="","",IF(countif('Womens Lineup'!S$3:S1000,CONCATENATE("=",$A433))=0,"",S$2))</f>
        <v/>
      </c>
      <c r="W433" s="3" t="str">
        <f>IFERROR(__xludf.DUMMYFUNCTION("JOIN("","",FILTER(B433:S433,B433:S433&lt;&gt;""""))"),"#N/A")</f>
        <v>#N/A</v>
      </c>
    </row>
    <row r="434">
      <c r="A434" s="3"/>
      <c r="B434" s="3" t="str">
        <f>IF($A434="","",IF(countif('Womens Lineup'!B$3:B1000,CONCATENATE("=",$A434))=0,"",B$2))</f>
        <v/>
      </c>
      <c r="C434" s="3" t="str">
        <f>IF($A434="","",IF(countif('Womens Lineup'!C$3:C1000,CONCATENATE("=",$A434))=0,"",C$2))</f>
        <v/>
      </c>
      <c r="D434" s="3" t="str">
        <f>IF($A434="","",IF(countif('Womens Lineup'!D$3:D1000,CONCATENATE("=",$A434))=0,"",D$2))</f>
        <v/>
      </c>
      <c r="E434" s="3" t="str">
        <f>IF($A434="","",IF(countif('Womens Lineup'!E$3:E1000,CONCATENATE("=",$A434))=0,"",E$2))</f>
        <v/>
      </c>
      <c r="F434" s="3" t="str">
        <f>IF($A434="","",IF(countif('Womens Lineup'!F$3:F1000,CONCATENATE("=",$A434))=0,"",F$2))</f>
        <v/>
      </c>
      <c r="G434" s="3" t="str">
        <f>IF($A434="","",IF(countif('Womens Lineup'!G$3:G1000,CONCATENATE("=",$A434))=0,"",G$2))</f>
        <v/>
      </c>
      <c r="H434" s="3" t="str">
        <f>IF($A434="","",IF(countif('Womens Lineup'!H$3:H1000,CONCATENATE("=",$A434))=0,"",H$2))</f>
        <v/>
      </c>
      <c r="I434" s="3" t="str">
        <f>IF($A434="","",IF(countif('Womens Lineup'!I$3:I1000,CONCATENATE("=",$A434))=0,"",I$2))</f>
        <v/>
      </c>
      <c r="J434" s="3" t="str">
        <f>IF($A434="","",IF(countif('Womens Lineup'!J$3:J1000,CONCATENATE("=",$A434))=0,"",J$2))</f>
        <v/>
      </c>
      <c r="K434" s="3" t="str">
        <f>IF($A434="","",IF(countif('Womens Lineup'!K$3:K1000,CONCATENATE("=",$A434))=0,"",K$2))</f>
        <v/>
      </c>
      <c r="L434" s="3" t="str">
        <f>IF($A434="","",IF(countif('Womens Lineup'!L$3:L1000,CONCATENATE("=",$A434))=0,"",L$2))</f>
        <v/>
      </c>
      <c r="M434" s="3" t="str">
        <f>IF($A434="","",IF(countif('Womens Lineup'!M$3:M1000,CONCATENATE("=",$A434))=0,"",M$2))</f>
        <v/>
      </c>
      <c r="N434" s="3" t="str">
        <f>IF($A434="","",IF(countif('Womens Lineup'!N$3:N1000,CONCATENATE("=",$A434))=0,"",N$2))</f>
        <v/>
      </c>
      <c r="O434" s="3" t="str">
        <f>IF($A434="","",IF(countif('Womens Lineup'!O$3:O1000,CONCATENATE("=",$A434))=0,"",O$2))</f>
        <v/>
      </c>
      <c r="P434" s="3" t="str">
        <f>IF($A434="","",IF(countif('Womens Lineup'!P$3:P1000,CONCATENATE("=",$A434))=0,"",P$2))</f>
        <v/>
      </c>
      <c r="Q434" s="3" t="str">
        <f>IF($A434="","",IF(countif('Womens Lineup'!Q$3:Q1000,CONCATENATE("=",$A434))=0,"",Q$2))</f>
        <v/>
      </c>
      <c r="R434" s="3" t="str">
        <f>IF($A434="","",IF(countif('Womens Lineup'!R$3:R1000,CONCATENATE("=",$A434))=0,"",R$2))</f>
        <v/>
      </c>
      <c r="S434" s="3" t="str">
        <f>IF($A434="","",IF(countif('Womens Lineup'!S$3:S1000,CONCATENATE("=",$A434))=0,"",S$2))</f>
        <v/>
      </c>
      <c r="W434" s="3" t="str">
        <f>IFERROR(__xludf.DUMMYFUNCTION("JOIN("","",FILTER(B434:S434,B434:S434&lt;&gt;""""))"),"#N/A")</f>
        <v>#N/A</v>
      </c>
    </row>
    <row r="435">
      <c r="A435" s="3"/>
      <c r="B435" s="3" t="str">
        <f>IF($A435="","",IF(countif('Womens Lineup'!B$3:B1000,CONCATENATE("=",$A435))=0,"",B$2))</f>
        <v/>
      </c>
      <c r="C435" s="3" t="str">
        <f>IF($A435="","",IF(countif('Womens Lineup'!C$3:C1000,CONCATENATE("=",$A435))=0,"",C$2))</f>
        <v/>
      </c>
      <c r="D435" s="3" t="str">
        <f>IF($A435="","",IF(countif('Womens Lineup'!D$3:D1000,CONCATENATE("=",$A435))=0,"",D$2))</f>
        <v/>
      </c>
      <c r="E435" s="3" t="str">
        <f>IF($A435="","",IF(countif('Womens Lineup'!E$3:E1000,CONCATENATE("=",$A435))=0,"",E$2))</f>
        <v/>
      </c>
      <c r="F435" s="3" t="str">
        <f>IF($A435="","",IF(countif('Womens Lineup'!F$3:F1000,CONCATENATE("=",$A435))=0,"",F$2))</f>
        <v/>
      </c>
      <c r="G435" s="3" t="str">
        <f>IF($A435="","",IF(countif('Womens Lineup'!G$3:G1000,CONCATENATE("=",$A435))=0,"",G$2))</f>
        <v/>
      </c>
      <c r="H435" s="3" t="str">
        <f>IF($A435="","",IF(countif('Womens Lineup'!H$3:H1000,CONCATENATE("=",$A435))=0,"",H$2))</f>
        <v/>
      </c>
      <c r="I435" s="3" t="str">
        <f>IF($A435="","",IF(countif('Womens Lineup'!I$3:I1000,CONCATENATE("=",$A435))=0,"",I$2))</f>
        <v/>
      </c>
      <c r="J435" s="3" t="str">
        <f>IF($A435="","",IF(countif('Womens Lineup'!J$3:J1000,CONCATENATE("=",$A435))=0,"",J$2))</f>
        <v/>
      </c>
      <c r="K435" s="3" t="str">
        <f>IF($A435="","",IF(countif('Womens Lineup'!K$3:K1000,CONCATENATE("=",$A435))=0,"",K$2))</f>
        <v/>
      </c>
      <c r="L435" s="3" t="str">
        <f>IF($A435="","",IF(countif('Womens Lineup'!L$3:L1000,CONCATENATE("=",$A435))=0,"",L$2))</f>
        <v/>
      </c>
      <c r="M435" s="3" t="str">
        <f>IF($A435="","",IF(countif('Womens Lineup'!M$3:M1000,CONCATENATE("=",$A435))=0,"",M$2))</f>
        <v/>
      </c>
      <c r="N435" s="3" t="str">
        <f>IF($A435="","",IF(countif('Womens Lineup'!N$3:N1000,CONCATENATE("=",$A435))=0,"",N$2))</f>
        <v/>
      </c>
      <c r="O435" s="3" t="str">
        <f>IF($A435="","",IF(countif('Womens Lineup'!O$3:O1000,CONCATENATE("=",$A435))=0,"",O$2))</f>
        <v/>
      </c>
      <c r="P435" s="3" t="str">
        <f>IF($A435="","",IF(countif('Womens Lineup'!P$3:P1000,CONCATENATE("=",$A435))=0,"",P$2))</f>
        <v/>
      </c>
      <c r="Q435" s="3" t="str">
        <f>IF($A435="","",IF(countif('Womens Lineup'!Q$3:Q1000,CONCATENATE("=",$A435))=0,"",Q$2))</f>
        <v/>
      </c>
      <c r="R435" s="3" t="str">
        <f>IF($A435="","",IF(countif('Womens Lineup'!R$3:R1000,CONCATENATE("=",$A435))=0,"",R$2))</f>
        <v/>
      </c>
      <c r="S435" s="3" t="str">
        <f>IF($A435="","",IF(countif('Womens Lineup'!S$3:S1000,CONCATENATE("=",$A435))=0,"",S$2))</f>
        <v/>
      </c>
      <c r="W435" s="3" t="str">
        <f>IFERROR(__xludf.DUMMYFUNCTION("JOIN("","",FILTER(B435:S435,B435:S435&lt;&gt;""""))"),"#N/A")</f>
        <v>#N/A</v>
      </c>
    </row>
    <row r="436">
      <c r="A436" s="3"/>
      <c r="B436" s="3" t="str">
        <f>IF($A436="","",IF(countif('Womens Lineup'!B$3:B1000,CONCATENATE("=",$A436))=0,"",B$2))</f>
        <v/>
      </c>
      <c r="C436" s="3" t="str">
        <f>IF($A436="","",IF(countif('Womens Lineup'!C$3:C1000,CONCATENATE("=",$A436))=0,"",C$2))</f>
        <v/>
      </c>
      <c r="D436" s="3" t="str">
        <f>IF($A436="","",IF(countif('Womens Lineup'!D$3:D1000,CONCATENATE("=",$A436))=0,"",D$2))</f>
        <v/>
      </c>
      <c r="E436" s="3" t="str">
        <f>IF($A436="","",IF(countif('Womens Lineup'!E$3:E1000,CONCATENATE("=",$A436))=0,"",E$2))</f>
        <v/>
      </c>
      <c r="F436" s="3" t="str">
        <f>IF($A436="","",IF(countif('Womens Lineup'!F$3:F1000,CONCATENATE("=",$A436))=0,"",F$2))</f>
        <v/>
      </c>
      <c r="G436" s="3" t="str">
        <f>IF($A436="","",IF(countif('Womens Lineup'!G$3:G1000,CONCATENATE("=",$A436))=0,"",G$2))</f>
        <v/>
      </c>
      <c r="H436" s="3" t="str">
        <f>IF($A436="","",IF(countif('Womens Lineup'!H$3:H1000,CONCATENATE("=",$A436))=0,"",H$2))</f>
        <v/>
      </c>
      <c r="I436" s="3" t="str">
        <f>IF($A436="","",IF(countif('Womens Lineup'!I$3:I1000,CONCATENATE("=",$A436))=0,"",I$2))</f>
        <v/>
      </c>
      <c r="J436" s="3" t="str">
        <f>IF($A436="","",IF(countif('Womens Lineup'!J$3:J1000,CONCATENATE("=",$A436))=0,"",J$2))</f>
        <v/>
      </c>
      <c r="K436" s="3" t="str">
        <f>IF($A436="","",IF(countif('Womens Lineup'!K$3:K1000,CONCATENATE("=",$A436))=0,"",K$2))</f>
        <v/>
      </c>
      <c r="L436" s="3" t="str">
        <f>IF($A436="","",IF(countif('Womens Lineup'!L$3:L1000,CONCATENATE("=",$A436))=0,"",L$2))</f>
        <v/>
      </c>
      <c r="M436" s="3" t="str">
        <f>IF($A436="","",IF(countif('Womens Lineup'!M$3:M1000,CONCATENATE("=",$A436))=0,"",M$2))</f>
        <v/>
      </c>
      <c r="N436" s="3" t="str">
        <f>IF($A436="","",IF(countif('Womens Lineup'!N$3:N1000,CONCATENATE("=",$A436))=0,"",N$2))</f>
        <v/>
      </c>
      <c r="O436" s="3" t="str">
        <f>IF($A436="","",IF(countif('Womens Lineup'!O$3:O1000,CONCATENATE("=",$A436))=0,"",O$2))</f>
        <v/>
      </c>
      <c r="P436" s="3" t="str">
        <f>IF($A436="","",IF(countif('Womens Lineup'!P$3:P1000,CONCATENATE("=",$A436))=0,"",P$2))</f>
        <v/>
      </c>
      <c r="Q436" s="3" t="str">
        <f>IF($A436="","",IF(countif('Womens Lineup'!Q$3:Q1000,CONCATENATE("=",$A436))=0,"",Q$2))</f>
        <v/>
      </c>
      <c r="R436" s="3" t="str">
        <f>IF($A436="","",IF(countif('Womens Lineup'!R$3:R1000,CONCATENATE("=",$A436))=0,"",R$2))</f>
        <v/>
      </c>
      <c r="S436" s="3" t="str">
        <f>IF($A436="","",IF(countif('Womens Lineup'!S$3:S1000,CONCATENATE("=",$A436))=0,"",S$2))</f>
        <v/>
      </c>
      <c r="W436" s="3" t="str">
        <f>IFERROR(__xludf.DUMMYFUNCTION("JOIN("","",FILTER(B436:S436,B436:S436&lt;&gt;""""))"),"#N/A")</f>
        <v>#N/A</v>
      </c>
    </row>
    <row r="437">
      <c r="A437" s="3"/>
      <c r="B437" s="3" t="str">
        <f>IF($A437="","",IF(countif('Womens Lineup'!B$3:B1000,CONCATENATE("=",$A437))=0,"",B$2))</f>
        <v/>
      </c>
      <c r="C437" s="3" t="str">
        <f>IF($A437="","",IF(countif('Womens Lineup'!C$3:C1000,CONCATENATE("=",$A437))=0,"",C$2))</f>
        <v/>
      </c>
      <c r="D437" s="3" t="str">
        <f>IF($A437="","",IF(countif('Womens Lineup'!D$3:D1000,CONCATENATE("=",$A437))=0,"",D$2))</f>
        <v/>
      </c>
      <c r="E437" s="3" t="str">
        <f>IF($A437="","",IF(countif('Womens Lineup'!E$3:E1000,CONCATENATE("=",$A437))=0,"",E$2))</f>
        <v/>
      </c>
      <c r="F437" s="3" t="str">
        <f>IF($A437="","",IF(countif('Womens Lineup'!F$3:F1000,CONCATENATE("=",$A437))=0,"",F$2))</f>
        <v/>
      </c>
      <c r="G437" s="3" t="str">
        <f>IF($A437="","",IF(countif('Womens Lineup'!G$3:G1000,CONCATENATE("=",$A437))=0,"",G$2))</f>
        <v/>
      </c>
      <c r="H437" s="3" t="str">
        <f>IF($A437="","",IF(countif('Womens Lineup'!H$3:H1000,CONCATENATE("=",$A437))=0,"",H$2))</f>
        <v/>
      </c>
      <c r="I437" s="3" t="str">
        <f>IF($A437="","",IF(countif('Womens Lineup'!I$3:I1000,CONCATENATE("=",$A437))=0,"",I$2))</f>
        <v/>
      </c>
      <c r="J437" s="3" t="str">
        <f>IF($A437="","",IF(countif('Womens Lineup'!J$3:J1000,CONCATENATE("=",$A437))=0,"",J$2))</f>
        <v/>
      </c>
      <c r="K437" s="3" t="str">
        <f>IF($A437="","",IF(countif('Womens Lineup'!K$3:K1000,CONCATENATE("=",$A437))=0,"",K$2))</f>
        <v/>
      </c>
      <c r="L437" s="3" t="str">
        <f>IF($A437="","",IF(countif('Womens Lineup'!L$3:L1000,CONCATENATE("=",$A437))=0,"",L$2))</f>
        <v/>
      </c>
      <c r="M437" s="3" t="str">
        <f>IF($A437="","",IF(countif('Womens Lineup'!M$3:M1000,CONCATENATE("=",$A437))=0,"",M$2))</f>
        <v/>
      </c>
      <c r="N437" s="3" t="str">
        <f>IF($A437="","",IF(countif('Womens Lineup'!N$3:N1000,CONCATENATE("=",$A437))=0,"",N$2))</f>
        <v/>
      </c>
      <c r="O437" s="3" t="str">
        <f>IF($A437="","",IF(countif('Womens Lineup'!O$3:O1000,CONCATENATE("=",$A437))=0,"",O$2))</f>
        <v/>
      </c>
      <c r="P437" s="3" t="str">
        <f>IF($A437="","",IF(countif('Womens Lineup'!P$3:P1000,CONCATENATE("=",$A437))=0,"",P$2))</f>
        <v/>
      </c>
      <c r="Q437" s="3" t="str">
        <f>IF($A437="","",IF(countif('Womens Lineup'!Q$3:Q1000,CONCATENATE("=",$A437))=0,"",Q$2))</f>
        <v/>
      </c>
      <c r="R437" s="3" t="str">
        <f>IF($A437="","",IF(countif('Womens Lineup'!R$3:R1000,CONCATENATE("=",$A437))=0,"",R$2))</f>
        <v/>
      </c>
      <c r="S437" s="3" t="str">
        <f>IF($A437="","",IF(countif('Womens Lineup'!S$3:S1000,CONCATENATE("=",$A437))=0,"",S$2))</f>
        <v/>
      </c>
      <c r="W437" s="3" t="str">
        <f>IFERROR(__xludf.DUMMYFUNCTION("JOIN("","",FILTER(B437:S437,B437:S437&lt;&gt;""""))"),"#N/A")</f>
        <v>#N/A</v>
      </c>
    </row>
    <row r="438">
      <c r="A438" s="3"/>
      <c r="B438" s="3" t="str">
        <f>IF($A438="","",IF(countif('Womens Lineup'!B$3:B1000,CONCATENATE("=",$A438))=0,"",B$2))</f>
        <v/>
      </c>
      <c r="C438" s="3" t="str">
        <f>IF($A438="","",IF(countif('Womens Lineup'!C$3:C1000,CONCATENATE("=",$A438))=0,"",C$2))</f>
        <v/>
      </c>
      <c r="D438" s="3" t="str">
        <f>IF($A438="","",IF(countif('Womens Lineup'!D$3:D1000,CONCATENATE("=",$A438))=0,"",D$2))</f>
        <v/>
      </c>
      <c r="E438" s="3" t="str">
        <f>IF($A438="","",IF(countif('Womens Lineup'!E$3:E1000,CONCATENATE("=",$A438))=0,"",E$2))</f>
        <v/>
      </c>
      <c r="F438" s="3" t="str">
        <f>IF($A438="","",IF(countif('Womens Lineup'!F$3:F1000,CONCATENATE("=",$A438))=0,"",F$2))</f>
        <v/>
      </c>
      <c r="G438" s="3" t="str">
        <f>IF($A438="","",IF(countif('Womens Lineup'!G$3:G1000,CONCATENATE("=",$A438))=0,"",G$2))</f>
        <v/>
      </c>
      <c r="H438" s="3" t="str">
        <f>IF($A438="","",IF(countif('Womens Lineup'!H$3:H1000,CONCATENATE("=",$A438))=0,"",H$2))</f>
        <v/>
      </c>
      <c r="I438" s="3" t="str">
        <f>IF($A438="","",IF(countif('Womens Lineup'!I$3:I1000,CONCATENATE("=",$A438))=0,"",I$2))</f>
        <v/>
      </c>
      <c r="J438" s="3" t="str">
        <f>IF($A438="","",IF(countif('Womens Lineup'!J$3:J1000,CONCATENATE("=",$A438))=0,"",J$2))</f>
        <v/>
      </c>
      <c r="K438" s="3" t="str">
        <f>IF($A438="","",IF(countif('Womens Lineup'!K$3:K1000,CONCATENATE("=",$A438))=0,"",K$2))</f>
        <v/>
      </c>
      <c r="L438" s="3" t="str">
        <f>IF($A438="","",IF(countif('Womens Lineup'!L$3:L1000,CONCATENATE("=",$A438))=0,"",L$2))</f>
        <v/>
      </c>
      <c r="M438" s="3" t="str">
        <f>IF($A438="","",IF(countif('Womens Lineup'!M$3:M1000,CONCATENATE("=",$A438))=0,"",M$2))</f>
        <v/>
      </c>
      <c r="N438" s="3" t="str">
        <f>IF($A438="","",IF(countif('Womens Lineup'!N$3:N1000,CONCATENATE("=",$A438))=0,"",N$2))</f>
        <v/>
      </c>
      <c r="O438" s="3" t="str">
        <f>IF($A438="","",IF(countif('Womens Lineup'!O$3:O1000,CONCATENATE("=",$A438))=0,"",O$2))</f>
        <v/>
      </c>
      <c r="P438" s="3" t="str">
        <f>IF($A438="","",IF(countif('Womens Lineup'!P$3:P1000,CONCATENATE("=",$A438))=0,"",P$2))</f>
        <v/>
      </c>
      <c r="Q438" s="3" t="str">
        <f>IF($A438="","",IF(countif('Womens Lineup'!Q$3:Q1000,CONCATENATE("=",$A438))=0,"",Q$2))</f>
        <v/>
      </c>
      <c r="R438" s="3" t="str">
        <f>IF($A438="","",IF(countif('Womens Lineup'!R$3:R1000,CONCATENATE("=",$A438))=0,"",R$2))</f>
        <v/>
      </c>
      <c r="S438" s="3" t="str">
        <f>IF($A438="","",IF(countif('Womens Lineup'!S$3:S1000,CONCATENATE("=",$A438))=0,"",S$2))</f>
        <v/>
      </c>
      <c r="W438" s="3" t="str">
        <f>IFERROR(__xludf.DUMMYFUNCTION("JOIN("","",FILTER(B438:S438,B438:S438&lt;&gt;""""))"),"#N/A")</f>
        <v>#N/A</v>
      </c>
    </row>
    <row r="439">
      <c r="A439" s="3"/>
      <c r="B439" s="3" t="str">
        <f>IF($A439="","",IF(countif('Womens Lineup'!B$3:B1000,CONCATENATE("=",$A439))=0,"",B$2))</f>
        <v/>
      </c>
      <c r="C439" s="3" t="str">
        <f>IF($A439="","",IF(countif('Womens Lineup'!C$3:C1000,CONCATENATE("=",$A439))=0,"",C$2))</f>
        <v/>
      </c>
      <c r="D439" s="3" t="str">
        <f>IF($A439="","",IF(countif('Womens Lineup'!D$3:D1000,CONCATENATE("=",$A439))=0,"",D$2))</f>
        <v/>
      </c>
      <c r="E439" s="3" t="str">
        <f>IF($A439="","",IF(countif('Womens Lineup'!E$3:E1000,CONCATENATE("=",$A439))=0,"",E$2))</f>
        <v/>
      </c>
      <c r="F439" s="3" t="str">
        <f>IF($A439="","",IF(countif('Womens Lineup'!F$3:F1000,CONCATENATE("=",$A439))=0,"",F$2))</f>
        <v/>
      </c>
      <c r="G439" s="3" t="str">
        <f>IF($A439="","",IF(countif('Womens Lineup'!G$3:G1000,CONCATENATE("=",$A439))=0,"",G$2))</f>
        <v/>
      </c>
      <c r="H439" s="3" t="str">
        <f>IF($A439="","",IF(countif('Womens Lineup'!H$3:H1000,CONCATENATE("=",$A439))=0,"",H$2))</f>
        <v/>
      </c>
      <c r="I439" s="3" t="str">
        <f>IF($A439="","",IF(countif('Womens Lineup'!I$3:I1000,CONCATENATE("=",$A439))=0,"",I$2))</f>
        <v/>
      </c>
      <c r="J439" s="3" t="str">
        <f>IF($A439="","",IF(countif('Womens Lineup'!J$3:J1000,CONCATENATE("=",$A439))=0,"",J$2))</f>
        <v/>
      </c>
      <c r="K439" s="3" t="str">
        <f>IF($A439="","",IF(countif('Womens Lineup'!K$3:K1000,CONCATENATE("=",$A439))=0,"",K$2))</f>
        <v/>
      </c>
      <c r="L439" s="3" t="str">
        <f>IF($A439="","",IF(countif('Womens Lineup'!L$3:L1000,CONCATENATE("=",$A439))=0,"",L$2))</f>
        <v/>
      </c>
      <c r="M439" s="3" t="str">
        <f>IF($A439="","",IF(countif('Womens Lineup'!M$3:M1000,CONCATENATE("=",$A439))=0,"",M$2))</f>
        <v/>
      </c>
      <c r="N439" s="3" t="str">
        <f>IF($A439="","",IF(countif('Womens Lineup'!N$3:N1000,CONCATENATE("=",$A439))=0,"",N$2))</f>
        <v/>
      </c>
      <c r="O439" s="3" t="str">
        <f>IF($A439="","",IF(countif('Womens Lineup'!O$3:O1000,CONCATENATE("=",$A439))=0,"",O$2))</f>
        <v/>
      </c>
      <c r="P439" s="3" t="str">
        <f>IF($A439="","",IF(countif('Womens Lineup'!P$3:P1000,CONCATENATE("=",$A439))=0,"",P$2))</f>
        <v/>
      </c>
      <c r="Q439" s="3" t="str">
        <f>IF($A439="","",IF(countif('Womens Lineup'!Q$3:Q1000,CONCATENATE("=",$A439))=0,"",Q$2))</f>
        <v/>
      </c>
      <c r="R439" s="3" t="str">
        <f>IF($A439="","",IF(countif('Womens Lineup'!R$3:R1000,CONCATENATE("=",$A439))=0,"",R$2))</f>
        <v/>
      </c>
      <c r="S439" s="3" t="str">
        <f>IF($A439="","",IF(countif('Womens Lineup'!S$3:S1000,CONCATENATE("=",$A439))=0,"",S$2))</f>
        <v/>
      </c>
      <c r="W439" s="3" t="str">
        <f>IFERROR(__xludf.DUMMYFUNCTION("JOIN("","",FILTER(B439:S439,B439:S439&lt;&gt;""""))"),"#N/A")</f>
        <v>#N/A</v>
      </c>
    </row>
    <row r="440">
      <c r="A440" s="3"/>
      <c r="B440" s="3" t="str">
        <f>IF($A440="","",IF(countif('Womens Lineup'!B$3:B1000,CONCATENATE("=",$A440))=0,"",B$2))</f>
        <v/>
      </c>
      <c r="C440" s="3" t="str">
        <f>IF($A440="","",IF(countif('Womens Lineup'!C$3:C1000,CONCATENATE("=",$A440))=0,"",C$2))</f>
        <v/>
      </c>
      <c r="D440" s="3" t="str">
        <f>IF($A440="","",IF(countif('Womens Lineup'!D$3:D1000,CONCATENATE("=",$A440))=0,"",D$2))</f>
        <v/>
      </c>
      <c r="E440" s="3" t="str">
        <f>IF($A440="","",IF(countif('Womens Lineup'!E$3:E1000,CONCATENATE("=",$A440))=0,"",E$2))</f>
        <v/>
      </c>
      <c r="F440" s="3" t="str">
        <f>IF($A440="","",IF(countif('Womens Lineup'!F$3:F1000,CONCATENATE("=",$A440))=0,"",F$2))</f>
        <v/>
      </c>
      <c r="G440" s="3" t="str">
        <f>IF($A440="","",IF(countif('Womens Lineup'!G$3:G1000,CONCATENATE("=",$A440))=0,"",G$2))</f>
        <v/>
      </c>
      <c r="H440" s="3" t="str">
        <f>IF($A440="","",IF(countif('Womens Lineup'!H$3:H1000,CONCATENATE("=",$A440))=0,"",H$2))</f>
        <v/>
      </c>
      <c r="I440" s="3" t="str">
        <f>IF($A440="","",IF(countif('Womens Lineup'!I$3:I1000,CONCATENATE("=",$A440))=0,"",I$2))</f>
        <v/>
      </c>
      <c r="J440" s="3" t="str">
        <f>IF($A440="","",IF(countif('Womens Lineup'!J$3:J1000,CONCATENATE("=",$A440))=0,"",J$2))</f>
        <v/>
      </c>
      <c r="K440" s="3" t="str">
        <f>IF($A440="","",IF(countif('Womens Lineup'!K$3:K1000,CONCATENATE("=",$A440))=0,"",K$2))</f>
        <v/>
      </c>
      <c r="L440" s="3" t="str">
        <f>IF($A440="","",IF(countif('Womens Lineup'!L$3:L1000,CONCATENATE("=",$A440))=0,"",L$2))</f>
        <v/>
      </c>
      <c r="M440" s="3" t="str">
        <f>IF($A440="","",IF(countif('Womens Lineup'!M$3:M1000,CONCATENATE("=",$A440))=0,"",M$2))</f>
        <v/>
      </c>
      <c r="N440" s="3" t="str">
        <f>IF($A440="","",IF(countif('Womens Lineup'!N$3:N1000,CONCATENATE("=",$A440))=0,"",N$2))</f>
        <v/>
      </c>
      <c r="O440" s="3" t="str">
        <f>IF($A440="","",IF(countif('Womens Lineup'!O$3:O1000,CONCATENATE("=",$A440))=0,"",O$2))</f>
        <v/>
      </c>
      <c r="P440" s="3" t="str">
        <f>IF($A440="","",IF(countif('Womens Lineup'!P$3:P1000,CONCATENATE("=",$A440))=0,"",P$2))</f>
        <v/>
      </c>
      <c r="Q440" s="3" t="str">
        <f>IF($A440="","",IF(countif('Womens Lineup'!Q$3:Q1000,CONCATENATE("=",$A440))=0,"",Q$2))</f>
        <v/>
      </c>
      <c r="R440" s="3" t="str">
        <f>IF($A440="","",IF(countif('Womens Lineup'!R$3:R1000,CONCATENATE("=",$A440))=0,"",R$2))</f>
        <v/>
      </c>
      <c r="S440" s="3" t="str">
        <f>IF($A440="","",IF(countif('Womens Lineup'!S$3:S1000,CONCATENATE("=",$A440))=0,"",S$2))</f>
        <v/>
      </c>
      <c r="W440" s="3" t="str">
        <f>IFERROR(__xludf.DUMMYFUNCTION("JOIN("","",FILTER(B440:S440,B440:S440&lt;&gt;""""))"),"#N/A")</f>
        <v>#N/A</v>
      </c>
    </row>
    <row r="441">
      <c r="A441" s="3"/>
      <c r="B441" s="3" t="str">
        <f>IF($A441="","",IF(countif('Womens Lineup'!B$3:B1000,CONCATENATE("=",$A441))=0,"",B$2))</f>
        <v/>
      </c>
      <c r="C441" s="3" t="str">
        <f>IF($A441="","",IF(countif('Womens Lineup'!C$3:C1000,CONCATENATE("=",$A441))=0,"",C$2))</f>
        <v/>
      </c>
      <c r="D441" s="3" t="str">
        <f>IF($A441="","",IF(countif('Womens Lineup'!D$3:D1000,CONCATENATE("=",$A441))=0,"",D$2))</f>
        <v/>
      </c>
      <c r="E441" s="3" t="str">
        <f>IF($A441="","",IF(countif('Womens Lineup'!E$3:E1000,CONCATENATE("=",$A441))=0,"",E$2))</f>
        <v/>
      </c>
      <c r="F441" s="3" t="str">
        <f>IF($A441="","",IF(countif('Womens Lineup'!F$3:F1000,CONCATENATE("=",$A441))=0,"",F$2))</f>
        <v/>
      </c>
      <c r="G441" s="3" t="str">
        <f>IF($A441="","",IF(countif('Womens Lineup'!G$3:G1000,CONCATENATE("=",$A441))=0,"",G$2))</f>
        <v/>
      </c>
      <c r="H441" s="3" t="str">
        <f>IF($A441="","",IF(countif('Womens Lineup'!H$3:H1000,CONCATENATE("=",$A441))=0,"",H$2))</f>
        <v/>
      </c>
      <c r="I441" s="3" t="str">
        <f>IF($A441="","",IF(countif('Womens Lineup'!I$3:I1000,CONCATENATE("=",$A441))=0,"",I$2))</f>
        <v/>
      </c>
      <c r="J441" s="3" t="str">
        <f>IF($A441="","",IF(countif('Womens Lineup'!J$3:J1000,CONCATENATE("=",$A441))=0,"",J$2))</f>
        <v/>
      </c>
      <c r="K441" s="3" t="str">
        <f>IF($A441="","",IF(countif('Womens Lineup'!K$3:K1000,CONCATENATE("=",$A441))=0,"",K$2))</f>
        <v/>
      </c>
      <c r="L441" s="3" t="str">
        <f>IF($A441="","",IF(countif('Womens Lineup'!L$3:L1000,CONCATENATE("=",$A441))=0,"",L$2))</f>
        <v/>
      </c>
      <c r="M441" s="3" t="str">
        <f>IF($A441="","",IF(countif('Womens Lineup'!M$3:M1000,CONCATENATE("=",$A441))=0,"",M$2))</f>
        <v/>
      </c>
      <c r="N441" s="3" t="str">
        <f>IF($A441="","",IF(countif('Womens Lineup'!N$3:N1000,CONCATENATE("=",$A441))=0,"",N$2))</f>
        <v/>
      </c>
      <c r="O441" s="3" t="str">
        <f>IF($A441="","",IF(countif('Womens Lineup'!O$3:O1000,CONCATENATE("=",$A441))=0,"",O$2))</f>
        <v/>
      </c>
      <c r="P441" s="3" t="str">
        <f>IF($A441="","",IF(countif('Womens Lineup'!P$3:P1000,CONCATENATE("=",$A441))=0,"",P$2))</f>
        <v/>
      </c>
      <c r="Q441" s="3" t="str">
        <f>IF($A441="","",IF(countif('Womens Lineup'!Q$3:Q1000,CONCATENATE("=",$A441))=0,"",Q$2))</f>
        <v/>
      </c>
      <c r="R441" s="3" t="str">
        <f>IF($A441="","",IF(countif('Womens Lineup'!R$3:R1000,CONCATENATE("=",$A441))=0,"",R$2))</f>
        <v/>
      </c>
      <c r="S441" s="3" t="str">
        <f>IF($A441="","",IF(countif('Womens Lineup'!S$3:S1000,CONCATENATE("=",$A441))=0,"",S$2))</f>
        <v/>
      </c>
      <c r="W441" s="3" t="str">
        <f>IFERROR(__xludf.DUMMYFUNCTION("JOIN("","",FILTER(B441:S441,B441:S441&lt;&gt;""""))"),"#N/A")</f>
        <v>#N/A</v>
      </c>
    </row>
    <row r="442">
      <c r="A442" s="3"/>
      <c r="B442" s="3" t="str">
        <f>IF($A442="","",IF(countif('Womens Lineup'!B$3:B1000,CONCATENATE("=",$A442))=0,"",B$2))</f>
        <v/>
      </c>
      <c r="C442" s="3" t="str">
        <f>IF($A442="","",IF(countif('Womens Lineup'!C$3:C1000,CONCATENATE("=",$A442))=0,"",C$2))</f>
        <v/>
      </c>
      <c r="D442" s="3" t="str">
        <f>IF($A442="","",IF(countif('Womens Lineup'!D$3:D1000,CONCATENATE("=",$A442))=0,"",D$2))</f>
        <v/>
      </c>
      <c r="E442" s="3" t="str">
        <f>IF($A442="","",IF(countif('Womens Lineup'!E$3:E1000,CONCATENATE("=",$A442))=0,"",E$2))</f>
        <v/>
      </c>
      <c r="F442" s="3" t="str">
        <f>IF($A442="","",IF(countif('Womens Lineup'!F$3:F1000,CONCATENATE("=",$A442))=0,"",F$2))</f>
        <v/>
      </c>
      <c r="G442" s="3" t="str">
        <f>IF($A442="","",IF(countif('Womens Lineup'!G$3:G1000,CONCATENATE("=",$A442))=0,"",G$2))</f>
        <v/>
      </c>
      <c r="H442" s="3" t="str">
        <f>IF($A442="","",IF(countif('Womens Lineup'!H$3:H1000,CONCATENATE("=",$A442))=0,"",H$2))</f>
        <v/>
      </c>
      <c r="I442" s="3" t="str">
        <f>IF($A442="","",IF(countif('Womens Lineup'!I$3:I1000,CONCATENATE("=",$A442))=0,"",I$2))</f>
        <v/>
      </c>
      <c r="J442" s="3" t="str">
        <f>IF($A442="","",IF(countif('Womens Lineup'!J$3:J1000,CONCATENATE("=",$A442))=0,"",J$2))</f>
        <v/>
      </c>
      <c r="K442" s="3" t="str">
        <f>IF($A442="","",IF(countif('Womens Lineup'!K$3:K1000,CONCATENATE("=",$A442))=0,"",K$2))</f>
        <v/>
      </c>
      <c r="L442" s="3" t="str">
        <f>IF($A442="","",IF(countif('Womens Lineup'!L$3:L1000,CONCATENATE("=",$A442))=0,"",L$2))</f>
        <v/>
      </c>
      <c r="M442" s="3" t="str">
        <f>IF($A442="","",IF(countif('Womens Lineup'!M$3:M1000,CONCATENATE("=",$A442))=0,"",M$2))</f>
        <v/>
      </c>
      <c r="N442" s="3" t="str">
        <f>IF($A442="","",IF(countif('Womens Lineup'!N$3:N1000,CONCATENATE("=",$A442))=0,"",N$2))</f>
        <v/>
      </c>
      <c r="O442" s="3" t="str">
        <f>IF($A442="","",IF(countif('Womens Lineup'!O$3:O1000,CONCATENATE("=",$A442))=0,"",O$2))</f>
        <v/>
      </c>
      <c r="P442" s="3" t="str">
        <f>IF($A442="","",IF(countif('Womens Lineup'!P$3:P1000,CONCATENATE("=",$A442))=0,"",P$2))</f>
        <v/>
      </c>
      <c r="Q442" s="3" t="str">
        <f>IF($A442="","",IF(countif('Womens Lineup'!Q$3:Q1000,CONCATENATE("=",$A442))=0,"",Q$2))</f>
        <v/>
      </c>
      <c r="R442" s="3" t="str">
        <f>IF($A442="","",IF(countif('Womens Lineup'!R$3:R1000,CONCATENATE("=",$A442))=0,"",R$2))</f>
        <v/>
      </c>
      <c r="S442" s="3" t="str">
        <f>IF($A442="","",IF(countif('Womens Lineup'!S$3:S1000,CONCATENATE("=",$A442))=0,"",S$2))</f>
        <v/>
      </c>
      <c r="W442" s="3" t="str">
        <f>IFERROR(__xludf.DUMMYFUNCTION("JOIN("","",FILTER(B442:S442,B442:S442&lt;&gt;""""))"),"#N/A")</f>
        <v>#N/A</v>
      </c>
    </row>
    <row r="443">
      <c r="A443" s="3"/>
      <c r="B443" s="3" t="str">
        <f>IF($A443="","",IF(countif('Womens Lineup'!B$3:B1000,CONCATENATE("=",$A443))=0,"",B$2))</f>
        <v/>
      </c>
      <c r="C443" s="3" t="str">
        <f>IF($A443="","",IF(countif('Womens Lineup'!C$3:C1000,CONCATENATE("=",$A443))=0,"",C$2))</f>
        <v/>
      </c>
      <c r="D443" s="3" t="str">
        <f>IF($A443="","",IF(countif('Womens Lineup'!D$3:D1000,CONCATENATE("=",$A443))=0,"",D$2))</f>
        <v/>
      </c>
      <c r="E443" s="3" t="str">
        <f>IF($A443="","",IF(countif('Womens Lineup'!E$3:E1000,CONCATENATE("=",$A443))=0,"",E$2))</f>
        <v/>
      </c>
      <c r="F443" s="3" t="str">
        <f>IF($A443="","",IF(countif('Womens Lineup'!F$3:F1000,CONCATENATE("=",$A443))=0,"",F$2))</f>
        <v/>
      </c>
      <c r="G443" s="3" t="str">
        <f>IF($A443="","",IF(countif('Womens Lineup'!G$3:G1000,CONCATENATE("=",$A443))=0,"",G$2))</f>
        <v/>
      </c>
      <c r="H443" s="3" t="str">
        <f>IF($A443="","",IF(countif('Womens Lineup'!H$3:H1000,CONCATENATE("=",$A443))=0,"",H$2))</f>
        <v/>
      </c>
      <c r="I443" s="3" t="str">
        <f>IF($A443="","",IF(countif('Womens Lineup'!I$3:I1000,CONCATENATE("=",$A443))=0,"",I$2))</f>
        <v/>
      </c>
      <c r="J443" s="3" t="str">
        <f>IF($A443="","",IF(countif('Womens Lineup'!J$3:J1000,CONCATENATE("=",$A443))=0,"",J$2))</f>
        <v/>
      </c>
      <c r="K443" s="3" t="str">
        <f>IF($A443="","",IF(countif('Womens Lineup'!K$3:K1000,CONCATENATE("=",$A443))=0,"",K$2))</f>
        <v/>
      </c>
      <c r="L443" s="3" t="str">
        <f>IF($A443="","",IF(countif('Womens Lineup'!L$3:L1000,CONCATENATE("=",$A443))=0,"",L$2))</f>
        <v/>
      </c>
      <c r="M443" s="3" t="str">
        <f>IF($A443="","",IF(countif('Womens Lineup'!M$3:M1000,CONCATENATE("=",$A443))=0,"",M$2))</f>
        <v/>
      </c>
      <c r="N443" s="3" t="str">
        <f>IF($A443="","",IF(countif('Womens Lineup'!N$3:N1000,CONCATENATE("=",$A443))=0,"",N$2))</f>
        <v/>
      </c>
      <c r="O443" s="3" t="str">
        <f>IF($A443="","",IF(countif('Womens Lineup'!O$3:O1000,CONCATENATE("=",$A443))=0,"",O$2))</f>
        <v/>
      </c>
      <c r="P443" s="3" t="str">
        <f>IF($A443="","",IF(countif('Womens Lineup'!P$3:P1000,CONCATENATE("=",$A443))=0,"",P$2))</f>
        <v/>
      </c>
      <c r="Q443" s="3" t="str">
        <f>IF($A443="","",IF(countif('Womens Lineup'!Q$3:Q1000,CONCATENATE("=",$A443))=0,"",Q$2))</f>
        <v/>
      </c>
      <c r="R443" s="3" t="str">
        <f>IF($A443="","",IF(countif('Womens Lineup'!R$3:R1000,CONCATENATE("=",$A443))=0,"",R$2))</f>
        <v/>
      </c>
      <c r="S443" s="3" t="str">
        <f>IF($A443="","",IF(countif('Womens Lineup'!S$3:S1000,CONCATENATE("=",$A443))=0,"",S$2))</f>
        <v/>
      </c>
      <c r="W443" s="3" t="str">
        <f>IFERROR(__xludf.DUMMYFUNCTION("JOIN("","",FILTER(B443:S443,B443:S443&lt;&gt;""""))"),"#N/A")</f>
        <v>#N/A</v>
      </c>
    </row>
    <row r="444">
      <c r="A444" s="3"/>
      <c r="B444" s="3" t="str">
        <f>IF($A444="","",IF(countif('Womens Lineup'!B$3:B1000,CONCATENATE("=",$A444))=0,"",B$2))</f>
        <v/>
      </c>
      <c r="C444" s="3" t="str">
        <f>IF($A444="","",IF(countif('Womens Lineup'!C$3:C1000,CONCATENATE("=",$A444))=0,"",C$2))</f>
        <v/>
      </c>
      <c r="D444" s="3" t="str">
        <f>IF($A444="","",IF(countif('Womens Lineup'!D$3:D1000,CONCATENATE("=",$A444))=0,"",D$2))</f>
        <v/>
      </c>
      <c r="E444" s="3" t="str">
        <f>IF($A444="","",IF(countif('Womens Lineup'!E$3:E1000,CONCATENATE("=",$A444))=0,"",E$2))</f>
        <v/>
      </c>
      <c r="F444" s="3" t="str">
        <f>IF($A444="","",IF(countif('Womens Lineup'!F$3:F1000,CONCATENATE("=",$A444))=0,"",F$2))</f>
        <v/>
      </c>
      <c r="G444" s="3" t="str">
        <f>IF($A444="","",IF(countif('Womens Lineup'!G$3:G1000,CONCATENATE("=",$A444))=0,"",G$2))</f>
        <v/>
      </c>
      <c r="H444" s="3" t="str">
        <f>IF($A444="","",IF(countif('Womens Lineup'!H$3:H1000,CONCATENATE("=",$A444))=0,"",H$2))</f>
        <v/>
      </c>
      <c r="I444" s="3" t="str">
        <f>IF($A444="","",IF(countif('Womens Lineup'!I$3:I1000,CONCATENATE("=",$A444))=0,"",I$2))</f>
        <v/>
      </c>
      <c r="J444" s="3" t="str">
        <f>IF($A444="","",IF(countif('Womens Lineup'!J$3:J1000,CONCATENATE("=",$A444))=0,"",J$2))</f>
        <v/>
      </c>
      <c r="K444" s="3" t="str">
        <f>IF($A444="","",IF(countif('Womens Lineup'!K$3:K1000,CONCATENATE("=",$A444))=0,"",K$2))</f>
        <v/>
      </c>
      <c r="L444" s="3" t="str">
        <f>IF($A444="","",IF(countif('Womens Lineup'!L$3:L1000,CONCATENATE("=",$A444))=0,"",L$2))</f>
        <v/>
      </c>
      <c r="M444" s="3" t="str">
        <f>IF($A444="","",IF(countif('Womens Lineup'!M$3:M1000,CONCATENATE("=",$A444))=0,"",M$2))</f>
        <v/>
      </c>
      <c r="N444" s="3" t="str">
        <f>IF($A444="","",IF(countif('Womens Lineup'!N$3:N1000,CONCATENATE("=",$A444))=0,"",N$2))</f>
        <v/>
      </c>
      <c r="O444" s="3" t="str">
        <f>IF($A444="","",IF(countif('Womens Lineup'!O$3:O1000,CONCATENATE("=",$A444))=0,"",O$2))</f>
        <v/>
      </c>
      <c r="P444" s="3" t="str">
        <f>IF($A444="","",IF(countif('Womens Lineup'!P$3:P1000,CONCATENATE("=",$A444))=0,"",P$2))</f>
        <v/>
      </c>
      <c r="Q444" s="3" t="str">
        <f>IF($A444="","",IF(countif('Womens Lineup'!Q$3:Q1000,CONCATENATE("=",$A444))=0,"",Q$2))</f>
        <v/>
      </c>
      <c r="R444" s="3" t="str">
        <f>IF($A444="","",IF(countif('Womens Lineup'!R$3:R1000,CONCATENATE("=",$A444))=0,"",R$2))</f>
        <v/>
      </c>
      <c r="S444" s="3" t="str">
        <f>IF($A444="","",IF(countif('Womens Lineup'!S$3:S1000,CONCATENATE("=",$A444))=0,"",S$2))</f>
        <v/>
      </c>
      <c r="W444" s="3" t="str">
        <f>IFERROR(__xludf.DUMMYFUNCTION("JOIN("","",FILTER(B444:S444,B444:S444&lt;&gt;""""))"),"#N/A")</f>
        <v>#N/A</v>
      </c>
    </row>
    <row r="445">
      <c r="A445" s="3"/>
      <c r="B445" s="3" t="str">
        <f>IF($A445="","",IF(countif('Womens Lineup'!B$3:B1000,CONCATENATE("=",$A445))=0,"",B$2))</f>
        <v/>
      </c>
      <c r="C445" s="3" t="str">
        <f>IF($A445="","",IF(countif('Womens Lineup'!C$3:C1000,CONCATENATE("=",$A445))=0,"",C$2))</f>
        <v/>
      </c>
      <c r="D445" s="3" t="str">
        <f>IF($A445="","",IF(countif('Womens Lineup'!D$3:D1000,CONCATENATE("=",$A445))=0,"",D$2))</f>
        <v/>
      </c>
      <c r="E445" s="3" t="str">
        <f>IF($A445="","",IF(countif('Womens Lineup'!E$3:E1000,CONCATENATE("=",$A445))=0,"",E$2))</f>
        <v/>
      </c>
      <c r="F445" s="3" t="str">
        <f>IF($A445="","",IF(countif('Womens Lineup'!F$3:F1000,CONCATENATE("=",$A445))=0,"",F$2))</f>
        <v/>
      </c>
      <c r="G445" s="3" t="str">
        <f>IF($A445="","",IF(countif('Womens Lineup'!G$3:G1000,CONCATENATE("=",$A445))=0,"",G$2))</f>
        <v/>
      </c>
      <c r="H445" s="3" t="str">
        <f>IF($A445="","",IF(countif('Womens Lineup'!H$3:H1000,CONCATENATE("=",$A445))=0,"",H$2))</f>
        <v/>
      </c>
      <c r="I445" s="3" t="str">
        <f>IF($A445="","",IF(countif('Womens Lineup'!I$3:I1000,CONCATENATE("=",$A445))=0,"",I$2))</f>
        <v/>
      </c>
      <c r="J445" s="3" t="str">
        <f>IF($A445="","",IF(countif('Womens Lineup'!J$3:J1000,CONCATENATE("=",$A445))=0,"",J$2))</f>
        <v/>
      </c>
      <c r="K445" s="3" t="str">
        <f>IF($A445="","",IF(countif('Womens Lineup'!K$3:K1000,CONCATENATE("=",$A445))=0,"",K$2))</f>
        <v/>
      </c>
      <c r="L445" s="3" t="str">
        <f>IF($A445="","",IF(countif('Womens Lineup'!L$3:L1000,CONCATENATE("=",$A445))=0,"",L$2))</f>
        <v/>
      </c>
      <c r="M445" s="3" t="str">
        <f>IF($A445="","",IF(countif('Womens Lineup'!M$3:M1000,CONCATENATE("=",$A445))=0,"",M$2))</f>
        <v/>
      </c>
      <c r="N445" s="3" t="str">
        <f>IF($A445="","",IF(countif('Womens Lineup'!N$3:N1000,CONCATENATE("=",$A445))=0,"",N$2))</f>
        <v/>
      </c>
      <c r="O445" s="3" t="str">
        <f>IF($A445="","",IF(countif('Womens Lineup'!O$3:O1000,CONCATENATE("=",$A445))=0,"",O$2))</f>
        <v/>
      </c>
      <c r="P445" s="3" t="str">
        <f>IF($A445="","",IF(countif('Womens Lineup'!P$3:P1000,CONCATENATE("=",$A445))=0,"",P$2))</f>
        <v/>
      </c>
      <c r="Q445" s="3" t="str">
        <f>IF($A445="","",IF(countif('Womens Lineup'!Q$3:Q1000,CONCATENATE("=",$A445))=0,"",Q$2))</f>
        <v/>
      </c>
      <c r="R445" s="3" t="str">
        <f>IF($A445="","",IF(countif('Womens Lineup'!R$3:R1000,CONCATENATE("=",$A445))=0,"",R$2))</f>
        <v/>
      </c>
      <c r="S445" s="3" t="str">
        <f>IF($A445="","",IF(countif('Womens Lineup'!S$3:S1000,CONCATENATE("=",$A445))=0,"",S$2))</f>
        <v/>
      </c>
      <c r="W445" s="3" t="str">
        <f>IFERROR(__xludf.DUMMYFUNCTION("JOIN("","",FILTER(B445:S445,B445:S445&lt;&gt;""""))"),"#N/A")</f>
        <v>#N/A</v>
      </c>
    </row>
    <row r="446">
      <c r="A446" s="3"/>
      <c r="B446" s="3" t="str">
        <f>IF($A446="","",IF(countif('Womens Lineup'!B$3:B1000,CONCATENATE("=",$A446))=0,"",B$2))</f>
        <v/>
      </c>
      <c r="C446" s="3" t="str">
        <f>IF($A446="","",IF(countif('Womens Lineup'!C$3:C1000,CONCATENATE("=",$A446))=0,"",C$2))</f>
        <v/>
      </c>
      <c r="D446" s="3" t="str">
        <f>IF($A446="","",IF(countif('Womens Lineup'!D$3:D1000,CONCATENATE("=",$A446))=0,"",D$2))</f>
        <v/>
      </c>
      <c r="E446" s="3" t="str">
        <f>IF($A446="","",IF(countif('Womens Lineup'!E$3:E1000,CONCATENATE("=",$A446))=0,"",E$2))</f>
        <v/>
      </c>
      <c r="F446" s="3" t="str">
        <f>IF($A446="","",IF(countif('Womens Lineup'!F$3:F1000,CONCATENATE("=",$A446))=0,"",F$2))</f>
        <v/>
      </c>
      <c r="G446" s="3" t="str">
        <f>IF($A446="","",IF(countif('Womens Lineup'!G$3:G1000,CONCATENATE("=",$A446))=0,"",G$2))</f>
        <v/>
      </c>
      <c r="H446" s="3" t="str">
        <f>IF($A446="","",IF(countif('Womens Lineup'!H$3:H1000,CONCATENATE("=",$A446))=0,"",H$2))</f>
        <v/>
      </c>
      <c r="I446" s="3" t="str">
        <f>IF($A446="","",IF(countif('Womens Lineup'!I$3:I1000,CONCATENATE("=",$A446))=0,"",I$2))</f>
        <v/>
      </c>
      <c r="J446" s="3" t="str">
        <f>IF($A446="","",IF(countif('Womens Lineup'!J$3:J1000,CONCATENATE("=",$A446))=0,"",J$2))</f>
        <v/>
      </c>
      <c r="K446" s="3" t="str">
        <f>IF($A446="","",IF(countif('Womens Lineup'!K$3:K1000,CONCATENATE("=",$A446))=0,"",K$2))</f>
        <v/>
      </c>
      <c r="L446" s="3" t="str">
        <f>IF($A446="","",IF(countif('Womens Lineup'!L$3:L1000,CONCATENATE("=",$A446))=0,"",L$2))</f>
        <v/>
      </c>
      <c r="M446" s="3" t="str">
        <f>IF($A446="","",IF(countif('Womens Lineup'!M$3:M1000,CONCATENATE("=",$A446))=0,"",M$2))</f>
        <v/>
      </c>
      <c r="N446" s="3" t="str">
        <f>IF($A446="","",IF(countif('Womens Lineup'!N$3:N1000,CONCATENATE("=",$A446))=0,"",N$2))</f>
        <v/>
      </c>
      <c r="O446" s="3" t="str">
        <f>IF($A446="","",IF(countif('Womens Lineup'!O$3:O1000,CONCATENATE("=",$A446))=0,"",O$2))</f>
        <v/>
      </c>
      <c r="P446" s="3" t="str">
        <f>IF($A446="","",IF(countif('Womens Lineup'!P$3:P1000,CONCATENATE("=",$A446))=0,"",P$2))</f>
        <v/>
      </c>
      <c r="Q446" s="3" t="str">
        <f>IF($A446="","",IF(countif('Womens Lineup'!Q$3:Q1000,CONCATENATE("=",$A446))=0,"",Q$2))</f>
        <v/>
      </c>
      <c r="R446" s="3" t="str">
        <f>IF($A446="","",IF(countif('Womens Lineup'!R$3:R1000,CONCATENATE("=",$A446))=0,"",R$2))</f>
        <v/>
      </c>
      <c r="S446" s="3" t="str">
        <f>IF($A446="","",IF(countif('Womens Lineup'!S$3:S1000,CONCATENATE("=",$A446))=0,"",S$2))</f>
        <v/>
      </c>
      <c r="W446" s="3" t="str">
        <f>IFERROR(__xludf.DUMMYFUNCTION("JOIN("","",FILTER(B446:S446,B446:S446&lt;&gt;""""))"),"#N/A")</f>
        <v>#N/A</v>
      </c>
    </row>
    <row r="447">
      <c r="A447" s="3"/>
      <c r="B447" s="3" t="str">
        <f>IF($A447="","",IF(countif('Womens Lineup'!B$3:B1000,CONCATENATE("=",$A447))=0,"",B$2))</f>
        <v/>
      </c>
      <c r="C447" s="3" t="str">
        <f>IF($A447="","",IF(countif('Womens Lineup'!C$3:C1000,CONCATENATE("=",$A447))=0,"",C$2))</f>
        <v/>
      </c>
      <c r="D447" s="3" t="str">
        <f>IF($A447="","",IF(countif('Womens Lineup'!D$3:D1000,CONCATENATE("=",$A447))=0,"",D$2))</f>
        <v/>
      </c>
      <c r="E447" s="3" t="str">
        <f>IF($A447="","",IF(countif('Womens Lineup'!E$3:E1000,CONCATENATE("=",$A447))=0,"",E$2))</f>
        <v/>
      </c>
      <c r="F447" s="3" t="str">
        <f>IF($A447="","",IF(countif('Womens Lineup'!F$3:F1000,CONCATENATE("=",$A447))=0,"",F$2))</f>
        <v/>
      </c>
      <c r="G447" s="3" t="str">
        <f>IF($A447="","",IF(countif('Womens Lineup'!G$3:G1000,CONCATENATE("=",$A447))=0,"",G$2))</f>
        <v/>
      </c>
      <c r="H447" s="3" t="str">
        <f>IF($A447="","",IF(countif('Womens Lineup'!H$3:H1000,CONCATENATE("=",$A447))=0,"",H$2))</f>
        <v/>
      </c>
      <c r="I447" s="3" t="str">
        <f>IF($A447="","",IF(countif('Womens Lineup'!I$3:I1000,CONCATENATE("=",$A447))=0,"",I$2))</f>
        <v/>
      </c>
      <c r="J447" s="3" t="str">
        <f>IF($A447="","",IF(countif('Womens Lineup'!J$3:J1000,CONCATENATE("=",$A447))=0,"",J$2))</f>
        <v/>
      </c>
      <c r="K447" s="3" t="str">
        <f>IF($A447="","",IF(countif('Womens Lineup'!K$3:K1000,CONCATENATE("=",$A447))=0,"",K$2))</f>
        <v/>
      </c>
      <c r="L447" s="3" t="str">
        <f>IF($A447="","",IF(countif('Womens Lineup'!L$3:L1000,CONCATENATE("=",$A447))=0,"",L$2))</f>
        <v/>
      </c>
      <c r="M447" s="3" t="str">
        <f>IF($A447="","",IF(countif('Womens Lineup'!M$3:M1000,CONCATENATE("=",$A447))=0,"",M$2))</f>
        <v/>
      </c>
      <c r="N447" s="3" t="str">
        <f>IF($A447="","",IF(countif('Womens Lineup'!N$3:N1000,CONCATENATE("=",$A447))=0,"",N$2))</f>
        <v/>
      </c>
      <c r="O447" s="3" t="str">
        <f>IF($A447="","",IF(countif('Womens Lineup'!O$3:O1000,CONCATENATE("=",$A447))=0,"",O$2))</f>
        <v/>
      </c>
      <c r="P447" s="3" t="str">
        <f>IF($A447="","",IF(countif('Womens Lineup'!P$3:P1000,CONCATENATE("=",$A447))=0,"",P$2))</f>
        <v/>
      </c>
      <c r="Q447" s="3" t="str">
        <f>IF($A447="","",IF(countif('Womens Lineup'!Q$3:Q1000,CONCATENATE("=",$A447))=0,"",Q$2))</f>
        <v/>
      </c>
      <c r="R447" s="3" t="str">
        <f>IF($A447="","",IF(countif('Womens Lineup'!R$3:R1000,CONCATENATE("=",$A447))=0,"",R$2))</f>
        <v/>
      </c>
      <c r="S447" s="3" t="str">
        <f>IF($A447="","",IF(countif('Womens Lineup'!S$3:S1000,CONCATENATE("=",$A447))=0,"",S$2))</f>
        <v/>
      </c>
      <c r="W447" s="3" t="str">
        <f>IFERROR(__xludf.DUMMYFUNCTION("JOIN("","",FILTER(B447:S447,B447:S447&lt;&gt;""""))"),"#N/A")</f>
        <v>#N/A</v>
      </c>
    </row>
    <row r="448">
      <c r="A448" s="3"/>
      <c r="B448" s="3" t="str">
        <f>IF($A448="","",IF(countif('Womens Lineup'!B$3:B1000,CONCATENATE("=",$A448))=0,"",B$2))</f>
        <v/>
      </c>
      <c r="C448" s="3" t="str">
        <f>IF($A448="","",IF(countif('Womens Lineup'!C$3:C1000,CONCATENATE("=",$A448))=0,"",C$2))</f>
        <v/>
      </c>
      <c r="D448" s="3" t="str">
        <f>IF($A448="","",IF(countif('Womens Lineup'!D$3:D1000,CONCATENATE("=",$A448))=0,"",D$2))</f>
        <v/>
      </c>
      <c r="E448" s="3" t="str">
        <f>IF($A448="","",IF(countif('Womens Lineup'!E$3:E1000,CONCATENATE("=",$A448))=0,"",E$2))</f>
        <v/>
      </c>
      <c r="F448" s="3" t="str">
        <f>IF($A448="","",IF(countif('Womens Lineup'!F$3:F1000,CONCATENATE("=",$A448))=0,"",F$2))</f>
        <v/>
      </c>
      <c r="G448" s="3" t="str">
        <f>IF($A448="","",IF(countif('Womens Lineup'!G$3:G1000,CONCATENATE("=",$A448))=0,"",G$2))</f>
        <v/>
      </c>
      <c r="H448" s="3" t="str">
        <f>IF($A448="","",IF(countif('Womens Lineup'!H$3:H1000,CONCATENATE("=",$A448))=0,"",H$2))</f>
        <v/>
      </c>
      <c r="I448" s="3" t="str">
        <f>IF($A448="","",IF(countif('Womens Lineup'!I$3:I1000,CONCATENATE("=",$A448))=0,"",I$2))</f>
        <v/>
      </c>
      <c r="J448" s="3" t="str">
        <f>IF($A448="","",IF(countif('Womens Lineup'!J$3:J1000,CONCATENATE("=",$A448))=0,"",J$2))</f>
        <v/>
      </c>
      <c r="K448" s="3" t="str">
        <f>IF($A448="","",IF(countif('Womens Lineup'!K$3:K1000,CONCATENATE("=",$A448))=0,"",K$2))</f>
        <v/>
      </c>
      <c r="L448" s="3" t="str">
        <f>IF($A448="","",IF(countif('Womens Lineup'!L$3:L1000,CONCATENATE("=",$A448))=0,"",L$2))</f>
        <v/>
      </c>
      <c r="M448" s="3" t="str">
        <f>IF($A448="","",IF(countif('Womens Lineup'!M$3:M1000,CONCATENATE("=",$A448))=0,"",M$2))</f>
        <v/>
      </c>
      <c r="N448" s="3" t="str">
        <f>IF($A448="","",IF(countif('Womens Lineup'!N$3:N1000,CONCATENATE("=",$A448))=0,"",N$2))</f>
        <v/>
      </c>
      <c r="O448" s="3" t="str">
        <f>IF($A448="","",IF(countif('Womens Lineup'!O$3:O1000,CONCATENATE("=",$A448))=0,"",O$2))</f>
        <v/>
      </c>
      <c r="P448" s="3" t="str">
        <f>IF($A448="","",IF(countif('Womens Lineup'!P$3:P1000,CONCATENATE("=",$A448))=0,"",P$2))</f>
        <v/>
      </c>
      <c r="Q448" s="3" t="str">
        <f>IF($A448="","",IF(countif('Womens Lineup'!Q$3:Q1000,CONCATENATE("=",$A448))=0,"",Q$2))</f>
        <v/>
      </c>
      <c r="R448" s="3" t="str">
        <f>IF($A448="","",IF(countif('Womens Lineup'!R$3:R1000,CONCATENATE("=",$A448))=0,"",R$2))</f>
        <v/>
      </c>
      <c r="S448" s="3" t="str">
        <f>IF($A448="","",IF(countif('Womens Lineup'!S$3:S1000,CONCATENATE("=",$A448))=0,"",S$2))</f>
        <v/>
      </c>
      <c r="W448" s="3" t="str">
        <f>IFERROR(__xludf.DUMMYFUNCTION("JOIN("","",FILTER(B448:S448,B448:S448&lt;&gt;""""))"),"#N/A")</f>
        <v>#N/A</v>
      </c>
    </row>
    <row r="449">
      <c r="A449" s="3"/>
      <c r="B449" s="3" t="str">
        <f>IF($A449="","",IF(countif('Womens Lineup'!B$3:B1000,CONCATENATE("=",$A449))=0,"",B$2))</f>
        <v/>
      </c>
      <c r="C449" s="3" t="str">
        <f>IF($A449="","",IF(countif('Womens Lineup'!C$3:C1000,CONCATENATE("=",$A449))=0,"",C$2))</f>
        <v/>
      </c>
      <c r="D449" s="3" t="str">
        <f>IF($A449="","",IF(countif('Womens Lineup'!D$3:D1000,CONCATENATE("=",$A449))=0,"",D$2))</f>
        <v/>
      </c>
      <c r="E449" s="3" t="str">
        <f>IF($A449="","",IF(countif('Womens Lineup'!E$3:E1000,CONCATENATE("=",$A449))=0,"",E$2))</f>
        <v/>
      </c>
      <c r="F449" s="3" t="str">
        <f>IF($A449="","",IF(countif('Womens Lineup'!F$3:F1000,CONCATENATE("=",$A449))=0,"",F$2))</f>
        <v/>
      </c>
      <c r="G449" s="3" t="str">
        <f>IF($A449="","",IF(countif('Womens Lineup'!G$3:G1000,CONCATENATE("=",$A449))=0,"",G$2))</f>
        <v/>
      </c>
      <c r="H449" s="3" t="str">
        <f>IF($A449="","",IF(countif('Womens Lineup'!H$3:H1000,CONCATENATE("=",$A449))=0,"",H$2))</f>
        <v/>
      </c>
      <c r="I449" s="3" t="str">
        <f>IF($A449="","",IF(countif('Womens Lineup'!I$3:I1000,CONCATENATE("=",$A449))=0,"",I$2))</f>
        <v/>
      </c>
      <c r="J449" s="3" t="str">
        <f>IF($A449="","",IF(countif('Womens Lineup'!J$3:J1000,CONCATENATE("=",$A449))=0,"",J$2))</f>
        <v/>
      </c>
      <c r="K449" s="3" t="str">
        <f>IF($A449="","",IF(countif('Womens Lineup'!K$3:K1000,CONCATENATE("=",$A449))=0,"",K$2))</f>
        <v/>
      </c>
      <c r="L449" s="3" t="str">
        <f>IF($A449="","",IF(countif('Womens Lineup'!L$3:L1000,CONCATENATE("=",$A449))=0,"",L$2))</f>
        <v/>
      </c>
      <c r="M449" s="3" t="str">
        <f>IF($A449="","",IF(countif('Womens Lineup'!M$3:M1000,CONCATENATE("=",$A449))=0,"",M$2))</f>
        <v/>
      </c>
      <c r="N449" s="3" t="str">
        <f>IF($A449="","",IF(countif('Womens Lineup'!N$3:N1000,CONCATENATE("=",$A449))=0,"",N$2))</f>
        <v/>
      </c>
      <c r="O449" s="3" t="str">
        <f>IF($A449="","",IF(countif('Womens Lineup'!O$3:O1000,CONCATENATE("=",$A449))=0,"",O$2))</f>
        <v/>
      </c>
      <c r="P449" s="3" t="str">
        <f>IF($A449="","",IF(countif('Womens Lineup'!P$3:P1000,CONCATENATE("=",$A449))=0,"",P$2))</f>
        <v/>
      </c>
      <c r="Q449" s="3" t="str">
        <f>IF($A449="","",IF(countif('Womens Lineup'!Q$3:Q1000,CONCATENATE("=",$A449))=0,"",Q$2))</f>
        <v/>
      </c>
      <c r="R449" s="3" t="str">
        <f>IF($A449="","",IF(countif('Womens Lineup'!R$3:R1000,CONCATENATE("=",$A449))=0,"",R$2))</f>
        <v/>
      </c>
      <c r="S449" s="3" t="str">
        <f>IF($A449="","",IF(countif('Womens Lineup'!S$3:S1000,CONCATENATE("=",$A449))=0,"",S$2))</f>
        <v/>
      </c>
      <c r="W449" s="3" t="str">
        <f>IFERROR(__xludf.DUMMYFUNCTION("JOIN("","",FILTER(B449:S449,B449:S449&lt;&gt;""""))"),"#N/A")</f>
        <v>#N/A</v>
      </c>
    </row>
    <row r="450">
      <c r="A450" s="3"/>
      <c r="B450" s="3" t="str">
        <f>IF($A450="","",IF(countif('Womens Lineup'!B$3:B1000,CONCATENATE("=",$A450))=0,"",B$2))</f>
        <v/>
      </c>
      <c r="C450" s="3" t="str">
        <f>IF($A450="","",IF(countif('Womens Lineup'!C$3:C1000,CONCATENATE("=",$A450))=0,"",C$2))</f>
        <v/>
      </c>
      <c r="D450" s="3" t="str">
        <f>IF($A450="","",IF(countif('Womens Lineup'!D$3:D1000,CONCATENATE("=",$A450))=0,"",D$2))</f>
        <v/>
      </c>
      <c r="E450" s="3" t="str">
        <f>IF($A450="","",IF(countif('Womens Lineup'!E$3:E1000,CONCATENATE("=",$A450))=0,"",E$2))</f>
        <v/>
      </c>
      <c r="F450" s="3" t="str">
        <f>IF($A450="","",IF(countif('Womens Lineup'!F$3:F1000,CONCATENATE("=",$A450))=0,"",F$2))</f>
        <v/>
      </c>
      <c r="G450" s="3" t="str">
        <f>IF($A450="","",IF(countif('Womens Lineup'!G$3:G1000,CONCATENATE("=",$A450))=0,"",G$2))</f>
        <v/>
      </c>
      <c r="H450" s="3" t="str">
        <f>IF($A450="","",IF(countif('Womens Lineup'!H$3:H1000,CONCATENATE("=",$A450))=0,"",H$2))</f>
        <v/>
      </c>
      <c r="I450" s="3" t="str">
        <f>IF($A450="","",IF(countif('Womens Lineup'!I$3:I1000,CONCATENATE("=",$A450))=0,"",I$2))</f>
        <v/>
      </c>
      <c r="J450" s="3" t="str">
        <f>IF($A450="","",IF(countif('Womens Lineup'!J$3:J1000,CONCATENATE("=",$A450))=0,"",J$2))</f>
        <v/>
      </c>
      <c r="K450" s="3" t="str">
        <f>IF($A450="","",IF(countif('Womens Lineup'!K$3:K1000,CONCATENATE("=",$A450))=0,"",K$2))</f>
        <v/>
      </c>
      <c r="L450" s="3" t="str">
        <f>IF($A450="","",IF(countif('Womens Lineup'!L$3:L1000,CONCATENATE("=",$A450))=0,"",L$2))</f>
        <v/>
      </c>
      <c r="M450" s="3" t="str">
        <f>IF($A450="","",IF(countif('Womens Lineup'!M$3:M1000,CONCATENATE("=",$A450))=0,"",M$2))</f>
        <v/>
      </c>
      <c r="N450" s="3" t="str">
        <f>IF($A450="","",IF(countif('Womens Lineup'!N$3:N1000,CONCATENATE("=",$A450))=0,"",N$2))</f>
        <v/>
      </c>
      <c r="O450" s="3" t="str">
        <f>IF($A450="","",IF(countif('Womens Lineup'!O$3:O1000,CONCATENATE("=",$A450))=0,"",O$2))</f>
        <v/>
      </c>
      <c r="P450" s="3" t="str">
        <f>IF($A450="","",IF(countif('Womens Lineup'!P$3:P1000,CONCATENATE("=",$A450))=0,"",P$2))</f>
        <v/>
      </c>
      <c r="Q450" s="3" t="str">
        <f>IF($A450="","",IF(countif('Womens Lineup'!Q$3:Q1000,CONCATENATE("=",$A450))=0,"",Q$2))</f>
        <v/>
      </c>
      <c r="R450" s="3" t="str">
        <f>IF($A450="","",IF(countif('Womens Lineup'!R$3:R1000,CONCATENATE("=",$A450))=0,"",R$2))</f>
        <v/>
      </c>
      <c r="S450" s="3" t="str">
        <f>IF($A450="","",IF(countif('Womens Lineup'!S$3:S1000,CONCATENATE("=",$A450))=0,"",S$2))</f>
        <v/>
      </c>
      <c r="W450" s="3" t="str">
        <f>IFERROR(__xludf.DUMMYFUNCTION("JOIN("","",FILTER(B450:S450,B450:S450&lt;&gt;""""))"),"#N/A")</f>
        <v>#N/A</v>
      </c>
    </row>
    <row r="451">
      <c r="A451" s="3"/>
      <c r="B451" s="3" t="str">
        <f>IF($A451="","",IF(countif('Womens Lineup'!B$3:B1000,CONCATENATE("=",$A451))=0,"",B$2))</f>
        <v/>
      </c>
      <c r="C451" s="3" t="str">
        <f>IF($A451="","",IF(countif('Womens Lineup'!C$3:C1000,CONCATENATE("=",$A451))=0,"",C$2))</f>
        <v/>
      </c>
      <c r="D451" s="3" t="str">
        <f>IF($A451="","",IF(countif('Womens Lineup'!D$3:D1000,CONCATENATE("=",$A451))=0,"",D$2))</f>
        <v/>
      </c>
      <c r="E451" s="3" t="str">
        <f>IF($A451="","",IF(countif('Womens Lineup'!E$3:E1000,CONCATENATE("=",$A451))=0,"",E$2))</f>
        <v/>
      </c>
      <c r="F451" s="3" t="str">
        <f>IF($A451="","",IF(countif('Womens Lineup'!F$3:F1000,CONCATENATE("=",$A451))=0,"",F$2))</f>
        <v/>
      </c>
      <c r="G451" s="3" t="str">
        <f>IF($A451="","",IF(countif('Womens Lineup'!G$3:G1000,CONCATENATE("=",$A451))=0,"",G$2))</f>
        <v/>
      </c>
      <c r="H451" s="3" t="str">
        <f>IF($A451="","",IF(countif('Womens Lineup'!H$3:H1000,CONCATENATE("=",$A451))=0,"",H$2))</f>
        <v/>
      </c>
      <c r="I451" s="3" t="str">
        <f>IF($A451="","",IF(countif('Womens Lineup'!I$3:I1000,CONCATENATE("=",$A451))=0,"",I$2))</f>
        <v/>
      </c>
      <c r="J451" s="3" t="str">
        <f>IF($A451="","",IF(countif('Womens Lineup'!J$3:J1000,CONCATENATE("=",$A451))=0,"",J$2))</f>
        <v/>
      </c>
      <c r="K451" s="3" t="str">
        <f>IF($A451="","",IF(countif('Womens Lineup'!K$3:K1000,CONCATENATE("=",$A451))=0,"",K$2))</f>
        <v/>
      </c>
      <c r="L451" s="3" t="str">
        <f>IF($A451="","",IF(countif('Womens Lineup'!L$3:L1000,CONCATENATE("=",$A451))=0,"",L$2))</f>
        <v/>
      </c>
      <c r="M451" s="3" t="str">
        <f>IF($A451="","",IF(countif('Womens Lineup'!M$3:M1000,CONCATENATE("=",$A451))=0,"",M$2))</f>
        <v/>
      </c>
      <c r="N451" s="3" t="str">
        <f>IF($A451="","",IF(countif('Womens Lineup'!N$3:N1000,CONCATENATE("=",$A451))=0,"",N$2))</f>
        <v/>
      </c>
      <c r="O451" s="3" t="str">
        <f>IF($A451="","",IF(countif('Womens Lineup'!O$3:O1000,CONCATENATE("=",$A451))=0,"",O$2))</f>
        <v/>
      </c>
      <c r="P451" s="3" t="str">
        <f>IF($A451="","",IF(countif('Womens Lineup'!P$3:P1000,CONCATENATE("=",$A451))=0,"",P$2))</f>
        <v/>
      </c>
      <c r="Q451" s="3" t="str">
        <f>IF($A451="","",IF(countif('Womens Lineup'!Q$3:Q1000,CONCATENATE("=",$A451))=0,"",Q$2))</f>
        <v/>
      </c>
      <c r="R451" s="3" t="str">
        <f>IF($A451="","",IF(countif('Womens Lineup'!R$3:R1000,CONCATENATE("=",$A451))=0,"",R$2))</f>
        <v/>
      </c>
      <c r="S451" s="3" t="str">
        <f>IF($A451="","",IF(countif('Womens Lineup'!S$3:S1000,CONCATENATE("=",$A451))=0,"",S$2))</f>
        <v/>
      </c>
      <c r="W451" s="3" t="str">
        <f>IFERROR(__xludf.DUMMYFUNCTION("JOIN("","",FILTER(B451:S451,B451:S451&lt;&gt;""""))"),"#N/A")</f>
        <v>#N/A</v>
      </c>
    </row>
    <row r="452">
      <c r="A452" s="3"/>
      <c r="B452" s="3" t="str">
        <f>IF($A452="","",IF(countif('Womens Lineup'!B$3:B1000,CONCATENATE("=",$A452))=0,"",B$2))</f>
        <v/>
      </c>
      <c r="C452" s="3" t="str">
        <f>IF($A452="","",IF(countif('Womens Lineup'!C$3:C1000,CONCATENATE("=",$A452))=0,"",C$2))</f>
        <v/>
      </c>
      <c r="D452" s="3" t="str">
        <f>IF($A452="","",IF(countif('Womens Lineup'!D$3:D1000,CONCATENATE("=",$A452))=0,"",D$2))</f>
        <v/>
      </c>
      <c r="E452" s="3" t="str">
        <f>IF($A452="","",IF(countif('Womens Lineup'!E$3:E1000,CONCATENATE("=",$A452))=0,"",E$2))</f>
        <v/>
      </c>
      <c r="F452" s="3" t="str">
        <f>IF($A452="","",IF(countif('Womens Lineup'!F$3:F1000,CONCATENATE("=",$A452))=0,"",F$2))</f>
        <v/>
      </c>
      <c r="G452" s="3" t="str">
        <f>IF($A452="","",IF(countif('Womens Lineup'!G$3:G1000,CONCATENATE("=",$A452))=0,"",G$2))</f>
        <v/>
      </c>
      <c r="H452" s="3" t="str">
        <f>IF($A452="","",IF(countif('Womens Lineup'!H$3:H1000,CONCATENATE("=",$A452))=0,"",H$2))</f>
        <v/>
      </c>
      <c r="I452" s="3" t="str">
        <f>IF($A452="","",IF(countif('Womens Lineup'!I$3:I1000,CONCATENATE("=",$A452))=0,"",I$2))</f>
        <v/>
      </c>
      <c r="J452" s="3" t="str">
        <f>IF($A452="","",IF(countif('Womens Lineup'!J$3:J1000,CONCATENATE("=",$A452))=0,"",J$2))</f>
        <v/>
      </c>
      <c r="K452" s="3" t="str">
        <f>IF($A452="","",IF(countif('Womens Lineup'!K$3:K1000,CONCATENATE("=",$A452))=0,"",K$2))</f>
        <v/>
      </c>
      <c r="L452" s="3" t="str">
        <f>IF($A452="","",IF(countif('Womens Lineup'!L$3:L1000,CONCATENATE("=",$A452))=0,"",L$2))</f>
        <v/>
      </c>
      <c r="M452" s="3" t="str">
        <f>IF($A452="","",IF(countif('Womens Lineup'!M$3:M1000,CONCATENATE("=",$A452))=0,"",M$2))</f>
        <v/>
      </c>
      <c r="N452" s="3" t="str">
        <f>IF($A452="","",IF(countif('Womens Lineup'!N$3:N1000,CONCATENATE("=",$A452))=0,"",N$2))</f>
        <v/>
      </c>
      <c r="O452" s="3" t="str">
        <f>IF($A452="","",IF(countif('Womens Lineup'!O$3:O1000,CONCATENATE("=",$A452))=0,"",O$2))</f>
        <v/>
      </c>
      <c r="P452" s="3" t="str">
        <f>IF($A452="","",IF(countif('Womens Lineup'!P$3:P1000,CONCATENATE("=",$A452))=0,"",P$2))</f>
        <v/>
      </c>
      <c r="Q452" s="3" t="str">
        <f>IF($A452="","",IF(countif('Womens Lineup'!Q$3:Q1000,CONCATENATE("=",$A452))=0,"",Q$2))</f>
        <v/>
      </c>
      <c r="R452" s="3" t="str">
        <f>IF($A452="","",IF(countif('Womens Lineup'!R$3:R1000,CONCATENATE("=",$A452))=0,"",R$2))</f>
        <v/>
      </c>
      <c r="S452" s="3" t="str">
        <f>IF($A452="","",IF(countif('Womens Lineup'!S$3:S1000,CONCATENATE("=",$A452))=0,"",S$2))</f>
        <v/>
      </c>
      <c r="W452" s="3" t="str">
        <f>IFERROR(__xludf.DUMMYFUNCTION("JOIN("","",FILTER(B452:S452,B452:S452&lt;&gt;""""))"),"#N/A")</f>
        <v>#N/A</v>
      </c>
    </row>
    <row r="453">
      <c r="A453" s="3"/>
      <c r="B453" s="3" t="str">
        <f>IF($A453="","",IF(countif('Womens Lineup'!B$3:B1000,CONCATENATE("=",$A453))=0,"",B$2))</f>
        <v/>
      </c>
      <c r="C453" s="3" t="str">
        <f>IF($A453="","",IF(countif('Womens Lineup'!C$3:C1000,CONCATENATE("=",$A453))=0,"",C$2))</f>
        <v/>
      </c>
      <c r="D453" s="3" t="str">
        <f>IF($A453="","",IF(countif('Womens Lineup'!D$3:D1000,CONCATENATE("=",$A453))=0,"",D$2))</f>
        <v/>
      </c>
      <c r="E453" s="3" t="str">
        <f>IF($A453="","",IF(countif('Womens Lineup'!E$3:E1000,CONCATENATE("=",$A453))=0,"",E$2))</f>
        <v/>
      </c>
      <c r="F453" s="3" t="str">
        <f>IF($A453="","",IF(countif('Womens Lineup'!F$3:F1000,CONCATENATE("=",$A453))=0,"",F$2))</f>
        <v/>
      </c>
      <c r="G453" s="3" t="str">
        <f>IF($A453="","",IF(countif('Womens Lineup'!G$3:G1000,CONCATENATE("=",$A453))=0,"",G$2))</f>
        <v/>
      </c>
      <c r="H453" s="3" t="str">
        <f>IF($A453="","",IF(countif('Womens Lineup'!H$3:H1000,CONCATENATE("=",$A453))=0,"",H$2))</f>
        <v/>
      </c>
      <c r="I453" s="3" t="str">
        <f>IF($A453="","",IF(countif('Womens Lineup'!I$3:I1000,CONCATENATE("=",$A453))=0,"",I$2))</f>
        <v/>
      </c>
      <c r="J453" s="3" t="str">
        <f>IF($A453="","",IF(countif('Womens Lineup'!J$3:J1000,CONCATENATE("=",$A453))=0,"",J$2))</f>
        <v/>
      </c>
      <c r="K453" s="3" t="str">
        <f>IF($A453="","",IF(countif('Womens Lineup'!K$3:K1000,CONCATENATE("=",$A453))=0,"",K$2))</f>
        <v/>
      </c>
      <c r="L453" s="3" t="str">
        <f>IF($A453="","",IF(countif('Womens Lineup'!L$3:L1000,CONCATENATE("=",$A453))=0,"",L$2))</f>
        <v/>
      </c>
      <c r="M453" s="3" t="str">
        <f>IF($A453="","",IF(countif('Womens Lineup'!M$3:M1000,CONCATENATE("=",$A453))=0,"",M$2))</f>
        <v/>
      </c>
      <c r="N453" s="3" t="str">
        <f>IF($A453="","",IF(countif('Womens Lineup'!N$3:N1000,CONCATENATE("=",$A453))=0,"",N$2))</f>
        <v/>
      </c>
      <c r="O453" s="3" t="str">
        <f>IF($A453="","",IF(countif('Womens Lineup'!O$3:O1000,CONCATENATE("=",$A453))=0,"",O$2))</f>
        <v/>
      </c>
      <c r="P453" s="3" t="str">
        <f>IF($A453="","",IF(countif('Womens Lineup'!P$3:P1000,CONCATENATE("=",$A453))=0,"",P$2))</f>
        <v/>
      </c>
      <c r="Q453" s="3" t="str">
        <f>IF($A453="","",IF(countif('Womens Lineup'!Q$3:Q1000,CONCATENATE("=",$A453))=0,"",Q$2))</f>
        <v/>
      </c>
      <c r="R453" s="3" t="str">
        <f>IF($A453="","",IF(countif('Womens Lineup'!R$3:R1000,CONCATENATE("=",$A453))=0,"",R$2))</f>
        <v/>
      </c>
      <c r="S453" s="3" t="str">
        <f>IF($A453="","",IF(countif('Womens Lineup'!S$3:S1000,CONCATENATE("=",$A453))=0,"",S$2))</f>
        <v/>
      </c>
      <c r="W453" s="3" t="str">
        <f>IFERROR(__xludf.DUMMYFUNCTION("JOIN("","",FILTER(B453:S453,B453:S453&lt;&gt;""""))"),"#N/A")</f>
        <v>#N/A</v>
      </c>
    </row>
    <row r="454">
      <c r="A454" s="3"/>
      <c r="B454" s="3" t="str">
        <f>IF($A454="","",IF(countif('Womens Lineup'!B$3:B1000,CONCATENATE("=",$A454))=0,"",B$2))</f>
        <v/>
      </c>
      <c r="C454" s="3" t="str">
        <f>IF($A454="","",IF(countif('Womens Lineup'!C$3:C1000,CONCATENATE("=",$A454))=0,"",C$2))</f>
        <v/>
      </c>
      <c r="D454" s="3" t="str">
        <f>IF($A454="","",IF(countif('Womens Lineup'!D$3:D1000,CONCATENATE("=",$A454))=0,"",D$2))</f>
        <v/>
      </c>
      <c r="E454" s="3" t="str">
        <f>IF($A454="","",IF(countif('Womens Lineup'!E$3:E1000,CONCATENATE("=",$A454))=0,"",E$2))</f>
        <v/>
      </c>
      <c r="F454" s="3" t="str">
        <f>IF($A454="","",IF(countif('Womens Lineup'!F$3:F1000,CONCATENATE("=",$A454))=0,"",F$2))</f>
        <v/>
      </c>
      <c r="G454" s="3" t="str">
        <f>IF($A454="","",IF(countif('Womens Lineup'!G$3:G1000,CONCATENATE("=",$A454))=0,"",G$2))</f>
        <v/>
      </c>
      <c r="H454" s="3" t="str">
        <f>IF($A454="","",IF(countif('Womens Lineup'!H$3:H1000,CONCATENATE("=",$A454))=0,"",H$2))</f>
        <v/>
      </c>
      <c r="I454" s="3" t="str">
        <f>IF($A454="","",IF(countif('Womens Lineup'!I$3:I1000,CONCATENATE("=",$A454))=0,"",I$2))</f>
        <v/>
      </c>
      <c r="J454" s="3" t="str">
        <f>IF($A454="","",IF(countif('Womens Lineup'!J$3:J1000,CONCATENATE("=",$A454))=0,"",J$2))</f>
        <v/>
      </c>
      <c r="K454" s="3" t="str">
        <f>IF($A454="","",IF(countif('Womens Lineup'!K$3:K1000,CONCATENATE("=",$A454))=0,"",K$2))</f>
        <v/>
      </c>
      <c r="L454" s="3" t="str">
        <f>IF($A454="","",IF(countif('Womens Lineup'!L$3:L1000,CONCATENATE("=",$A454))=0,"",L$2))</f>
        <v/>
      </c>
      <c r="M454" s="3" t="str">
        <f>IF($A454="","",IF(countif('Womens Lineup'!M$3:M1000,CONCATENATE("=",$A454))=0,"",M$2))</f>
        <v/>
      </c>
      <c r="N454" s="3" t="str">
        <f>IF($A454="","",IF(countif('Womens Lineup'!N$3:N1000,CONCATENATE("=",$A454))=0,"",N$2))</f>
        <v/>
      </c>
      <c r="O454" s="3" t="str">
        <f>IF($A454="","",IF(countif('Womens Lineup'!O$3:O1000,CONCATENATE("=",$A454))=0,"",O$2))</f>
        <v/>
      </c>
      <c r="P454" s="3" t="str">
        <f>IF($A454="","",IF(countif('Womens Lineup'!P$3:P1000,CONCATENATE("=",$A454))=0,"",P$2))</f>
        <v/>
      </c>
      <c r="Q454" s="3" t="str">
        <f>IF($A454="","",IF(countif('Womens Lineup'!Q$3:Q1000,CONCATENATE("=",$A454))=0,"",Q$2))</f>
        <v/>
      </c>
      <c r="R454" s="3" t="str">
        <f>IF($A454="","",IF(countif('Womens Lineup'!R$3:R1000,CONCATENATE("=",$A454))=0,"",R$2))</f>
        <v/>
      </c>
      <c r="S454" s="3" t="str">
        <f>IF($A454="","",IF(countif('Womens Lineup'!S$3:S1000,CONCATENATE("=",$A454))=0,"",S$2))</f>
        <v/>
      </c>
      <c r="W454" s="3" t="str">
        <f>IFERROR(__xludf.DUMMYFUNCTION("JOIN("","",FILTER(B454:S454,B454:S454&lt;&gt;""""))"),"#N/A")</f>
        <v>#N/A</v>
      </c>
    </row>
    <row r="455">
      <c r="A455" s="3"/>
      <c r="B455" s="3" t="str">
        <f>IF($A455="","",IF(countif('Womens Lineup'!B$3:B1000,CONCATENATE("=",$A455))=0,"",B$2))</f>
        <v/>
      </c>
      <c r="C455" s="3" t="str">
        <f>IF($A455="","",IF(countif('Womens Lineup'!C$3:C1000,CONCATENATE("=",$A455))=0,"",C$2))</f>
        <v/>
      </c>
      <c r="D455" s="3" t="str">
        <f>IF($A455="","",IF(countif('Womens Lineup'!D$3:D1000,CONCATENATE("=",$A455))=0,"",D$2))</f>
        <v/>
      </c>
      <c r="E455" s="3" t="str">
        <f>IF($A455="","",IF(countif('Womens Lineup'!E$3:E1000,CONCATENATE("=",$A455))=0,"",E$2))</f>
        <v/>
      </c>
      <c r="F455" s="3" t="str">
        <f>IF($A455="","",IF(countif('Womens Lineup'!F$3:F1000,CONCATENATE("=",$A455))=0,"",F$2))</f>
        <v/>
      </c>
      <c r="G455" s="3" t="str">
        <f>IF($A455="","",IF(countif('Womens Lineup'!G$3:G1000,CONCATENATE("=",$A455))=0,"",G$2))</f>
        <v/>
      </c>
      <c r="H455" s="3" t="str">
        <f>IF($A455="","",IF(countif('Womens Lineup'!H$3:H1000,CONCATENATE("=",$A455))=0,"",H$2))</f>
        <v/>
      </c>
      <c r="I455" s="3" t="str">
        <f>IF($A455="","",IF(countif('Womens Lineup'!I$3:I1000,CONCATENATE("=",$A455))=0,"",I$2))</f>
        <v/>
      </c>
      <c r="J455" s="3" t="str">
        <f>IF($A455="","",IF(countif('Womens Lineup'!J$3:J1000,CONCATENATE("=",$A455))=0,"",J$2))</f>
        <v/>
      </c>
      <c r="K455" s="3" t="str">
        <f>IF($A455="","",IF(countif('Womens Lineup'!K$3:K1000,CONCATENATE("=",$A455))=0,"",K$2))</f>
        <v/>
      </c>
      <c r="L455" s="3" t="str">
        <f>IF($A455="","",IF(countif('Womens Lineup'!L$3:L1000,CONCATENATE("=",$A455))=0,"",L$2))</f>
        <v/>
      </c>
      <c r="M455" s="3" t="str">
        <f>IF($A455="","",IF(countif('Womens Lineup'!M$3:M1000,CONCATENATE("=",$A455))=0,"",M$2))</f>
        <v/>
      </c>
      <c r="N455" s="3" t="str">
        <f>IF($A455="","",IF(countif('Womens Lineup'!N$3:N1000,CONCATENATE("=",$A455))=0,"",N$2))</f>
        <v/>
      </c>
      <c r="O455" s="3" t="str">
        <f>IF($A455="","",IF(countif('Womens Lineup'!O$3:O1000,CONCATENATE("=",$A455))=0,"",O$2))</f>
        <v/>
      </c>
      <c r="P455" s="3" t="str">
        <f>IF($A455="","",IF(countif('Womens Lineup'!P$3:P1000,CONCATENATE("=",$A455))=0,"",P$2))</f>
        <v/>
      </c>
      <c r="Q455" s="3" t="str">
        <f>IF($A455="","",IF(countif('Womens Lineup'!Q$3:Q1000,CONCATENATE("=",$A455))=0,"",Q$2))</f>
        <v/>
      </c>
      <c r="R455" s="3" t="str">
        <f>IF($A455="","",IF(countif('Womens Lineup'!R$3:R1000,CONCATENATE("=",$A455))=0,"",R$2))</f>
        <v/>
      </c>
      <c r="S455" s="3" t="str">
        <f>IF($A455="","",IF(countif('Womens Lineup'!S$3:S1000,CONCATENATE("=",$A455))=0,"",S$2))</f>
        <v/>
      </c>
      <c r="W455" s="3" t="str">
        <f>IFERROR(__xludf.DUMMYFUNCTION("JOIN("","",FILTER(B455:S455,B455:S455&lt;&gt;""""))"),"#N/A")</f>
        <v>#N/A</v>
      </c>
    </row>
    <row r="456">
      <c r="A456" s="3"/>
      <c r="B456" s="3" t="str">
        <f>IF($A456="","",IF(countif('Womens Lineup'!B$3:B1000,CONCATENATE("=",$A456))=0,"",B$2))</f>
        <v/>
      </c>
      <c r="C456" s="3" t="str">
        <f>IF($A456="","",IF(countif('Womens Lineup'!C$3:C1000,CONCATENATE("=",$A456))=0,"",C$2))</f>
        <v/>
      </c>
      <c r="D456" s="3" t="str">
        <f>IF($A456="","",IF(countif('Womens Lineup'!D$3:D1000,CONCATENATE("=",$A456))=0,"",D$2))</f>
        <v/>
      </c>
      <c r="E456" s="3" t="str">
        <f>IF($A456="","",IF(countif('Womens Lineup'!E$3:E1000,CONCATENATE("=",$A456))=0,"",E$2))</f>
        <v/>
      </c>
      <c r="F456" s="3" t="str">
        <f>IF($A456="","",IF(countif('Womens Lineup'!F$3:F1000,CONCATENATE("=",$A456))=0,"",F$2))</f>
        <v/>
      </c>
      <c r="G456" s="3" t="str">
        <f>IF($A456="","",IF(countif('Womens Lineup'!G$3:G1000,CONCATENATE("=",$A456))=0,"",G$2))</f>
        <v/>
      </c>
      <c r="H456" s="3" t="str">
        <f>IF($A456="","",IF(countif('Womens Lineup'!H$3:H1000,CONCATENATE("=",$A456))=0,"",H$2))</f>
        <v/>
      </c>
      <c r="I456" s="3" t="str">
        <f>IF($A456="","",IF(countif('Womens Lineup'!I$3:I1000,CONCATENATE("=",$A456))=0,"",I$2))</f>
        <v/>
      </c>
      <c r="J456" s="3" t="str">
        <f>IF($A456="","",IF(countif('Womens Lineup'!J$3:J1000,CONCATENATE("=",$A456))=0,"",J$2))</f>
        <v/>
      </c>
      <c r="K456" s="3" t="str">
        <f>IF($A456="","",IF(countif('Womens Lineup'!K$3:K1000,CONCATENATE("=",$A456))=0,"",K$2))</f>
        <v/>
      </c>
      <c r="L456" s="3" t="str">
        <f>IF($A456="","",IF(countif('Womens Lineup'!L$3:L1000,CONCATENATE("=",$A456))=0,"",L$2))</f>
        <v/>
      </c>
      <c r="M456" s="3" t="str">
        <f>IF($A456="","",IF(countif('Womens Lineup'!M$3:M1000,CONCATENATE("=",$A456))=0,"",M$2))</f>
        <v/>
      </c>
      <c r="N456" s="3" t="str">
        <f>IF($A456="","",IF(countif('Womens Lineup'!N$3:N1000,CONCATENATE("=",$A456))=0,"",N$2))</f>
        <v/>
      </c>
      <c r="O456" s="3" t="str">
        <f>IF($A456="","",IF(countif('Womens Lineup'!O$3:O1000,CONCATENATE("=",$A456))=0,"",O$2))</f>
        <v/>
      </c>
      <c r="P456" s="3" t="str">
        <f>IF($A456="","",IF(countif('Womens Lineup'!P$3:P1000,CONCATENATE("=",$A456))=0,"",P$2))</f>
        <v/>
      </c>
      <c r="Q456" s="3" t="str">
        <f>IF($A456="","",IF(countif('Womens Lineup'!Q$3:Q1000,CONCATENATE("=",$A456))=0,"",Q$2))</f>
        <v/>
      </c>
      <c r="R456" s="3" t="str">
        <f>IF($A456="","",IF(countif('Womens Lineup'!R$3:R1000,CONCATENATE("=",$A456))=0,"",R$2))</f>
        <v/>
      </c>
      <c r="S456" s="3" t="str">
        <f>IF($A456="","",IF(countif('Womens Lineup'!S$3:S1000,CONCATENATE("=",$A456))=0,"",S$2))</f>
        <v/>
      </c>
      <c r="W456" s="3" t="str">
        <f>IFERROR(__xludf.DUMMYFUNCTION("JOIN("","",FILTER(B456:S456,B456:S456&lt;&gt;""""))"),"#N/A")</f>
        <v>#N/A</v>
      </c>
    </row>
    <row r="457">
      <c r="A457" s="3"/>
      <c r="B457" s="3" t="str">
        <f>IF($A457="","",IF(countif('Womens Lineup'!B$3:B1000,CONCATENATE("=",$A457))=0,"",B$2))</f>
        <v/>
      </c>
      <c r="C457" s="3" t="str">
        <f>IF($A457="","",IF(countif('Womens Lineup'!C$3:C1000,CONCATENATE("=",$A457))=0,"",C$2))</f>
        <v/>
      </c>
      <c r="D457" s="3" t="str">
        <f>IF($A457="","",IF(countif('Womens Lineup'!D$3:D1000,CONCATENATE("=",$A457))=0,"",D$2))</f>
        <v/>
      </c>
      <c r="E457" s="3" t="str">
        <f>IF($A457="","",IF(countif('Womens Lineup'!E$3:E1000,CONCATENATE("=",$A457))=0,"",E$2))</f>
        <v/>
      </c>
      <c r="F457" s="3" t="str">
        <f>IF($A457="","",IF(countif('Womens Lineup'!F$3:F1000,CONCATENATE("=",$A457))=0,"",F$2))</f>
        <v/>
      </c>
      <c r="G457" s="3" t="str">
        <f>IF($A457="","",IF(countif('Womens Lineup'!G$3:G1000,CONCATENATE("=",$A457))=0,"",G$2))</f>
        <v/>
      </c>
      <c r="H457" s="3" t="str">
        <f>IF($A457="","",IF(countif('Womens Lineup'!H$3:H1000,CONCATENATE("=",$A457))=0,"",H$2))</f>
        <v/>
      </c>
      <c r="I457" s="3" t="str">
        <f>IF($A457="","",IF(countif('Womens Lineup'!I$3:I1000,CONCATENATE("=",$A457))=0,"",I$2))</f>
        <v/>
      </c>
      <c r="J457" s="3" t="str">
        <f>IF($A457="","",IF(countif('Womens Lineup'!J$3:J1000,CONCATENATE("=",$A457))=0,"",J$2))</f>
        <v/>
      </c>
      <c r="K457" s="3" t="str">
        <f>IF($A457="","",IF(countif('Womens Lineup'!K$3:K1000,CONCATENATE("=",$A457))=0,"",K$2))</f>
        <v/>
      </c>
      <c r="L457" s="3" t="str">
        <f>IF($A457="","",IF(countif('Womens Lineup'!L$3:L1000,CONCATENATE("=",$A457))=0,"",L$2))</f>
        <v/>
      </c>
      <c r="M457" s="3" t="str">
        <f>IF($A457="","",IF(countif('Womens Lineup'!M$3:M1000,CONCATENATE("=",$A457))=0,"",M$2))</f>
        <v/>
      </c>
      <c r="N457" s="3" t="str">
        <f>IF($A457="","",IF(countif('Womens Lineup'!N$3:N1000,CONCATENATE("=",$A457))=0,"",N$2))</f>
        <v/>
      </c>
      <c r="O457" s="3" t="str">
        <f>IF($A457="","",IF(countif('Womens Lineup'!O$3:O1000,CONCATENATE("=",$A457))=0,"",O$2))</f>
        <v/>
      </c>
      <c r="P457" s="3" t="str">
        <f>IF($A457="","",IF(countif('Womens Lineup'!P$3:P1000,CONCATENATE("=",$A457))=0,"",P$2))</f>
        <v/>
      </c>
      <c r="Q457" s="3" t="str">
        <f>IF($A457="","",IF(countif('Womens Lineup'!Q$3:Q1000,CONCATENATE("=",$A457))=0,"",Q$2))</f>
        <v/>
      </c>
      <c r="R457" s="3" t="str">
        <f>IF($A457="","",IF(countif('Womens Lineup'!R$3:R1000,CONCATENATE("=",$A457))=0,"",R$2))</f>
        <v/>
      </c>
      <c r="S457" s="3" t="str">
        <f>IF($A457="","",IF(countif('Womens Lineup'!S$3:S1000,CONCATENATE("=",$A457))=0,"",S$2))</f>
        <v/>
      </c>
      <c r="W457" s="3" t="str">
        <f>IFERROR(__xludf.DUMMYFUNCTION("JOIN("","",FILTER(B457:S457,B457:S457&lt;&gt;""""))"),"#N/A")</f>
        <v>#N/A</v>
      </c>
    </row>
    <row r="458">
      <c r="A458" s="3"/>
      <c r="B458" s="3" t="str">
        <f>IF($A458="","",IF(countif('Womens Lineup'!B$3:B1000,CONCATENATE("=",$A458))=0,"",B$2))</f>
        <v/>
      </c>
      <c r="C458" s="3" t="str">
        <f>IF($A458="","",IF(countif('Womens Lineup'!C$3:C1000,CONCATENATE("=",$A458))=0,"",C$2))</f>
        <v/>
      </c>
      <c r="D458" s="3" t="str">
        <f>IF($A458="","",IF(countif('Womens Lineup'!D$3:D1000,CONCATENATE("=",$A458))=0,"",D$2))</f>
        <v/>
      </c>
      <c r="E458" s="3" t="str">
        <f>IF($A458="","",IF(countif('Womens Lineup'!E$3:E1000,CONCATENATE("=",$A458))=0,"",E$2))</f>
        <v/>
      </c>
      <c r="F458" s="3" t="str">
        <f>IF($A458="","",IF(countif('Womens Lineup'!F$3:F1000,CONCATENATE("=",$A458))=0,"",F$2))</f>
        <v/>
      </c>
      <c r="G458" s="3" t="str">
        <f>IF($A458="","",IF(countif('Womens Lineup'!G$3:G1000,CONCATENATE("=",$A458))=0,"",G$2))</f>
        <v/>
      </c>
      <c r="H458" s="3" t="str">
        <f>IF($A458="","",IF(countif('Womens Lineup'!H$3:H1000,CONCATENATE("=",$A458))=0,"",H$2))</f>
        <v/>
      </c>
      <c r="I458" s="3" t="str">
        <f>IF($A458="","",IF(countif('Womens Lineup'!I$3:I1000,CONCATENATE("=",$A458))=0,"",I$2))</f>
        <v/>
      </c>
      <c r="J458" s="3" t="str">
        <f>IF($A458="","",IF(countif('Womens Lineup'!J$3:J1000,CONCATENATE("=",$A458))=0,"",J$2))</f>
        <v/>
      </c>
      <c r="K458" s="3" t="str">
        <f>IF($A458="","",IF(countif('Womens Lineup'!K$3:K1000,CONCATENATE("=",$A458))=0,"",K$2))</f>
        <v/>
      </c>
      <c r="L458" s="3" t="str">
        <f>IF($A458="","",IF(countif('Womens Lineup'!L$3:L1000,CONCATENATE("=",$A458))=0,"",L$2))</f>
        <v/>
      </c>
      <c r="M458" s="3" t="str">
        <f>IF($A458="","",IF(countif('Womens Lineup'!M$3:M1000,CONCATENATE("=",$A458))=0,"",M$2))</f>
        <v/>
      </c>
      <c r="N458" s="3" t="str">
        <f>IF($A458="","",IF(countif('Womens Lineup'!N$3:N1000,CONCATENATE("=",$A458))=0,"",N$2))</f>
        <v/>
      </c>
      <c r="O458" s="3" t="str">
        <f>IF($A458="","",IF(countif('Womens Lineup'!O$3:O1000,CONCATENATE("=",$A458))=0,"",O$2))</f>
        <v/>
      </c>
      <c r="P458" s="3" t="str">
        <f>IF($A458="","",IF(countif('Womens Lineup'!P$3:P1000,CONCATENATE("=",$A458))=0,"",P$2))</f>
        <v/>
      </c>
      <c r="Q458" s="3" t="str">
        <f>IF($A458="","",IF(countif('Womens Lineup'!Q$3:Q1000,CONCATENATE("=",$A458))=0,"",Q$2))</f>
        <v/>
      </c>
      <c r="R458" s="3" t="str">
        <f>IF($A458="","",IF(countif('Womens Lineup'!R$3:R1000,CONCATENATE("=",$A458))=0,"",R$2))</f>
        <v/>
      </c>
      <c r="S458" s="3" t="str">
        <f>IF($A458="","",IF(countif('Womens Lineup'!S$3:S1000,CONCATENATE("=",$A458))=0,"",S$2))</f>
        <v/>
      </c>
      <c r="W458" s="3" t="str">
        <f>IFERROR(__xludf.DUMMYFUNCTION("JOIN("","",FILTER(B458:S458,B458:S458&lt;&gt;""""))"),"#N/A")</f>
        <v>#N/A</v>
      </c>
    </row>
    <row r="459">
      <c r="A459" s="3"/>
      <c r="B459" s="3" t="str">
        <f>IF($A459="","",IF(countif('Womens Lineup'!B$3:B1000,CONCATENATE("=",$A459))=0,"",B$2))</f>
        <v/>
      </c>
      <c r="C459" s="3" t="str">
        <f>IF($A459="","",IF(countif('Womens Lineup'!C$3:C1000,CONCATENATE("=",$A459))=0,"",C$2))</f>
        <v/>
      </c>
      <c r="D459" s="3" t="str">
        <f>IF($A459="","",IF(countif('Womens Lineup'!D$3:D1000,CONCATENATE("=",$A459))=0,"",D$2))</f>
        <v/>
      </c>
      <c r="E459" s="3" t="str">
        <f>IF($A459="","",IF(countif('Womens Lineup'!E$3:E1000,CONCATENATE("=",$A459))=0,"",E$2))</f>
        <v/>
      </c>
      <c r="F459" s="3" t="str">
        <f>IF($A459="","",IF(countif('Womens Lineup'!F$3:F1000,CONCATENATE("=",$A459))=0,"",F$2))</f>
        <v/>
      </c>
      <c r="G459" s="3" t="str">
        <f>IF($A459="","",IF(countif('Womens Lineup'!G$3:G1000,CONCATENATE("=",$A459))=0,"",G$2))</f>
        <v/>
      </c>
      <c r="H459" s="3" t="str">
        <f>IF($A459="","",IF(countif('Womens Lineup'!H$3:H1000,CONCATENATE("=",$A459))=0,"",H$2))</f>
        <v/>
      </c>
      <c r="I459" s="3" t="str">
        <f>IF($A459="","",IF(countif('Womens Lineup'!I$3:I1000,CONCATENATE("=",$A459))=0,"",I$2))</f>
        <v/>
      </c>
      <c r="J459" s="3" t="str">
        <f>IF($A459="","",IF(countif('Womens Lineup'!J$3:J1000,CONCATENATE("=",$A459))=0,"",J$2))</f>
        <v/>
      </c>
      <c r="K459" s="3" t="str">
        <f>IF($A459="","",IF(countif('Womens Lineup'!K$3:K1000,CONCATENATE("=",$A459))=0,"",K$2))</f>
        <v/>
      </c>
      <c r="L459" s="3" t="str">
        <f>IF($A459="","",IF(countif('Womens Lineup'!L$3:L1000,CONCATENATE("=",$A459))=0,"",L$2))</f>
        <v/>
      </c>
      <c r="M459" s="3" t="str">
        <f>IF($A459="","",IF(countif('Womens Lineup'!M$3:M1000,CONCATENATE("=",$A459))=0,"",M$2))</f>
        <v/>
      </c>
      <c r="N459" s="3" t="str">
        <f>IF($A459="","",IF(countif('Womens Lineup'!N$3:N1000,CONCATENATE("=",$A459))=0,"",N$2))</f>
        <v/>
      </c>
      <c r="O459" s="3" t="str">
        <f>IF($A459="","",IF(countif('Womens Lineup'!O$3:O1000,CONCATENATE("=",$A459))=0,"",O$2))</f>
        <v/>
      </c>
      <c r="P459" s="3" t="str">
        <f>IF($A459="","",IF(countif('Womens Lineup'!P$3:P1000,CONCATENATE("=",$A459))=0,"",P$2))</f>
        <v/>
      </c>
      <c r="Q459" s="3" t="str">
        <f>IF($A459="","",IF(countif('Womens Lineup'!Q$3:Q1000,CONCATENATE("=",$A459))=0,"",Q$2))</f>
        <v/>
      </c>
      <c r="R459" s="3" t="str">
        <f>IF($A459="","",IF(countif('Womens Lineup'!R$3:R1000,CONCATENATE("=",$A459))=0,"",R$2))</f>
        <v/>
      </c>
      <c r="S459" s="3" t="str">
        <f>IF($A459="","",IF(countif('Womens Lineup'!S$3:S1000,CONCATENATE("=",$A459))=0,"",S$2))</f>
        <v/>
      </c>
      <c r="W459" s="3" t="str">
        <f>IFERROR(__xludf.DUMMYFUNCTION("JOIN("","",FILTER(B459:S459,B459:S459&lt;&gt;""""))"),"#N/A")</f>
        <v>#N/A</v>
      </c>
    </row>
    <row r="460">
      <c r="A460" s="3"/>
      <c r="B460" s="3" t="str">
        <f>IF($A460="","",IF(countif('Womens Lineup'!B$3:B1000,CONCATENATE("=",$A460))=0,"",B$2))</f>
        <v/>
      </c>
      <c r="C460" s="3" t="str">
        <f>IF($A460="","",IF(countif('Womens Lineup'!C$3:C1000,CONCATENATE("=",$A460))=0,"",C$2))</f>
        <v/>
      </c>
      <c r="D460" s="3" t="str">
        <f>IF($A460="","",IF(countif('Womens Lineup'!D$3:D1000,CONCATENATE("=",$A460))=0,"",D$2))</f>
        <v/>
      </c>
      <c r="E460" s="3" t="str">
        <f>IF($A460="","",IF(countif('Womens Lineup'!E$3:E1000,CONCATENATE("=",$A460))=0,"",E$2))</f>
        <v/>
      </c>
      <c r="F460" s="3" t="str">
        <f>IF($A460="","",IF(countif('Womens Lineup'!F$3:F1000,CONCATENATE("=",$A460))=0,"",F$2))</f>
        <v/>
      </c>
      <c r="G460" s="3" t="str">
        <f>IF($A460="","",IF(countif('Womens Lineup'!G$3:G1000,CONCATENATE("=",$A460))=0,"",G$2))</f>
        <v/>
      </c>
      <c r="H460" s="3" t="str">
        <f>IF($A460="","",IF(countif('Womens Lineup'!H$3:H1000,CONCATENATE("=",$A460))=0,"",H$2))</f>
        <v/>
      </c>
      <c r="I460" s="3" t="str">
        <f>IF($A460="","",IF(countif('Womens Lineup'!I$3:I1000,CONCATENATE("=",$A460))=0,"",I$2))</f>
        <v/>
      </c>
      <c r="J460" s="3" t="str">
        <f>IF($A460="","",IF(countif('Womens Lineup'!J$3:J1000,CONCATENATE("=",$A460))=0,"",J$2))</f>
        <v/>
      </c>
      <c r="K460" s="3" t="str">
        <f>IF($A460="","",IF(countif('Womens Lineup'!K$3:K1000,CONCATENATE("=",$A460))=0,"",K$2))</f>
        <v/>
      </c>
      <c r="L460" s="3" t="str">
        <f>IF($A460="","",IF(countif('Womens Lineup'!L$3:L1000,CONCATENATE("=",$A460))=0,"",L$2))</f>
        <v/>
      </c>
      <c r="M460" s="3" t="str">
        <f>IF($A460="","",IF(countif('Womens Lineup'!M$3:M1000,CONCATENATE("=",$A460))=0,"",M$2))</f>
        <v/>
      </c>
      <c r="N460" s="3" t="str">
        <f>IF($A460="","",IF(countif('Womens Lineup'!N$3:N1000,CONCATENATE("=",$A460))=0,"",N$2))</f>
        <v/>
      </c>
      <c r="O460" s="3" t="str">
        <f>IF($A460="","",IF(countif('Womens Lineup'!O$3:O1000,CONCATENATE("=",$A460))=0,"",O$2))</f>
        <v/>
      </c>
      <c r="P460" s="3" t="str">
        <f>IF($A460="","",IF(countif('Womens Lineup'!P$3:P1000,CONCATENATE("=",$A460))=0,"",P$2))</f>
        <v/>
      </c>
      <c r="Q460" s="3" t="str">
        <f>IF($A460="","",IF(countif('Womens Lineup'!Q$3:Q1000,CONCATENATE("=",$A460))=0,"",Q$2))</f>
        <v/>
      </c>
      <c r="R460" s="3" t="str">
        <f>IF($A460="","",IF(countif('Womens Lineup'!R$3:R1000,CONCATENATE("=",$A460))=0,"",R$2))</f>
        <v/>
      </c>
      <c r="S460" s="3" t="str">
        <f>IF($A460="","",IF(countif('Womens Lineup'!S$3:S1000,CONCATENATE("=",$A460))=0,"",S$2))</f>
        <v/>
      </c>
      <c r="W460" s="3" t="str">
        <f>IFERROR(__xludf.DUMMYFUNCTION("JOIN("","",FILTER(B460:S460,B460:S460&lt;&gt;""""))"),"#N/A")</f>
        <v>#N/A</v>
      </c>
    </row>
    <row r="461">
      <c r="A461" s="3"/>
      <c r="B461" s="3" t="str">
        <f>IF($A461="","",IF(countif('Womens Lineup'!B$3:B1000,CONCATENATE("=",$A461))=0,"",B$2))</f>
        <v/>
      </c>
      <c r="C461" s="3" t="str">
        <f>IF($A461="","",IF(countif('Womens Lineup'!C$3:C1000,CONCATENATE("=",$A461))=0,"",C$2))</f>
        <v/>
      </c>
      <c r="D461" s="3" t="str">
        <f>IF($A461="","",IF(countif('Womens Lineup'!D$3:D1000,CONCATENATE("=",$A461))=0,"",D$2))</f>
        <v/>
      </c>
      <c r="E461" s="3" t="str">
        <f>IF($A461="","",IF(countif('Womens Lineup'!E$3:E1000,CONCATENATE("=",$A461))=0,"",E$2))</f>
        <v/>
      </c>
      <c r="F461" s="3" t="str">
        <f>IF($A461="","",IF(countif('Womens Lineup'!F$3:F1000,CONCATENATE("=",$A461))=0,"",F$2))</f>
        <v/>
      </c>
      <c r="G461" s="3" t="str">
        <f>IF($A461="","",IF(countif('Womens Lineup'!G$3:G1000,CONCATENATE("=",$A461))=0,"",G$2))</f>
        <v/>
      </c>
      <c r="H461" s="3" t="str">
        <f>IF($A461="","",IF(countif('Womens Lineup'!H$3:H1000,CONCATENATE("=",$A461))=0,"",H$2))</f>
        <v/>
      </c>
      <c r="I461" s="3" t="str">
        <f>IF($A461="","",IF(countif('Womens Lineup'!I$3:I1000,CONCATENATE("=",$A461))=0,"",I$2))</f>
        <v/>
      </c>
      <c r="J461" s="3" t="str">
        <f>IF($A461="","",IF(countif('Womens Lineup'!J$3:J1000,CONCATENATE("=",$A461))=0,"",J$2))</f>
        <v/>
      </c>
      <c r="K461" s="3" t="str">
        <f>IF($A461="","",IF(countif('Womens Lineup'!K$3:K1000,CONCATENATE("=",$A461))=0,"",K$2))</f>
        <v/>
      </c>
      <c r="L461" s="3" t="str">
        <f>IF($A461="","",IF(countif('Womens Lineup'!L$3:L1000,CONCATENATE("=",$A461))=0,"",L$2))</f>
        <v/>
      </c>
      <c r="M461" s="3" t="str">
        <f>IF($A461="","",IF(countif('Womens Lineup'!M$3:M1000,CONCATENATE("=",$A461))=0,"",M$2))</f>
        <v/>
      </c>
      <c r="N461" s="3" t="str">
        <f>IF($A461="","",IF(countif('Womens Lineup'!N$3:N1000,CONCATENATE("=",$A461))=0,"",N$2))</f>
        <v/>
      </c>
      <c r="O461" s="3" t="str">
        <f>IF($A461="","",IF(countif('Womens Lineup'!O$3:O1000,CONCATENATE("=",$A461))=0,"",O$2))</f>
        <v/>
      </c>
      <c r="P461" s="3" t="str">
        <f>IF($A461="","",IF(countif('Womens Lineup'!P$3:P1000,CONCATENATE("=",$A461))=0,"",P$2))</f>
        <v/>
      </c>
      <c r="Q461" s="3" t="str">
        <f>IF($A461="","",IF(countif('Womens Lineup'!Q$3:Q1000,CONCATENATE("=",$A461))=0,"",Q$2))</f>
        <v/>
      </c>
      <c r="R461" s="3" t="str">
        <f>IF($A461="","",IF(countif('Womens Lineup'!R$3:R1000,CONCATENATE("=",$A461))=0,"",R$2))</f>
        <v/>
      </c>
      <c r="S461" s="3" t="str">
        <f>IF($A461="","",IF(countif('Womens Lineup'!S$3:S1000,CONCATENATE("=",$A461))=0,"",S$2))</f>
        <v/>
      </c>
      <c r="W461" s="3" t="str">
        <f>IFERROR(__xludf.DUMMYFUNCTION("JOIN("","",FILTER(B461:S461,B461:S461&lt;&gt;""""))"),"#N/A")</f>
        <v>#N/A</v>
      </c>
    </row>
    <row r="462">
      <c r="A462" s="3"/>
      <c r="B462" s="3" t="str">
        <f>IF($A462="","",IF(countif('Womens Lineup'!B$3:B1000,CONCATENATE("=",$A462))=0,"",B$2))</f>
        <v/>
      </c>
      <c r="C462" s="3" t="str">
        <f>IF($A462="","",IF(countif('Womens Lineup'!C$3:C1000,CONCATENATE("=",$A462))=0,"",C$2))</f>
        <v/>
      </c>
      <c r="D462" s="3" t="str">
        <f>IF($A462="","",IF(countif('Womens Lineup'!D$3:D1000,CONCATENATE("=",$A462))=0,"",D$2))</f>
        <v/>
      </c>
      <c r="E462" s="3" t="str">
        <f>IF($A462="","",IF(countif('Womens Lineup'!E$3:E1000,CONCATENATE("=",$A462))=0,"",E$2))</f>
        <v/>
      </c>
      <c r="F462" s="3" t="str">
        <f>IF($A462="","",IF(countif('Womens Lineup'!F$3:F1000,CONCATENATE("=",$A462))=0,"",F$2))</f>
        <v/>
      </c>
      <c r="G462" s="3" t="str">
        <f>IF($A462="","",IF(countif('Womens Lineup'!G$3:G1000,CONCATENATE("=",$A462))=0,"",G$2))</f>
        <v/>
      </c>
      <c r="H462" s="3" t="str">
        <f>IF($A462="","",IF(countif('Womens Lineup'!H$3:H1000,CONCATENATE("=",$A462))=0,"",H$2))</f>
        <v/>
      </c>
      <c r="I462" s="3" t="str">
        <f>IF($A462="","",IF(countif('Womens Lineup'!I$3:I1000,CONCATENATE("=",$A462))=0,"",I$2))</f>
        <v/>
      </c>
      <c r="J462" s="3" t="str">
        <f>IF($A462="","",IF(countif('Womens Lineup'!J$3:J1000,CONCATENATE("=",$A462))=0,"",J$2))</f>
        <v/>
      </c>
      <c r="K462" s="3" t="str">
        <f>IF($A462="","",IF(countif('Womens Lineup'!K$3:K1000,CONCATENATE("=",$A462))=0,"",K$2))</f>
        <v/>
      </c>
      <c r="L462" s="3" t="str">
        <f>IF($A462="","",IF(countif('Womens Lineup'!L$3:L1000,CONCATENATE("=",$A462))=0,"",L$2))</f>
        <v/>
      </c>
      <c r="M462" s="3" t="str">
        <f>IF($A462="","",IF(countif('Womens Lineup'!M$3:M1000,CONCATENATE("=",$A462))=0,"",M$2))</f>
        <v/>
      </c>
      <c r="N462" s="3" t="str">
        <f>IF($A462="","",IF(countif('Womens Lineup'!N$3:N1000,CONCATENATE("=",$A462))=0,"",N$2))</f>
        <v/>
      </c>
      <c r="O462" s="3" t="str">
        <f>IF($A462="","",IF(countif('Womens Lineup'!O$3:O1000,CONCATENATE("=",$A462))=0,"",O$2))</f>
        <v/>
      </c>
      <c r="P462" s="3" t="str">
        <f>IF($A462="","",IF(countif('Womens Lineup'!P$3:P1000,CONCATENATE("=",$A462))=0,"",P$2))</f>
        <v/>
      </c>
      <c r="Q462" s="3" t="str">
        <f>IF($A462="","",IF(countif('Womens Lineup'!Q$3:Q1000,CONCATENATE("=",$A462))=0,"",Q$2))</f>
        <v/>
      </c>
      <c r="R462" s="3" t="str">
        <f>IF($A462="","",IF(countif('Womens Lineup'!R$3:R1000,CONCATENATE("=",$A462))=0,"",R$2))</f>
        <v/>
      </c>
      <c r="S462" s="3" t="str">
        <f>IF($A462="","",IF(countif('Womens Lineup'!S$3:S1000,CONCATENATE("=",$A462))=0,"",S$2))</f>
        <v/>
      </c>
      <c r="W462" s="3" t="str">
        <f>IFERROR(__xludf.DUMMYFUNCTION("JOIN("","",FILTER(B462:S462,B462:S462&lt;&gt;""""))"),"#N/A")</f>
        <v>#N/A</v>
      </c>
    </row>
    <row r="463">
      <c r="A463" s="3"/>
      <c r="B463" s="3" t="str">
        <f>IF($A463="","",IF(countif('Womens Lineup'!B$3:B1000,CONCATENATE("=",$A463))=0,"",B$2))</f>
        <v/>
      </c>
      <c r="C463" s="3" t="str">
        <f>IF($A463="","",IF(countif('Womens Lineup'!C$3:C1000,CONCATENATE("=",$A463))=0,"",C$2))</f>
        <v/>
      </c>
      <c r="D463" s="3" t="str">
        <f>IF($A463="","",IF(countif('Womens Lineup'!D$3:D1000,CONCATENATE("=",$A463))=0,"",D$2))</f>
        <v/>
      </c>
      <c r="E463" s="3" t="str">
        <f>IF($A463="","",IF(countif('Womens Lineup'!E$3:E1000,CONCATENATE("=",$A463))=0,"",E$2))</f>
        <v/>
      </c>
      <c r="F463" s="3" t="str">
        <f>IF($A463="","",IF(countif('Womens Lineup'!F$3:F1000,CONCATENATE("=",$A463))=0,"",F$2))</f>
        <v/>
      </c>
      <c r="G463" s="3" t="str">
        <f>IF($A463="","",IF(countif('Womens Lineup'!G$3:G1000,CONCATENATE("=",$A463))=0,"",G$2))</f>
        <v/>
      </c>
      <c r="H463" s="3" t="str">
        <f>IF($A463="","",IF(countif('Womens Lineup'!H$3:H1000,CONCATENATE("=",$A463))=0,"",H$2))</f>
        <v/>
      </c>
      <c r="I463" s="3" t="str">
        <f>IF($A463="","",IF(countif('Womens Lineup'!I$3:I1000,CONCATENATE("=",$A463))=0,"",I$2))</f>
        <v/>
      </c>
      <c r="J463" s="3" t="str">
        <f>IF($A463="","",IF(countif('Womens Lineup'!J$3:J1000,CONCATENATE("=",$A463))=0,"",J$2))</f>
        <v/>
      </c>
      <c r="K463" s="3" t="str">
        <f>IF($A463="","",IF(countif('Womens Lineup'!K$3:K1000,CONCATENATE("=",$A463))=0,"",K$2))</f>
        <v/>
      </c>
      <c r="L463" s="3" t="str">
        <f>IF($A463="","",IF(countif('Womens Lineup'!L$3:L1000,CONCATENATE("=",$A463))=0,"",L$2))</f>
        <v/>
      </c>
      <c r="M463" s="3" t="str">
        <f>IF($A463="","",IF(countif('Womens Lineup'!M$3:M1000,CONCATENATE("=",$A463))=0,"",M$2))</f>
        <v/>
      </c>
      <c r="N463" s="3" t="str">
        <f>IF($A463="","",IF(countif('Womens Lineup'!N$3:N1000,CONCATENATE("=",$A463))=0,"",N$2))</f>
        <v/>
      </c>
      <c r="O463" s="3" t="str">
        <f>IF($A463="","",IF(countif('Womens Lineup'!O$3:O1000,CONCATENATE("=",$A463))=0,"",O$2))</f>
        <v/>
      </c>
      <c r="P463" s="3" t="str">
        <f>IF($A463="","",IF(countif('Womens Lineup'!P$3:P1000,CONCATENATE("=",$A463))=0,"",P$2))</f>
        <v/>
      </c>
      <c r="Q463" s="3" t="str">
        <f>IF($A463="","",IF(countif('Womens Lineup'!Q$3:Q1000,CONCATENATE("=",$A463))=0,"",Q$2))</f>
        <v/>
      </c>
      <c r="R463" s="3" t="str">
        <f>IF($A463="","",IF(countif('Womens Lineup'!R$3:R1000,CONCATENATE("=",$A463))=0,"",R$2))</f>
        <v/>
      </c>
      <c r="S463" s="3" t="str">
        <f>IF($A463="","",IF(countif('Womens Lineup'!S$3:S1000,CONCATENATE("=",$A463))=0,"",S$2))</f>
        <v/>
      </c>
      <c r="W463" s="3" t="str">
        <f>IFERROR(__xludf.DUMMYFUNCTION("JOIN("","",FILTER(B463:S463,B463:S463&lt;&gt;""""))"),"#N/A")</f>
        <v>#N/A</v>
      </c>
    </row>
    <row r="464">
      <c r="A464" s="3"/>
      <c r="B464" s="3" t="str">
        <f>IF($A464="","",IF(countif('Womens Lineup'!B$3:B1000,CONCATENATE("=",$A464))=0,"",B$2))</f>
        <v/>
      </c>
      <c r="C464" s="3" t="str">
        <f>IF($A464="","",IF(countif('Womens Lineup'!C$3:C1000,CONCATENATE("=",$A464))=0,"",C$2))</f>
        <v/>
      </c>
      <c r="D464" s="3" t="str">
        <f>IF($A464="","",IF(countif('Womens Lineup'!D$3:D1000,CONCATENATE("=",$A464))=0,"",D$2))</f>
        <v/>
      </c>
      <c r="E464" s="3" t="str">
        <f>IF($A464="","",IF(countif('Womens Lineup'!E$3:E1000,CONCATENATE("=",$A464))=0,"",E$2))</f>
        <v/>
      </c>
      <c r="F464" s="3" t="str">
        <f>IF($A464="","",IF(countif('Womens Lineup'!F$3:F1000,CONCATENATE("=",$A464))=0,"",F$2))</f>
        <v/>
      </c>
      <c r="G464" s="3" t="str">
        <f>IF($A464="","",IF(countif('Womens Lineup'!G$3:G1000,CONCATENATE("=",$A464))=0,"",G$2))</f>
        <v/>
      </c>
      <c r="H464" s="3" t="str">
        <f>IF($A464="","",IF(countif('Womens Lineup'!H$3:H1000,CONCATENATE("=",$A464))=0,"",H$2))</f>
        <v/>
      </c>
      <c r="I464" s="3" t="str">
        <f>IF($A464="","",IF(countif('Womens Lineup'!I$3:I1000,CONCATENATE("=",$A464))=0,"",I$2))</f>
        <v/>
      </c>
      <c r="J464" s="3" t="str">
        <f>IF($A464="","",IF(countif('Womens Lineup'!J$3:J1000,CONCATENATE("=",$A464))=0,"",J$2))</f>
        <v/>
      </c>
      <c r="K464" s="3" t="str">
        <f>IF($A464="","",IF(countif('Womens Lineup'!K$3:K1000,CONCATENATE("=",$A464))=0,"",K$2))</f>
        <v/>
      </c>
      <c r="L464" s="3" t="str">
        <f>IF($A464="","",IF(countif('Womens Lineup'!L$3:L1000,CONCATENATE("=",$A464))=0,"",L$2))</f>
        <v/>
      </c>
      <c r="M464" s="3" t="str">
        <f>IF($A464="","",IF(countif('Womens Lineup'!M$3:M1000,CONCATENATE("=",$A464))=0,"",M$2))</f>
        <v/>
      </c>
      <c r="N464" s="3" t="str">
        <f>IF($A464="","",IF(countif('Womens Lineup'!N$3:N1000,CONCATENATE("=",$A464))=0,"",N$2))</f>
        <v/>
      </c>
      <c r="O464" s="3" t="str">
        <f>IF($A464="","",IF(countif('Womens Lineup'!O$3:O1000,CONCATENATE("=",$A464))=0,"",O$2))</f>
        <v/>
      </c>
      <c r="P464" s="3" t="str">
        <f>IF($A464="","",IF(countif('Womens Lineup'!P$3:P1000,CONCATENATE("=",$A464))=0,"",P$2))</f>
        <v/>
      </c>
      <c r="Q464" s="3" t="str">
        <f>IF($A464="","",IF(countif('Womens Lineup'!Q$3:Q1000,CONCATENATE("=",$A464))=0,"",Q$2))</f>
        <v/>
      </c>
      <c r="R464" s="3" t="str">
        <f>IF($A464="","",IF(countif('Womens Lineup'!R$3:R1000,CONCATENATE("=",$A464))=0,"",R$2))</f>
        <v/>
      </c>
      <c r="S464" s="3" t="str">
        <f>IF($A464="","",IF(countif('Womens Lineup'!S$3:S1000,CONCATENATE("=",$A464))=0,"",S$2))</f>
        <v/>
      </c>
      <c r="W464" s="3" t="str">
        <f>IFERROR(__xludf.DUMMYFUNCTION("JOIN("","",FILTER(B464:S464,B464:S464&lt;&gt;""""))"),"#N/A")</f>
        <v>#N/A</v>
      </c>
    </row>
    <row r="465">
      <c r="A465" s="3"/>
      <c r="B465" s="3" t="str">
        <f>IF($A465="","",IF(countif('Womens Lineup'!B$3:B1000,CONCATENATE("=",$A465))=0,"",B$2))</f>
        <v/>
      </c>
      <c r="C465" s="3" t="str">
        <f>IF($A465="","",IF(countif('Womens Lineup'!C$3:C1000,CONCATENATE("=",$A465))=0,"",C$2))</f>
        <v/>
      </c>
      <c r="D465" s="3" t="str">
        <f>IF($A465="","",IF(countif('Womens Lineup'!D$3:D1000,CONCATENATE("=",$A465))=0,"",D$2))</f>
        <v/>
      </c>
      <c r="E465" s="3" t="str">
        <f>IF($A465="","",IF(countif('Womens Lineup'!E$3:E1000,CONCATENATE("=",$A465))=0,"",E$2))</f>
        <v/>
      </c>
      <c r="F465" s="3" t="str">
        <f>IF($A465="","",IF(countif('Womens Lineup'!F$3:F1000,CONCATENATE("=",$A465))=0,"",F$2))</f>
        <v/>
      </c>
      <c r="G465" s="3" t="str">
        <f>IF($A465="","",IF(countif('Womens Lineup'!G$3:G1000,CONCATENATE("=",$A465))=0,"",G$2))</f>
        <v/>
      </c>
      <c r="H465" s="3" t="str">
        <f>IF($A465="","",IF(countif('Womens Lineup'!H$3:H1000,CONCATENATE("=",$A465))=0,"",H$2))</f>
        <v/>
      </c>
      <c r="I465" s="3" t="str">
        <f>IF($A465="","",IF(countif('Womens Lineup'!I$3:I1000,CONCATENATE("=",$A465))=0,"",I$2))</f>
        <v/>
      </c>
      <c r="J465" s="3" t="str">
        <f>IF($A465="","",IF(countif('Womens Lineup'!J$3:J1000,CONCATENATE("=",$A465))=0,"",J$2))</f>
        <v/>
      </c>
      <c r="K465" s="3" t="str">
        <f>IF($A465="","",IF(countif('Womens Lineup'!K$3:K1000,CONCATENATE("=",$A465))=0,"",K$2))</f>
        <v/>
      </c>
      <c r="L465" s="3" t="str">
        <f>IF($A465="","",IF(countif('Womens Lineup'!L$3:L1000,CONCATENATE("=",$A465))=0,"",L$2))</f>
        <v/>
      </c>
      <c r="M465" s="3" t="str">
        <f>IF($A465="","",IF(countif('Womens Lineup'!M$3:M1000,CONCATENATE("=",$A465))=0,"",M$2))</f>
        <v/>
      </c>
      <c r="N465" s="3" t="str">
        <f>IF($A465="","",IF(countif('Womens Lineup'!N$3:N1000,CONCATENATE("=",$A465))=0,"",N$2))</f>
        <v/>
      </c>
      <c r="O465" s="3" t="str">
        <f>IF($A465="","",IF(countif('Womens Lineup'!O$3:O1000,CONCATENATE("=",$A465))=0,"",O$2))</f>
        <v/>
      </c>
      <c r="P465" s="3" t="str">
        <f>IF($A465="","",IF(countif('Womens Lineup'!P$3:P1000,CONCATENATE("=",$A465))=0,"",P$2))</f>
        <v/>
      </c>
      <c r="Q465" s="3" t="str">
        <f>IF($A465="","",IF(countif('Womens Lineup'!Q$3:Q1000,CONCATENATE("=",$A465))=0,"",Q$2))</f>
        <v/>
      </c>
      <c r="R465" s="3" t="str">
        <f>IF($A465="","",IF(countif('Womens Lineup'!R$3:R1000,CONCATENATE("=",$A465))=0,"",R$2))</f>
        <v/>
      </c>
      <c r="S465" s="3" t="str">
        <f>IF($A465="","",IF(countif('Womens Lineup'!S$3:S1000,CONCATENATE("=",$A465))=0,"",S$2))</f>
        <v/>
      </c>
      <c r="W465" s="3" t="str">
        <f>IFERROR(__xludf.DUMMYFUNCTION("JOIN("","",FILTER(B465:S465,B465:S465&lt;&gt;""""))"),"#N/A")</f>
        <v>#N/A</v>
      </c>
    </row>
    <row r="466">
      <c r="A466" s="3"/>
      <c r="B466" s="3" t="str">
        <f>IF($A466="","",IF(countif('Womens Lineup'!B$3:B1000,CONCATENATE("=",$A466))=0,"",B$2))</f>
        <v/>
      </c>
      <c r="C466" s="3" t="str">
        <f>IF($A466="","",IF(countif('Womens Lineup'!C$3:C1000,CONCATENATE("=",$A466))=0,"",C$2))</f>
        <v/>
      </c>
      <c r="D466" s="3" t="str">
        <f>IF($A466="","",IF(countif('Womens Lineup'!D$3:D1000,CONCATENATE("=",$A466))=0,"",D$2))</f>
        <v/>
      </c>
      <c r="E466" s="3" t="str">
        <f>IF($A466="","",IF(countif('Womens Lineup'!E$3:E1000,CONCATENATE("=",$A466))=0,"",E$2))</f>
        <v/>
      </c>
      <c r="F466" s="3" t="str">
        <f>IF($A466="","",IF(countif('Womens Lineup'!F$3:F1000,CONCATENATE("=",$A466))=0,"",F$2))</f>
        <v/>
      </c>
      <c r="G466" s="3" t="str">
        <f>IF($A466="","",IF(countif('Womens Lineup'!G$3:G1000,CONCATENATE("=",$A466))=0,"",G$2))</f>
        <v/>
      </c>
      <c r="H466" s="3" t="str">
        <f>IF($A466="","",IF(countif('Womens Lineup'!H$3:H1000,CONCATENATE("=",$A466))=0,"",H$2))</f>
        <v/>
      </c>
      <c r="I466" s="3" t="str">
        <f>IF($A466="","",IF(countif('Womens Lineup'!I$3:I1000,CONCATENATE("=",$A466))=0,"",I$2))</f>
        <v/>
      </c>
      <c r="J466" s="3" t="str">
        <f>IF($A466="","",IF(countif('Womens Lineup'!J$3:J1000,CONCATENATE("=",$A466))=0,"",J$2))</f>
        <v/>
      </c>
      <c r="K466" s="3" t="str">
        <f>IF($A466="","",IF(countif('Womens Lineup'!K$3:K1000,CONCATENATE("=",$A466))=0,"",K$2))</f>
        <v/>
      </c>
      <c r="L466" s="3" t="str">
        <f>IF($A466="","",IF(countif('Womens Lineup'!L$3:L1000,CONCATENATE("=",$A466))=0,"",L$2))</f>
        <v/>
      </c>
      <c r="M466" s="3" t="str">
        <f>IF($A466="","",IF(countif('Womens Lineup'!M$3:M1000,CONCATENATE("=",$A466))=0,"",M$2))</f>
        <v/>
      </c>
      <c r="N466" s="3" t="str">
        <f>IF($A466="","",IF(countif('Womens Lineup'!N$3:N1000,CONCATENATE("=",$A466))=0,"",N$2))</f>
        <v/>
      </c>
      <c r="O466" s="3" t="str">
        <f>IF($A466="","",IF(countif('Womens Lineup'!O$3:O1000,CONCATENATE("=",$A466))=0,"",O$2))</f>
        <v/>
      </c>
      <c r="P466" s="3" t="str">
        <f>IF($A466="","",IF(countif('Womens Lineup'!P$3:P1000,CONCATENATE("=",$A466))=0,"",P$2))</f>
        <v/>
      </c>
      <c r="Q466" s="3" t="str">
        <f>IF($A466="","",IF(countif('Womens Lineup'!Q$3:Q1000,CONCATENATE("=",$A466))=0,"",Q$2))</f>
        <v/>
      </c>
      <c r="R466" s="3" t="str">
        <f>IF($A466="","",IF(countif('Womens Lineup'!R$3:R1000,CONCATENATE("=",$A466))=0,"",R$2))</f>
        <v/>
      </c>
      <c r="S466" s="3" t="str">
        <f>IF($A466="","",IF(countif('Womens Lineup'!S$3:S1000,CONCATENATE("=",$A466))=0,"",S$2))</f>
        <v/>
      </c>
      <c r="W466" s="3" t="str">
        <f>IFERROR(__xludf.DUMMYFUNCTION("JOIN("","",FILTER(B466:S466,B466:S466&lt;&gt;""""))"),"#N/A")</f>
        <v>#N/A</v>
      </c>
    </row>
    <row r="467">
      <c r="A467" s="3"/>
      <c r="B467" s="3" t="str">
        <f>IF($A467="","",IF(countif('Womens Lineup'!B$3:B1000,CONCATENATE("=",$A467))=0,"",B$2))</f>
        <v/>
      </c>
      <c r="C467" s="3" t="str">
        <f>IF($A467="","",IF(countif('Womens Lineup'!C$3:C1000,CONCATENATE("=",$A467))=0,"",C$2))</f>
        <v/>
      </c>
      <c r="D467" s="3" t="str">
        <f>IF($A467="","",IF(countif('Womens Lineup'!D$3:D1000,CONCATENATE("=",$A467))=0,"",D$2))</f>
        <v/>
      </c>
      <c r="E467" s="3" t="str">
        <f>IF($A467="","",IF(countif('Womens Lineup'!E$3:E1000,CONCATENATE("=",$A467))=0,"",E$2))</f>
        <v/>
      </c>
      <c r="F467" s="3" t="str">
        <f>IF($A467="","",IF(countif('Womens Lineup'!F$3:F1000,CONCATENATE("=",$A467))=0,"",F$2))</f>
        <v/>
      </c>
      <c r="G467" s="3" t="str">
        <f>IF($A467="","",IF(countif('Womens Lineup'!G$3:G1000,CONCATENATE("=",$A467))=0,"",G$2))</f>
        <v/>
      </c>
      <c r="H467" s="3" t="str">
        <f>IF($A467="","",IF(countif('Womens Lineup'!H$3:H1000,CONCATENATE("=",$A467))=0,"",H$2))</f>
        <v/>
      </c>
      <c r="I467" s="3" t="str">
        <f>IF($A467="","",IF(countif('Womens Lineup'!I$3:I1000,CONCATENATE("=",$A467))=0,"",I$2))</f>
        <v/>
      </c>
      <c r="J467" s="3" t="str">
        <f>IF($A467="","",IF(countif('Womens Lineup'!J$3:J1000,CONCATENATE("=",$A467))=0,"",J$2))</f>
        <v/>
      </c>
      <c r="K467" s="3" t="str">
        <f>IF($A467="","",IF(countif('Womens Lineup'!K$3:K1000,CONCATENATE("=",$A467))=0,"",K$2))</f>
        <v/>
      </c>
      <c r="L467" s="3" t="str">
        <f>IF($A467="","",IF(countif('Womens Lineup'!L$3:L1000,CONCATENATE("=",$A467))=0,"",L$2))</f>
        <v/>
      </c>
      <c r="M467" s="3" t="str">
        <f>IF($A467="","",IF(countif('Womens Lineup'!M$3:M1000,CONCATENATE("=",$A467))=0,"",M$2))</f>
        <v/>
      </c>
      <c r="N467" s="3" t="str">
        <f>IF($A467="","",IF(countif('Womens Lineup'!N$3:N1000,CONCATENATE("=",$A467))=0,"",N$2))</f>
        <v/>
      </c>
      <c r="O467" s="3" t="str">
        <f>IF($A467="","",IF(countif('Womens Lineup'!O$3:O1000,CONCATENATE("=",$A467))=0,"",O$2))</f>
        <v/>
      </c>
      <c r="P467" s="3" t="str">
        <f>IF($A467="","",IF(countif('Womens Lineup'!P$3:P1000,CONCATENATE("=",$A467))=0,"",P$2))</f>
        <v/>
      </c>
      <c r="Q467" s="3" t="str">
        <f>IF($A467="","",IF(countif('Womens Lineup'!Q$3:Q1000,CONCATENATE("=",$A467))=0,"",Q$2))</f>
        <v/>
      </c>
      <c r="R467" s="3" t="str">
        <f>IF($A467="","",IF(countif('Womens Lineup'!R$3:R1000,CONCATENATE("=",$A467))=0,"",R$2))</f>
        <v/>
      </c>
      <c r="S467" s="3" t="str">
        <f>IF($A467="","",IF(countif('Womens Lineup'!S$3:S1000,CONCATENATE("=",$A467))=0,"",S$2))</f>
        <v/>
      </c>
      <c r="W467" s="3" t="str">
        <f>IFERROR(__xludf.DUMMYFUNCTION("JOIN("","",FILTER(B467:S467,B467:S467&lt;&gt;""""))"),"#N/A")</f>
        <v>#N/A</v>
      </c>
    </row>
    <row r="468">
      <c r="A468" s="3"/>
      <c r="B468" s="3" t="str">
        <f>IF($A468="","",IF(countif('Womens Lineup'!B$3:B1000,CONCATENATE("=",$A468))=0,"",B$2))</f>
        <v/>
      </c>
      <c r="C468" s="3" t="str">
        <f>IF($A468="","",IF(countif('Womens Lineup'!C$3:C1000,CONCATENATE("=",$A468))=0,"",C$2))</f>
        <v/>
      </c>
      <c r="D468" s="3" t="str">
        <f>IF($A468="","",IF(countif('Womens Lineup'!D$3:D1000,CONCATENATE("=",$A468))=0,"",D$2))</f>
        <v/>
      </c>
      <c r="E468" s="3" t="str">
        <f>IF($A468="","",IF(countif('Womens Lineup'!E$3:E1000,CONCATENATE("=",$A468))=0,"",E$2))</f>
        <v/>
      </c>
      <c r="F468" s="3" t="str">
        <f>IF($A468="","",IF(countif('Womens Lineup'!F$3:F1000,CONCATENATE("=",$A468))=0,"",F$2))</f>
        <v/>
      </c>
      <c r="G468" s="3" t="str">
        <f>IF($A468="","",IF(countif('Womens Lineup'!G$3:G1000,CONCATENATE("=",$A468))=0,"",G$2))</f>
        <v/>
      </c>
      <c r="H468" s="3" t="str">
        <f>IF($A468="","",IF(countif('Womens Lineup'!H$3:H1000,CONCATENATE("=",$A468))=0,"",H$2))</f>
        <v/>
      </c>
      <c r="I468" s="3" t="str">
        <f>IF($A468="","",IF(countif('Womens Lineup'!I$3:I1000,CONCATENATE("=",$A468))=0,"",I$2))</f>
        <v/>
      </c>
      <c r="J468" s="3" t="str">
        <f>IF($A468="","",IF(countif('Womens Lineup'!J$3:J1000,CONCATENATE("=",$A468))=0,"",J$2))</f>
        <v/>
      </c>
      <c r="K468" s="3" t="str">
        <f>IF($A468="","",IF(countif('Womens Lineup'!K$3:K1000,CONCATENATE("=",$A468))=0,"",K$2))</f>
        <v/>
      </c>
      <c r="L468" s="3" t="str">
        <f>IF($A468="","",IF(countif('Womens Lineup'!L$3:L1000,CONCATENATE("=",$A468))=0,"",L$2))</f>
        <v/>
      </c>
      <c r="M468" s="3" t="str">
        <f>IF($A468="","",IF(countif('Womens Lineup'!M$3:M1000,CONCATENATE("=",$A468))=0,"",M$2))</f>
        <v/>
      </c>
      <c r="N468" s="3" t="str">
        <f>IF($A468="","",IF(countif('Womens Lineup'!N$3:N1000,CONCATENATE("=",$A468))=0,"",N$2))</f>
        <v/>
      </c>
      <c r="O468" s="3" t="str">
        <f>IF($A468="","",IF(countif('Womens Lineup'!O$3:O1000,CONCATENATE("=",$A468))=0,"",O$2))</f>
        <v/>
      </c>
      <c r="P468" s="3" t="str">
        <f>IF($A468="","",IF(countif('Womens Lineup'!P$3:P1000,CONCATENATE("=",$A468))=0,"",P$2))</f>
        <v/>
      </c>
      <c r="Q468" s="3" t="str">
        <f>IF($A468="","",IF(countif('Womens Lineup'!Q$3:Q1000,CONCATENATE("=",$A468))=0,"",Q$2))</f>
        <v/>
      </c>
      <c r="R468" s="3" t="str">
        <f>IF($A468="","",IF(countif('Womens Lineup'!R$3:R1000,CONCATENATE("=",$A468))=0,"",R$2))</f>
        <v/>
      </c>
      <c r="S468" s="3" t="str">
        <f>IF($A468="","",IF(countif('Womens Lineup'!S$3:S1000,CONCATENATE("=",$A468))=0,"",S$2))</f>
        <v/>
      </c>
      <c r="W468" s="3" t="str">
        <f>IFERROR(__xludf.DUMMYFUNCTION("JOIN("","",FILTER(B468:S468,B468:S468&lt;&gt;""""))"),"#N/A")</f>
        <v>#N/A</v>
      </c>
    </row>
    <row r="469">
      <c r="A469" s="3"/>
      <c r="B469" s="3" t="str">
        <f>IF($A469="","",IF(countif('Womens Lineup'!B$3:B1000,CONCATENATE("=",$A469))=0,"",B$2))</f>
        <v/>
      </c>
      <c r="C469" s="3" t="str">
        <f>IF($A469="","",IF(countif('Womens Lineup'!C$3:C1000,CONCATENATE("=",$A469))=0,"",C$2))</f>
        <v/>
      </c>
      <c r="D469" s="3" t="str">
        <f>IF($A469="","",IF(countif('Womens Lineup'!D$3:D1000,CONCATENATE("=",$A469))=0,"",D$2))</f>
        <v/>
      </c>
      <c r="E469" s="3" t="str">
        <f>IF($A469="","",IF(countif('Womens Lineup'!E$3:E1000,CONCATENATE("=",$A469))=0,"",E$2))</f>
        <v/>
      </c>
      <c r="F469" s="3" t="str">
        <f>IF($A469="","",IF(countif('Womens Lineup'!F$3:F1000,CONCATENATE("=",$A469))=0,"",F$2))</f>
        <v/>
      </c>
      <c r="G469" s="3" t="str">
        <f>IF($A469="","",IF(countif('Womens Lineup'!G$3:G1000,CONCATENATE("=",$A469))=0,"",G$2))</f>
        <v/>
      </c>
      <c r="H469" s="3" t="str">
        <f>IF($A469="","",IF(countif('Womens Lineup'!H$3:H1000,CONCATENATE("=",$A469))=0,"",H$2))</f>
        <v/>
      </c>
      <c r="I469" s="3" t="str">
        <f>IF($A469="","",IF(countif('Womens Lineup'!I$3:I1000,CONCATENATE("=",$A469))=0,"",I$2))</f>
        <v/>
      </c>
      <c r="J469" s="3" t="str">
        <f>IF($A469="","",IF(countif('Womens Lineup'!J$3:J1000,CONCATENATE("=",$A469))=0,"",J$2))</f>
        <v/>
      </c>
      <c r="K469" s="3" t="str">
        <f>IF($A469="","",IF(countif('Womens Lineup'!K$3:K1000,CONCATENATE("=",$A469))=0,"",K$2))</f>
        <v/>
      </c>
      <c r="L469" s="3" t="str">
        <f>IF($A469="","",IF(countif('Womens Lineup'!L$3:L1000,CONCATENATE("=",$A469))=0,"",L$2))</f>
        <v/>
      </c>
      <c r="M469" s="3" t="str">
        <f>IF($A469="","",IF(countif('Womens Lineup'!M$3:M1000,CONCATENATE("=",$A469))=0,"",M$2))</f>
        <v/>
      </c>
      <c r="N469" s="3" t="str">
        <f>IF($A469="","",IF(countif('Womens Lineup'!N$3:N1000,CONCATENATE("=",$A469))=0,"",N$2))</f>
        <v/>
      </c>
      <c r="O469" s="3" t="str">
        <f>IF($A469="","",IF(countif('Womens Lineup'!O$3:O1000,CONCATENATE("=",$A469))=0,"",O$2))</f>
        <v/>
      </c>
      <c r="P469" s="3" t="str">
        <f>IF($A469="","",IF(countif('Womens Lineup'!P$3:P1000,CONCATENATE("=",$A469))=0,"",P$2))</f>
        <v/>
      </c>
      <c r="Q469" s="3" t="str">
        <f>IF($A469="","",IF(countif('Womens Lineup'!Q$3:Q1000,CONCATENATE("=",$A469))=0,"",Q$2))</f>
        <v/>
      </c>
      <c r="R469" s="3" t="str">
        <f>IF($A469="","",IF(countif('Womens Lineup'!R$3:R1000,CONCATENATE("=",$A469))=0,"",R$2))</f>
        <v/>
      </c>
      <c r="S469" s="3" t="str">
        <f>IF($A469="","",IF(countif('Womens Lineup'!S$3:S1000,CONCATENATE("=",$A469))=0,"",S$2))</f>
        <v/>
      </c>
      <c r="W469" s="3" t="str">
        <f>IFERROR(__xludf.DUMMYFUNCTION("JOIN("","",FILTER(B469:S469,B469:S469&lt;&gt;""""))"),"#N/A")</f>
        <v>#N/A</v>
      </c>
    </row>
    <row r="470">
      <c r="A470" s="3"/>
      <c r="B470" s="3" t="str">
        <f>IF($A470="","",IF(countif('Womens Lineup'!B$3:B1000,CONCATENATE("=",$A470))=0,"",B$2))</f>
        <v/>
      </c>
      <c r="C470" s="3" t="str">
        <f>IF($A470="","",IF(countif('Womens Lineup'!C$3:C1000,CONCATENATE("=",$A470))=0,"",C$2))</f>
        <v/>
      </c>
      <c r="D470" s="3" t="str">
        <f>IF($A470="","",IF(countif('Womens Lineup'!D$3:D1000,CONCATENATE("=",$A470))=0,"",D$2))</f>
        <v/>
      </c>
      <c r="E470" s="3" t="str">
        <f>IF($A470="","",IF(countif('Womens Lineup'!E$3:E1000,CONCATENATE("=",$A470))=0,"",E$2))</f>
        <v/>
      </c>
      <c r="F470" s="3" t="str">
        <f>IF($A470="","",IF(countif('Womens Lineup'!F$3:F1000,CONCATENATE("=",$A470))=0,"",F$2))</f>
        <v/>
      </c>
      <c r="G470" s="3" t="str">
        <f>IF($A470="","",IF(countif('Womens Lineup'!G$3:G1000,CONCATENATE("=",$A470))=0,"",G$2))</f>
        <v/>
      </c>
      <c r="H470" s="3" t="str">
        <f>IF($A470="","",IF(countif('Womens Lineup'!H$3:H1000,CONCATENATE("=",$A470))=0,"",H$2))</f>
        <v/>
      </c>
      <c r="I470" s="3" t="str">
        <f>IF($A470="","",IF(countif('Womens Lineup'!I$3:I1000,CONCATENATE("=",$A470))=0,"",I$2))</f>
        <v/>
      </c>
      <c r="J470" s="3" t="str">
        <f>IF($A470="","",IF(countif('Womens Lineup'!J$3:J1000,CONCATENATE("=",$A470))=0,"",J$2))</f>
        <v/>
      </c>
      <c r="K470" s="3" t="str">
        <f>IF($A470="","",IF(countif('Womens Lineup'!K$3:K1000,CONCATENATE("=",$A470))=0,"",K$2))</f>
        <v/>
      </c>
      <c r="L470" s="3" t="str">
        <f>IF($A470="","",IF(countif('Womens Lineup'!L$3:L1000,CONCATENATE("=",$A470))=0,"",L$2))</f>
        <v/>
      </c>
      <c r="M470" s="3" t="str">
        <f>IF($A470="","",IF(countif('Womens Lineup'!M$3:M1000,CONCATENATE("=",$A470))=0,"",M$2))</f>
        <v/>
      </c>
      <c r="N470" s="3" t="str">
        <f>IF($A470="","",IF(countif('Womens Lineup'!N$3:N1000,CONCATENATE("=",$A470))=0,"",N$2))</f>
        <v/>
      </c>
      <c r="O470" s="3" t="str">
        <f>IF($A470="","",IF(countif('Womens Lineup'!O$3:O1000,CONCATENATE("=",$A470))=0,"",O$2))</f>
        <v/>
      </c>
      <c r="P470" s="3" t="str">
        <f>IF($A470="","",IF(countif('Womens Lineup'!P$3:P1000,CONCATENATE("=",$A470))=0,"",P$2))</f>
        <v/>
      </c>
      <c r="Q470" s="3" t="str">
        <f>IF($A470="","",IF(countif('Womens Lineup'!Q$3:Q1000,CONCATENATE("=",$A470))=0,"",Q$2))</f>
        <v/>
      </c>
      <c r="R470" s="3" t="str">
        <f>IF($A470="","",IF(countif('Womens Lineup'!R$3:R1000,CONCATENATE("=",$A470))=0,"",R$2))</f>
        <v/>
      </c>
      <c r="S470" s="3" t="str">
        <f>IF($A470="","",IF(countif('Womens Lineup'!S$3:S1000,CONCATENATE("=",$A470))=0,"",S$2))</f>
        <v/>
      </c>
      <c r="W470" s="3" t="str">
        <f>IFERROR(__xludf.DUMMYFUNCTION("JOIN("","",FILTER(B470:S470,B470:S470&lt;&gt;""""))"),"#N/A")</f>
        <v>#N/A</v>
      </c>
    </row>
    <row r="471">
      <c r="A471" s="3"/>
      <c r="B471" s="3" t="str">
        <f>IF($A471="","",IF(countif('Womens Lineup'!B$3:B1000,CONCATENATE("=",$A471))=0,"",B$2))</f>
        <v/>
      </c>
      <c r="C471" s="3" t="str">
        <f>IF($A471="","",IF(countif('Womens Lineup'!C$3:C1000,CONCATENATE("=",$A471))=0,"",C$2))</f>
        <v/>
      </c>
      <c r="D471" s="3" t="str">
        <f>IF($A471="","",IF(countif('Womens Lineup'!D$3:D1000,CONCATENATE("=",$A471))=0,"",D$2))</f>
        <v/>
      </c>
      <c r="E471" s="3" t="str">
        <f>IF($A471="","",IF(countif('Womens Lineup'!E$3:E1000,CONCATENATE("=",$A471))=0,"",E$2))</f>
        <v/>
      </c>
      <c r="F471" s="3" t="str">
        <f>IF($A471="","",IF(countif('Womens Lineup'!F$3:F1000,CONCATENATE("=",$A471))=0,"",F$2))</f>
        <v/>
      </c>
      <c r="G471" s="3" t="str">
        <f>IF($A471="","",IF(countif('Womens Lineup'!G$3:G1000,CONCATENATE("=",$A471))=0,"",G$2))</f>
        <v/>
      </c>
      <c r="H471" s="3" t="str">
        <f>IF($A471="","",IF(countif('Womens Lineup'!H$3:H1000,CONCATENATE("=",$A471))=0,"",H$2))</f>
        <v/>
      </c>
      <c r="I471" s="3" t="str">
        <f>IF($A471="","",IF(countif('Womens Lineup'!I$3:I1000,CONCATENATE("=",$A471))=0,"",I$2))</f>
        <v/>
      </c>
      <c r="J471" s="3" t="str">
        <f>IF($A471="","",IF(countif('Womens Lineup'!J$3:J1000,CONCATENATE("=",$A471))=0,"",J$2))</f>
        <v/>
      </c>
      <c r="K471" s="3" t="str">
        <f>IF($A471="","",IF(countif('Womens Lineup'!K$3:K1000,CONCATENATE("=",$A471))=0,"",K$2))</f>
        <v/>
      </c>
      <c r="L471" s="3" t="str">
        <f>IF($A471="","",IF(countif('Womens Lineup'!L$3:L1000,CONCATENATE("=",$A471))=0,"",L$2))</f>
        <v/>
      </c>
      <c r="M471" s="3" t="str">
        <f>IF($A471="","",IF(countif('Womens Lineup'!M$3:M1000,CONCATENATE("=",$A471))=0,"",M$2))</f>
        <v/>
      </c>
      <c r="N471" s="3" t="str">
        <f>IF($A471="","",IF(countif('Womens Lineup'!N$3:N1000,CONCATENATE("=",$A471))=0,"",N$2))</f>
        <v/>
      </c>
      <c r="O471" s="3" t="str">
        <f>IF($A471="","",IF(countif('Womens Lineup'!O$3:O1000,CONCATENATE("=",$A471))=0,"",O$2))</f>
        <v/>
      </c>
      <c r="P471" s="3" t="str">
        <f>IF($A471="","",IF(countif('Womens Lineup'!P$3:P1000,CONCATENATE("=",$A471))=0,"",P$2))</f>
        <v/>
      </c>
      <c r="Q471" s="3" t="str">
        <f>IF($A471="","",IF(countif('Womens Lineup'!Q$3:Q1000,CONCATENATE("=",$A471))=0,"",Q$2))</f>
        <v/>
      </c>
      <c r="R471" s="3" t="str">
        <f>IF($A471="","",IF(countif('Womens Lineup'!R$3:R1000,CONCATENATE("=",$A471))=0,"",R$2))</f>
        <v/>
      </c>
      <c r="S471" s="3" t="str">
        <f>IF($A471="","",IF(countif('Womens Lineup'!S$3:S1000,CONCATENATE("=",$A471))=0,"",S$2))</f>
        <v/>
      </c>
      <c r="W471" s="3" t="str">
        <f>IFERROR(__xludf.DUMMYFUNCTION("JOIN("","",FILTER(B471:S471,B471:S471&lt;&gt;""""))"),"#N/A")</f>
        <v>#N/A</v>
      </c>
    </row>
    <row r="472">
      <c r="A472" s="3"/>
      <c r="B472" s="3" t="str">
        <f>IF($A472="","",IF(countif('Womens Lineup'!B$3:B1000,CONCATENATE("=",$A472))=0,"",B$2))</f>
        <v/>
      </c>
      <c r="C472" s="3" t="str">
        <f>IF($A472="","",IF(countif('Womens Lineup'!C$3:C1000,CONCATENATE("=",$A472))=0,"",C$2))</f>
        <v/>
      </c>
      <c r="D472" s="3" t="str">
        <f>IF($A472="","",IF(countif('Womens Lineup'!D$3:D1000,CONCATENATE("=",$A472))=0,"",D$2))</f>
        <v/>
      </c>
      <c r="E472" s="3" t="str">
        <f>IF($A472="","",IF(countif('Womens Lineup'!E$3:E1000,CONCATENATE("=",$A472))=0,"",E$2))</f>
        <v/>
      </c>
      <c r="F472" s="3" t="str">
        <f>IF($A472="","",IF(countif('Womens Lineup'!F$3:F1000,CONCATENATE("=",$A472))=0,"",F$2))</f>
        <v/>
      </c>
      <c r="G472" s="3" t="str">
        <f>IF($A472="","",IF(countif('Womens Lineup'!G$3:G1000,CONCATENATE("=",$A472))=0,"",G$2))</f>
        <v/>
      </c>
      <c r="H472" s="3" t="str">
        <f>IF($A472="","",IF(countif('Womens Lineup'!H$3:H1000,CONCATENATE("=",$A472))=0,"",H$2))</f>
        <v/>
      </c>
      <c r="I472" s="3" t="str">
        <f>IF($A472="","",IF(countif('Womens Lineup'!I$3:I1000,CONCATENATE("=",$A472))=0,"",I$2))</f>
        <v/>
      </c>
      <c r="J472" s="3" t="str">
        <f>IF($A472="","",IF(countif('Womens Lineup'!J$3:J1000,CONCATENATE("=",$A472))=0,"",J$2))</f>
        <v/>
      </c>
      <c r="K472" s="3" t="str">
        <f>IF($A472="","",IF(countif('Womens Lineup'!K$3:K1000,CONCATENATE("=",$A472))=0,"",K$2))</f>
        <v/>
      </c>
      <c r="L472" s="3" t="str">
        <f>IF($A472="","",IF(countif('Womens Lineup'!L$3:L1000,CONCATENATE("=",$A472))=0,"",L$2))</f>
        <v/>
      </c>
      <c r="M472" s="3" t="str">
        <f>IF($A472="","",IF(countif('Womens Lineup'!M$3:M1000,CONCATENATE("=",$A472))=0,"",M$2))</f>
        <v/>
      </c>
      <c r="N472" s="3" t="str">
        <f>IF($A472="","",IF(countif('Womens Lineup'!N$3:N1000,CONCATENATE("=",$A472))=0,"",N$2))</f>
        <v/>
      </c>
      <c r="O472" s="3" t="str">
        <f>IF($A472="","",IF(countif('Womens Lineup'!O$3:O1000,CONCATENATE("=",$A472))=0,"",O$2))</f>
        <v/>
      </c>
      <c r="P472" s="3" t="str">
        <f>IF($A472="","",IF(countif('Womens Lineup'!P$3:P1000,CONCATENATE("=",$A472))=0,"",P$2))</f>
        <v/>
      </c>
      <c r="Q472" s="3" t="str">
        <f>IF($A472="","",IF(countif('Womens Lineup'!Q$3:Q1000,CONCATENATE("=",$A472))=0,"",Q$2))</f>
        <v/>
      </c>
      <c r="R472" s="3" t="str">
        <f>IF($A472="","",IF(countif('Womens Lineup'!R$3:R1000,CONCATENATE("=",$A472))=0,"",R$2))</f>
        <v/>
      </c>
      <c r="S472" s="3" t="str">
        <f>IF($A472="","",IF(countif('Womens Lineup'!S$3:S1000,CONCATENATE("=",$A472))=0,"",S$2))</f>
        <v/>
      </c>
      <c r="W472" s="3" t="str">
        <f>IFERROR(__xludf.DUMMYFUNCTION("JOIN("","",FILTER(B472:S472,B472:S472&lt;&gt;""""))"),"#N/A")</f>
        <v>#N/A</v>
      </c>
    </row>
    <row r="473">
      <c r="A473" s="3"/>
      <c r="B473" s="3" t="str">
        <f>IF($A473="","",IF(countif('Womens Lineup'!B$3:B1000,CONCATENATE("=",$A473))=0,"",B$2))</f>
        <v/>
      </c>
      <c r="C473" s="3" t="str">
        <f>IF($A473="","",IF(countif('Womens Lineup'!C$3:C1000,CONCATENATE("=",$A473))=0,"",C$2))</f>
        <v/>
      </c>
      <c r="D473" s="3" t="str">
        <f>IF($A473="","",IF(countif('Womens Lineup'!D$3:D1000,CONCATENATE("=",$A473))=0,"",D$2))</f>
        <v/>
      </c>
      <c r="E473" s="3" t="str">
        <f>IF($A473="","",IF(countif('Womens Lineup'!E$3:E1000,CONCATENATE("=",$A473))=0,"",E$2))</f>
        <v/>
      </c>
      <c r="F473" s="3" t="str">
        <f>IF($A473="","",IF(countif('Womens Lineup'!F$3:F1000,CONCATENATE("=",$A473))=0,"",F$2))</f>
        <v/>
      </c>
      <c r="G473" s="3" t="str">
        <f>IF($A473="","",IF(countif('Womens Lineup'!G$3:G1000,CONCATENATE("=",$A473))=0,"",G$2))</f>
        <v/>
      </c>
      <c r="H473" s="3" t="str">
        <f>IF($A473="","",IF(countif('Womens Lineup'!H$3:H1000,CONCATENATE("=",$A473))=0,"",H$2))</f>
        <v/>
      </c>
      <c r="I473" s="3" t="str">
        <f>IF($A473="","",IF(countif('Womens Lineup'!I$3:I1000,CONCATENATE("=",$A473))=0,"",I$2))</f>
        <v/>
      </c>
      <c r="J473" s="3" t="str">
        <f>IF($A473="","",IF(countif('Womens Lineup'!J$3:J1000,CONCATENATE("=",$A473))=0,"",J$2))</f>
        <v/>
      </c>
      <c r="K473" s="3" t="str">
        <f>IF($A473="","",IF(countif('Womens Lineup'!K$3:K1000,CONCATENATE("=",$A473))=0,"",K$2))</f>
        <v/>
      </c>
      <c r="L473" s="3" t="str">
        <f>IF($A473="","",IF(countif('Womens Lineup'!L$3:L1000,CONCATENATE("=",$A473))=0,"",L$2))</f>
        <v/>
      </c>
      <c r="M473" s="3" t="str">
        <f>IF($A473="","",IF(countif('Womens Lineup'!M$3:M1000,CONCATENATE("=",$A473))=0,"",M$2))</f>
        <v/>
      </c>
      <c r="N473" s="3" t="str">
        <f>IF($A473="","",IF(countif('Womens Lineup'!N$3:N1000,CONCATENATE("=",$A473))=0,"",N$2))</f>
        <v/>
      </c>
      <c r="O473" s="3" t="str">
        <f>IF($A473="","",IF(countif('Womens Lineup'!O$3:O1000,CONCATENATE("=",$A473))=0,"",O$2))</f>
        <v/>
      </c>
      <c r="P473" s="3" t="str">
        <f>IF($A473="","",IF(countif('Womens Lineup'!P$3:P1000,CONCATENATE("=",$A473))=0,"",P$2))</f>
        <v/>
      </c>
      <c r="Q473" s="3" t="str">
        <f>IF($A473="","",IF(countif('Womens Lineup'!Q$3:Q1000,CONCATENATE("=",$A473))=0,"",Q$2))</f>
        <v/>
      </c>
      <c r="R473" s="3" t="str">
        <f>IF($A473="","",IF(countif('Womens Lineup'!R$3:R1000,CONCATENATE("=",$A473))=0,"",R$2))</f>
        <v/>
      </c>
      <c r="S473" s="3" t="str">
        <f>IF($A473="","",IF(countif('Womens Lineup'!S$3:S1000,CONCATENATE("=",$A473))=0,"",S$2))</f>
        <v/>
      </c>
      <c r="W473" s="3" t="str">
        <f>IFERROR(__xludf.DUMMYFUNCTION("JOIN("","",FILTER(B473:S473,B473:S473&lt;&gt;""""))"),"#N/A")</f>
        <v>#N/A</v>
      </c>
    </row>
    <row r="474">
      <c r="A474" s="3"/>
      <c r="B474" s="3" t="str">
        <f>IF($A474="","",IF(countif('Womens Lineup'!B$3:B1000,CONCATENATE("=",$A474))=0,"",B$2))</f>
        <v/>
      </c>
      <c r="C474" s="3" t="str">
        <f>IF($A474="","",IF(countif('Womens Lineup'!C$3:C1000,CONCATENATE("=",$A474))=0,"",C$2))</f>
        <v/>
      </c>
      <c r="D474" s="3" t="str">
        <f>IF($A474="","",IF(countif('Womens Lineup'!D$3:D1000,CONCATENATE("=",$A474))=0,"",D$2))</f>
        <v/>
      </c>
      <c r="E474" s="3" t="str">
        <f>IF($A474="","",IF(countif('Womens Lineup'!E$3:E1000,CONCATENATE("=",$A474))=0,"",E$2))</f>
        <v/>
      </c>
      <c r="F474" s="3" t="str">
        <f>IF($A474="","",IF(countif('Womens Lineup'!F$3:F1000,CONCATENATE("=",$A474))=0,"",F$2))</f>
        <v/>
      </c>
      <c r="G474" s="3" t="str">
        <f>IF($A474="","",IF(countif('Womens Lineup'!G$3:G1000,CONCATENATE("=",$A474))=0,"",G$2))</f>
        <v/>
      </c>
      <c r="H474" s="3" t="str">
        <f>IF($A474="","",IF(countif('Womens Lineup'!H$3:H1000,CONCATENATE("=",$A474))=0,"",H$2))</f>
        <v/>
      </c>
      <c r="I474" s="3" t="str">
        <f>IF($A474="","",IF(countif('Womens Lineup'!I$3:I1000,CONCATENATE("=",$A474))=0,"",I$2))</f>
        <v/>
      </c>
      <c r="J474" s="3" t="str">
        <f>IF($A474="","",IF(countif('Womens Lineup'!J$3:J1000,CONCATENATE("=",$A474))=0,"",J$2))</f>
        <v/>
      </c>
      <c r="K474" s="3" t="str">
        <f>IF($A474="","",IF(countif('Womens Lineup'!K$3:K1000,CONCATENATE("=",$A474))=0,"",K$2))</f>
        <v/>
      </c>
      <c r="L474" s="3" t="str">
        <f>IF($A474="","",IF(countif('Womens Lineup'!L$3:L1000,CONCATENATE("=",$A474))=0,"",L$2))</f>
        <v/>
      </c>
      <c r="M474" s="3" t="str">
        <f>IF($A474="","",IF(countif('Womens Lineup'!M$3:M1000,CONCATENATE("=",$A474))=0,"",M$2))</f>
        <v/>
      </c>
      <c r="N474" s="3" t="str">
        <f>IF($A474="","",IF(countif('Womens Lineup'!N$3:N1000,CONCATENATE("=",$A474))=0,"",N$2))</f>
        <v/>
      </c>
      <c r="O474" s="3" t="str">
        <f>IF($A474="","",IF(countif('Womens Lineup'!O$3:O1000,CONCATENATE("=",$A474))=0,"",O$2))</f>
        <v/>
      </c>
      <c r="P474" s="3" t="str">
        <f>IF($A474="","",IF(countif('Womens Lineup'!P$3:P1000,CONCATENATE("=",$A474))=0,"",P$2))</f>
        <v/>
      </c>
      <c r="Q474" s="3" t="str">
        <f>IF($A474="","",IF(countif('Womens Lineup'!Q$3:Q1000,CONCATENATE("=",$A474))=0,"",Q$2))</f>
        <v/>
      </c>
      <c r="R474" s="3" t="str">
        <f>IF($A474="","",IF(countif('Womens Lineup'!R$3:R1000,CONCATENATE("=",$A474))=0,"",R$2))</f>
        <v/>
      </c>
      <c r="S474" s="3" t="str">
        <f>IF($A474="","",IF(countif('Womens Lineup'!S$3:S1000,CONCATENATE("=",$A474))=0,"",S$2))</f>
        <v/>
      </c>
      <c r="W474" s="3" t="str">
        <f>IFERROR(__xludf.DUMMYFUNCTION("JOIN("","",FILTER(B474:S474,B474:S474&lt;&gt;""""))"),"#N/A")</f>
        <v>#N/A</v>
      </c>
    </row>
    <row r="475">
      <c r="A475" s="3"/>
      <c r="B475" s="3" t="str">
        <f>IF($A475="","",IF(countif('Womens Lineup'!B$3:B1000,CONCATENATE("=",$A475))=0,"",B$2))</f>
        <v/>
      </c>
      <c r="C475" s="3" t="str">
        <f>IF($A475="","",IF(countif('Womens Lineup'!C$3:C1000,CONCATENATE("=",$A475))=0,"",C$2))</f>
        <v/>
      </c>
      <c r="D475" s="3" t="str">
        <f>IF($A475="","",IF(countif('Womens Lineup'!D$3:D1000,CONCATENATE("=",$A475))=0,"",D$2))</f>
        <v/>
      </c>
      <c r="E475" s="3" t="str">
        <f>IF($A475="","",IF(countif('Womens Lineup'!E$3:E1000,CONCATENATE("=",$A475))=0,"",E$2))</f>
        <v/>
      </c>
      <c r="F475" s="3" t="str">
        <f>IF($A475="","",IF(countif('Womens Lineup'!F$3:F1000,CONCATENATE("=",$A475))=0,"",F$2))</f>
        <v/>
      </c>
      <c r="G475" s="3" t="str">
        <f>IF($A475="","",IF(countif('Womens Lineup'!G$3:G1000,CONCATENATE("=",$A475))=0,"",G$2))</f>
        <v/>
      </c>
      <c r="H475" s="3" t="str">
        <f>IF($A475="","",IF(countif('Womens Lineup'!H$3:H1000,CONCATENATE("=",$A475))=0,"",H$2))</f>
        <v/>
      </c>
      <c r="I475" s="3" t="str">
        <f>IF($A475="","",IF(countif('Womens Lineup'!I$3:I1000,CONCATENATE("=",$A475))=0,"",I$2))</f>
        <v/>
      </c>
      <c r="J475" s="3" t="str">
        <f>IF($A475="","",IF(countif('Womens Lineup'!J$3:J1000,CONCATENATE("=",$A475))=0,"",J$2))</f>
        <v/>
      </c>
      <c r="K475" s="3" t="str">
        <f>IF($A475="","",IF(countif('Womens Lineup'!K$3:K1000,CONCATENATE("=",$A475))=0,"",K$2))</f>
        <v/>
      </c>
      <c r="L475" s="3" t="str">
        <f>IF($A475="","",IF(countif('Womens Lineup'!L$3:L1000,CONCATENATE("=",$A475))=0,"",L$2))</f>
        <v/>
      </c>
      <c r="M475" s="3" t="str">
        <f>IF($A475="","",IF(countif('Womens Lineup'!M$3:M1000,CONCATENATE("=",$A475))=0,"",M$2))</f>
        <v/>
      </c>
      <c r="N475" s="3" t="str">
        <f>IF($A475="","",IF(countif('Womens Lineup'!N$3:N1000,CONCATENATE("=",$A475))=0,"",N$2))</f>
        <v/>
      </c>
      <c r="O475" s="3" t="str">
        <f>IF($A475="","",IF(countif('Womens Lineup'!O$3:O1000,CONCATENATE("=",$A475))=0,"",O$2))</f>
        <v/>
      </c>
      <c r="P475" s="3" t="str">
        <f>IF($A475="","",IF(countif('Womens Lineup'!P$3:P1000,CONCATENATE("=",$A475))=0,"",P$2))</f>
        <v/>
      </c>
      <c r="Q475" s="3" t="str">
        <f>IF($A475="","",IF(countif('Womens Lineup'!Q$3:Q1000,CONCATENATE("=",$A475))=0,"",Q$2))</f>
        <v/>
      </c>
      <c r="R475" s="3" t="str">
        <f>IF($A475="","",IF(countif('Womens Lineup'!R$3:R1000,CONCATENATE("=",$A475))=0,"",R$2))</f>
        <v/>
      </c>
      <c r="S475" s="3" t="str">
        <f>IF($A475="","",IF(countif('Womens Lineup'!S$3:S1000,CONCATENATE("=",$A475))=0,"",S$2))</f>
        <v/>
      </c>
      <c r="W475" s="3" t="str">
        <f>IFERROR(__xludf.DUMMYFUNCTION("JOIN("","",FILTER(B475:S475,B475:S475&lt;&gt;""""))"),"#N/A")</f>
        <v>#N/A</v>
      </c>
    </row>
    <row r="476">
      <c r="A476" s="3"/>
      <c r="B476" s="3" t="str">
        <f>IF($A476="","",IF(countif('Womens Lineup'!B$3:B1000,CONCATENATE("=",$A476))=0,"",B$2))</f>
        <v/>
      </c>
      <c r="C476" s="3" t="str">
        <f>IF($A476="","",IF(countif('Womens Lineup'!C$3:C1000,CONCATENATE("=",$A476))=0,"",C$2))</f>
        <v/>
      </c>
      <c r="D476" s="3" t="str">
        <f>IF($A476="","",IF(countif('Womens Lineup'!D$3:D1000,CONCATENATE("=",$A476))=0,"",D$2))</f>
        <v/>
      </c>
      <c r="E476" s="3" t="str">
        <f>IF($A476="","",IF(countif('Womens Lineup'!E$3:E1000,CONCATENATE("=",$A476))=0,"",E$2))</f>
        <v/>
      </c>
      <c r="F476" s="3" t="str">
        <f>IF($A476="","",IF(countif('Womens Lineup'!F$3:F1000,CONCATENATE("=",$A476))=0,"",F$2))</f>
        <v/>
      </c>
      <c r="G476" s="3" t="str">
        <f>IF($A476="","",IF(countif('Womens Lineup'!G$3:G1000,CONCATENATE("=",$A476))=0,"",G$2))</f>
        <v/>
      </c>
      <c r="H476" s="3" t="str">
        <f>IF($A476="","",IF(countif('Womens Lineup'!H$3:H1000,CONCATENATE("=",$A476))=0,"",H$2))</f>
        <v/>
      </c>
      <c r="I476" s="3" t="str">
        <f>IF($A476="","",IF(countif('Womens Lineup'!I$3:I1000,CONCATENATE("=",$A476))=0,"",I$2))</f>
        <v/>
      </c>
      <c r="J476" s="3" t="str">
        <f>IF($A476="","",IF(countif('Womens Lineup'!J$3:J1000,CONCATENATE("=",$A476))=0,"",J$2))</f>
        <v/>
      </c>
      <c r="K476" s="3" t="str">
        <f>IF($A476="","",IF(countif('Womens Lineup'!K$3:K1000,CONCATENATE("=",$A476))=0,"",K$2))</f>
        <v/>
      </c>
      <c r="L476" s="3" t="str">
        <f>IF($A476="","",IF(countif('Womens Lineup'!L$3:L1000,CONCATENATE("=",$A476))=0,"",L$2))</f>
        <v/>
      </c>
      <c r="M476" s="3" t="str">
        <f>IF($A476="","",IF(countif('Womens Lineup'!M$3:M1000,CONCATENATE("=",$A476))=0,"",M$2))</f>
        <v/>
      </c>
      <c r="N476" s="3" t="str">
        <f>IF($A476="","",IF(countif('Womens Lineup'!N$3:N1000,CONCATENATE("=",$A476))=0,"",N$2))</f>
        <v/>
      </c>
      <c r="O476" s="3" t="str">
        <f>IF($A476="","",IF(countif('Womens Lineup'!O$3:O1000,CONCATENATE("=",$A476))=0,"",O$2))</f>
        <v/>
      </c>
      <c r="P476" s="3" t="str">
        <f>IF($A476="","",IF(countif('Womens Lineup'!P$3:P1000,CONCATENATE("=",$A476))=0,"",P$2))</f>
        <v/>
      </c>
      <c r="Q476" s="3" t="str">
        <f>IF($A476="","",IF(countif('Womens Lineup'!Q$3:Q1000,CONCATENATE("=",$A476))=0,"",Q$2))</f>
        <v/>
      </c>
      <c r="R476" s="3" t="str">
        <f>IF($A476="","",IF(countif('Womens Lineup'!R$3:R1000,CONCATENATE("=",$A476))=0,"",R$2))</f>
        <v/>
      </c>
      <c r="S476" s="3" t="str">
        <f>IF($A476="","",IF(countif('Womens Lineup'!S$3:S1000,CONCATENATE("=",$A476))=0,"",S$2))</f>
        <v/>
      </c>
      <c r="W476" s="3" t="str">
        <f>IFERROR(__xludf.DUMMYFUNCTION("JOIN("","",FILTER(B476:S476,B476:S476&lt;&gt;""""))"),"#N/A")</f>
        <v>#N/A</v>
      </c>
    </row>
    <row r="477">
      <c r="A477" s="3"/>
      <c r="B477" s="3" t="str">
        <f>IF($A477="","",IF(countif('Womens Lineup'!B$3:B1000,CONCATENATE("=",$A477))=0,"",B$2))</f>
        <v/>
      </c>
      <c r="C477" s="3" t="str">
        <f>IF($A477="","",IF(countif('Womens Lineup'!C$3:C1000,CONCATENATE("=",$A477))=0,"",C$2))</f>
        <v/>
      </c>
      <c r="D477" s="3" t="str">
        <f>IF($A477="","",IF(countif('Womens Lineup'!D$3:D1000,CONCATENATE("=",$A477))=0,"",D$2))</f>
        <v/>
      </c>
      <c r="E477" s="3" t="str">
        <f>IF($A477="","",IF(countif('Womens Lineup'!E$3:E1000,CONCATENATE("=",$A477))=0,"",E$2))</f>
        <v/>
      </c>
      <c r="F477" s="3" t="str">
        <f>IF($A477="","",IF(countif('Womens Lineup'!F$3:F1000,CONCATENATE("=",$A477))=0,"",F$2))</f>
        <v/>
      </c>
      <c r="G477" s="3" t="str">
        <f>IF($A477="","",IF(countif('Womens Lineup'!G$3:G1000,CONCATENATE("=",$A477))=0,"",G$2))</f>
        <v/>
      </c>
      <c r="H477" s="3" t="str">
        <f>IF($A477="","",IF(countif('Womens Lineup'!H$3:H1000,CONCATENATE("=",$A477))=0,"",H$2))</f>
        <v/>
      </c>
      <c r="I477" s="3" t="str">
        <f>IF($A477="","",IF(countif('Womens Lineup'!I$3:I1000,CONCATENATE("=",$A477))=0,"",I$2))</f>
        <v/>
      </c>
      <c r="J477" s="3" t="str">
        <f>IF($A477="","",IF(countif('Womens Lineup'!J$3:J1000,CONCATENATE("=",$A477))=0,"",J$2))</f>
        <v/>
      </c>
      <c r="K477" s="3" t="str">
        <f>IF($A477="","",IF(countif('Womens Lineup'!K$3:K1000,CONCATENATE("=",$A477))=0,"",K$2))</f>
        <v/>
      </c>
      <c r="L477" s="3" t="str">
        <f>IF($A477="","",IF(countif('Womens Lineup'!L$3:L1000,CONCATENATE("=",$A477))=0,"",L$2))</f>
        <v/>
      </c>
      <c r="M477" s="3" t="str">
        <f>IF($A477="","",IF(countif('Womens Lineup'!M$3:M1000,CONCATENATE("=",$A477))=0,"",M$2))</f>
        <v/>
      </c>
      <c r="N477" s="3" t="str">
        <f>IF($A477="","",IF(countif('Womens Lineup'!N$3:N1000,CONCATENATE("=",$A477))=0,"",N$2))</f>
        <v/>
      </c>
      <c r="O477" s="3" t="str">
        <f>IF($A477="","",IF(countif('Womens Lineup'!O$3:O1000,CONCATENATE("=",$A477))=0,"",O$2))</f>
        <v/>
      </c>
      <c r="P477" s="3" t="str">
        <f>IF($A477="","",IF(countif('Womens Lineup'!P$3:P1000,CONCATENATE("=",$A477))=0,"",P$2))</f>
        <v/>
      </c>
      <c r="Q477" s="3" t="str">
        <f>IF($A477="","",IF(countif('Womens Lineup'!Q$3:Q1000,CONCATENATE("=",$A477))=0,"",Q$2))</f>
        <v/>
      </c>
      <c r="R477" s="3" t="str">
        <f>IF($A477="","",IF(countif('Womens Lineup'!R$3:R1000,CONCATENATE("=",$A477))=0,"",R$2))</f>
        <v/>
      </c>
      <c r="S477" s="3" t="str">
        <f>IF($A477="","",IF(countif('Womens Lineup'!S$3:S1000,CONCATENATE("=",$A477))=0,"",S$2))</f>
        <v/>
      </c>
      <c r="W477" s="3" t="str">
        <f>IFERROR(__xludf.DUMMYFUNCTION("JOIN("","",FILTER(B477:S477,B477:S477&lt;&gt;""""))"),"#N/A")</f>
        <v>#N/A</v>
      </c>
    </row>
    <row r="478">
      <c r="A478" s="3"/>
      <c r="B478" s="3" t="str">
        <f>IF($A478="","",IF(countif('Womens Lineup'!B$3:B1000,CONCATENATE("=",$A478))=0,"",B$2))</f>
        <v/>
      </c>
      <c r="C478" s="3" t="str">
        <f>IF($A478="","",IF(countif('Womens Lineup'!C$3:C1000,CONCATENATE("=",$A478))=0,"",C$2))</f>
        <v/>
      </c>
      <c r="D478" s="3" t="str">
        <f>IF($A478="","",IF(countif('Womens Lineup'!D$3:D1000,CONCATENATE("=",$A478))=0,"",D$2))</f>
        <v/>
      </c>
      <c r="E478" s="3" t="str">
        <f>IF($A478="","",IF(countif('Womens Lineup'!E$3:E1000,CONCATENATE("=",$A478))=0,"",E$2))</f>
        <v/>
      </c>
      <c r="F478" s="3" t="str">
        <f>IF($A478="","",IF(countif('Womens Lineup'!F$3:F1000,CONCATENATE("=",$A478))=0,"",F$2))</f>
        <v/>
      </c>
      <c r="G478" s="3" t="str">
        <f>IF($A478="","",IF(countif('Womens Lineup'!G$3:G1000,CONCATENATE("=",$A478))=0,"",G$2))</f>
        <v/>
      </c>
      <c r="H478" s="3" t="str">
        <f>IF($A478="","",IF(countif('Womens Lineup'!H$3:H1000,CONCATENATE("=",$A478))=0,"",H$2))</f>
        <v/>
      </c>
      <c r="I478" s="3" t="str">
        <f>IF($A478="","",IF(countif('Womens Lineup'!I$3:I1000,CONCATENATE("=",$A478))=0,"",I$2))</f>
        <v/>
      </c>
      <c r="J478" s="3" t="str">
        <f>IF($A478="","",IF(countif('Womens Lineup'!J$3:J1000,CONCATENATE("=",$A478))=0,"",J$2))</f>
        <v/>
      </c>
      <c r="K478" s="3" t="str">
        <f>IF($A478="","",IF(countif('Womens Lineup'!K$3:K1000,CONCATENATE("=",$A478))=0,"",K$2))</f>
        <v/>
      </c>
      <c r="L478" s="3" t="str">
        <f>IF($A478="","",IF(countif('Womens Lineup'!L$3:L1000,CONCATENATE("=",$A478))=0,"",L$2))</f>
        <v/>
      </c>
      <c r="M478" s="3" t="str">
        <f>IF($A478="","",IF(countif('Womens Lineup'!M$3:M1000,CONCATENATE("=",$A478))=0,"",M$2))</f>
        <v/>
      </c>
      <c r="N478" s="3" t="str">
        <f>IF($A478="","",IF(countif('Womens Lineup'!N$3:N1000,CONCATENATE("=",$A478))=0,"",N$2))</f>
        <v/>
      </c>
      <c r="O478" s="3" t="str">
        <f>IF($A478="","",IF(countif('Womens Lineup'!O$3:O1000,CONCATENATE("=",$A478))=0,"",O$2))</f>
        <v/>
      </c>
      <c r="P478" s="3" t="str">
        <f>IF($A478="","",IF(countif('Womens Lineup'!P$3:P1000,CONCATENATE("=",$A478))=0,"",P$2))</f>
        <v/>
      </c>
      <c r="Q478" s="3" t="str">
        <f>IF($A478="","",IF(countif('Womens Lineup'!Q$3:Q1000,CONCATENATE("=",$A478))=0,"",Q$2))</f>
        <v/>
      </c>
      <c r="R478" s="3" t="str">
        <f>IF($A478="","",IF(countif('Womens Lineup'!R$3:R1000,CONCATENATE("=",$A478))=0,"",R$2))</f>
        <v/>
      </c>
      <c r="S478" s="3" t="str">
        <f>IF($A478="","",IF(countif('Womens Lineup'!S$3:S1000,CONCATENATE("=",$A478))=0,"",S$2))</f>
        <v/>
      </c>
      <c r="W478" s="3" t="str">
        <f>IFERROR(__xludf.DUMMYFUNCTION("JOIN("","",FILTER(B478:S478,B478:S478&lt;&gt;""""))"),"#N/A")</f>
        <v>#N/A</v>
      </c>
    </row>
    <row r="479">
      <c r="A479" s="3"/>
      <c r="B479" s="3" t="str">
        <f>IF($A479="","",IF(countif('Womens Lineup'!B$3:B1000,CONCATENATE("=",$A479))=0,"",B$2))</f>
        <v/>
      </c>
      <c r="C479" s="3" t="str">
        <f>IF($A479="","",IF(countif('Womens Lineup'!C$3:C1000,CONCATENATE("=",$A479))=0,"",C$2))</f>
        <v/>
      </c>
      <c r="D479" s="3" t="str">
        <f>IF($A479="","",IF(countif('Womens Lineup'!D$3:D1000,CONCATENATE("=",$A479))=0,"",D$2))</f>
        <v/>
      </c>
      <c r="E479" s="3" t="str">
        <f>IF($A479="","",IF(countif('Womens Lineup'!E$3:E1000,CONCATENATE("=",$A479))=0,"",E$2))</f>
        <v/>
      </c>
      <c r="F479" s="3" t="str">
        <f>IF($A479="","",IF(countif('Womens Lineup'!F$3:F1000,CONCATENATE("=",$A479))=0,"",F$2))</f>
        <v/>
      </c>
      <c r="G479" s="3" t="str">
        <f>IF($A479="","",IF(countif('Womens Lineup'!G$3:G1000,CONCATENATE("=",$A479))=0,"",G$2))</f>
        <v/>
      </c>
      <c r="H479" s="3" t="str">
        <f>IF($A479="","",IF(countif('Womens Lineup'!H$3:H1000,CONCATENATE("=",$A479))=0,"",H$2))</f>
        <v/>
      </c>
      <c r="I479" s="3" t="str">
        <f>IF($A479="","",IF(countif('Womens Lineup'!I$3:I1000,CONCATENATE("=",$A479))=0,"",I$2))</f>
        <v/>
      </c>
      <c r="J479" s="3" t="str">
        <f>IF($A479="","",IF(countif('Womens Lineup'!J$3:J1000,CONCATENATE("=",$A479))=0,"",J$2))</f>
        <v/>
      </c>
      <c r="K479" s="3" t="str">
        <f>IF($A479="","",IF(countif('Womens Lineup'!K$3:K1000,CONCATENATE("=",$A479))=0,"",K$2))</f>
        <v/>
      </c>
      <c r="L479" s="3" t="str">
        <f>IF($A479="","",IF(countif('Womens Lineup'!L$3:L1000,CONCATENATE("=",$A479))=0,"",L$2))</f>
        <v/>
      </c>
      <c r="M479" s="3" t="str">
        <f>IF($A479="","",IF(countif('Womens Lineup'!M$3:M1000,CONCATENATE("=",$A479))=0,"",M$2))</f>
        <v/>
      </c>
      <c r="N479" s="3" t="str">
        <f>IF($A479="","",IF(countif('Womens Lineup'!N$3:N1000,CONCATENATE("=",$A479))=0,"",N$2))</f>
        <v/>
      </c>
      <c r="O479" s="3" t="str">
        <f>IF($A479="","",IF(countif('Womens Lineup'!O$3:O1000,CONCATENATE("=",$A479))=0,"",O$2))</f>
        <v/>
      </c>
      <c r="P479" s="3" t="str">
        <f>IF($A479="","",IF(countif('Womens Lineup'!P$3:P1000,CONCATENATE("=",$A479))=0,"",P$2))</f>
        <v/>
      </c>
      <c r="Q479" s="3" t="str">
        <f>IF($A479="","",IF(countif('Womens Lineup'!Q$3:Q1000,CONCATENATE("=",$A479))=0,"",Q$2))</f>
        <v/>
      </c>
      <c r="R479" s="3" t="str">
        <f>IF($A479="","",IF(countif('Womens Lineup'!R$3:R1000,CONCATENATE("=",$A479))=0,"",R$2))</f>
        <v/>
      </c>
      <c r="S479" s="3" t="str">
        <f>IF($A479="","",IF(countif('Womens Lineup'!S$3:S1000,CONCATENATE("=",$A479))=0,"",S$2))</f>
        <v/>
      </c>
      <c r="W479" s="3" t="str">
        <f>IFERROR(__xludf.DUMMYFUNCTION("JOIN("","",FILTER(B479:S479,B479:S479&lt;&gt;""""))"),"#N/A")</f>
        <v>#N/A</v>
      </c>
    </row>
    <row r="480">
      <c r="A480" s="3"/>
      <c r="B480" s="3" t="str">
        <f>IF($A480="","",IF(countif('Womens Lineup'!B$3:B1000,CONCATENATE("=",$A480))=0,"",B$2))</f>
        <v/>
      </c>
      <c r="C480" s="3" t="str">
        <f>IF($A480="","",IF(countif('Womens Lineup'!C$3:C1000,CONCATENATE("=",$A480))=0,"",C$2))</f>
        <v/>
      </c>
      <c r="D480" s="3" t="str">
        <f>IF($A480="","",IF(countif('Womens Lineup'!D$3:D1000,CONCATENATE("=",$A480))=0,"",D$2))</f>
        <v/>
      </c>
      <c r="E480" s="3" t="str">
        <f>IF($A480="","",IF(countif('Womens Lineup'!E$3:E1000,CONCATENATE("=",$A480))=0,"",E$2))</f>
        <v/>
      </c>
      <c r="F480" s="3" t="str">
        <f>IF($A480="","",IF(countif('Womens Lineup'!F$3:F1000,CONCATENATE("=",$A480))=0,"",F$2))</f>
        <v/>
      </c>
      <c r="G480" s="3" t="str">
        <f>IF($A480="","",IF(countif('Womens Lineup'!G$3:G1000,CONCATENATE("=",$A480))=0,"",G$2))</f>
        <v/>
      </c>
      <c r="H480" s="3" t="str">
        <f>IF($A480="","",IF(countif('Womens Lineup'!H$3:H1000,CONCATENATE("=",$A480))=0,"",H$2))</f>
        <v/>
      </c>
      <c r="I480" s="3" t="str">
        <f>IF($A480="","",IF(countif('Womens Lineup'!I$3:I1000,CONCATENATE("=",$A480))=0,"",I$2))</f>
        <v/>
      </c>
      <c r="J480" s="3" t="str">
        <f>IF($A480="","",IF(countif('Womens Lineup'!J$3:J1000,CONCATENATE("=",$A480))=0,"",J$2))</f>
        <v/>
      </c>
      <c r="K480" s="3" t="str">
        <f>IF($A480="","",IF(countif('Womens Lineup'!K$3:K1000,CONCATENATE("=",$A480))=0,"",K$2))</f>
        <v/>
      </c>
      <c r="L480" s="3" t="str">
        <f>IF($A480="","",IF(countif('Womens Lineup'!L$3:L1000,CONCATENATE("=",$A480))=0,"",L$2))</f>
        <v/>
      </c>
      <c r="M480" s="3" t="str">
        <f>IF($A480="","",IF(countif('Womens Lineup'!M$3:M1000,CONCATENATE("=",$A480))=0,"",M$2))</f>
        <v/>
      </c>
      <c r="N480" s="3" t="str">
        <f>IF($A480="","",IF(countif('Womens Lineup'!N$3:N1000,CONCATENATE("=",$A480))=0,"",N$2))</f>
        <v/>
      </c>
      <c r="O480" s="3" t="str">
        <f>IF($A480="","",IF(countif('Womens Lineup'!O$3:O1000,CONCATENATE("=",$A480))=0,"",O$2))</f>
        <v/>
      </c>
      <c r="P480" s="3" t="str">
        <f>IF($A480="","",IF(countif('Womens Lineup'!P$3:P1000,CONCATENATE("=",$A480))=0,"",P$2))</f>
        <v/>
      </c>
      <c r="Q480" s="3" t="str">
        <f>IF($A480="","",IF(countif('Womens Lineup'!Q$3:Q1000,CONCATENATE("=",$A480))=0,"",Q$2))</f>
        <v/>
      </c>
      <c r="R480" s="3" t="str">
        <f>IF($A480="","",IF(countif('Womens Lineup'!R$3:R1000,CONCATENATE("=",$A480))=0,"",R$2))</f>
        <v/>
      </c>
      <c r="S480" s="3" t="str">
        <f>IF($A480="","",IF(countif('Womens Lineup'!S$3:S1000,CONCATENATE("=",$A480))=0,"",S$2))</f>
        <v/>
      </c>
      <c r="W480" s="3" t="str">
        <f>IFERROR(__xludf.DUMMYFUNCTION("JOIN("","",FILTER(B480:S480,B480:S480&lt;&gt;""""))"),"#N/A")</f>
        <v>#N/A</v>
      </c>
    </row>
    <row r="481">
      <c r="A481" s="3"/>
      <c r="B481" s="3" t="str">
        <f>IF($A481="","",IF(countif('Womens Lineup'!B$3:B1000,CONCATENATE("=",$A481))=0,"",B$2))</f>
        <v/>
      </c>
      <c r="C481" s="3" t="str">
        <f>IF($A481="","",IF(countif('Womens Lineup'!C$3:C1000,CONCATENATE("=",$A481))=0,"",C$2))</f>
        <v/>
      </c>
      <c r="D481" s="3" t="str">
        <f>IF($A481="","",IF(countif('Womens Lineup'!D$3:D1000,CONCATENATE("=",$A481))=0,"",D$2))</f>
        <v/>
      </c>
      <c r="E481" s="3" t="str">
        <f>IF($A481="","",IF(countif('Womens Lineup'!E$3:E1000,CONCATENATE("=",$A481))=0,"",E$2))</f>
        <v/>
      </c>
      <c r="F481" s="3" t="str">
        <f>IF($A481="","",IF(countif('Womens Lineup'!F$3:F1000,CONCATENATE("=",$A481))=0,"",F$2))</f>
        <v/>
      </c>
      <c r="G481" s="3" t="str">
        <f>IF($A481="","",IF(countif('Womens Lineup'!G$3:G1000,CONCATENATE("=",$A481))=0,"",G$2))</f>
        <v/>
      </c>
      <c r="H481" s="3" t="str">
        <f>IF($A481="","",IF(countif('Womens Lineup'!H$3:H1000,CONCATENATE("=",$A481))=0,"",H$2))</f>
        <v/>
      </c>
      <c r="I481" s="3" t="str">
        <f>IF($A481="","",IF(countif('Womens Lineup'!I$3:I1000,CONCATENATE("=",$A481))=0,"",I$2))</f>
        <v/>
      </c>
      <c r="J481" s="3" t="str">
        <f>IF($A481="","",IF(countif('Womens Lineup'!J$3:J1000,CONCATENATE("=",$A481))=0,"",J$2))</f>
        <v/>
      </c>
      <c r="K481" s="3" t="str">
        <f>IF($A481="","",IF(countif('Womens Lineup'!K$3:K1000,CONCATENATE("=",$A481))=0,"",K$2))</f>
        <v/>
      </c>
      <c r="L481" s="3" t="str">
        <f>IF($A481="","",IF(countif('Womens Lineup'!L$3:L1000,CONCATENATE("=",$A481))=0,"",L$2))</f>
        <v/>
      </c>
      <c r="M481" s="3" t="str">
        <f>IF($A481="","",IF(countif('Womens Lineup'!M$3:M1000,CONCATENATE("=",$A481))=0,"",M$2))</f>
        <v/>
      </c>
      <c r="N481" s="3" t="str">
        <f>IF($A481="","",IF(countif('Womens Lineup'!N$3:N1000,CONCATENATE("=",$A481))=0,"",N$2))</f>
        <v/>
      </c>
      <c r="O481" s="3" t="str">
        <f>IF($A481="","",IF(countif('Womens Lineup'!O$3:O1000,CONCATENATE("=",$A481))=0,"",O$2))</f>
        <v/>
      </c>
      <c r="P481" s="3" t="str">
        <f>IF($A481="","",IF(countif('Womens Lineup'!P$3:P1000,CONCATENATE("=",$A481))=0,"",P$2))</f>
        <v/>
      </c>
      <c r="Q481" s="3" t="str">
        <f>IF($A481="","",IF(countif('Womens Lineup'!Q$3:Q1000,CONCATENATE("=",$A481))=0,"",Q$2))</f>
        <v/>
      </c>
      <c r="R481" s="3" t="str">
        <f>IF($A481="","",IF(countif('Womens Lineup'!R$3:R1000,CONCATENATE("=",$A481))=0,"",R$2))</f>
        <v/>
      </c>
      <c r="S481" s="3" t="str">
        <f>IF($A481="","",IF(countif('Womens Lineup'!S$3:S1000,CONCATENATE("=",$A481))=0,"",S$2))</f>
        <v/>
      </c>
      <c r="W481" s="3" t="str">
        <f>IFERROR(__xludf.DUMMYFUNCTION("JOIN("","",FILTER(B481:S481,B481:S481&lt;&gt;""""))"),"#N/A")</f>
        <v>#N/A</v>
      </c>
    </row>
    <row r="482">
      <c r="A482" s="3"/>
      <c r="B482" s="3" t="str">
        <f>IF($A482="","",IF(countif('Womens Lineup'!B$3:B1000,CONCATENATE("=",$A482))=0,"",B$2))</f>
        <v/>
      </c>
      <c r="C482" s="3" t="str">
        <f>IF($A482="","",IF(countif('Womens Lineup'!C$3:C1000,CONCATENATE("=",$A482))=0,"",C$2))</f>
        <v/>
      </c>
      <c r="D482" s="3" t="str">
        <f>IF($A482="","",IF(countif('Womens Lineup'!D$3:D1000,CONCATENATE("=",$A482))=0,"",D$2))</f>
        <v/>
      </c>
      <c r="E482" s="3" t="str">
        <f>IF($A482="","",IF(countif('Womens Lineup'!E$3:E1000,CONCATENATE("=",$A482))=0,"",E$2))</f>
        <v/>
      </c>
      <c r="F482" s="3" t="str">
        <f>IF($A482="","",IF(countif('Womens Lineup'!F$3:F1000,CONCATENATE("=",$A482))=0,"",F$2))</f>
        <v/>
      </c>
      <c r="G482" s="3" t="str">
        <f>IF($A482="","",IF(countif('Womens Lineup'!G$3:G1000,CONCATENATE("=",$A482))=0,"",G$2))</f>
        <v/>
      </c>
      <c r="H482" s="3" t="str">
        <f>IF($A482="","",IF(countif('Womens Lineup'!H$3:H1000,CONCATENATE("=",$A482))=0,"",H$2))</f>
        <v/>
      </c>
      <c r="I482" s="3" t="str">
        <f>IF($A482="","",IF(countif('Womens Lineup'!I$3:I1000,CONCATENATE("=",$A482))=0,"",I$2))</f>
        <v/>
      </c>
      <c r="J482" s="3" t="str">
        <f>IF($A482="","",IF(countif('Womens Lineup'!J$3:J1000,CONCATENATE("=",$A482))=0,"",J$2))</f>
        <v/>
      </c>
      <c r="K482" s="3" t="str">
        <f>IF($A482="","",IF(countif('Womens Lineup'!K$3:K1000,CONCATENATE("=",$A482))=0,"",K$2))</f>
        <v/>
      </c>
      <c r="L482" s="3" t="str">
        <f>IF($A482="","",IF(countif('Womens Lineup'!L$3:L1000,CONCATENATE("=",$A482))=0,"",L$2))</f>
        <v/>
      </c>
      <c r="M482" s="3" t="str">
        <f>IF($A482="","",IF(countif('Womens Lineup'!M$3:M1000,CONCATENATE("=",$A482))=0,"",M$2))</f>
        <v/>
      </c>
      <c r="N482" s="3" t="str">
        <f>IF($A482="","",IF(countif('Womens Lineup'!N$3:N1000,CONCATENATE("=",$A482))=0,"",N$2))</f>
        <v/>
      </c>
      <c r="O482" s="3" t="str">
        <f>IF($A482="","",IF(countif('Womens Lineup'!O$3:O1000,CONCATENATE("=",$A482))=0,"",O$2))</f>
        <v/>
      </c>
      <c r="P482" s="3" t="str">
        <f>IF($A482="","",IF(countif('Womens Lineup'!P$3:P1000,CONCATENATE("=",$A482))=0,"",P$2))</f>
        <v/>
      </c>
      <c r="Q482" s="3" t="str">
        <f>IF($A482="","",IF(countif('Womens Lineup'!Q$3:Q1000,CONCATENATE("=",$A482))=0,"",Q$2))</f>
        <v/>
      </c>
      <c r="R482" s="3" t="str">
        <f>IF($A482="","",IF(countif('Womens Lineup'!R$3:R1000,CONCATENATE("=",$A482))=0,"",R$2))</f>
        <v/>
      </c>
      <c r="S482" s="3" t="str">
        <f>IF($A482="","",IF(countif('Womens Lineup'!S$3:S1000,CONCATENATE("=",$A482))=0,"",S$2))</f>
        <v/>
      </c>
      <c r="W482" s="3" t="str">
        <f>IFERROR(__xludf.DUMMYFUNCTION("JOIN("","",FILTER(B482:S482,B482:S482&lt;&gt;""""))"),"#N/A")</f>
        <v>#N/A</v>
      </c>
    </row>
    <row r="483">
      <c r="A483" s="3"/>
      <c r="B483" s="3" t="str">
        <f>IF($A483="","",IF(countif('Womens Lineup'!B$3:B1000,CONCATENATE("=",$A483))=0,"",B$2))</f>
        <v/>
      </c>
      <c r="C483" s="3" t="str">
        <f>IF($A483="","",IF(countif('Womens Lineup'!C$3:C1000,CONCATENATE("=",$A483))=0,"",C$2))</f>
        <v/>
      </c>
      <c r="D483" s="3" t="str">
        <f>IF($A483="","",IF(countif('Womens Lineup'!D$3:D1000,CONCATENATE("=",$A483))=0,"",D$2))</f>
        <v/>
      </c>
      <c r="E483" s="3" t="str">
        <f>IF($A483="","",IF(countif('Womens Lineup'!E$3:E1000,CONCATENATE("=",$A483))=0,"",E$2))</f>
        <v/>
      </c>
      <c r="F483" s="3" t="str">
        <f>IF($A483="","",IF(countif('Womens Lineup'!F$3:F1000,CONCATENATE("=",$A483))=0,"",F$2))</f>
        <v/>
      </c>
      <c r="G483" s="3" t="str">
        <f>IF($A483="","",IF(countif('Womens Lineup'!G$3:G1000,CONCATENATE("=",$A483))=0,"",G$2))</f>
        <v/>
      </c>
      <c r="H483" s="3" t="str">
        <f>IF($A483="","",IF(countif('Womens Lineup'!H$3:H1000,CONCATENATE("=",$A483))=0,"",H$2))</f>
        <v/>
      </c>
      <c r="I483" s="3" t="str">
        <f>IF($A483="","",IF(countif('Womens Lineup'!I$3:I1000,CONCATENATE("=",$A483))=0,"",I$2))</f>
        <v/>
      </c>
      <c r="J483" s="3" t="str">
        <f>IF($A483="","",IF(countif('Womens Lineup'!J$3:J1000,CONCATENATE("=",$A483))=0,"",J$2))</f>
        <v/>
      </c>
      <c r="K483" s="3" t="str">
        <f>IF($A483="","",IF(countif('Womens Lineup'!K$3:K1000,CONCATENATE("=",$A483))=0,"",K$2))</f>
        <v/>
      </c>
      <c r="L483" s="3" t="str">
        <f>IF($A483="","",IF(countif('Womens Lineup'!L$3:L1000,CONCATENATE("=",$A483))=0,"",L$2))</f>
        <v/>
      </c>
      <c r="M483" s="3" t="str">
        <f>IF($A483="","",IF(countif('Womens Lineup'!M$3:M1000,CONCATENATE("=",$A483))=0,"",M$2))</f>
        <v/>
      </c>
      <c r="N483" s="3" t="str">
        <f>IF($A483="","",IF(countif('Womens Lineup'!N$3:N1000,CONCATENATE("=",$A483))=0,"",N$2))</f>
        <v/>
      </c>
      <c r="O483" s="3" t="str">
        <f>IF($A483="","",IF(countif('Womens Lineup'!O$3:O1000,CONCATENATE("=",$A483))=0,"",O$2))</f>
        <v/>
      </c>
      <c r="P483" s="3" t="str">
        <f>IF($A483="","",IF(countif('Womens Lineup'!P$3:P1000,CONCATENATE("=",$A483))=0,"",P$2))</f>
        <v/>
      </c>
      <c r="Q483" s="3" t="str">
        <f>IF($A483="","",IF(countif('Womens Lineup'!Q$3:Q1000,CONCATENATE("=",$A483))=0,"",Q$2))</f>
        <v/>
      </c>
      <c r="R483" s="3" t="str">
        <f>IF($A483="","",IF(countif('Womens Lineup'!R$3:R1000,CONCATENATE("=",$A483))=0,"",R$2))</f>
        <v/>
      </c>
      <c r="S483" s="3" t="str">
        <f>IF($A483="","",IF(countif('Womens Lineup'!S$3:S1000,CONCATENATE("=",$A483))=0,"",S$2))</f>
        <v/>
      </c>
      <c r="W483" s="3" t="str">
        <f>IFERROR(__xludf.DUMMYFUNCTION("JOIN("","",FILTER(B483:S483,B483:S483&lt;&gt;""""))"),"#N/A")</f>
        <v>#N/A</v>
      </c>
    </row>
    <row r="484">
      <c r="A484" s="3"/>
      <c r="B484" s="3" t="str">
        <f>IF($A484="","",IF(countif('Womens Lineup'!B$3:B1000,CONCATENATE("=",$A484))=0,"",B$2))</f>
        <v/>
      </c>
      <c r="C484" s="3" t="str">
        <f>IF($A484="","",IF(countif('Womens Lineup'!C$3:C1000,CONCATENATE("=",$A484))=0,"",C$2))</f>
        <v/>
      </c>
      <c r="D484" s="3" t="str">
        <f>IF($A484="","",IF(countif('Womens Lineup'!D$3:D1000,CONCATENATE("=",$A484))=0,"",D$2))</f>
        <v/>
      </c>
      <c r="E484" s="3" t="str">
        <f>IF($A484="","",IF(countif('Womens Lineup'!E$3:E1000,CONCATENATE("=",$A484))=0,"",E$2))</f>
        <v/>
      </c>
      <c r="F484" s="3" t="str">
        <f>IF($A484="","",IF(countif('Womens Lineup'!F$3:F1000,CONCATENATE("=",$A484))=0,"",F$2))</f>
        <v/>
      </c>
      <c r="G484" s="3" t="str">
        <f>IF($A484="","",IF(countif('Womens Lineup'!G$3:G1000,CONCATENATE("=",$A484))=0,"",G$2))</f>
        <v/>
      </c>
      <c r="H484" s="3" t="str">
        <f>IF($A484="","",IF(countif('Womens Lineup'!H$3:H1000,CONCATENATE("=",$A484))=0,"",H$2))</f>
        <v/>
      </c>
      <c r="I484" s="3" t="str">
        <f>IF($A484="","",IF(countif('Womens Lineup'!I$3:I1000,CONCATENATE("=",$A484))=0,"",I$2))</f>
        <v/>
      </c>
      <c r="J484" s="3" t="str">
        <f>IF($A484="","",IF(countif('Womens Lineup'!J$3:J1000,CONCATENATE("=",$A484))=0,"",J$2))</f>
        <v/>
      </c>
      <c r="K484" s="3" t="str">
        <f>IF($A484="","",IF(countif('Womens Lineup'!K$3:K1000,CONCATENATE("=",$A484))=0,"",K$2))</f>
        <v/>
      </c>
      <c r="L484" s="3" t="str">
        <f>IF($A484="","",IF(countif('Womens Lineup'!L$3:L1000,CONCATENATE("=",$A484))=0,"",L$2))</f>
        <v/>
      </c>
      <c r="M484" s="3" t="str">
        <f>IF($A484="","",IF(countif('Womens Lineup'!M$3:M1000,CONCATENATE("=",$A484))=0,"",M$2))</f>
        <v/>
      </c>
      <c r="N484" s="3" t="str">
        <f>IF($A484="","",IF(countif('Womens Lineup'!N$3:N1000,CONCATENATE("=",$A484))=0,"",N$2))</f>
        <v/>
      </c>
      <c r="O484" s="3" t="str">
        <f>IF($A484="","",IF(countif('Womens Lineup'!O$3:O1000,CONCATENATE("=",$A484))=0,"",O$2))</f>
        <v/>
      </c>
      <c r="P484" s="3" t="str">
        <f>IF($A484="","",IF(countif('Womens Lineup'!P$3:P1000,CONCATENATE("=",$A484))=0,"",P$2))</f>
        <v/>
      </c>
      <c r="Q484" s="3" t="str">
        <f>IF($A484="","",IF(countif('Womens Lineup'!Q$3:Q1000,CONCATENATE("=",$A484))=0,"",Q$2))</f>
        <v/>
      </c>
      <c r="R484" s="3" t="str">
        <f>IF($A484="","",IF(countif('Womens Lineup'!R$3:R1000,CONCATENATE("=",$A484))=0,"",R$2))</f>
        <v/>
      </c>
      <c r="S484" s="3" t="str">
        <f>IF($A484="","",IF(countif('Womens Lineup'!S$3:S1000,CONCATENATE("=",$A484))=0,"",S$2))</f>
        <v/>
      </c>
      <c r="W484" s="3" t="str">
        <f>IFERROR(__xludf.DUMMYFUNCTION("JOIN("","",FILTER(B484:S484,B484:S484&lt;&gt;""""))"),"#N/A")</f>
        <v>#N/A</v>
      </c>
    </row>
    <row r="485">
      <c r="A485" s="3"/>
      <c r="B485" s="3" t="str">
        <f>IF($A485="","",IF(countif('Womens Lineup'!B$3:B1000,CONCATENATE("=",$A485))=0,"",B$2))</f>
        <v/>
      </c>
      <c r="C485" s="3" t="str">
        <f>IF($A485="","",IF(countif('Womens Lineup'!C$3:C1000,CONCATENATE("=",$A485))=0,"",C$2))</f>
        <v/>
      </c>
      <c r="D485" s="3" t="str">
        <f>IF($A485="","",IF(countif('Womens Lineup'!D$3:D1000,CONCATENATE("=",$A485))=0,"",D$2))</f>
        <v/>
      </c>
      <c r="E485" s="3" t="str">
        <f>IF($A485="","",IF(countif('Womens Lineup'!E$3:E1000,CONCATENATE("=",$A485))=0,"",E$2))</f>
        <v/>
      </c>
      <c r="F485" s="3" t="str">
        <f>IF($A485="","",IF(countif('Womens Lineup'!F$3:F1000,CONCATENATE("=",$A485))=0,"",F$2))</f>
        <v/>
      </c>
      <c r="G485" s="3" t="str">
        <f>IF($A485="","",IF(countif('Womens Lineup'!G$3:G1000,CONCATENATE("=",$A485))=0,"",G$2))</f>
        <v/>
      </c>
      <c r="H485" s="3" t="str">
        <f>IF($A485="","",IF(countif('Womens Lineup'!H$3:H1000,CONCATENATE("=",$A485))=0,"",H$2))</f>
        <v/>
      </c>
      <c r="I485" s="3" t="str">
        <f>IF($A485="","",IF(countif('Womens Lineup'!I$3:I1000,CONCATENATE("=",$A485))=0,"",I$2))</f>
        <v/>
      </c>
      <c r="J485" s="3" t="str">
        <f>IF($A485="","",IF(countif('Womens Lineup'!J$3:J1000,CONCATENATE("=",$A485))=0,"",J$2))</f>
        <v/>
      </c>
      <c r="K485" s="3" t="str">
        <f>IF($A485="","",IF(countif('Womens Lineup'!K$3:K1000,CONCATENATE("=",$A485))=0,"",K$2))</f>
        <v/>
      </c>
      <c r="L485" s="3" t="str">
        <f>IF($A485="","",IF(countif('Womens Lineup'!L$3:L1000,CONCATENATE("=",$A485))=0,"",L$2))</f>
        <v/>
      </c>
      <c r="M485" s="3" t="str">
        <f>IF($A485="","",IF(countif('Womens Lineup'!M$3:M1000,CONCATENATE("=",$A485))=0,"",M$2))</f>
        <v/>
      </c>
      <c r="N485" s="3" t="str">
        <f>IF($A485="","",IF(countif('Womens Lineup'!N$3:N1000,CONCATENATE("=",$A485))=0,"",N$2))</f>
        <v/>
      </c>
      <c r="O485" s="3" t="str">
        <f>IF($A485="","",IF(countif('Womens Lineup'!O$3:O1000,CONCATENATE("=",$A485))=0,"",O$2))</f>
        <v/>
      </c>
      <c r="P485" s="3" t="str">
        <f>IF($A485="","",IF(countif('Womens Lineup'!P$3:P1000,CONCATENATE("=",$A485))=0,"",P$2))</f>
        <v/>
      </c>
      <c r="Q485" s="3" t="str">
        <f>IF($A485="","",IF(countif('Womens Lineup'!Q$3:Q1000,CONCATENATE("=",$A485))=0,"",Q$2))</f>
        <v/>
      </c>
      <c r="R485" s="3" t="str">
        <f>IF($A485="","",IF(countif('Womens Lineup'!R$3:R1000,CONCATENATE("=",$A485))=0,"",R$2))</f>
        <v/>
      </c>
      <c r="S485" s="3" t="str">
        <f>IF($A485="","",IF(countif('Womens Lineup'!S$3:S1000,CONCATENATE("=",$A485))=0,"",S$2))</f>
        <v/>
      </c>
      <c r="W485" s="3" t="str">
        <f>IFERROR(__xludf.DUMMYFUNCTION("JOIN("","",FILTER(B485:S485,B485:S485&lt;&gt;""""))"),"#N/A")</f>
        <v>#N/A</v>
      </c>
    </row>
    <row r="486">
      <c r="A486" s="3"/>
      <c r="B486" s="3" t="str">
        <f>IF($A486="","",IF(countif('Womens Lineup'!B$3:B1000,CONCATENATE("=",$A486))=0,"",B$2))</f>
        <v/>
      </c>
      <c r="C486" s="3" t="str">
        <f>IF($A486="","",IF(countif('Womens Lineup'!C$3:C1000,CONCATENATE("=",$A486))=0,"",C$2))</f>
        <v/>
      </c>
      <c r="D486" s="3" t="str">
        <f>IF($A486="","",IF(countif('Womens Lineup'!D$3:D1000,CONCATENATE("=",$A486))=0,"",D$2))</f>
        <v/>
      </c>
      <c r="E486" s="3" t="str">
        <f>IF($A486="","",IF(countif('Womens Lineup'!E$3:E1000,CONCATENATE("=",$A486))=0,"",E$2))</f>
        <v/>
      </c>
      <c r="F486" s="3" t="str">
        <f>IF($A486="","",IF(countif('Womens Lineup'!F$3:F1000,CONCATENATE("=",$A486))=0,"",F$2))</f>
        <v/>
      </c>
      <c r="G486" s="3" t="str">
        <f>IF($A486="","",IF(countif('Womens Lineup'!G$3:G1000,CONCATENATE("=",$A486))=0,"",G$2))</f>
        <v/>
      </c>
      <c r="H486" s="3" t="str">
        <f>IF($A486="","",IF(countif('Womens Lineup'!H$3:H1000,CONCATENATE("=",$A486))=0,"",H$2))</f>
        <v/>
      </c>
      <c r="I486" s="3" t="str">
        <f>IF($A486="","",IF(countif('Womens Lineup'!I$3:I1000,CONCATENATE("=",$A486))=0,"",I$2))</f>
        <v/>
      </c>
      <c r="J486" s="3" t="str">
        <f>IF($A486="","",IF(countif('Womens Lineup'!J$3:J1000,CONCATENATE("=",$A486))=0,"",J$2))</f>
        <v/>
      </c>
      <c r="K486" s="3" t="str">
        <f>IF($A486="","",IF(countif('Womens Lineup'!K$3:K1000,CONCATENATE("=",$A486))=0,"",K$2))</f>
        <v/>
      </c>
      <c r="L486" s="3" t="str">
        <f>IF($A486="","",IF(countif('Womens Lineup'!L$3:L1000,CONCATENATE("=",$A486))=0,"",L$2))</f>
        <v/>
      </c>
      <c r="M486" s="3" t="str">
        <f>IF($A486="","",IF(countif('Womens Lineup'!M$3:M1000,CONCATENATE("=",$A486))=0,"",M$2))</f>
        <v/>
      </c>
      <c r="N486" s="3" t="str">
        <f>IF($A486="","",IF(countif('Womens Lineup'!N$3:N1000,CONCATENATE("=",$A486))=0,"",N$2))</f>
        <v/>
      </c>
      <c r="O486" s="3" t="str">
        <f>IF($A486="","",IF(countif('Womens Lineup'!O$3:O1000,CONCATENATE("=",$A486))=0,"",O$2))</f>
        <v/>
      </c>
      <c r="P486" s="3" t="str">
        <f>IF($A486="","",IF(countif('Womens Lineup'!P$3:P1000,CONCATENATE("=",$A486))=0,"",P$2))</f>
        <v/>
      </c>
      <c r="Q486" s="3" t="str">
        <f>IF($A486="","",IF(countif('Womens Lineup'!Q$3:Q1000,CONCATENATE("=",$A486))=0,"",Q$2))</f>
        <v/>
      </c>
      <c r="R486" s="3" t="str">
        <f>IF($A486="","",IF(countif('Womens Lineup'!R$3:R1000,CONCATENATE("=",$A486))=0,"",R$2))</f>
        <v/>
      </c>
      <c r="S486" s="3" t="str">
        <f>IF($A486="","",IF(countif('Womens Lineup'!S$3:S1000,CONCATENATE("=",$A486))=0,"",S$2))</f>
        <v/>
      </c>
      <c r="W486" s="3" t="str">
        <f>IFERROR(__xludf.DUMMYFUNCTION("JOIN("","",FILTER(B486:S486,B486:S486&lt;&gt;""""))"),"#N/A")</f>
        <v>#N/A</v>
      </c>
    </row>
    <row r="487">
      <c r="A487" s="3"/>
      <c r="B487" s="3" t="str">
        <f>IF($A487="","",IF(countif('Womens Lineup'!B$3:B1000,CONCATENATE("=",$A487))=0,"",B$2))</f>
        <v/>
      </c>
      <c r="C487" s="3" t="str">
        <f>IF($A487="","",IF(countif('Womens Lineup'!C$3:C1000,CONCATENATE("=",$A487))=0,"",C$2))</f>
        <v/>
      </c>
      <c r="D487" s="3" t="str">
        <f>IF($A487="","",IF(countif('Womens Lineup'!D$3:D1000,CONCATENATE("=",$A487))=0,"",D$2))</f>
        <v/>
      </c>
      <c r="E487" s="3" t="str">
        <f>IF($A487="","",IF(countif('Womens Lineup'!E$3:E1000,CONCATENATE("=",$A487))=0,"",E$2))</f>
        <v/>
      </c>
      <c r="F487" s="3" t="str">
        <f>IF($A487="","",IF(countif('Womens Lineup'!F$3:F1000,CONCATENATE("=",$A487))=0,"",F$2))</f>
        <v/>
      </c>
      <c r="G487" s="3" t="str">
        <f>IF($A487="","",IF(countif('Womens Lineup'!G$3:G1000,CONCATENATE("=",$A487))=0,"",G$2))</f>
        <v/>
      </c>
      <c r="H487" s="3" t="str">
        <f>IF($A487="","",IF(countif('Womens Lineup'!H$3:H1000,CONCATENATE("=",$A487))=0,"",H$2))</f>
        <v/>
      </c>
      <c r="I487" s="3" t="str">
        <f>IF($A487="","",IF(countif('Womens Lineup'!I$3:I1000,CONCATENATE("=",$A487))=0,"",I$2))</f>
        <v/>
      </c>
      <c r="J487" s="3" t="str">
        <f>IF($A487="","",IF(countif('Womens Lineup'!J$3:J1000,CONCATENATE("=",$A487))=0,"",J$2))</f>
        <v/>
      </c>
      <c r="K487" s="3" t="str">
        <f>IF($A487="","",IF(countif('Womens Lineup'!K$3:K1000,CONCATENATE("=",$A487))=0,"",K$2))</f>
        <v/>
      </c>
      <c r="L487" s="3" t="str">
        <f>IF($A487="","",IF(countif('Womens Lineup'!L$3:L1000,CONCATENATE("=",$A487))=0,"",L$2))</f>
        <v/>
      </c>
      <c r="M487" s="3" t="str">
        <f>IF($A487="","",IF(countif('Womens Lineup'!M$3:M1000,CONCATENATE("=",$A487))=0,"",M$2))</f>
        <v/>
      </c>
      <c r="N487" s="3" t="str">
        <f>IF($A487="","",IF(countif('Womens Lineup'!N$3:N1000,CONCATENATE("=",$A487))=0,"",N$2))</f>
        <v/>
      </c>
      <c r="O487" s="3" t="str">
        <f>IF($A487="","",IF(countif('Womens Lineup'!O$3:O1000,CONCATENATE("=",$A487))=0,"",O$2))</f>
        <v/>
      </c>
      <c r="P487" s="3" t="str">
        <f>IF($A487="","",IF(countif('Womens Lineup'!P$3:P1000,CONCATENATE("=",$A487))=0,"",P$2))</f>
        <v/>
      </c>
      <c r="Q487" s="3" t="str">
        <f>IF($A487="","",IF(countif('Womens Lineup'!Q$3:Q1000,CONCATENATE("=",$A487))=0,"",Q$2))</f>
        <v/>
      </c>
      <c r="R487" s="3" t="str">
        <f>IF($A487="","",IF(countif('Womens Lineup'!R$3:R1000,CONCATENATE("=",$A487))=0,"",R$2))</f>
        <v/>
      </c>
      <c r="S487" s="3" t="str">
        <f>IF($A487="","",IF(countif('Womens Lineup'!S$3:S1000,CONCATENATE("=",$A487))=0,"",S$2))</f>
        <v/>
      </c>
      <c r="W487" s="3" t="str">
        <f>IFERROR(__xludf.DUMMYFUNCTION("JOIN("","",FILTER(B487:S487,B487:S487&lt;&gt;""""))"),"#N/A")</f>
        <v>#N/A</v>
      </c>
    </row>
    <row r="488">
      <c r="A488" s="3"/>
      <c r="B488" s="3" t="str">
        <f>IF($A488="","",IF(countif('Womens Lineup'!B$3:B1000,CONCATENATE("=",$A488))=0,"",B$2))</f>
        <v/>
      </c>
      <c r="C488" s="3" t="str">
        <f>IF($A488="","",IF(countif('Womens Lineup'!C$3:C1000,CONCATENATE("=",$A488))=0,"",C$2))</f>
        <v/>
      </c>
      <c r="D488" s="3" t="str">
        <f>IF($A488="","",IF(countif('Womens Lineup'!D$3:D1000,CONCATENATE("=",$A488))=0,"",D$2))</f>
        <v/>
      </c>
      <c r="E488" s="3" t="str">
        <f>IF($A488="","",IF(countif('Womens Lineup'!E$3:E1000,CONCATENATE("=",$A488))=0,"",E$2))</f>
        <v/>
      </c>
      <c r="F488" s="3" t="str">
        <f>IF($A488="","",IF(countif('Womens Lineup'!F$3:F1000,CONCATENATE("=",$A488))=0,"",F$2))</f>
        <v/>
      </c>
      <c r="G488" s="3" t="str">
        <f>IF($A488="","",IF(countif('Womens Lineup'!G$3:G1000,CONCATENATE("=",$A488))=0,"",G$2))</f>
        <v/>
      </c>
      <c r="H488" s="3" t="str">
        <f>IF($A488="","",IF(countif('Womens Lineup'!H$3:H1000,CONCATENATE("=",$A488))=0,"",H$2))</f>
        <v/>
      </c>
      <c r="I488" s="3" t="str">
        <f>IF($A488="","",IF(countif('Womens Lineup'!I$3:I1000,CONCATENATE("=",$A488))=0,"",I$2))</f>
        <v/>
      </c>
      <c r="J488" s="3" t="str">
        <f>IF($A488="","",IF(countif('Womens Lineup'!J$3:J1000,CONCATENATE("=",$A488))=0,"",J$2))</f>
        <v/>
      </c>
      <c r="K488" s="3" t="str">
        <f>IF($A488="","",IF(countif('Womens Lineup'!K$3:K1000,CONCATENATE("=",$A488))=0,"",K$2))</f>
        <v/>
      </c>
      <c r="L488" s="3" t="str">
        <f>IF($A488="","",IF(countif('Womens Lineup'!L$3:L1000,CONCATENATE("=",$A488))=0,"",L$2))</f>
        <v/>
      </c>
      <c r="M488" s="3" t="str">
        <f>IF($A488="","",IF(countif('Womens Lineup'!M$3:M1000,CONCATENATE("=",$A488))=0,"",M$2))</f>
        <v/>
      </c>
      <c r="N488" s="3" t="str">
        <f>IF($A488="","",IF(countif('Womens Lineup'!N$3:N1000,CONCATENATE("=",$A488))=0,"",N$2))</f>
        <v/>
      </c>
      <c r="O488" s="3" t="str">
        <f>IF($A488="","",IF(countif('Womens Lineup'!O$3:O1000,CONCATENATE("=",$A488))=0,"",O$2))</f>
        <v/>
      </c>
      <c r="P488" s="3" t="str">
        <f>IF($A488="","",IF(countif('Womens Lineup'!P$3:P1000,CONCATENATE("=",$A488))=0,"",P$2))</f>
        <v/>
      </c>
      <c r="Q488" s="3" t="str">
        <f>IF($A488="","",IF(countif('Womens Lineup'!Q$3:Q1000,CONCATENATE("=",$A488))=0,"",Q$2))</f>
        <v/>
      </c>
      <c r="R488" s="3" t="str">
        <f>IF($A488="","",IF(countif('Womens Lineup'!R$3:R1000,CONCATENATE("=",$A488))=0,"",R$2))</f>
        <v/>
      </c>
      <c r="S488" s="3" t="str">
        <f>IF($A488="","",IF(countif('Womens Lineup'!S$3:S1000,CONCATENATE("=",$A488))=0,"",S$2))</f>
        <v/>
      </c>
      <c r="W488" s="3" t="str">
        <f>IFERROR(__xludf.DUMMYFUNCTION("JOIN("","",FILTER(B488:S488,B488:S488&lt;&gt;""""))"),"#N/A")</f>
        <v>#N/A</v>
      </c>
    </row>
    <row r="489">
      <c r="A489" s="3"/>
      <c r="B489" s="3" t="str">
        <f>IF($A489="","",IF(countif('Womens Lineup'!B$3:B1000,CONCATENATE("=",$A489))=0,"",B$2))</f>
        <v/>
      </c>
      <c r="C489" s="3" t="str">
        <f>IF($A489="","",IF(countif('Womens Lineup'!C$3:C1000,CONCATENATE("=",$A489))=0,"",C$2))</f>
        <v/>
      </c>
      <c r="D489" s="3" t="str">
        <f>IF($A489="","",IF(countif('Womens Lineup'!D$3:D1000,CONCATENATE("=",$A489))=0,"",D$2))</f>
        <v/>
      </c>
      <c r="E489" s="3" t="str">
        <f>IF($A489="","",IF(countif('Womens Lineup'!E$3:E1000,CONCATENATE("=",$A489))=0,"",E$2))</f>
        <v/>
      </c>
      <c r="F489" s="3" t="str">
        <f>IF($A489="","",IF(countif('Womens Lineup'!F$3:F1000,CONCATENATE("=",$A489))=0,"",F$2))</f>
        <v/>
      </c>
      <c r="G489" s="3" t="str">
        <f>IF($A489="","",IF(countif('Womens Lineup'!G$3:G1000,CONCATENATE("=",$A489))=0,"",G$2))</f>
        <v/>
      </c>
      <c r="H489" s="3" t="str">
        <f>IF($A489="","",IF(countif('Womens Lineup'!H$3:H1000,CONCATENATE("=",$A489))=0,"",H$2))</f>
        <v/>
      </c>
      <c r="I489" s="3" t="str">
        <f>IF($A489="","",IF(countif('Womens Lineup'!I$3:I1000,CONCATENATE("=",$A489))=0,"",I$2))</f>
        <v/>
      </c>
      <c r="J489" s="3" t="str">
        <f>IF($A489="","",IF(countif('Womens Lineup'!J$3:J1000,CONCATENATE("=",$A489))=0,"",J$2))</f>
        <v/>
      </c>
      <c r="K489" s="3" t="str">
        <f>IF($A489="","",IF(countif('Womens Lineup'!K$3:K1000,CONCATENATE("=",$A489))=0,"",K$2))</f>
        <v/>
      </c>
      <c r="L489" s="3" t="str">
        <f>IF($A489="","",IF(countif('Womens Lineup'!L$3:L1000,CONCATENATE("=",$A489))=0,"",L$2))</f>
        <v/>
      </c>
      <c r="M489" s="3" t="str">
        <f>IF($A489="","",IF(countif('Womens Lineup'!M$3:M1000,CONCATENATE("=",$A489))=0,"",M$2))</f>
        <v/>
      </c>
      <c r="N489" s="3" t="str">
        <f>IF($A489="","",IF(countif('Womens Lineup'!N$3:N1000,CONCATENATE("=",$A489))=0,"",N$2))</f>
        <v/>
      </c>
      <c r="O489" s="3" t="str">
        <f>IF($A489="","",IF(countif('Womens Lineup'!O$3:O1000,CONCATENATE("=",$A489))=0,"",O$2))</f>
        <v/>
      </c>
      <c r="P489" s="3" t="str">
        <f>IF($A489="","",IF(countif('Womens Lineup'!P$3:P1000,CONCATENATE("=",$A489))=0,"",P$2))</f>
        <v/>
      </c>
      <c r="Q489" s="3" t="str">
        <f>IF($A489="","",IF(countif('Womens Lineup'!Q$3:Q1000,CONCATENATE("=",$A489))=0,"",Q$2))</f>
        <v/>
      </c>
      <c r="R489" s="3" t="str">
        <f>IF($A489="","",IF(countif('Womens Lineup'!R$3:R1000,CONCATENATE("=",$A489))=0,"",R$2))</f>
        <v/>
      </c>
      <c r="S489" s="3" t="str">
        <f>IF($A489="","",IF(countif('Womens Lineup'!S$3:S1000,CONCATENATE("=",$A489))=0,"",S$2))</f>
        <v/>
      </c>
      <c r="W489" s="3" t="str">
        <f>IFERROR(__xludf.DUMMYFUNCTION("JOIN("","",FILTER(B489:S489,B489:S489&lt;&gt;""""))"),"#N/A")</f>
        <v>#N/A</v>
      </c>
    </row>
    <row r="490">
      <c r="A490" s="3"/>
      <c r="B490" s="3" t="str">
        <f>IF($A490="","",IF(countif('Womens Lineup'!B$3:B1000,CONCATENATE("=",$A490))=0,"",B$2))</f>
        <v/>
      </c>
      <c r="C490" s="3" t="str">
        <f>IF($A490="","",IF(countif('Womens Lineup'!C$3:C1000,CONCATENATE("=",$A490))=0,"",C$2))</f>
        <v/>
      </c>
      <c r="D490" s="3" t="str">
        <f>IF($A490="","",IF(countif('Womens Lineup'!D$3:D1000,CONCATENATE("=",$A490))=0,"",D$2))</f>
        <v/>
      </c>
      <c r="E490" s="3" t="str">
        <f>IF($A490="","",IF(countif('Womens Lineup'!E$3:E1000,CONCATENATE("=",$A490))=0,"",E$2))</f>
        <v/>
      </c>
      <c r="F490" s="3" t="str">
        <f>IF($A490="","",IF(countif('Womens Lineup'!F$3:F1000,CONCATENATE("=",$A490))=0,"",F$2))</f>
        <v/>
      </c>
      <c r="G490" s="3" t="str">
        <f>IF($A490="","",IF(countif('Womens Lineup'!G$3:G1000,CONCATENATE("=",$A490))=0,"",G$2))</f>
        <v/>
      </c>
      <c r="H490" s="3" t="str">
        <f>IF($A490="","",IF(countif('Womens Lineup'!H$3:H1000,CONCATENATE("=",$A490))=0,"",H$2))</f>
        <v/>
      </c>
      <c r="I490" s="3" t="str">
        <f>IF($A490="","",IF(countif('Womens Lineup'!I$3:I1000,CONCATENATE("=",$A490))=0,"",I$2))</f>
        <v/>
      </c>
      <c r="J490" s="3" t="str">
        <f>IF($A490="","",IF(countif('Womens Lineup'!J$3:J1000,CONCATENATE("=",$A490))=0,"",J$2))</f>
        <v/>
      </c>
      <c r="K490" s="3" t="str">
        <f>IF($A490="","",IF(countif('Womens Lineup'!K$3:K1000,CONCATENATE("=",$A490))=0,"",K$2))</f>
        <v/>
      </c>
      <c r="L490" s="3" t="str">
        <f>IF($A490="","",IF(countif('Womens Lineup'!L$3:L1000,CONCATENATE("=",$A490))=0,"",L$2))</f>
        <v/>
      </c>
      <c r="M490" s="3" t="str">
        <f>IF($A490="","",IF(countif('Womens Lineup'!M$3:M1000,CONCATENATE("=",$A490))=0,"",M$2))</f>
        <v/>
      </c>
      <c r="N490" s="3" t="str">
        <f>IF($A490="","",IF(countif('Womens Lineup'!N$3:N1000,CONCATENATE("=",$A490))=0,"",N$2))</f>
        <v/>
      </c>
      <c r="O490" s="3" t="str">
        <f>IF($A490="","",IF(countif('Womens Lineup'!O$3:O1000,CONCATENATE("=",$A490))=0,"",O$2))</f>
        <v/>
      </c>
      <c r="P490" s="3" t="str">
        <f>IF($A490="","",IF(countif('Womens Lineup'!P$3:P1000,CONCATENATE("=",$A490))=0,"",P$2))</f>
        <v/>
      </c>
      <c r="Q490" s="3" t="str">
        <f>IF($A490="","",IF(countif('Womens Lineup'!Q$3:Q1000,CONCATENATE("=",$A490))=0,"",Q$2))</f>
        <v/>
      </c>
      <c r="R490" s="3" t="str">
        <f>IF($A490="","",IF(countif('Womens Lineup'!R$3:R1000,CONCATENATE("=",$A490))=0,"",R$2))</f>
        <v/>
      </c>
      <c r="S490" s="3" t="str">
        <f>IF($A490="","",IF(countif('Womens Lineup'!S$3:S1000,CONCATENATE("=",$A490))=0,"",S$2))</f>
        <v/>
      </c>
      <c r="W490" s="3" t="str">
        <f>IFERROR(__xludf.DUMMYFUNCTION("JOIN("","",FILTER(B490:S490,B490:S490&lt;&gt;""""))"),"#N/A")</f>
        <v>#N/A</v>
      </c>
    </row>
    <row r="491">
      <c r="A491" s="3"/>
      <c r="B491" s="3" t="str">
        <f>IF($A491="","",IF(countif('Womens Lineup'!B$3:B1000,CONCATENATE("=",$A491))=0,"",B$2))</f>
        <v/>
      </c>
      <c r="C491" s="3" t="str">
        <f>IF($A491="","",IF(countif('Womens Lineup'!C$3:C1000,CONCATENATE("=",$A491))=0,"",C$2))</f>
        <v/>
      </c>
      <c r="D491" s="3" t="str">
        <f>IF($A491="","",IF(countif('Womens Lineup'!D$3:D1000,CONCATENATE("=",$A491))=0,"",D$2))</f>
        <v/>
      </c>
      <c r="E491" s="3" t="str">
        <f>IF($A491="","",IF(countif('Womens Lineup'!E$3:E1000,CONCATENATE("=",$A491))=0,"",E$2))</f>
        <v/>
      </c>
      <c r="F491" s="3" t="str">
        <f>IF($A491="","",IF(countif('Womens Lineup'!F$3:F1000,CONCATENATE("=",$A491))=0,"",F$2))</f>
        <v/>
      </c>
      <c r="G491" s="3" t="str">
        <f>IF($A491="","",IF(countif('Womens Lineup'!G$3:G1000,CONCATENATE("=",$A491))=0,"",G$2))</f>
        <v/>
      </c>
      <c r="H491" s="3" t="str">
        <f>IF($A491="","",IF(countif('Womens Lineup'!H$3:H1000,CONCATENATE("=",$A491))=0,"",H$2))</f>
        <v/>
      </c>
      <c r="I491" s="3" t="str">
        <f>IF($A491="","",IF(countif('Womens Lineup'!I$3:I1000,CONCATENATE("=",$A491))=0,"",I$2))</f>
        <v/>
      </c>
      <c r="J491" s="3" t="str">
        <f>IF($A491="","",IF(countif('Womens Lineup'!J$3:J1000,CONCATENATE("=",$A491))=0,"",J$2))</f>
        <v/>
      </c>
      <c r="K491" s="3" t="str">
        <f>IF($A491="","",IF(countif('Womens Lineup'!K$3:K1000,CONCATENATE("=",$A491))=0,"",K$2))</f>
        <v/>
      </c>
      <c r="L491" s="3" t="str">
        <f>IF($A491="","",IF(countif('Womens Lineup'!L$3:L1000,CONCATENATE("=",$A491))=0,"",L$2))</f>
        <v/>
      </c>
      <c r="M491" s="3" t="str">
        <f>IF($A491="","",IF(countif('Womens Lineup'!M$3:M1000,CONCATENATE("=",$A491))=0,"",M$2))</f>
        <v/>
      </c>
      <c r="N491" s="3" t="str">
        <f>IF($A491="","",IF(countif('Womens Lineup'!N$3:N1000,CONCATENATE("=",$A491))=0,"",N$2))</f>
        <v/>
      </c>
      <c r="O491" s="3" t="str">
        <f>IF($A491="","",IF(countif('Womens Lineup'!O$3:O1000,CONCATENATE("=",$A491))=0,"",O$2))</f>
        <v/>
      </c>
      <c r="P491" s="3" t="str">
        <f>IF($A491="","",IF(countif('Womens Lineup'!P$3:P1000,CONCATENATE("=",$A491))=0,"",P$2))</f>
        <v/>
      </c>
      <c r="Q491" s="3" t="str">
        <f>IF($A491="","",IF(countif('Womens Lineup'!Q$3:Q1000,CONCATENATE("=",$A491))=0,"",Q$2))</f>
        <v/>
      </c>
      <c r="R491" s="3" t="str">
        <f>IF($A491="","",IF(countif('Womens Lineup'!R$3:R1000,CONCATENATE("=",$A491))=0,"",R$2))</f>
        <v/>
      </c>
      <c r="S491" s="3" t="str">
        <f>IF($A491="","",IF(countif('Womens Lineup'!S$3:S1000,CONCATENATE("=",$A491))=0,"",S$2))</f>
        <v/>
      </c>
      <c r="W491" s="3" t="str">
        <f>IFERROR(__xludf.DUMMYFUNCTION("JOIN("","",FILTER(B491:S491,B491:S491&lt;&gt;""""))"),"#N/A")</f>
        <v>#N/A</v>
      </c>
    </row>
    <row r="492">
      <c r="A492" s="3"/>
      <c r="B492" s="3" t="str">
        <f>IF($A492="","",IF(countif('Womens Lineup'!B$3:B1000,CONCATENATE("=",$A492))=0,"",B$2))</f>
        <v/>
      </c>
      <c r="C492" s="3" t="str">
        <f>IF($A492="","",IF(countif('Womens Lineup'!C$3:C1000,CONCATENATE("=",$A492))=0,"",C$2))</f>
        <v/>
      </c>
      <c r="D492" s="3" t="str">
        <f>IF($A492="","",IF(countif('Womens Lineup'!D$3:D1000,CONCATENATE("=",$A492))=0,"",D$2))</f>
        <v/>
      </c>
      <c r="E492" s="3" t="str">
        <f>IF($A492="","",IF(countif('Womens Lineup'!E$3:E1000,CONCATENATE("=",$A492))=0,"",E$2))</f>
        <v/>
      </c>
      <c r="F492" s="3" t="str">
        <f>IF($A492="","",IF(countif('Womens Lineup'!F$3:F1000,CONCATENATE("=",$A492))=0,"",F$2))</f>
        <v/>
      </c>
      <c r="G492" s="3" t="str">
        <f>IF($A492="","",IF(countif('Womens Lineup'!G$3:G1000,CONCATENATE("=",$A492))=0,"",G$2))</f>
        <v/>
      </c>
      <c r="H492" s="3" t="str">
        <f>IF($A492="","",IF(countif('Womens Lineup'!H$3:H1000,CONCATENATE("=",$A492))=0,"",H$2))</f>
        <v/>
      </c>
      <c r="I492" s="3" t="str">
        <f>IF($A492="","",IF(countif('Womens Lineup'!I$3:I1000,CONCATENATE("=",$A492))=0,"",I$2))</f>
        <v/>
      </c>
      <c r="J492" s="3" t="str">
        <f>IF($A492="","",IF(countif('Womens Lineup'!J$3:J1000,CONCATENATE("=",$A492))=0,"",J$2))</f>
        <v/>
      </c>
      <c r="K492" s="3" t="str">
        <f>IF($A492="","",IF(countif('Womens Lineup'!K$3:K1000,CONCATENATE("=",$A492))=0,"",K$2))</f>
        <v/>
      </c>
      <c r="L492" s="3" t="str">
        <f>IF($A492="","",IF(countif('Womens Lineup'!L$3:L1000,CONCATENATE("=",$A492))=0,"",L$2))</f>
        <v/>
      </c>
      <c r="M492" s="3" t="str">
        <f>IF($A492="","",IF(countif('Womens Lineup'!M$3:M1000,CONCATENATE("=",$A492))=0,"",M$2))</f>
        <v/>
      </c>
      <c r="N492" s="3" t="str">
        <f>IF($A492="","",IF(countif('Womens Lineup'!N$3:N1000,CONCATENATE("=",$A492))=0,"",N$2))</f>
        <v/>
      </c>
      <c r="O492" s="3" t="str">
        <f>IF($A492="","",IF(countif('Womens Lineup'!O$3:O1000,CONCATENATE("=",$A492))=0,"",O$2))</f>
        <v/>
      </c>
      <c r="P492" s="3" t="str">
        <f>IF($A492="","",IF(countif('Womens Lineup'!P$3:P1000,CONCATENATE("=",$A492))=0,"",P$2))</f>
        <v/>
      </c>
      <c r="Q492" s="3" t="str">
        <f>IF($A492="","",IF(countif('Womens Lineup'!Q$3:Q1000,CONCATENATE("=",$A492))=0,"",Q$2))</f>
        <v/>
      </c>
      <c r="R492" s="3" t="str">
        <f>IF($A492="","",IF(countif('Womens Lineup'!R$3:R1000,CONCATENATE("=",$A492))=0,"",R$2))</f>
        <v/>
      </c>
      <c r="S492" s="3" t="str">
        <f>IF($A492="","",IF(countif('Womens Lineup'!S$3:S1000,CONCATENATE("=",$A492))=0,"",S$2))</f>
        <v/>
      </c>
      <c r="W492" s="3" t="str">
        <f>IFERROR(__xludf.DUMMYFUNCTION("JOIN("","",FILTER(B492:S492,B492:S492&lt;&gt;""""))"),"#N/A")</f>
        <v>#N/A</v>
      </c>
    </row>
    <row r="493">
      <c r="A493" s="3"/>
      <c r="B493" s="3" t="str">
        <f>IF($A493="","",IF(countif('Womens Lineup'!B$3:B1000,CONCATENATE("=",$A493))=0,"",B$2))</f>
        <v/>
      </c>
      <c r="C493" s="3" t="str">
        <f>IF($A493="","",IF(countif('Womens Lineup'!C$3:C1000,CONCATENATE("=",$A493))=0,"",C$2))</f>
        <v/>
      </c>
      <c r="D493" s="3" t="str">
        <f>IF($A493="","",IF(countif('Womens Lineup'!D$3:D1000,CONCATENATE("=",$A493))=0,"",D$2))</f>
        <v/>
      </c>
      <c r="E493" s="3" t="str">
        <f>IF($A493="","",IF(countif('Womens Lineup'!E$3:E1000,CONCATENATE("=",$A493))=0,"",E$2))</f>
        <v/>
      </c>
      <c r="F493" s="3" t="str">
        <f>IF($A493="","",IF(countif('Womens Lineup'!F$3:F1000,CONCATENATE("=",$A493))=0,"",F$2))</f>
        <v/>
      </c>
      <c r="G493" s="3" t="str">
        <f>IF($A493="","",IF(countif('Womens Lineup'!G$3:G1000,CONCATENATE("=",$A493))=0,"",G$2))</f>
        <v/>
      </c>
      <c r="H493" s="3" t="str">
        <f>IF($A493="","",IF(countif('Womens Lineup'!H$3:H1000,CONCATENATE("=",$A493))=0,"",H$2))</f>
        <v/>
      </c>
      <c r="I493" s="3" t="str">
        <f>IF($A493="","",IF(countif('Womens Lineup'!I$3:I1000,CONCATENATE("=",$A493))=0,"",I$2))</f>
        <v/>
      </c>
      <c r="J493" s="3" t="str">
        <f>IF($A493="","",IF(countif('Womens Lineup'!J$3:J1000,CONCATENATE("=",$A493))=0,"",J$2))</f>
        <v/>
      </c>
      <c r="K493" s="3" t="str">
        <f>IF($A493="","",IF(countif('Womens Lineup'!K$3:K1000,CONCATENATE("=",$A493))=0,"",K$2))</f>
        <v/>
      </c>
      <c r="L493" s="3" t="str">
        <f>IF($A493="","",IF(countif('Womens Lineup'!L$3:L1000,CONCATENATE("=",$A493))=0,"",L$2))</f>
        <v/>
      </c>
      <c r="M493" s="3" t="str">
        <f>IF($A493="","",IF(countif('Womens Lineup'!M$3:M1000,CONCATENATE("=",$A493))=0,"",M$2))</f>
        <v/>
      </c>
      <c r="N493" s="3" t="str">
        <f>IF($A493="","",IF(countif('Womens Lineup'!N$3:N1000,CONCATENATE("=",$A493))=0,"",N$2))</f>
        <v/>
      </c>
      <c r="O493" s="3" t="str">
        <f>IF($A493="","",IF(countif('Womens Lineup'!O$3:O1000,CONCATENATE("=",$A493))=0,"",O$2))</f>
        <v/>
      </c>
      <c r="P493" s="3" t="str">
        <f>IF($A493="","",IF(countif('Womens Lineup'!P$3:P1000,CONCATENATE("=",$A493))=0,"",P$2))</f>
        <v/>
      </c>
      <c r="Q493" s="3" t="str">
        <f>IF($A493="","",IF(countif('Womens Lineup'!Q$3:Q1000,CONCATENATE("=",$A493))=0,"",Q$2))</f>
        <v/>
      </c>
      <c r="R493" s="3" t="str">
        <f>IF($A493="","",IF(countif('Womens Lineup'!R$3:R1000,CONCATENATE("=",$A493))=0,"",R$2))</f>
        <v/>
      </c>
      <c r="S493" s="3" t="str">
        <f>IF($A493="","",IF(countif('Womens Lineup'!S$3:S1000,CONCATENATE("=",$A493))=0,"",S$2))</f>
        <v/>
      </c>
      <c r="W493" s="3" t="str">
        <f>IFERROR(__xludf.DUMMYFUNCTION("JOIN("","",FILTER(B493:S493,B493:S493&lt;&gt;""""))"),"#N/A")</f>
        <v>#N/A</v>
      </c>
    </row>
    <row r="494">
      <c r="A494" s="3"/>
      <c r="B494" s="3" t="str">
        <f>IF($A494="","",IF(countif('Womens Lineup'!B$3:B1000,CONCATENATE("=",$A494))=0,"",B$2))</f>
        <v/>
      </c>
      <c r="C494" s="3" t="str">
        <f>IF($A494="","",IF(countif('Womens Lineup'!C$3:C1000,CONCATENATE("=",$A494))=0,"",C$2))</f>
        <v/>
      </c>
      <c r="D494" s="3" t="str">
        <f>IF($A494="","",IF(countif('Womens Lineup'!D$3:D1000,CONCATENATE("=",$A494))=0,"",D$2))</f>
        <v/>
      </c>
      <c r="E494" s="3" t="str">
        <f>IF($A494="","",IF(countif('Womens Lineup'!E$3:E1000,CONCATENATE("=",$A494))=0,"",E$2))</f>
        <v/>
      </c>
      <c r="F494" s="3" t="str">
        <f>IF($A494="","",IF(countif('Womens Lineup'!F$3:F1000,CONCATENATE("=",$A494))=0,"",F$2))</f>
        <v/>
      </c>
      <c r="G494" s="3" t="str">
        <f>IF($A494="","",IF(countif('Womens Lineup'!G$3:G1000,CONCATENATE("=",$A494))=0,"",G$2))</f>
        <v/>
      </c>
      <c r="H494" s="3" t="str">
        <f>IF($A494="","",IF(countif('Womens Lineup'!H$3:H1000,CONCATENATE("=",$A494))=0,"",H$2))</f>
        <v/>
      </c>
      <c r="I494" s="3" t="str">
        <f>IF($A494="","",IF(countif('Womens Lineup'!I$3:I1000,CONCATENATE("=",$A494))=0,"",I$2))</f>
        <v/>
      </c>
      <c r="J494" s="3" t="str">
        <f>IF($A494="","",IF(countif('Womens Lineup'!J$3:J1000,CONCATENATE("=",$A494))=0,"",J$2))</f>
        <v/>
      </c>
      <c r="K494" s="3" t="str">
        <f>IF($A494="","",IF(countif('Womens Lineup'!K$3:K1000,CONCATENATE("=",$A494))=0,"",K$2))</f>
        <v/>
      </c>
      <c r="L494" s="3" t="str">
        <f>IF($A494="","",IF(countif('Womens Lineup'!L$3:L1000,CONCATENATE("=",$A494))=0,"",L$2))</f>
        <v/>
      </c>
      <c r="M494" s="3" t="str">
        <f>IF($A494="","",IF(countif('Womens Lineup'!M$3:M1000,CONCATENATE("=",$A494))=0,"",M$2))</f>
        <v/>
      </c>
      <c r="N494" s="3" t="str">
        <f>IF($A494="","",IF(countif('Womens Lineup'!N$3:N1000,CONCATENATE("=",$A494))=0,"",N$2))</f>
        <v/>
      </c>
      <c r="O494" s="3" t="str">
        <f>IF($A494="","",IF(countif('Womens Lineup'!O$3:O1000,CONCATENATE("=",$A494))=0,"",O$2))</f>
        <v/>
      </c>
      <c r="P494" s="3" t="str">
        <f>IF($A494="","",IF(countif('Womens Lineup'!P$3:P1000,CONCATENATE("=",$A494))=0,"",P$2))</f>
        <v/>
      </c>
      <c r="Q494" s="3" t="str">
        <f>IF($A494="","",IF(countif('Womens Lineup'!Q$3:Q1000,CONCATENATE("=",$A494))=0,"",Q$2))</f>
        <v/>
      </c>
      <c r="R494" s="3" t="str">
        <f>IF($A494="","",IF(countif('Womens Lineup'!R$3:R1000,CONCATENATE("=",$A494))=0,"",R$2))</f>
        <v/>
      </c>
      <c r="S494" s="3" t="str">
        <f>IF($A494="","",IF(countif('Womens Lineup'!S$3:S1000,CONCATENATE("=",$A494))=0,"",S$2))</f>
        <v/>
      </c>
      <c r="W494" s="3" t="str">
        <f>IFERROR(__xludf.DUMMYFUNCTION("JOIN("","",FILTER(B494:S494,B494:S494&lt;&gt;""""))"),"#N/A")</f>
        <v>#N/A</v>
      </c>
    </row>
    <row r="495">
      <c r="A495" s="3"/>
      <c r="B495" s="3" t="str">
        <f>IF($A495="","",IF(countif('Womens Lineup'!B$3:B1000,CONCATENATE("=",$A495))=0,"",B$2))</f>
        <v/>
      </c>
      <c r="C495" s="3" t="str">
        <f>IF($A495="","",IF(countif('Womens Lineup'!C$3:C1000,CONCATENATE("=",$A495))=0,"",C$2))</f>
        <v/>
      </c>
      <c r="D495" s="3" t="str">
        <f>IF($A495="","",IF(countif('Womens Lineup'!D$3:D1000,CONCATENATE("=",$A495))=0,"",D$2))</f>
        <v/>
      </c>
      <c r="E495" s="3" t="str">
        <f>IF($A495="","",IF(countif('Womens Lineup'!E$3:E1000,CONCATENATE("=",$A495))=0,"",E$2))</f>
        <v/>
      </c>
      <c r="F495" s="3" t="str">
        <f>IF($A495="","",IF(countif('Womens Lineup'!F$3:F1000,CONCATENATE("=",$A495))=0,"",F$2))</f>
        <v/>
      </c>
      <c r="G495" s="3" t="str">
        <f>IF($A495="","",IF(countif('Womens Lineup'!G$3:G1000,CONCATENATE("=",$A495))=0,"",G$2))</f>
        <v/>
      </c>
      <c r="H495" s="3" t="str">
        <f>IF($A495="","",IF(countif('Womens Lineup'!H$3:H1000,CONCATENATE("=",$A495))=0,"",H$2))</f>
        <v/>
      </c>
      <c r="I495" s="3" t="str">
        <f>IF($A495="","",IF(countif('Womens Lineup'!I$3:I1000,CONCATENATE("=",$A495))=0,"",I$2))</f>
        <v/>
      </c>
      <c r="J495" s="3" t="str">
        <f>IF($A495="","",IF(countif('Womens Lineup'!J$3:J1000,CONCATENATE("=",$A495))=0,"",J$2))</f>
        <v/>
      </c>
      <c r="K495" s="3" t="str">
        <f>IF($A495="","",IF(countif('Womens Lineup'!K$3:K1000,CONCATENATE("=",$A495))=0,"",K$2))</f>
        <v/>
      </c>
      <c r="L495" s="3" t="str">
        <f>IF($A495="","",IF(countif('Womens Lineup'!L$3:L1000,CONCATENATE("=",$A495))=0,"",L$2))</f>
        <v/>
      </c>
      <c r="M495" s="3" t="str">
        <f>IF($A495="","",IF(countif('Womens Lineup'!M$3:M1000,CONCATENATE("=",$A495))=0,"",M$2))</f>
        <v/>
      </c>
      <c r="N495" s="3" t="str">
        <f>IF($A495="","",IF(countif('Womens Lineup'!N$3:N1000,CONCATENATE("=",$A495))=0,"",N$2))</f>
        <v/>
      </c>
      <c r="O495" s="3" t="str">
        <f>IF($A495="","",IF(countif('Womens Lineup'!O$3:O1000,CONCATENATE("=",$A495))=0,"",O$2))</f>
        <v/>
      </c>
      <c r="P495" s="3" t="str">
        <f>IF($A495="","",IF(countif('Womens Lineup'!P$3:P1000,CONCATENATE("=",$A495))=0,"",P$2))</f>
        <v/>
      </c>
      <c r="Q495" s="3" t="str">
        <f>IF($A495="","",IF(countif('Womens Lineup'!Q$3:Q1000,CONCATENATE("=",$A495))=0,"",Q$2))</f>
        <v/>
      </c>
      <c r="R495" s="3" t="str">
        <f>IF($A495="","",IF(countif('Womens Lineup'!R$3:R1000,CONCATENATE("=",$A495))=0,"",R$2))</f>
        <v/>
      </c>
      <c r="S495" s="3" t="str">
        <f>IF($A495="","",IF(countif('Womens Lineup'!S$3:S1000,CONCATENATE("=",$A495))=0,"",S$2))</f>
        <v/>
      </c>
      <c r="W495" s="3" t="str">
        <f>IFERROR(__xludf.DUMMYFUNCTION("JOIN("","",FILTER(B495:S495,B495:S495&lt;&gt;""""))"),"#N/A")</f>
        <v>#N/A</v>
      </c>
    </row>
    <row r="496">
      <c r="A496" s="3"/>
      <c r="B496" s="3" t="str">
        <f>IF($A496="","",IF(countif('Womens Lineup'!B$3:B1000,CONCATENATE("=",$A496))=0,"",B$2))</f>
        <v/>
      </c>
      <c r="C496" s="3" t="str">
        <f>IF($A496="","",IF(countif('Womens Lineup'!C$3:C1000,CONCATENATE("=",$A496))=0,"",C$2))</f>
        <v/>
      </c>
      <c r="D496" s="3" t="str">
        <f>IF($A496="","",IF(countif('Womens Lineup'!D$3:D1000,CONCATENATE("=",$A496))=0,"",D$2))</f>
        <v/>
      </c>
      <c r="E496" s="3" t="str">
        <f>IF($A496="","",IF(countif('Womens Lineup'!E$3:E1000,CONCATENATE("=",$A496))=0,"",E$2))</f>
        <v/>
      </c>
      <c r="F496" s="3" t="str">
        <f>IF($A496="","",IF(countif('Womens Lineup'!F$3:F1000,CONCATENATE("=",$A496))=0,"",F$2))</f>
        <v/>
      </c>
      <c r="G496" s="3" t="str">
        <f>IF($A496="","",IF(countif('Womens Lineup'!G$3:G1000,CONCATENATE("=",$A496))=0,"",G$2))</f>
        <v/>
      </c>
      <c r="H496" s="3" t="str">
        <f>IF($A496="","",IF(countif('Womens Lineup'!H$3:H1000,CONCATENATE("=",$A496))=0,"",H$2))</f>
        <v/>
      </c>
      <c r="I496" s="3" t="str">
        <f>IF($A496="","",IF(countif('Womens Lineup'!I$3:I1000,CONCATENATE("=",$A496))=0,"",I$2))</f>
        <v/>
      </c>
      <c r="J496" s="3" t="str">
        <f>IF($A496="","",IF(countif('Womens Lineup'!J$3:J1000,CONCATENATE("=",$A496))=0,"",J$2))</f>
        <v/>
      </c>
      <c r="K496" s="3" t="str">
        <f>IF($A496="","",IF(countif('Womens Lineup'!K$3:K1000,CONCATENATE("=",$A496))=0,"",K$2))</f>
        <v/>
      </c>
      <c r="L496" s="3" t="str">
        <f>IF($A496="","",IF(countif('Womens Lineup'!L$3:L1000,CONCATENATE("=",$A496))=0,"",L$2))</f>
        <v/>
      </c>
      <c r="M496" s="3" t="str">
        <f>IF($A496="","",IF(countif('Womens Lineup'!M$3:M1000,CONCATENATE("=",$A496))=0,"",M$2))</f>
        <v/>
      </c>
      <c r="N496" s="3" t="str">
        <f>IF($A496="","",IF(countif('Womens Lineup'!N$3:N1000,CONCATENATE("=",$A496))=0,"",N$2))</f>
        <v/>
      </c>
      <c r="O496" s="3" t="str">
        <f>IF($A496="","",IF(countif('Womens Lineup'!O$3:O1000,CONCATENATE("=",$A496))=0,"",O$2))</f>
        <v/>
      </c>
      <c r="P496" s="3" t="str">
        <f>IF($A496="","",IF(countif('Womens Lineup'!P$3:P1000,CONCATENATE("=",$A496))=0,"",P$2))</f>
        <v/>
      </c>
      <c r="Q496" s="3" t="str">
        <f>IF($A496="","",IF(countif('Womens Lineup'!Q$3:Q1000,CONCATENATE("=",$A496))=0,"",Q$2))</f>
        <v/>
      </c>
      <c r="R496" s="3" t="str">
        <f>IF($A496="","",IF(countif('Womens Lineup'!R$3:R1000,CONCATENATE("=",$A496))=0,"",R$2))</f>
        <v/>
      </c>
      <c r="S496" s="3" t="str">
        <f>IF($A496="","",IF(countif('Womens Lineup'!S$3:S1000,CONCATENATE("=",$A496))=0,"",S$2))</f>
        <v/>
      </c>
      <c r="W496" s="3" t="str">
        <f>IFERROR(__xludf.DUMMYFUNCTION("JOIN("","",FILTER(B496:S496,B496:S496&lt;&gt;""""))"),"#N/A")</f>
        <v>#N/A</v>
      </c>
    </row>
    <row r="497">
      <c r="A497" s="3"/>
      <c r="B497" s="3" t="str">
        <f>IF($A497="","",IF(countif('Womens Lineup'!B$3:B1000,CONCATENATE("=",$A497))=0,"",B$2))</f>
        <v/>
      </c>
      <c r="C497" s="3" t="str">
        <f>IF($A497="","",IF(countif('Womens Lineup'!C$3:C1000,CONCATENATE("=",$A497))=0,"",C$2))</f>
        <v/>
      </c>
      <c r="D497" s="3" t="str">
        <f>IF($A497="","",IF(countif('Womens Lineup'!D$3:D1000,CONCATENATE("=",$A497))=0,"",D$2))</f>
        <v/>
      </c>
      <c r="E497" s="3" t="str">
        <f>IF($A497="","",IF(countif('Womens Lineup'!E$3:E1000,CONCATENATE("=",$A497))=0,"",E$2))</f>
        <v/>
      </c>
      <c r="F497" s="3" t="str">
        <f>IF($A497="","",IF(countif('Womens Lineup'!F$3:F1000,CONCATENATE("=",$A497))=0,"",F$2))</f>
        <v/>
      </c>
      <c r="G497" s="3" t="str">
        <f>IF($A497="","",IF(countif('Womens Lineup'!G$3:G1000,CONCATENATE("=",$A497))=0,"",G$2))</f>
        <v/>
      </c>
      <c r="H497" s="3" t="str">
        <f>IF($A497="","",IF(countif('Womens Lineup'!H$3:H1000,CONCATENATE("=",$A497))=0,"",H$2))</f>
        <v/>
      </c>
      <c r="I497" s="3" t="str">
        <f>IF($A497="","",IF(countif('Womens Lineup'!I$3:I1000,CONCATENATE("=",$A497))=0,"",I$2))</f>
        <v/>
      </c>
      <c r="J497" s="3" t="str">
        <f>IF($A497="","",IF(countif('Womens Lineup'!J$3:J1000,CONCATENATE("=",$A497))=0,"",J$2))</f>
        <v/>
      </c>
      <c r="K497" s="3" t="str">
        <f>IF($A497="","",IF(countif('Womens Lineup'!K$3:K1000,CONCATENATE("=",$A497))=0,"",K$2))</f>
        <v/>
      </c>
      <c r="L497" s="3" t="str">
        <f>IF($A497="","",IF(countif('Womens Lineup'!L$3:L1000,CONCATENATE("=",$A497))=0,"",L$2))</f>
        <v/>
      </c>
      <c r="M497" s="3" t="str">
        <f>IF($A497="","",IF(countif('Womens Lineup'!M$3:M1000,CONCATENATE("=",$A497))=0,"",M$2))</f>
        <v/>
      </c>
      <c r="N497" s="3" t="str">
        <f>IF($A497="","",IF(countif('Womens Lineup'!N$3:N1000,CONCATENATE("=",$A497))=0,"",N$2))</f>
        <v/>
      </c>
      <c r="O497" s="3" t="str">
        <f>IF($A497="","",IF(countif('Womens Lineup'!O$3:O1000,CONCATENATE("=",$A497))=0,"",O$2))</f>
        <v/>
      </c>
      <c r="P497" s="3" t="str">
        <f>IF($A497="","",IF(countif('Womens Lineup'!P$3:P1000,CONCATENATE("=",$A497))=0,"",P$2))</f>
        <v/>
      </c>
      <c r="Q497" s="3" t="str">
        <f>IF($A497="","",IF(countif('Womens Lineup'!Q$3:Q1000,CONCATENATE("=",$A497))=0,"",Q$2))</f>
        <v/>
      </c>
      <c r="R497" s="3" t="str">
        <f>IF($A497="","",IF(countif('Womens Lineup'!R$3:R1000,CONCATENATE("=",$A497))=0,"",R$2))</f>
        <v/>
      </c>
      <c r="S497" s="3" t="str">
        <f>IF($A497="","",IF(countif('Womens Lineup'!S$3:S1000,CONCATENATE("=",$A497))=0,"",S$2))</f>
        <v/>
      </c>
      <c r="W497" s="3" t="str">
        <f>IFERROR(__xludf.DUMMYFUNCTION("JOIN("","",FILTER(B497:S497,B497:S497&lt;&gt;""""))"),"#N/A")</f>
        <v>#N/A</v>
      </c>
    </row>
    <row r="498">
      <c r="A498" s="3"/>
      <c r="B498" s="3" t="str">
        <f>IF($A498="","",IF(countif('Womens Lineup'!B$3:B1000,CONCATENATE("=",$A498))=0,"",B$2))</f>
        <v/>
      </c>
      <c r="C498" s="3" t="str">
        <f>IF($A498="","",IF(countif('Womens Lineup'!C$3:C1000,CONCATENATE("=",$A498))=0,"",C$2))</f>
        <v/>
      </c>
      <c r="D498" s="3" t="str">
        <f>IF($A498="","",IF(countif('Womens Lineup'!D$3:D1000,CONCATENATE("=",$A498))=0,"",D$2))</f>
        <v/>
      </c>
      <c r="E498" s="3" t="str">
        <f>IF($A498="","",IF(countif('Womens Lineup'!E$3:E1000,CONCATENATE("=",$A498))=0,"",E$2))</f>
        <v/>
      </c>
      <c r="F498" s="3" t="str">
        <f>IF($A498="","",IF(countif('Womens Lineup'!F$3:F1000,CONCATENATE("=",$A498))=0,"",F$2))</f>
        <v/>
      </c>
      <c r="G498" s="3" t="str">
        <f>IF($A498="","",IF(countif('Womens Lineup'!G$3:G1000,CONCATENATE("=",$A498))=0,"",G$2))</f>
        <v/>
      </c>
      <c r="H498" s="3" t="str">
        <f>IF($A498="","",IF(countif('Womens Lineup'!H$3:H1000,CONCATENATE("=",$A498))=0,"",H$2))</f>
        <v/>
      </c>
      <c r="I498" s="3" t="str">
        <f>IF($A498="","",IF(countif('Womens Lineup'!I$3:I1000,CONCATENATE("=",$A498))=0,"",I$2))</f>
        <v/>
      </c>
      <c r="J498" s="3" t="str">
        <f>IF($A498="","",IF(countif('Womens Lineup'!J$3:J1000,CONCATENATE("=",$A498))=0,"",J$2))</f>
        <v/>
      </c>
      <c r="K498" s="3" t="str">
        <f>IF($A498="","",IF(countif('Womens Lineup'!K$3:K1000,CONCATENATE("=",$A498))=0,"",K$2))</f>
        <v/>
      </c>
      <c r="L498" s="3" t="str">
        <f>IF($A498="","",IF(countif('Womens Lineup'!L$3:L1000,CONCATENATE("=",$A498))=0,"",L$2))</f>
        <v/>
      </c>
      <c r="M498" s="3" t="str">
        <f>IF($A498="","",IF(countif('Womens Lineup'!M$3:M1000,CONCATENATE("=",$A498))=0,"",M$2))</f>
        <v/>
      </c>
      <c r="N498" s="3" t="str">
        <f>IF($A498="","",IF(countif('Womens Lineup'!N$3:N1000,CONCATENATE("=",$A498))=0,"",N$2))</f>
        <v/>
      </c>
      <c r="O498" s="3" t="str">
        <f>IF($A498="","",IF(countif('Womens Lineup'!O$3:O1000,CONCATENATE("=",$A498))=0,"",O$2))</f>
        <v/>
      </c>
      <c r="P498" s="3" t="str">
        <f>IF($A498="","",IF(countif('Womens Lineup'!P$3:P1000,CONCATENATE("=",$A498))=0,"",P$2))</f>
        <v/>
      </c>
      <c r="Q498" s="3" t="str">
        <f>IF($A498="","",IF(countif('Womens Lineup'!Q$3:Q1000,CONCATENATE("=",$A498))=0,"",Q$2))</f>
        <v/>
      </c>
      <c r="R498" s="3" t="str">
        <f>IF($A498="","",IF(countif('Womens Lineup'!R$3:R1000,CONCATENATE("=",$A498))=0,"",R$2))</f>
        <v/>
      </c>
      <c r="S498" s="3" t="str">
        <f>IF($A498="","",IF(countif('Womens Lineup'!S$3:S1000,CONCATENATE("=",$A498))=0,"",S$2))</f>
        <v/>
      </c>
      <c r="W498" s="3" t="str">
        <f>IFERROR(__xludf.DUMMYFUNCTION("JOIN("","",FILTER(B498:S498,B498:S498&lt;&gt;""""))"),"#N/A")</f>
        <v>#N/A</v>
      </c>
    </row>
    <row r="499">
      <c r="A499" s="3"/>
      <c r="B499" s="3" t="str">
        <f>IF($A499="","",IF(countif('Womens Lineup'!B$3:B1000,CONCATENATE("=",$A499))=0,"",B$2))</f>
        <v/>
      </c>
      <c r="C499" s="3" t="str">
        <f>IF($A499="","",IF(countif('Womens Lineup'!C$3:C1000,CONCATENATE("=",$A499))=0,"",C$2))</f>
        <v/>
      </c>
      <c r="D499" s="3" t="str">
        <f>IF($A499="","",IF(countif('Womens Lineup'!D$3:D1000,CONCATENATE("=",$A499))=0,"",D$2))</f>
        <v/>
      </c>
      <c r="E499" s="3" t="str">
        <f>IF($A499="","",IF(countif('Womens Lineup'!E$3:E1000,CONCATENATE("=",$A499))=0,"",E$2))</f>
        <v/>
      </c>
      <c r="F499" s="3" t="str">
        <f>IF($A499="","",IF(countif('Womens Lineup'!F$3:F1000,CONCATENATE("=",$A499))=0,"",F$2))</f>
        <v/>
      </c>
      <c r="G499" s="3" t="str">
        <f>IF($A499="","",IF(countif('Womens Lineup'!G$3:G1000,CONCATENATE("=",$A499))=0,"",G$2))</f>
        <v/>
      </c>
      <c r="H499" s="3" t="str">
        <f>IF($A499="","",IF(countif('Womens Lineup'!H$3:H1000,CONCATENATE("=",$A499))=0,"",H$2))</f>
        <v/>
      </c>
      <c r="I499" s="3" t="str">
        <f>IF($A499="","",IF(countif('Womens Lineup'!I$3:I1000,CONCATENATE("=",$A499))=0,"",I$2))</f>
        <v/>
      </c>
      <c r="J499" s="3" t="str">
        <f>IF($A499="","",IF(countif('Womens Lineup'!J$3:J1000,CONCATENATE("=",$A499))=0,"",J$2))</f>
        <v/>
      </c>
      <c r="K499" s="3" t="str">
        <f>IF($A499="","",IF(countif('Womens Lineup'!K$3:K1000,CONCATENATE("=",$A499))=0,"",K$2))</f>
        <v/>
      </c>
      <c r="L499" s="3" t="str">
        <f>IF($A499="","",IF(countif('Womens Lineup'!L$3:L1000,CONCATENATE("=",$A499))=0,"",L$2))</f>
        <v/>
      </c>
      <c r="M499" s="3" t="str">
        <f>IF($A499="","",IF(countif('Womens Lineup'!M$3:M1000,CONCATENATE("=",$A499))=0,"",M$2))</f>
        <v/>
      </c>
      <c r="N499" s="3" t="str">
        <f>IF($A499="","",IF(countif('Womens Lineup'!N$3:N1000,CONCATENATE("=",$A499))=0,"",N$2))</f>
        <v/>
      </c>
      <c r="O499" s="3" t="str">
        <f>IF($A499="","",IF(countif('Womens Lineup'!O$3:O1000,CONCATENATE("=",$A499))=0,"",O$2))</f>
        <v/>
      </c>
      <c r="P499" s="3" t="str">
        <f>IF($A499="","",IF(countif('Womens Lineup'!P$3:P1000,CONCATENATE("=",$A499))=0,"",P$2))</f>
        <v/>
      </c>
      <c r="Q499" s="3" t="str">
        <f>IF($A499="","",IF(countif('Womens Lineup'!Q$3:Q1000,CONCATENATE("=",$A499))=0,"",Q$2))</f>
        <v/>
      </c>
      <c r="R499" s="3" t="str">
        <f>IF($A499="","",IF(countif('Womens Lineup'!R$3:R1000,CONCATENATE("=",$A499))=0,"",R$2))</f>
        <v/>
      </c>
      <c r="S499" s="3" t="str">
        <f>IF($A499="","",IF(countif('Womens Lineup'!S$3:S1000,CONCATENATE("=",$A499))=0,"",S$2))</f>
        <v/>
      </c>
      <c r="W499" s="3" t="str">
        <f>IFERROR(__xludf.DUMMYFUNCTION("JOIN("","",FILTER(B499:S499,B499:S499&lt;&gt;""""))"),"#N/A")</f>
        <v>#N/A</v>
      </c>
    </row>
    <row r="500">
      <c r="A500" s="3"/>
      <c r="B500" s="3" t="str">
        <f>IF($A500="","",IF(countif('Womens Lineup'!B$3:B1000,CONCATENATE("=",$A500))=0,"",B$2))</f>
        <v/>
      </c>
      <c r="C500" s="3" t="str">
        <f>IF($A500="","",IF(countif('Womens Lineup'!C$3:C1000,CONCATENATE("=",$A500))=0,"",C$2))</f>
        <v/>
      </c>
      <c r="D500" s="3" t="str">
        <f>IF($A500="","",IF(countif('Womens Lineup'!D$3:D1000,CONCATENATE("=",$A500))=0,"",D$2))</f>
        <v/>
      </c>
      <c r="E500" s="3" t="str">
        <f>IF($A500="","",IF(countif('Womens Lineup'!E$3:E1000,CONCATENATE("=",$A500))=0,"",E$2))</f>
        <v/>
      </c>
      <c r="F500" s="3" t="str">
        <f>IF($A500="","",IF(countif('Womens Lineup'!F$3:F1000,CONCATENATE("=",$A500))=0,"",F$2))</f>
        <v/>
      </c>
      <c r="G500" s="3" t="str">
        <f>IF($A500="","",IF(countif('Womens Lineup'!G$3:G1000,CONCATENATE("=",$A500))=0,"",G$2))</f>
        <v/>
      </c>
      <c r="H500" s="3" t="str">
        <f>IF($A500="","",IF(countif('Womens Lineup'!H$3:H1000,CONCATENATE("=",$A500))=0,"",H$2))</f>
        <v/>
      </c>
      <c r="I500" s="3" t="str">
        <f>IF($A500="","",IF(countif('Womens Lineup'!I$3:I1000,CONCATENATE("=",$A500))=0,"",I$2))</f>
        <v/>
      </c>
      <c r="J500" s="3" t="str">
        <f>IF($A500="","",IF(countif('Womens Lineup'!J$3:J1000,CONCATENATE("=",$A500))=0,"",J$2))</f>
        <v/>
      </c>
      <c r="K500" s="3" t="str">
        <f>IF($A500="","",IF(countif('Womens Lineup'!K$3:K1000,CONCATENATE("=",$A500))=0,"",K$2))</f>
        <v/>
      </c>
      <c r="L500" s="3" t="str">
        <f>IF($A500="","",IF(countif('Womens Lineup'!L$3:L1000,CONCATENATE("=",$A500))=0,"",L$2))</f>
        <v/>
      </c>
      <c r="M500" s="3" t="str">
        <f>IF($A500="","",IF(countif('Womens Lineup'!M$3:M1000,CONCATENATE("=",$A500))=0,"",M$2))</f>
        <v/>
      </c>
      <c r="N500" s="3" t="str">
        <f>IF($A500="","",IF(countif('Womens Lineup'!N$3:N1000,CONCATENATE("=",$A500))=0,"",N$2))</f>
        <v/>
      </c>
      <c r="O500" s="3" t="str">
        <f>IF($A500="","",IF(countif('Womens Lineup'!O$3:O1000,CONCATENATE("=",$A500))=0,"",O$2))</f>
        <v/>
      </c>
      <c r="P500" s="3" t="str">
        <f>IF($A500="","",IF(countif('Womens Lineup'!P$3:P1000,CONCATENATE("=",$A500))=0,"",P$2))</f>
        <v/>
      </c>
      <c r="Q500" s="3" t="str">
        <f>IF($A500="","",IF(countif('Womens Lineup'!Q$3:Q1000,CONCATENATE("=",$A500))=0,"",Q$2))</f>
        <v/>
      </c>
      <c r="R500" s="3" t="str">
        <f>IF($A500="","",IF(countif('Womens Lineup'!R$3:R1000,CONCATENATE("=",$A500))=0,"",R$2))</f>
        <v/>
      </c>
      <c r="S500" s="3" t="str">
        <f>IF($A500="","",IF(countif('Womens Lineup'!S$3:S1000,CONCATENATE("=",$A500))=0,"",S$2))</f>
        <v/>
      </c>
      <c r="W500" s="3" t="str">
        <f>IFERROR(__xludf.DUMMYFUNCTION("JOIN("","",FILTER(B500:S500,B500:S500&lt;&gt;""""))"),"#N/A")</f>
        <v>#N/A</v>
      </c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608</v>
      </c>
    </row>
    <row r="2">
      <c r="A2" s="3" t="str">
        <f>IFERROR(__xludf.DUMMYFUNCTION("ARRAYFORMULA(IFERROR(Split('Mens Eventset'!W3:W1000,"",""),""""))"),"50 Free")</f>
        <v>50 Free</v>
      </c>
      <c r="B2" s="3" t="str">
        <f>IFERROR(__xludf.DUMMYFUNCTION("""COMPUTED_VALUE"""),"100 Free")</f>
        <v>100 Free</v>
      </c>
      <c r="C2" s="3" t="str">
        <f>IFERROR(__xludf.DUMMYFUNCTION("""COMPUTED_VALUE"""),"200 Free")</f>
        <v>200 Free</v>
      </c>
      <c r="D2" s="3" t="str">
        <f>IFERROR(__xludf.DUMMYFUNCTION("""COMPUTED_VALUE"""),"500 Free")</f>
        <v>500 Free</v>
      </c>
      <c r="E2" s="3" t="str">
        <f>IFERROR(__xludf.DUMMYFUNCTION("""COMPUTED_VALUE"""),"100 Fly")</f>
        <v>100 Fly</v>
      </c>
      <c r="F2" s="3" t="str">
        <f>IFERROR(__xludf.DUMMYFUNCTION("""COMPUTED_VALUE"""),"200 IM")</f>
        <v>200 IM</v>
      </c>
      <c r="G2" s="3"/>
    </row>
    <row r="3">
      <c r="A3" s="3" t="str">
        <f>IFERROR(__xludf.DUMMYFUNCTION("""COMPUTED_VALUE"""),"50 Free")</f>
        <v>50 Free</v>
      </c>
      <c r="B3" s="3" t="str">
        <f>IFERROR(__xludf.DUMMYFUNCTION("""COMPUTED_VALUE"""),"100 Free")</f>
        <v>100 Free</v>
      </c>
      <c r="C3" s="3" t="str">
        <f>IFERROR(__xludf.DUMMYFUNCTION("""COMPUTED_VALUE"""),"200 Free")</f>
        <v>200 Free</v>
      </c>
      <c r="D3" s="3" t="str">
        <f>IFERROR(__xludf.DUMMYFUNCTION("""COMPUTED_VALUE"""),"100 Fly")</f>
        <v>100 Fly</v>
      </c>
      <c r="E3" s="3"/>
      <c r="F3" s="3"/>
      <c r="G3" s="3"/>
    </row>
    <row r="4">
      <c r="A4" s="3" t="str">
        <f>IFERROR(__xludf.DUMMYFUNCTION("""COMPUTED_VALUE"""),"50 Free")</f>
        <v>50 Free</v>
      </c>
      <c r="B4" s="3" t="str">
        <f>IFERROR(__xludf.DUMMYFUNCTION("""COMPUTED_VALUE"""),"100 Free")</f>
        <v>100 Free</v>
      </c>
      <c r="C4" s="3" t="str">
        <f>IFERROR(__xludf.DUMMYFUNCTION("""COMPUTED_VALUE"""),"200 Free")</f>
        <v>200 Free</v>
      </c>
      <c r="D4" s="3" t="str">
        <f>IFERROR(__xludf.DUMMYFUNCTION("""COMPUTED_VALUE"""),"500 Free")</f>
        <v>500 Free</v>
      </c>
      <c r="E4" s="3" t="str">
        <f>IFERROR(__xludf.DUMMYFUNCTION("""COMPUTED_VALUE"""),"200 Back")</f>
        <v>200 Back</v>
      </c>
      <c r="F4" s="3" t="str">
        <f>IFERROR(__xludf.DUMMYFUNCTION("""COMPUTED_VALUE"""),"400 IM")</f>
        <v>400 IM</v>
      </c>
      <c r="G4" s="3"/>
    </row>
    <row r="5">
      <c r="A5" s="3" t="str">
        <f>IFERROR(__xludf.DUMMYFUNCTION("""COMPUTED_VALUE"""),"50 Free")</f>
        <v>50 Free</v>
      </c>
      <c r="B5" s="3" t="str">
        <f>IFERROR(__xludf.DUMMYFUNCTION("""COMPUTED_VALUE"""),"100 Free")</f>
        <v>100 Free</v>
      </c>
      <c r="C5" s="3" t="str">
        <f>IFERROR(__xludf.DUMMYFUNCTION("""COMPUTED_VALUE"""),"100 Breast")</f>
        <v>100 Breast</v>
      </c>
      <c r="D5" s="3" t="str">
        <f>IFERROR(__xludf.DUMMYFUNCTION("""COMPUTED_VALUE"""),"200 Breast")</f>
        <v>200 Breast</v>
      </c>
      <c r="E5" s="3" t="str">
        <f>IFERROR(__xludf.DUMMYFUNCTION("""COMPUTED_VALUE"""),"200 IM")</f>
        <v>200 IM</v>
      </c>
      <c r="F5" s="3"/>
      <c r="G5" s="3"/>
    </row>
    <row r="6">
      <c r="A6" s="3" t="str">
        <f>IFERROR(__xludf.DUMMYFUNCTION("""COMPUTED_VALUE"""),"50 Free")</f>
        <v>50 Free</v>
      </c>
      <c r="B6" s="3" t="str">
        <f>IFERROR(__xludf.DUMMYFUNCTION("""COMPUTED_VALUE"""),"100 Free")</f>
        <v>100 Free</v>
      </c>
      <c r="C6" s="3" t="str">
        <f>IFERROR(__xludf.DUMMYFUNCTION("""COMPUTED_VALUE"""),"200 Free")</f>
        <v>200 Free</v>
      </c>
      <c r="D6" s="3" t="str">
        <f>IFERROR(__xludf.DUMMYFUNCTION("""COMPUTED_VALUE"""),"100 Back")</f>
        <v>100 Back</v>
      </c>
      <c r="E6" s="3" t="str">
        <f>IFERROR(__xludf.DUMMYFUNCTION("""COMPUTED_VALUE"""),"200 Back")</f>
        <v>200 Back</v>
      </c>
      <c r="F6" s="3" t="str">
        <f>IFERROR(__xludf.DUMMYFUNCTION("""COMPUTED_VALUE"""),"100 Fly")</f>
        <v>100 Fly</v>
      </c>
      <c r="G6" s="3"/>
    </row>
    <row r="7">
      <c r="A7" s="3" t="str">
        <f>IFERROR(__xludf.DUMMYFUNCTION("""COMPUTED_VALUE"""),"50 Free")</f>
        <v>50 Free</v>
      </c>
      <c r="B7" s="3" t="str">
        <f>IFERROR(__xludf.DUMMYFUNCTION("""COMPUTED_VALUE"""),"100 Free")</f>
        <v>100 Free</v>
      </c>
      <c r="C7" s="3" t="str">
        <f>IFERROR(__xludf.DUMMYFUNCTION("""COMPUTED_VALUE"""),"200 Free")</f>
        <v>200 Free</v>
      </c>
      <c r="D7" s="3" t="str">
        <f>IFERROR(__xludf.DUMMYFUNCTION("""COMPUTED_VALUE"""),"500 Free")</f>
        <v>500 Free</v>
      </c>
      <c r="E7" s="3" t="str">
        <f>IFERROR(__xludf.DUMMYFUNCTION("""COMPUTED_VALUE"""),"1650 Free")</f>
        <v>1650 Free</v>
      </c>
      <c r="F7" s="3" t="str">
        <f>IFERROR(__xludf.DUMMYFUNCTION("""COMPUTED_VALUE"""),"200 Back")</f>
        <v>200 Back</v>
      </c>
      <c r="G7" s="3"/>
    </row>
    <row r="8">
      <c r="A8" s="3" t="str">
        <f>IFERROR(__xludf.DUMMYFUNCTION("""COMPUTED_VALUE"""),"50 Free")</f>
        <v>50 Free</v>
      </c>
      <c r="B8" s="3" t="str">
        <f>IFERROR(__xludf.DUMMYFUNCTION("""COMPUTED_VALUE"""),"100 Free")</f>
        <v>100 Free</v>
      </c>
      <c r="C8" s="3" t="str">
        <f>IFERROR(__xludf.DUMMYFUNCTION("""COMPUTED_VALUE"""),"200 Free")</f>
        <v>200 Free</v>
      </c>
      <c r="D8" s="3" t="str">
        <f>IFERROR(__xludf.DUMMYFUNCTION("""COMPUTED_VALUE"""),"100 Back")</f>
        <v>100 Back</v>
      </c>
      <c r="E8" s="3" t="str">
        <f>IFERROR(__xludf.DUMMYFUNCTION("""COMPUTED_VALUE"""),"100 Fly")</f>
        <v>100 Fly</v>
      </c>
      <c r="F8" s="3"/>
      <c r="G8" s="3"/>
    </row>
    <row r="9">
      <c r="A9" s="3" t="str">
        <f>IFERROR(__xludf.DUMMYFUNCTION("""COMPUTED_VALUE"""),"50 Free")</f>
        <v>50 Free</v>
      </c>
      <c r="B9" s="3" t="str">
        <f>IFERROR(__xludf.DUMMYFUNCTION("""COMPUTED_VALUE"""),"100 Free")</f>
        <v>100 Free</v>
      </c>
      <c r="C9" s="3" t="str">
        <f>IFERROR(__xludf.DUMMYFUNCTION("""COMPUTED_VALUE"""),"200 Free")</f>
        <v>200 Free</v>
      </c>
      <c r="D9" s="3" t="str">
        <f>IFERROR(__xludf.DUMMYFUNCTION("""COMPUTED_VALUE"""),"100 Back")</f>
        <v>100 Back</v>
      </c>
      <c r="E9" s="3" t="str">
        <f>IFERROR(__xludf.DUMMYFUNCTION("""COMPUTED_VALUE"""),"200 Back")</f>
        <v>200 Back</v>
      </c>
      <c r="F9" s="3" t="str">
        <f>IFERROR(__xludf.DUMMYFUNCTION("""COMPUTED_VALUE"""),"100 Fly")</f>
        <v>100 Fly</v>
      </c>
      <c r="G9" s="3"/>
    </row>
    <row r="10">
      <c r="A10" s="3" t="str">
        <f>IFERROR(__xludf.DUMMYFUNCTION("""COMPUTED_VALUE"""),"50 Free")</f>
        <v>50 Free</v>
      </c>
      <c r="B10" s="3" t="str">
        <f>IFERROR(__xludf.DUMMYFUNCTION("""COMPUTED_VALUE"""),"100 Free")</f>
        <v>100 Free</v>
      </c>
      <c r="C10" s="3" t="str">
        <f>IFERROR(__xludf.DUMMYFUNCTION("""COMPUTED_VALUE"""),"100 Breast")</f>
        <v>100 Breast</v>
      </c>
      <c r="D10" s="3" t="str">
        <f>IFERROR(__xludf.DUMMYFUNCTION("""COMPUTED_VALUE"""),"100 Fly")</f>
        <v>100 Fly</v>
      </c>
      <c r="E10" s="3" t="str">
        <f>IFERROR(__xludf.DUMMYFUNCTION("""COMPUTED_VALUE"""),"200 IM")</f>
        <v>200 IM</v>
      </c>
      <c r="F10" s="3"/>
      <c r="G10" s="3"/>
    </row>
    <row r="11">
      <c r="A11" s="3" t="str">
        <f>IFERROR(__xludf.DUMMYFUNCTION("""COMPUTED_VALUE"""),"50 Free")</f>
        <v>50 Free</v>
      </c>
      <c r="B11" s="3" t="str">
        <f>IFERROR(__xludf.DUMMYFUNCTION("""COMPUTED_VALUE"""),"100 Free")</f>
        <v>100 Free</v>
      </c>
      <c r="C11" s="3" t="str">
        <f>IFERROR(__xludf.DUMMYFUNCTION("""COMPUTED_VALUE"""),"100 Back")</f>
        <v>100 Back</v>
      </c>
      <c r="D11" s="3" t="str">
        <f>IFERROR(__xludf.DUMMYFUNCTION("""COMPUTED_VALUE"""),"200 Back")</f>
        <v>200 Back</v>
      </c>
      <c r="E11" s="3" t="str">
        <f>IFERROR(__xludf.DUMMYFUNCTION("""COMPUTED_VALUE"""),"100 Fly")</f>
        <v>100 Fly</v>
      </c>
      <c r="F11" s="3" t="str">
        <f>IFERROR(__xludf.DUMMYFUNCTION("""COMPUTED_VALUE"""),"200 IM")</f>
        <v>200 IM</v>
      </c>
      <c r="G11" s="3"/>
    </row>
    <row r="12">
      <c r="A12" s="3" t="str">
        <f>IFERROR(__xludf.DUMMYFUNCTION("""COMPUTED_VALUE"""),"50 Free")</f>
        <v>50 Free</v>
      </c>
      <c r="B12" s="3" t="str">
        <f>IFERROR(__xludf.DUMMYFUNCTION("""COMPUTED_VALUE"""),"100 Free")</f>
        <v>100 Free</v>
      </c>
      <c r="C12" s="3" t="str">
        <f>IFERROR(__xludf.DUMMYFUNCTION("""COMPUTED_VALUE"""),"200 Free")</f>
        <v>200 Free</v>
      </c>
      <c r="D12" s="3" t="str">
        <f>IFERROR(__xludf.DUMMYFUNCTION("""COMPUTED_VALUE"""),"500 Free")</f>
        <v>500 Free</v>
      </c>
      <c r="E12" s="3" t="str">
        <f>IFERROR(__xludf.DUMMYFUNCTION("""COMPUTED_VALUE"""),"200 IM")</f>
        <v>200 IM</v>
      </c>
      <c r="F12" s="3" t="str">
        <f>IFERROR(__xludf.DUMMYFUNCTION("""COMPUTED_VALUE"""),"400 IM")</f>
        <v>400 IM</v>
      </c>
      <c r="G12" s="3"/>
    </row>
    <row r="13">
      <c r="A13" s="3" t="str">
        <f>IFERROR(__xludf.DUMMYFUNCTION("""COMPUTED_VALUE"""),"50 Free")</f>
        <v>50 Free</v>
      </c>
      <c r="B13" s="3" t="str">
        <f>IFERROR(__xludf.DUMMYFUNCTION("""COMPUTED_VALUE"""),"100 Free")</f>
        <v>100 Free</v>
      </c>
      <c r="C13" s="3" t="str">
        <f>IFERROR(__xludf.DUMMYFUNCTION("""COMPUTED_VALUE"""),"200 Free")</f>
        <v>200 Free</v>
      </c>
      <c r="D13" s="3" t="str">
        <f>IFERROR(__xludf.DUMMYFUNCTION("""COMPUTED_VALUE"""),"100 Back")</f>
        <v>100 Back</v>
      </c>
      <c r="E13" s="3" t="str">
        <f>IFERROR(__xludf.DUMMYFUNCTION("""COMPUTED_VALUE"""),"100 Fly")</f>
        <v>100 Fly</v>
      </c>
      <c r="F13" s="3"/>
      <c r="G13" s="3"/>
    </row>
    <row r="14">
      <c r="A14" s="3" t="str">
        <f>IFERROR(__xludf.DUMMYFUNCTION("""COMPUTED_VALUE"""),"50 Free")</f>
        <v>50 Free</v>
      </c>
      <c r="B14" s="3" t="str">
        <f>IFERROR(__xludf.DUMMYFUNCTION("""COMPUTED_VALUE"""),"100 Breast")</f>
        <v>100 Breast</v>
      </c>
      <c r="C14" s="3" t="str">
        <f>IFERROR(__xludf.DUMMYFUNCTION("""COMPUTED_VALUE"""),"100 Fly")</f>
        <v>100 Fly</v>
      </c>
      <c r="D14" s="3" t="str">
        <f>IFERROR(__xludf.DUMMYFUNCTION("""COMPUTED_VALUE"""),"200 Fly")</f>
        <v>200 Fly</v>
      </c>
      <c r="E14" s="3" t="str">
        <f>IFERROR(__xludf.DUMMYFUNCTION("""COMPUTED_VALUE"""),"200 IM")</f>
        <v>200 IM</v>
      </c>
      <c r="F14" s="3"/>
      <c r="G14" s="3"/>
    </row>
    <row r="15">
      <c r="A15" s="3" t="str">
        <f>IFERROR(__xludf.DUMMYFUNCTION("""COMPUTED_VALUE"""),"50 Free")</f>
        <v>50 Free</v>
      </c>
      <c r="B15" s="3" t="str">
        <f>IFERROR(__xludf.DUMMYFUNCTION("""COMPUTED_VALUE"""),"100 Free")</f>
        <v>100 Free</v>
      </c>
      <c r="C15" s="3" t="str">
        <f>IFERROR(__xludf.DUMMYFUNCTION("""COMPUTED_VALUE"""),"100 Back")</f>
        <v>100 Back</v>
      </c>
      <c r="D15" s="3" t="str">
        <f>IFERROR(__xludf.DUMMYFUNCTION("""COMPUTED_VALUE"""),"200 Breast")</f>
        <v>200 Breast</v>
      </c>
      <c r="E15" s="3" t="str">
        <f>IFERROR(__xludf.DUMMYFUNCTION("""COMPUTED_VALUE"""),"200 IM")</f>
        <v>200 IM</v>
      </c>
      <c r="F15" s="3"/>
      <c r="G15" s="3"/>
    </row>
    <row r="16">
      <c r="A16" s="3" t="str">
        <f>IFERROR(__xludf.DUMMYFUNCTION("""COMPUTED_VALUE"""),"50 Free")</f>
        <v>50 Free</v>
      </c>
      <c r="B16" s="3" t="str">
        <f>IFERROR(__xludf.DUMMYFUNCTION("""COMPUTED_VALUE"""),"100 Back")</f>
        <v>100 Back</v>
      </c>
      <c r="C16" s="3"/>
      <c r="D16" s="3"/>
      <c r="E16" s="3"/>
      <c r="F16" s="3"/>
      <c r="G16" s="3"/>
    </row>
    <row r="17">
      <c r="A17" s="3" t="str">
        <f>IFERROR(__xludf.DUMMYFUNCTION("""COMPUTED_VALUE"""),"50 Free")</f>
        <v>50 Free</v>
      </c>
      <c r="B17" s="3" t="str">
        <f>IFERROR(__xludf.DUMMYFUNCTION("""COMPUTED_VALUE"""),"100 Free")</f>
        <v>100 Free</v>
      </c>
      <c r="C17" s="3"/>
      <c r="D17" s="3"/>
      <c r="E17" s="3"/>
      <c r="F17" s="3"/>
      <c r="G17" s="3"/>
    </row>
    <row r="18">
      <c r="A18" s="3" t="str">
        <f>IFERROR(__xludf.DUMMYFUNCTION("""COMPUTED_VALUE"""),"50 Free")</f>
        <v>50 Free</v>
      </c>
      <c r="B18" s="3" t="str">
        <f>IFERROR(__xludf.DUMMYFUNCTION("""COMPUTED_VALUE"""),"100 Free")</f>
        <v>100 Free</v>
      </c>
      <c r="C18" s="3" t="str">
        <f>IFERROR(__xludf.DUMMYFUNCTION("""COMPUTED_VALUE"""),"100 Breast")</f>
        <v>100 Breast</v>
      </c>
      <c r="D18" s="3"/>
      <c r="E18" s="3"/>
      <c r="F18" s="3"/>
      <c r="G18" s="3"/>
    </row>
    <row r="19">
      <c r="A19" s="3" t="str">
        <f>IFERROR(__xludf.DUMMYFUNCTION("""COMPUTED_VALUE"""),"50 Free")</f>
        <v>50 Free</v>
      </c>
      <c r="B19" s="3" t="str">
        <f>IFERROR(__xludf.DUMMYFUNCTION("""COMPUTED_VALUE"""),"100 Free")</f>
        <v>100 Free</v>
      </c>
      <c r="C19" s="3" t="str">
        <f>IFERROR(__xludf.DUMMYFUNCTION("""COMPUTED_VALUE"""),"200 Free")</f>
        <v>200 Free</v>
      </c>
      <c r="D19" s="3" t="str">
        <f>IFERROR(__xludf.DUMMYFUNCTION("""COMPUTED_VALUE"""),"500 Free")</f>
        <v>500 Free</v>
      </c>
      <c r="E19" s="3" t="str">
        <f>IFERROR(__xludf.DUMMYFUNCTION("""COMPUTED_VALUE"""),"100 Fly")</f>
        <v>100 Fly</v>
      </c>
      <c r="F19" s="3" t="str">
        <f>IFERROR(__xludf.DUMMYFUNCTION("""COMPUTED_VALUE"""),"200 IM")</f>
        <v>200 IM</v>
      </c>
      <c r="G19" s="3"/>
    </row>
    <row r="20">
      <c r="A20" s="3" t="str">
        <f>IFERROR(__xludf.DUMMYFUNCTION("""COMPUTED_VALUE"""),"50 Free")</f>
        <v>50 Free</v>
      </c>
      <c r="B20" s="3" t="str">
        <f>IFERROR(__xludf.DUMMYFUNCTION("""COMPUTED_VALUE"""),"100 Free")</f>
        <v>100 Free</v>
      </c>
      <c r="C20" s="3" t="str">
        <f>IFERROR(__xludf.DUMMYFUNCTION("""COMPUTED_VALUE"""),"500 Free")</f>
        <v>500 Free</v>
      </c>
      <c r="D20" s="3" t="str">
        <f>IFERROR(__xludf.DUMMYFUNCTION("""COMPUTED_VALUE"""),"200 Back")</f>
        <v>200 Back</v>
      </c>
      <c r="E20" s="3" t="str">
        <f>IFERROR(__xludf.DUMMYFUNCTION("""COMPUTED_VALUE"""),"200 Fly")</f>
        <v>200 Fly</v>
      </c>
      <c r="F20" s="3"/>
      <c r="G20" s="3"/>
    </row>
    <row r="21">
      <c r="A21" s="3" t="str">
        <f>IFERROR(__xludf.DUMMYFUNCTION("""COMPUTED_VALUE"""),"50 Free")</f>
        <v>50 Free</v>
      </c>
      <c r="B21" s="3" t="str">
        <f>IFERROR(__xludf.DUMMYFUNCTION("""COMPUTED_VALUE"""),"100 Free")</f>
        <v>100 Free</v>
      </c>
      <c r="C21" s="3" t="str">
        <f>IFERROR(__xludf.DUMMYFUNCTION("""COMPUTED_VALUE"""),"100 Back")</f>
        <v>100 Back</v>
      </c>
      <c r="D21" s="3"/>
      <c r="E21" s="3"/>
      <c r="F21" s="3"/>
      <c r="G21" s="3"/>
    </row>
    <row r="22">
      <c r="A22" s="3" t="str">
        <f>IFERROR(__xludf.DUMMYFUNCTION("""COMPUTED_VALUE"""),"50 Free")</f>
        <v>50 Free</v>
      </c>
      <c r="B22" s="3" t="str">
        <f>IFERROR(__xludf.DUMMYFUNCTION("""COMPUTED_VALUE"""),"100 Free")</f>
        <v>100 Free</v>
      </c>
      <c r="C22" s="3" t="str">
        <f>IFERROR(__xludf.DUMMYFUNCTION("""COMPUTED_VALUE"""),"200 Free")</f>
        <v>200 Free</v>
      </c>
      <c r="D22" s="3" t="str">
        <f>IFERROR(__xludf.DUMMYFUNCTION("""COMPUTED_VALUE"""),"100 Breast")</f>
        <v>100 Breast</v>
      </c>
      <c r="E22" s="3" t="str">
        <f>IFERROR(__xludf.DUMMYFUNCTION("""COMPUTED_VALUE"""),"200 Breast")</f>
        <v>200 Breast</v>
      </c>
      <c r="F22" s="3" t="str">
        <f>IFERROR(__xludf.DUMMYFUNCTION("""COMPUTED_VALUE"""),"200 IM")</f>
        <v>200 IM</v>
      </c>
      <c r="G22" s="3"/>
    </row>
    <row r="23">
      <c r="A23" s="3" t="str">
        <f>IFERROR(__xludf.DUMMYFUNCTION("""COMPUTED_VALUE"""),"50 Free")</f>
        <v>50 Free</v>
      </c>
      <c r="B23" s="3" t="str">
        <f>IFERROR(__xludf.DUMMYFUNCTION("""COMPUTED_VALUE"""),"100 Free")</f>
        <v>100 Free</v>
      </c>
      <c r="C23" s="3" t="str">
        <f>IFERROR(__xludf.DUMMYFUNCTION("""COMPUTED_VALUE"""),"100 Back")</f>
        <v>100 Back</v>
      </c>
      <c r="D23" s="3" t="str">
        <f>IFERROR(__xludf.DUMMYFUNCTION("""COMPUTED_VALUE"""),"200 IM")</f>
        <v>200 IM</v>
      </c>
      <c r="E23" s="3"/>
      <c r="F23" s="3"/>
      <c r="G23" s="3"/>
    </row>
    <row r="24">
      <c r="A24" s="3" t="str">
        <f>IFERROR(__xludf.DUMMYFUNCTION("""COMPUTED_VALUE"""),"50 Free")</f>
        <v>50 Free</v>
      </c>
      <c r="B24" s="3" t="str">
        <f>IFERROR(__xludf.DUMMYFUNCTION("""COMPUTED_VALUE"""),"100 Free")</f>
        <v>100 Free</v>
      </c>
      <c r="C24" s="3" t="str">
        <f>IFERROR(__xludf.DUMMYFUNCTION("""COMPUTED_VALUE"""),"200 IM")</f>
        <v>200 IM</v>
      </c>
      <c r="D24" s="3"/>
      <c r="E24" s="3"/>
      <c r="F24" s="3"/>
      <c r="G24" s="3"/>
    </row>
    <row r="25">
      <c r="A25" s="3" t="str">
        <f>IFERROR(__xludf.DUMMYFUNCTION("""COMPUTED_VALUE"""),"50 Free")</f>
        <v>50 Free</v>
      </c>
      <c r="B25" s="3" t="str">
        <f>IFERROR(__xludf.DUMMYFUNCTION("""COMPUTED_VALUE"""),"100 Free")</f>
        <v>100 Free</v>
      </c>
      <c r="C25" s="3" t="str">
        <f>IFERROR(__xludf.DUMMYFUNCTION("""COMPUTED_VALUE"""),"200 Free")</f>
        <v>200 Free</v>
      </c>
      <c r="D25" s="3" t="str">
        <f>IFERROR(__xludf.DUMMYFUNCTION("""COMPUTED_VALUE"""),"100 Back")</f>
        <v>100 Back</v>
      </c>
      <c r="E25" s="3" t="str">
        <f>IFERROR(__xludf.DUMMYFUNCTION("""COMPUTED_VALUE"""),"200 Back")</f>
        <v>200 Back</v>
      </c>
      <c r="F25" s="3" t="str">
        <f>IFERROR(__xludf.DUMMYFUNCTION("""COMPUTED_VALUE"""),"200 IM")</f>
        <v>200 IM</v>
      </c>
      <c r="G25" s="3"/>
    </row>
    <row r="26">
      <c r="A26" s="3" t="str">
        <f>IFERROR(__xludf.DUMMYFUNCTION("""COMPUTED_VALUE"""),"50 Free")</f>
        <v>50 Free</v>
      </c>
      <c r="B26" s="3" t="str">
        <f>IFERROR(__xludf.DUMMYFUNCTION("""COMPUTED_VALUE"""),"100 Free")</f>
        <v>100 Free</v>
      </c>
      <c r="C26" s="3" t="str">
        <f>IFERROR(__xludf.DUMMYFUNCTION("""COMPUTED_VALUE"""),"200 Free")</f>
        <v>200 Free</v>
      </c>
      <c r="D26" s="3" t="str">
        <f>IFERROR(__xludf.DUMMYFUNCTION("""COMPUTED_VALUE"""),"500 Free")</f>
        <v>500 Free</v>
      </c>
      <c r="E26" s="3" t="str">
        <f>IFERROR(__xludf.DUMMYFUNCTION("""COMPUTED_VALUE"""),"100 Fly")</f>
        <v>100 Fly</v>
      </c>
      <c r="F26" s="3" t="str">
        <f>IFERROR(__xludf.DUMMYFUNCTION("""COMPUTED_VALUE"""),"200 Fly")</f>
        <v>200 Fly</v>
      </c>
      <c r="G26" s="3"/>
    </row>
    <row r="27">
      <c r="A27" s="3" t="str">
        <f>IFERROR(__xludf.DUMMYFUNCTION("""COMPUTED_VALUE"""),"50 Free")</f>
        <v>50 Free</v>
      </c>
      <c r="B27" s="3" t="str">
        <f>IFERROR(__xludf.DUMMYFUNCTION("""COMPUTED_VALUE"""),"100 Free")</f>
        <v>100 Free</v>
      </c>
      <c r="C27" s="3" t="str">
        <f>IFERROR(__xludf.DUMMYFUNCTION("""COMPUTED_VALUE"""),"200 Free")</f>
        <v>200 Free</v>
      </c>
      <c r="D27" s="3" t="str">
        <f>IFERROR(__xludf.DUMMYFUNCTION("""COMPUTED_VALUE"""),"100 Fly")</f>
        <v>100 Fly</v>
      </c>
      <c r="E27" s="3" t="str">
        <f>IFERROR(__xludf.DUMMYFUNCTION("""COMPUTED_VALUE"""),"200 Fly")</f>
        <v>200 Fly</v>
      </c>
      <c r="F27" s="3" t="str">
        <f>IFERROR(__xludf.DUMMYFUNCTION("""COMPUTED_VALUE"""),"200 IM")</f>
        <v>200 IM</v>
      </c>
      <c r="G27" s="3"/>
    </row>
    <row r="28">
      <c r="A28" s="3" t="str">
        <f>IFERROR(__xludf.DUMMYFUNCTION("""COMPUTED_VALUE"""),"50 Free")</f>
        <v>50 Free</v>
      </c>
      <c r="B28" s="3" t="str">
        <f>IFERROR(__xludf.DUMMYFUNCTION("""COMPUTED_VALUE"""),"100 Free")</f>
        <v>100 Free</v>
      </c>
      <c r="C28" s="3" t="str">
        <f>IFERROR(__xludf.DUMMYFUNCTION("""COMPUTED_VALUE"""),"200 Free")</f>
        <v>200 Free</v>
      </c>
      <c r="D28" s="3" t="str">
        <f>IFERROR(__xludf.DUMMYFUNCTION("""COMPUTED_VALUE"""),"100 Back")</f>
        <v>100 Back</v>
      </c>
      <c r="E28" s="3" t="str">
        <f>IFERROR(__xludf.DUMMYFUNCTION("""COMPUTED_VALUE"""),"100 Breast")</f>
        <v>100 Breast</v>
      </c>
      <c r="F28" s="3" t="str">
        <f>IFERROR(__xludf.DUMMYFUNCTION("""COMPUTED_VALUE"""),"200 IM")</f>
        <v>200 IM</v>
      </c>
      <c r="G28" s="3"/>
    </row>
    <row r="29">
      <c r="A29" s="3" t="str">
        <f>IFERROR(__xludf.DUMMYFUNCTION("""COMPUTED_VALUE"""),"50 Free")</f>
        <v>50 Free</v>
      </c>
      <c r="B29" s="3" t="str">
        <f>IFERROR(__xludf.DUMMYFUNCTION("""COMPUTED_VALUE"""),"100 Free")</f>
        <v>100 Free</v>
      </c>
      <c r="C29" s="3" t="str">
        <f>IFERROR(__xludf.DUMMYFUNCTION("""COMPUTED_VALUE"""),"100 Breast")</f>
        <v>100 Breast</v>
      </c>
      <c r="D29" s="3" t="str">
        <f>IFERROR(__xludf.DUMMYFUNCTION("""COMPUTED_VALUE"""),"100 Fly")</f>
        <v>100 Fly</v>
      </c>
      <c r="E29" s="3"/>
      <c r="F29" s="3"/>
      <c r="G29" s="3"/>
    </row>
    <row r="30">
      <c r="A30" s="3" t="str">
        <f>IFERROR(__xludf.DUMMYFUNCTION("""COMPUTED_VALUE"""),"50 Free")</f>
        <v>50 Free</v>
      </c>
      <c r="B30" s="3" t="str">
        <f>IFERROR(__xludf.DUMMYFUNCTION("""COMPUTED_VALUE"""),"100 Back")</f>
        <v>100 Back</v>
      </c>
      <c r="C30" s="3" t="str">
        <f>IFERROR(__xludf.DUMMYFUNCTION("""COMPUTED_VALUE"""),"200 Back")</f>
        <v>200 Back</v>
      </c>
      <c r="D30" s="3" t="str">
        <f>IFERROR(__xludf.DUMMYFUNCTION("""COMPUTED_VALUE"""),"100 Breast")</f>
        <v>100 Breast</v>
      </c>
      <c r="E30" s="3" t="str">
        <f>IFERROR(__xludf.DUMMYFUNCTION("""COMPUTED_VALUE"""),"200 Breast")</f>
        <v>200 Breast</v>
      </c>
      <c r="F30" s="3" t="str">
        <f>IFERROR(__xludf.DUMMYFUNCTION("""COMPUTED_VALUE"""),"200 IM")</f>
        <v>200 IM</v>
      </c>
      <c r="G30" s="3"/>
    </row>
    <row r="31">
      <c r="A31" s="3" t="str">
        <f>IFERROR(__xludf.DUMMYFUNCTION("""COMPUTED_VALUE"""),"50 Free")</f>
        <v>50 Free</v>
      </c>
      <c r="B31" s="3" t="str">
        <f>IFERROR(__xludf.DUMMYFUNCTION("""COMPUTED_VALUE"""),"100 Free")</f>
        <v>100 Free</v>
      </c>
      <c r="C31" s="3" t="str">
        <f>IFERROR(__xludf.DUMMYFUNCTION("""COMPUTED_VALUE"""),"200 Free")</f>
        <v>200 Free</v>
      </c>
      <c r="D31" s="3" t="str">
        <f>IFERROR(__xludf.DUMMYFUNCTION("""COMPUTED_VALUE"""),"100 Breast")</f>
        <v>100 Breast</v>
      </c>
      <c r="E31" s="3" t="str">
        <f>IFERROR(__xludf.DUMMYFUNCTION("""COMPUTED_VALUE"""),"200 IM")</f>
        <v>200 IM</v>
      </c>
      <c r="F31" s="3"/>
      <c r="G31" s="3"/>
    </row>
    <row r="32">
      <c r="A32" s="3" t="str">
        <f>IFERROR(__xludf.DUMMYFUNCTION("""COMPUTED_VALUE"""),"50 Free")</f>
        <v>50 Free</v>
      </c>
      <c r="B32" s="3" t="str">
        <f>IFERROR(__xludf.DUMMYFUNCTION("""COMPUTED_VALUE"""),"100 Free")</f>
        <v>100 Free</v>
      </c>
      <c r="C32" s="3" t="str">
        <f>IFERROR(__xludf.DUMMYFUNCTION("""COMPUTED_VALUE"""),"200 Free")</f>
        <v>200 Free</v>
      </c>
      <c r="D32" s="3" t="str">
        <f>IFERROR(__xludf.DUMMYFUNCTION("""COMPUTED_VALUE"""),"100 Back")</f>
        <v>100 Back</v>
      </c>
      <c r="E32" s="3" t="str">
        <f>IFERROR(__xludf.DUMMYFUNCTION("""COMPUTED_VALUE"""),"100 Fly")</f>
        <v>100 Fly</v>
      </c>
      <c r="F32" s="3" t="str">
        <f>IFERROR(__xludf.DUMMYFUNCTION("""COMPUTED_VALUE"""),"200 IM")</f>
        <v>200 IM</v>
      </c>
      <c r="G32" s="3"/>
    </row>
    <row r="33">
      <c r="A33" s="3" t="str">
        <f>IFERROR(__xludf.DUMMYFUNCTION("""COMPUTED_VALUE"""),"50 Free")</f>
        <v>50 Free</v>
      </c>
      <c r="B33" s="3" t="str">
        <f>IFERROR(__xludf.DUMMYFUNCTION("""COMPUTED_VALUE"""),"100 Free")</f>
        <v>100 Free</v>
      </c>
      <c r="C33" s="3" t="str">
        <f>IFERROR(__xludf.DUMMYFUNCTION("""COMPUTED_VALUE"""),"200 Free")</f>
        <v>200 Free</v>
      </c>
      <c r="D33" s="3" t="str">
        <f>IFERROR(__xludf.DUMMYFUNCTION("""COMPUTED_VALUE"""),"100 Back")</f>
        <v>100 Back</v>
      </c>
      <c r="E33" s="3" t="str">
        <f>IFERROR(__xludf.DUMMYFUNCTION("""COMPUTED_VALUE"""),"200 Back")</f>
        <v>200 Back</v>
      </c>
      <c r="F33" s="3" t="str">
        <f>IFERROR(__xludf.DUMMYFUNCTION("""COMPUTED_VALUE"""),"100 Fly")</f>
        <v>100 Fly</v>
      </c>
      <c r="G33" s="3"/>
    </row>
    <row r="34">
      <c r="A34" s="3" t="str">
        <f>IFERROR(__xludf.DUMMYFUNCTION("""COMPUTED_VALUE"""),"50 Free")</f>
        <v>50 Free</v>
      </c>
      <c r="B34" s="3" t="str">
        <f>IFERROR(__xludf.DUMMYFUNCTION("""COMPUTED_VALUE"""),"100 Free")</f>
        <v>100 Free</v>
      </c>
      <c r="C34" s="3" t="str">
        <f>IFERROR(__xludf.DUMMYFUNCTION("""COMPUTED_VALUE"""),"100 Back")</f>
        <v>100 Back</v>
      </c>
      <c r="D34" s="3" t="str">
        <f>IFERROR(__xludf.DUMMYFUNCTION("""COMPUTED_VALUE"""),"100 Breast")</f>
        <v>100 Breast</v>
      </c>
      <c r="E34" s="3" t="str">
        <f>IFERROR(__xludf.DUMMYFUNCTION("""COMPUTED_VALUE"""),"100 Fly")</f>
        <v>100 Fly</v>
      </c>
      <c r="F34" s="3"/>
      <c r="G34" s="3"/>
    </row>
    <row r="35">
      <c r="A35" s="3" t="str">
        <f>IFERROR(__xludf.DUMMYFUNCTION("""COMPUTED_VALUE"""),"50 Free")</f>
        <v>50 Free</v>
      </c>
      <c r="B35" s="3" t="str">
        <f>IFERROR(__xludf.DUMMYFUNCTION("""COMPUTED_VALUE"""),"100 Free")</f>
        <v>100 Free</v>
      </c>
      <c r="C35" s="3" t="str">
        <f>IFERROR(__xludf.DUMMYFUNCTION("""COMPUTED_VALUE"""),"200 Free")</f>
        <v>200 Free</v>
      </c>
      <c r="D35" s="3" t="str">
        <f>IFERROR(__xludf.DUMMYFUNCTION("""COMPUTED_VALUE"""),"100 Back")</f>
        <v>100 Back</v>
      </c>
      <c r="E35" s="3" t="str">
        <f>IFERROR(__xludf.DUMMYFUNCTION("""COMPUTED_VALUE"""),"100 Breast")</f>
        <v>100 Breast</v>
      </c>
      <c r="F35" s="3" t="str">
        <f>IFERROR(__xludf.DUMMYFUNCTION("""COMPUTED_VALUE"""),"200 IM")</f>
        <v>200 IM</v>
      </c>
      <c r="G35" s="3"/>
    </row>
    <row r="36">
      <c r="A36" s="3" t="str">
        <f>IFERROR(__xludf.DUMMYFUNCTION("""COMPUTED_VALUE"""),"50 Free")</f>
        <v>50 Free</v>
      </c>
      <c r="B36" s="3" t="str">
        <f>IFERROR(__xludf.DUMMYFUNCTION("""COMPUTED_VALUE"""),"100 Free")</f>
        <v>100 Free</v>
      </c>
      <c r="C36" s="3" t="str">
        <f>IFERROR(__xludf.DUMMYFUNCTION("""COMPUTED_VALUE"""),"500 Free")</f>
        <v>500 Free</v>
      </c>
      <c r="D36" s="3" t="str">
        <f>IFERROR(__xludf.DUMMYFUNCTION("""COMPUTED_VALUE"""),"200 Breast")</f>
        <v>200 Breast</v>
      </c>
      <c r="E36" s="3" t="str">
        <f>IFERROR(__xludf.DUMMYFUNCTION("""COMPUTED_VALUE"""),"200 IM")</f>
        <v>200 IM</v>
      </c>
      <c r="F36" s="3"/>
      <c r="G36" s="3"/>
    </row>
    <row r="37">
      <c r="A37" s="3" t="str">
        <f>IFERROR(__xludf.DUMMYFUNCTION("""COMPUTED_VALUE"""),"50 Free")</f>
        <v>50 Free</v>
      </c>
      <c r="B37" s="3" t="str">
        <f>IFERROR(__xludf.DUMMYFUNCTION("""COMPUTED_VALUE"""),"100 Free")</f>
        <v>100 Free</v>
      </c>
      <c r="C37" s="3" t="str">
        <f>IFERROR(__xludf.DUMMYFUNCTION("""COMPUTED_VALUE"""),"200 Free")</f>
        <v>200 Free</v>
      </c>
      <c r="D37" s="3" t="str">
        <f>IFERROR(__xludf.DUMMYFUNCTION("""COMPUTED_VALUE"""),"500 Free")</f>
        <v>500 Free</v>
      </c>
      <c r="E37" s="3" t="str">
        <f>IFERROR(__xludf.DUMMYFUNCTION("""COMPUTED_VALUE"""),"1650 Free")</f>
        <v>1650 Free</v>
      </c>
      <c r="F37" s="3" t="str">
        <f>IFERROR(__xludf.DUMMYFUNCTION("""COMPUTED_VALUE"""),"100 Breast")</f>
        <v>100 Breast</v>
      </c>
      <c r="G37" s="3"/>
    </row>
    <row r="38">
      <c r="A38" s="3" t="str">
        <f>IFERROR(__xludf.DUMMYFUNCTION("""COMPUTED_VALUE"""),"50 Free")</f>
        <v>50 Free</v>
      </c>
      <c r="B38" s="3" t="str">
        <f>IFERROR(__xludf.DUMMYFUNCTION("""COMPUTED_VALUE"""),"100 Free")</f>
        <v>100 Free</v>
      </c>
      <c r="C38" s="3" t="str">
        <f>IFERROR(__xludf.DUMMYFUNCTION("""COMPUTED_VALUE"""),"200 Free")</f>
        <v>200 Free</v>
      </c>
      <c r="D38" s="3" t="str">
        <f>IFERROR(__xludf.DUMMYFUNCTION("""COMPUTED_VALUE"""),"500 Free")</f>
        <v>500 Free</v>
      </c>
      <c r="E38" s="3" t="str">
        <f>IFERROR(__xludf.DUMMYFUNCTION("""COMPUTED_VALUE"""),"100 Fly")</f>
        <v>100 Fly</v>
      </c>
      <c r="F38" s="3" t="str">
        <f>IFERROR(__xludf.DUMMYFUNCTION("""COMPUTED_VALUE"""),"200 Fly")</f>
        <v>200 Fly</v>
      </c>
      <c r="G38" s="3"/>
    </row>
    <row r="39">
      <c r="A39" s="3" t="str">
        <f>IFERROR(__xludf.DUMMYFUNCTION("""COMPUTED_VALUE"""),"50 Free")</f>
        <v>50 Free</v>
      </c>
      <c r="B39" s="3" t="str">
        <f>IFERROR(__xludf.DUMMYFUNCTION("""COMPUTED_VALUE"""),"100 Free")</f>
        <v>100 Free</v>
      </c>
      <c r="C39" s="3" t="str">
        <f>IFERROR(__xludf.DUMMYFUNCTION("""COMPUTED_VALUE"""),"200 Free")</f>
        <v>200 Free</v>
      </c>
      <c r="D39" s="3" t="str">
        <f>IFERROR(__xludf.DUMMYFUNCTION("""COMPUTED_VALUE"""),"100 Back")</f>
        <v>100 Back</v>
      </c>
      <c r="E39" s="3" t="str">
        <f>IFERROR(__xludf.DUMMYFUNCTION("""COMPUTED_VALUE"""),"200 Back")</f>
        <v>200 Back</v>
      </c>
      <c r="F39" s="3" t="str">
        <f>IFERROR(__xludf.DUMMYFUNCTION("""COMPUTED_VALUE"""),"100 Fly")</f>
        <v>100 Fly</v>
      </c>
      <c r="G39" s="3"/>
    </row>
    <row r="40">
      <c r="A40" s="3" t="str">
        <f>IFERROR(__xludf.DUMMYFUNCTION("""COMPUTED_VALUE"""),"50 Free")</f>
        <v>50 Free</v>
      </c>
      <c r="B40" s="3" t="str">
        <f>IFERROR(__xludf.DUMMYFUNCTION("""COMPUTED_VALUE"""),"100 Free")</f>
        <v>100 Free</v>
      </c>
      <c r="C40" s="3" t="str">
        <f>IFERROR(__xludf.DUMMYFUNCTION("""COMPUTED_VALUE"""),"200 Free")</f>
        <v>200 Free</v>
      </c>
      <c r="D40" s="3" t="str">
        <f>IFERROR(__xludf.DUMMYFUNCTION("""COMPUTED_VALUE"""),"100 Back")</f>
        <v>100 Back</v>
      </c>
      <c r="E40" s="3" t="str">
        <f>IFERROR(__xludf.DUMMYFUNCTION("""COMPUTED_VALUE"""),"200 Back")</f>
        <v>200 Back</v>
      </c>
      <c r="F40" s="3" t="str">
        <f>IFERROR(__xludf.DUMMYFUNCTION("""COMPUTED_VALUE"""),"100 Breast")</f>
        <v>100 Breast</v>
      </c>
      <c r="G40" s="3"/>
    </row>
    <row r="41">
      <c r="A41" s="3" t="str">
        <f>IFERROR(__xludf.DUMMYFUNCTION("""COMPUTED_VALUE"""),"50 Free")</f>
        <v>50 Free</v>
      </c>
      <c r="B41" s="3" t="str">
        <f>IFERROR(__xludf.DUMMYFUNCTION("""COMPUTED_VALUE"""),"100 Free")</f>
        <v>100 Free</v>
      </c>
      <c r="C41" s="3" t="str">
        <f>IFERROR(__xludf.DUMMYFUNCTION("""COMPUTED_VALUE"""),"200 Free")</f>
        <v>200 Free</v>
      </c>
      <c r="D41" s="3" t="str">
        <f>IFERROR(__xludf.DUMMYFUNCTION("""COMPUTED_VALUE"""),"100 Breast")</f>
        <v>100 Breast</v>
      </c>
      <c r="E41" s="3" t="str">
        <f>IFERROR(__xludf.DUMMYFUNCTION("""COMPUTED_VALUE"""),"200 Breast")</f>
        <v>200 Breast</v>
      </c>
      <c r="F41" s="3" t="str">
        <f>IFERROR(__xludf.DUMMYFUNCTION("""COMPUTED_VALUE"""),"200 IM")</f>
        <v>200 IM</v>
      </c>
      <c r="G41" s="3"/>
    </row>
    <row r="42">
      <c r="A42" s="3" t="str">
        <f>IFERROR(__xludf.DUMMYFUNCTION("""COMPUTED_VALUE"""),"50 Free")</f>
        <v>50 Free</v>
      </c>
      <c r="B42" s="3" t="str">
        <f>IFERROR(__xludf.DUMMYFUNCTION("""COMPUTED_VALUE"""),"100 Free")</f>
        <v>100 Free</v>
      </c>
      <c r="C42" s="3" t="str">
        <f>IFERROR(__xludf.DUMMYFUNCTION("""COMPUTED_VALUE"""),"200 Free")</f>
        <v>200 Free</v>
      </c>
      <c r="D42" s="3" t="str">
        <f>IFERROR(__xludf.DUMMYFUNCTION("""COMPUTED_VALUE"""),"100 Breast")</f>
        <v>100 Breast</v>
      </c>
      <c r="E42" s="3" t="str">
        <f>IFERROR(__xludf.DUMMYFUNCTION("""COMPUTED_VALUE"""),"200 Breast")</f>
        <v>200 Breast</v>
      </c>
      <c r="F42" s="3" t="str">
        <f>IFERROR(__xludf.DUMMYFUNCTION("""COMPUTED_VALUE"""),"200 IM")</f>
        <v>200 IM</v>
      </c>
      <c r="G42" s="3"/>
    </row>
    <row r="43">
      <c r="A43" s="3" t="str">
        <f>IFERROR(__xludf.DUMMYFUNCTION("""COMPUTED_VALUE"""),"50 Free")</f>
        <v>50 Free</v>
      </c>
      <c r="B43" s="3" t="str">
        <f>IFERROR(__xludf.DUMMYFUNCTION("""COMPUTED_VALUE"""),"100 Free")</f>
        <v>100 Free</v>
      </c>
      <c r="C43" s="3" t="str">
        <f>IFERROR(__xludf.DUMMYFUNCTION("""COMPUTED_VALUE"""),"500 Free")</f>
        <v>500 Free</v>
      </c>
      <c r="D43" s="3" t="str">
        <f>IFERROR(__xludf.DUMMYFUNCTION("""COMPUTED_VALUE"""),"100 Back")</f>
        <v>100 Back</v>
      </c>
      <c r="E43" s="3" t="str">
        <f>IFERROR(__xludf.DUMMYFUNCTION("""COMPUTED_VALUE"""),"100 Breast")</f>
        <v>100 Breast</v>
      </c>
      <c r="F43" s="3" t="str">
        <f>IFERROR(__xludf.DUMMYFUNCTION("""COMPUTED_VALUE"""),"200 IM")</f>
        <v>200 IM</v>
      </c>
      <c r="G43" s="3"/>
    </row>
    <row r="44">
      <c r="A44" s="3" t="str">
        <f>IFERROR(__xludf.DUMMYFUNCTION("""COMPUTED_VALUE"""),"50 Free")</f>
        <v>50 Free</v>
      </c>
      <c r="B44" s="3" t="str">
        <f>IFERROR(__xludf.DUMMYFUNCTION("""COMPUTED_VALUE"""),"100 Free")</f>
        <v>100 Free</v>
      </c>
      <c r="C44" s="3" t="str">
        <f>IFERROR(__xludf.DUMMYFUNCTION("""COMPUTED_VALUE"""),"200 Free")</f>
        <v>200 Free</v>
      </c>
      <c r="D44" s="3" t="str">
        <f>IFERROR(__xludf.DUMMYFUNCTION("""COMPUTED_VALUE"""),"100 Fly")</f>
        <v>100 Fly</v>
      </c>
      <c r="E44" s="3" t="str">
        <f>IFERROR(__xludf.DUMMYFUNCTION("""COMPUTED_VALUE"""),"200 Fly")</f>
        <v>200 Fly</v>
      </c>
      <c r="F44" s="3" t="str">
        <f>IFERROR(__xludf.DUMMYFUNCTION("""COMPUTED_VALUE"""),"200 IM")</f>
        <v>200 IM</v>
      </c>
      <c r="G44" s="3"/>
    </row>
    <row r="45">
      <c r="A45" s="3" t="str">
        <f>IFERROR(__xludf.DUMMYFUNCTION("""COMPUTED_VALUE"""),"50 Free")</f>
        <v>50 Free</v>
      </c>
      <c r="B45" s="3" t="str">
        <f>IFERROR(__xludf.DUMMYFUNCTION("""COMPUTED_VALUE"""),"200 Back")</f>
        <v>200 Back</v>
      </c>
      <c r="C45" s="3" t="str">
        <f>IFERROR(__xludf.DUMMYFUNCTION("""COMPUTED_VALUE"""),"100 Breast")</f>
        <v>100 Breast</v>
      </c>
      <c r="D45" s="3" t="str">
        <f>IFERROR(__xludf.DUMMYFUNCTION("""COMPUTED_VALUE"""),"100 Fly")</f>
        <v>100 Fly</v>
      </c>
      <c r="E45" s="3" t="str">
        <f>IFERROR(__xludf.DUMMYFUNCTION("""COMPUTED_VALUE"""),"200 IM")</f>
        <v>200 IM</v>
      </c>
      <c r="F45" s="3" t="str">
        <f>IFERROR(__xludf.DUMMYFUNCTION("""COMPUTED_VALUE"""),"400 IM")</f>
        <v>400 IM</v>
      </c>
      <c r="G45" s="3"/>
    </row>
    <row r="46">
      <c r="A46" s="3" t="str">
        <f>IFERROR(__xludf.DUMMYFUNCTION("""COMPUTED_VALUE"""),"50 Free")</f>
        <v>50 Free</v>
      </c>
      <c r="B46" s="3" t="str">
        <f>IFERROR(__xludf.DUMMYFUNCTION("""COMPUTED_VALUE"""),"100 Free")</f>
        <v>100 Free</v>
      </c>
      <c r="C46" s="3" t="str">
        <f>IFERROR(__xludf.DUMMYFUNCTION("""COMPUTED_VALUE"""),"100 Back")</f>
        <v>100 Back</v>
      </c>
      <c r="D46" s="3" t="str">
        <f>IFERROR(__xludf.DUMMYFUNCTION("""COMPUTED_VALUE"""),"200 Back")</f>
        <v>200 Back</v>
      </c>
      <c r="E46" s="3" t="str">
        <f>IFERROR(__xludf.DUMMYFUNCTION("""COMPUTED_VALUE"""),"200 IM")</f>
        <v>200 IM</v>
      </c>
      <c r="F46" s="3"/>
      <c r="G46" s="3"/>
    </row>
    <row r="47">
      <c r="A47" s="3" t="str">
        <f>IFERROR(__xludf.DUMMYFUNCTION("""COMPUTED_VALUE"""),"50 Free")</f>
        <v>50 Free</v>
      </c>
      <c r="B47" s="3" t="str">
        <f>IFERROR(__xludf.DUMMYFUNCTION("""COMPUTED_VALUE"""),"200 Breast")</f>
        <v>200 Breast</v>
      </c>
      <c r="C47" s="3"/>
      <c r="D47" s="3"/>
      <c r="E47" s="3"/>
      <c r="F47" s="3"/>
      <c r="G47" s="3"/>
    </row>
    <row r="48">
      <c r="A48" s="3" t="str">
        <f>IFERROR(__xludf.DUMMYFUNCTION("""COMPUTED_VALUE"""),"50 Free")</f>
        <v>50 Free</v>
      </c>
      <c r="B48" s="3" t="str">
        <f>IFERROR(__xludf.DUMMYFUNCTION("""COMPUTED_VALUE"""),"100 Free")</f>
        <v>100 Free</v>
      </c>
      <c r="C48" s="3" t="str">
        <f>IFERROR(__xludf.DUMMYFUNCTION("""COMPUTED_VALUE"""),"200 Free")</f>
        <v>200 Free</v>
      </c>
      <c r="D48" s="3" t="str">
        <f>IFERROR(__xludf.DUMMYFUNCTION("""COMPUTED_VALUE"""),"500 Free")</f>
        <v>500 Free</v>
      </c>
      <c r="E48" s="3" t="str">
        <f>IFERROR(__xludf.DUMMYFUNCTION("""COMPUTED_VALUE"""),"100 Breast")</f>
        <v>100 Breast</v>
      </c>
      <c r="F48" s="3" t="str">
        <f>IFERROR(__xludf.DUMMYFUNCTION("""COMPUTED_VALUE"""),"200 IM")</f>
        <v>200 IM</v>
      </c>
      <c r="G48" s="3"/>
    </row>
    <row r="49">
      <c r="A49" s="3" t="str">
        <f>IFERROR(__xludf.DUMMYFUNCTION("""COMPUTED_VALUE"""),"50 Free")</f>
        <v>50 Free</v>
      </c>
      <c r="B49" s="3" t="str">
        <f>IFERROR(__xludf.DUMMYFUNCTION("""COMPUTED_VALUE"""),"100 Free")</f>
        <v>100 Free</v>
      </c>
      <c r="C49" s="3"/>
      <c r="D49" s="3"/>
      <c r="E49" s="3"/>
      <c r="F49" s="3"/>
      <c r="G49" s="3"/>
    </row>
    <row r="50">
      <c r="A50" s="3" t="str">
        <f>IFERROR(__xludf.DUMMYFUNCTION("""COMPUTED_VALUE"""),"50 Free")</f>
        <v>50 Free</v>
      </c>
      <c r="B50" s="3" t="str">
        <f>IFERROR(__xludf.DUMMYFUNCTION("""COMPUTED_VALUE"""),"100 Free")</f>
        <v>100 Free</v>
      </c>
      <c r="C50" s="3" t="str">
        <f>IFERROR(__xludf.DUMMYFUNCTION("""COMPUTED_VALUE"""),"100 Back")</f>
        <v>100 Back</v>
      </c>
      <c r="D50" s="3" t="str">
        <f>IFERROR(__xludf.DUMMYFUNCTION("""COMPUTED_VALUE"""),"200 Back")</f>
        <v>200 Back</v>
      </c>
      <c r="E50" s="3" t="str">
        <f>IFERROR(__xludf.DUMMYFUNCTION("""COMPUTED_VALUE"""),"100 Fly")</f>
        <v>100 Fly</v>
      </c>
      <c r="F50" s="3"/>
      <c r="G50" s="3"/>
    </row>
    <row r="51">
      <c r="A51" s="3" t="str">
        <f>IFERROR(__xludf.DUMMYFUNCTION("""COMPUTED_VALUE"""),"50 Free")</f>
        <v>50 Free</v>
      </c>
      <c r="B51" s="3" t="str">
        <f>IFERROR(__xludf.DUMMYFUNCTION("""COMPUTED_VALUE"""),"200 Breast")</f>
        <v>200 Breast</v>
      </c>
      <c r="C51" s="3" t="str">
        <f>IFERROR(__xludf.DUMMYFUNCTION("""COMPUTED_VALUE"""),"200 Fly")</f>
        <v>200 Fly</v>
      </c>
      <c r="D51" s="3" t="str">
        <f>IFERROR(__xludf.DUMMYFUNCTION("""COMPUTED_VALUE"""),"200 IM")</f>
        <v>200 IM</v>
      </c>
      <c r="E51" s="3"/>
      <c r="F51" s="3"/>
      <c r="G51" s="3"/>
    </row>
    <row r="52">
      <c r="A52" s="3" t="str">
        <f>IFERROR(__xludf.DUMMYFUNCTION("""COMPUTED_VALUE"""),"50 Free")</f>
        <v>50 Free</v>
      </c>
      <c r="B52" s="3" t="str">
        <f>IFERROR(__xludf.DUMMYFUNCTION("""COMPUTED_VALUE"""),"100 Free")</f>
        <v>100 Free</v>
      </c>
      <c r="C52" s="3" t="str">
        <f>IFERROR(__xludf.DUMMYFUNCTION("""COMPUTED_VALUE"""),"100 Back")</f>
        <v>100 Back</v>
      </c>
      <c r="D52" s="3" t="str">
        <f>IFERROR(__xludf.DUMMYFUNCTION("""COMPUTED_VALUE"""),"200 Back")</f>
        <v>200 Back</v>
      </c>
      <c r="E52" s="3" t="str">
        <f>IFERROR(__xludf.DUMMYFUNCTION("""COMPUTED_VALUE"""),"100 Fly")</f>
        <v>100 Fly</v>
      </c>
      <c r="F52" s="3" t="str">
        <f>IFERROR(__xludf.DUMMYFUNCTION("""COMPUTED_VALUE"""),"200 Fly")</f>
        <v>200 Fly</v>
      </c>
      <c r="G52" s="3"/>
    </row>
    <row r="53">
      <c r="A53" s="3" t="str">
        <f>IFERROR(__xludf.DUMMYFUNCTION("""COMPUTED_VALUE"""),"50 Free")</f>
        <v>50 Free</v>
      </c>
      <c r="B53" s="3" t="str">
        <f>IFERROR(__xludf.DUMMYFUNCTION("""COMPUTED_VALUE"""),"100 Free")</f>
        <v>100 Free</v>
      </c>
      <c r="C53" s="3" t="str">
        <f>IFERROR(__xludf.DUMMYFUNCTION("""COMPUTED_VALUE"""),"100 Fly")</f>
        <v>100 Fly</v>
      </c>
      <c r="D53" s="3"/>
      <c r="E53" s="3"/>
      <c r="F53" s="3"/>
      <c r="G53" s="3"/>
    </row>
    <row r="54">
      <c r="A54" s="3" t="str">
        <f>IFERROR(__xludf.DUMMYFUNCTION("""COMPUTED_VALUE"""),"50 Free")</f>
        <v>50 Free</v>
      </c>
      <c r="B54" s="3" t="str">
        <f>IFERROR(__xludf.DUMMYFUNCTION("""COMPUTED_VALUE"""),"100 Free")</f>
        <v>100 Free</v>
      </c>
      <c r="C54" s="3" t="str">
        <f>IFERROR(__xludf.DUMMYFUNCTION("""COMPUTED_VALUE"""),"100 Breast")</f>
        <v>100 Breast</v>
      </c>
      <c r="D54" s="3" t="str">
        <f>IFERROR(__xludf.DUMMYFUNCTION("""COMPUTED_VALUE"""),"200 Breast")</f>
        <v>200 Breast</v>
      </c>
      <c r="E54" s="3"/>
      <c r="F54" s="3"/>
      <c r="G54" s="3"/>
    </row>
    <row r="55">
      <c r="A55" s="3" t="str">
        <f>IFERROR(__xludf.DUMMYFUNCTION("""COMPUTED_VALUE"""),"50 Free")</f>
        <v>50 Free</v>
      </c>
      <c r="B55" s="3" t="str">
        <f>IFERROR(__xludf.DUMMYFUNCTION("""COMPUTED_VALUE"""),"100 Free")</f>
        <v>100 Free</v>
      </c>
      <c r="C55" s="3" t="str">
        <f>IFERROR(__xludf.DUMMYFUNCTION("""COMPUTED_VALUE"""),"100 Back")</f>
        <v>100 Back</v>
      </c>
      <c r="D55" s="3" t="str">
        <f>IFERROR(__xludf.DUMMYFUNCTION("""COMPUTED_VALUE"""),"200 Back")</f>
        <v>200 Back</v>
      </c>
      <c r="E55" s="3" t="str">
        <f>IFERROR(__xludf.DUMMYFUNCTION("""COMPUTED_VALUE"""),"100 Breast")</f>
        <v>100 Breast</v>
      </c>
      <c r="F55" s="3" t="str">
        <f>IFERROR(__xludf.DUMMYFUNCTION("""COMPUTED_VALUE"""),"100 Fly")</f>
        <v>100 Fly</v>
      </c>
      <c r="G55" s="3"/>
    </row>
    <row r="56">
      <c r="A56" s="3" t="str">
        <f>IFERROR(__xludf.DUMMYFUNCTION("""COMPUTED_VALUE"""),"50 Free")</f>
        <v>50 Free</v>
      </c>
      <c r="B56" s="3"/>
      <c r="C56" s="3"/>
      <c r="D56" s="3"/>
      <c r="E56" s="3"/>
      <c r="F56" s="3"/>
      <c r="G56" s="3"/>
    </row>
    <row r="57">
      <c r="A57" s="3" t="str">
        <f>IFERROR(__xludf.DUMMYFUNCTION("""COMPUTED_VALUE"""),"50 Free")</f>
        <v>50 Free</v>
      </c>
      <c r="B57" s="3" t="str">
        <f>IFERROR(__xludf.DUMMYFUNCTION("""COMPUTED_VALUE"""),"200 Free")</f>
        <v>200 Free</v>
      </c>
      <c r="C57" s="3" t="str">
        <f>IFERROR(__xludf.DUMMYFUNCTION("""COMPUTED_VALUE"""),"100 Fly")</f>
        <v>100 Fly</v>
      </c>
      <c r="D57" s="3"/>
      <c r="E57" s="3"/>
      <c r="F57" s="3"/>
      <c r="G57" s="3"/>
    </row>
    <row r="58">
      <c r="A58" s="3" t="str">
        <f>IFERROR(__xludf.DUMMYFUNCTION("""COMPUTED_VALUE"""),"50 Free")</f>
        <v>50 Free</v>
      </c>
      <c r="B58" s="3" t="str">
        <f>IFERROR(__xludf.DUMMYFUNCTION("""COMPUTED_VALUE"""),"200 Free")</f>
        <v>200 Free</v>
      </c>
      <c r="C58" s="3"/>
      <c r="D58" s="3"/>
      <c r="E58" s="3"/>
      <c r="F58" s="3"/>
      <c r="G58" s="3"/>
    </row>
    <row r="59">
      <c r="A59" s="3" t="str">
        <f>IFERROR(__xludf.DUMMYFUNCTION("""COMPUTED_VALUE"""),"50 Free")</f>
        <v>50 Free</v>
      </c>
      <c r="B59" s="3" t="str">
        <f>IFERROR(__xludf.DUMMYFUNCTION("""COMPUTED_VALUE"""),"100 Free")</f>
        <v>100 Free</v>
      </c>
      <c r="C59" s="3" t="str">
        <f>IFERROR(__xludf.DUMMYFUNCTION("""COMPUTED_VALUE"""),"100 Back")</f>
        <v>100 Back</v>
      </c>
      <c r="D59" s="3" t="str">
        <f>IFERROR(__xludf.DUMMYFUNCTION("""COMPUTED_VALUE"""),"200 Back")</f>
        <v>200 Back</v>
      </c>
      <c r="E59" s="3"/>
      <c r="F59" s="3"/>
      <c r="G59" s="3"/>
    </row>
    <row r="60">
      <c r="A60" s="3" t="str">
        <f>IFERROR(__xludf.DUMMYFUNCTION("""COMPUTED_VALUE"""),"50 Free")</f>
        <v>50 Free</v>
      </c>
      <c r="B60" s="3" t="str">
        <f>IFERROR(__xludf.DUMMYFUNCTION("""COMPUTED_VALUE"""),"100 Free")</f>
        <v>100 Free</v>
      </c>
      <c r="C60" s="3" t="str">
        <f>IFERROR(__xludf.DUMMYFUNCTION("""COMPUTED_VALUE"""),"200 Free")</f>
        <v>200 Free</v>
      </c>
      <c r="D60" s="3" t="str">
        <f>IFERROR(__xludf.DUMMYFUNCTION("""COMPUTED_VALUE"""),"100 Breast")</f>
        <v>100 Breast</v>
      </c>
      <c r="E60" s="3" t="str">
        <f>IFERROR(__xludf.DUMMYFUNCTION("""COMPUTED_VALUE"""),"200 IM")</f>
        <v>200 IM</v>
      </c>
      <c r="F60" s="3"/>
      <c r="G60" s="3"/>
    </row>
    <row r="61">
      <c r="A61" s="3" t="str">
        <f>IFERROR(__xludf.DUMMYFUNCTION("""COMPUTED_VALUE"""),"50 Free")</f>
        <v>50 Free</v>
      </c>
      <c r="B61" s="3" t="str">
        <f>IFERROR(__xludf.DUMMYFUNCTION("""COMPUTED_VALUE"""),"100 Back")</f>
        <v>100 Back</v>
      </c>
      <c r="C61" s="3" t="str">
        <f>IFERROR(__xludf.DUMMYFUNCTION("""COMPUTED_VALUE"""),"200 Back")</f>
        <v>200 Back</v>
      </c>
      <c r="D61" s="3" t="str">
        <f>IFERROR(__xludf.DUMMYFUNCTION("""COMPUTED_VALUE"""),"100 Breast")</f>
        <v>100 Breast</v>
      </c>
      <c r="E61" s="3" t="str">
        <f>IFERROR(__xludf.DUMMYFUNCTION("""COMPUTED_VALUE"""),"200 Breast")</f>
        <v>200 Breast</v>
      </c>
      <c r="F61" s="3" t="str">
        <f>IFERROR(__xludf.DUMMYFUNCTION("""COMPUTED_VALUE"""),"200 IM")</f>
        <v>200 IM</v>
      </c>
      <c r="G61" s="3"/>
    </row>
    <row r="62">
      <c r="A62" s="3" t="str">
        <f>IFERROR(__xludf.DUMMYFUNCTION("""COMPUTED_VALUE"""),"50 Free")</f>
        <v>50 Free</v>
      </c>
      <c r="B62" s="3" t="str">
        <f>IFERROR(__xludf.DUMMYFUNCTION("""COMPUTED_VALUE"""),"100 Free")</f>
        <v>100 Free</v>
      </c>
      <c r="C62" s="3" t="str">
        <f>IFERROR(__xludf.DUMMYFUNCTION("""COMPUTED_VALUE"""),"100 Back")</f>
        <v>100 Back</v>
      </c>
      <c r="D62" s="3" t="str">
        <f>IFERROR(__xludf.DUMMYFUNCTION("""COMPUTED_VALUE"""),"200 Back")</f>
        <v>200 Back</v>
      </c>
      <c r="E62" s="3"/>
      <c r="F62" s="3"/>
      <c r="G62" s="3"/>
    </row>
    <row r="63">
      <c r="A63" s="3" t="str">
        <f>IFERROR(__xludf.DUMMYFUNCTION("""COMPUTED_VALUE"""),"50 Free")</f>
        <v>50 Free</v>
      </c>
      <c r="B63" s="3" t="str">
        <f>IFERROR(__xludf.DUMMYFUNCTION("""COMPUTED_VALUE"""),"100 Free")</f>
        <v>100 Free</v>
      </c>
      <c r="C63" s="3" t="str">
        <f>IFERROR(__xludf.DUMMYFUNCTION("""COMPUTED_VALUE"""),"200 Free")</f>
        <v>200 Free</v>
      </c>
      <c r="D63" s="3" t="str">
        <f>IFERROR(__xludf.DUMMYFUNCTION("""COMPUTED_VALUE"""),"100 Back")</f>
        <v>100 Back</v>
      </c>
      <c r="E63" s="3" t="str">
        <f>IFERROR(__xludf.DUMMYFUNCTION("""COMPUTED_VALUE"""),"200 Back")</f>
        <v>200 Back</v>
      </c>
      <c r="F63" s="3" t="str">
        <f>IFERROR(__xludf.DUMMYFUNCTION("""COMPUTED_VALUE"""),"400 IM")</f>
        <v>400 IM</v>
      </c>
      <c r="G63" s="3"/>
    </row>
    <row r="64">
      <c r="A64" s="3" t="str">
        <f>IFERROR(__xludf.DUMMYFUNCTION("""COMPUTED_VALUE"""),"50 Free")</f>
        <v>50 Free</v>
      </c>
      <c r="B64" s="3" t="str">
        <f>IFERROR(__xludf.DUMMYFUNCTION("""COMPUTED_VALUE"""),"100 Free")</f>
        <v>100 Free</v>
      </c>
      <c r="C64" s="3" t="str">
        <f>IFERROR(__xludf.DUMMYFUNCTION("""COMPUTED_VALUE"""),"100 Back")</f>
        <v>100 Back</v>
      </c>
      <c r="D64" s="3"/>
      <c r="E64" s="3"/>
      <c r="F64" s="3"/>
      <c r="G64" s="3"/>
    </row>
    <row r="65">
      <c r="A65" s="3" t="str">
        <f>IFERROR(__xludf.DUMMYFUNCTION("""COMPUTED_VALUE"""),"50 Free")</f>
        <v>50 Free</v>
      </c>
      <c r="B65" s="3" t="str">
        <f>IFERROR(__xludf.DUMMYFUNCTION("""COMPUTED_VALUE"""),"100 Free")</f>
        <v>100 Free</v>
      </c>
      <c r="C65" s="3" t="str">
        <f>IFERROR(__xludf.DUMMYFUNCTION("""COMPUTED_VALUE"""),"100 Back")</f>
        <v>100 Back</v>
      </c>
      <c r="D65" s="3" t="str">
        <f>IFERROR(__xludf.DUMMYFUNCTION("""COMPUTED_VALUE"""),"100 Fly")</f>
        <v>100 Fly</v>
      </c>
      <c r="E65" s="3"/>
      <c r="F65" s="3"/>
      <c r="G65" s="3"/>
    </row>
    <row r="66">
      <c r="A66" s="3" t="str">
        <f>IFERROR(__xludf.DUMMYFUNCTION("""COMPUTED_VALUE"""),"50 Free")</f>
        <v>50 Free</v>
      </c>
      <c r="B66" s="3" t="str">
        <f>IFERROR(__xludf.DUMMYFUNCTION("""COMPUTED_VALUE"""),"100 Free")</f>
        <v>100 Free</v>
      </c>
      <c r="C66" s="3"/>
      <c r="D66" s="3"/>
      <c r="E66" s="3"/>
      <c r="F66" s="3"/>
      <c r="G66" s="3"/>
    </row>
    <row r="67">
      <c r="A67" s="3" t="str">
        <f>IFERROR(__xludf.DUMMYFUNCTION("""COMPUTED_VALUE"""),"50 Free")</f>
        <v>50 Free</v>
      </c>
      <c r="B67" s="3" t="str">
        <f>IFERROR(__xludf.DUMMYFUNCTION("""COMPUTED_VALUE"""),"100 Free")</f>
        <v>100 Free</v>
      </c>
      <c r="C67" s="3" t="str">
        <f>IFERROR(__xludf.DUMMYFUNCTION("""COMPUTED_VALUE"""),"100 Back")</f>
        <v>100 Back</v>
      </c>
      <c r="D67" s="3" t="str">
        <f>IFERROR(__xludf.DUMMYFUNCTION("""COMPUTED_VALUE"""),"100 Fly")</f>
        <v>100 Fly</v>
      </c>
      <c r="E67" s="3"/>
      <c r="F67" s="3"/>
      <c r="G67" s="3"/>
    </row>
    <row r="68">
      <c r="A68" s="3" t="str">
        <f>IFERROR(__xludf.DUMMYFUNCTION("""COMPUTED_VALUE"""),"50 Free")</f>
        <v>50 Free</v>
      </c>
      <c r="B68" s="3" t="str">
        <f>IFERROR(__xludf.DUMMYFUNCTION("""COMPUTED_VALUE"""),"200 Free")</f>
        <v>200 Free</v>
      </c>
      <c r="C68" s="3" t="str">
        <f>IFERROR(__xludf.DUMMYFUNCTION("""COMPUTED_VALUE"""),"100 Back")</f>
        <v>100 Back</v>
      </c>
      <c r="D68" s="3" t="str">
        <f>IFERROR(__xludf.DUMMYFUNCTION("""COMPUTED_VALUE"""),"200 Back")</f>
        <v>200 Back</v>
      </c>
      <c r="E68" s="3" t="str">
        <f>IFERROR(__xludf.DUMMYFUNCTION("""COMPUTED_VALUE"""),"100 Fly")</f>
        <v>100 Fly</v>
      </c>
      <c r="F68" s="3"/>
      <c r="G68" s="3"/>
    </row>
    <row r="69">
      <c r="A69" s="3" t="str">
        <f>IFERROR(__xludf.DUMMYFUNCTION("""COMPUTED_VALUE"""),"50 Free")</f>
        <v>50 Free</v>
      </c>
      <c r="B69" s="3" t="str">
        <f>IFERROR(__xludf.DUMMYFUNCTION("""COMPUTED_VALUE"""),"100 Back")</f>
        <v>100 Back</v>
      </c>
      <c r="C69" s="3" t="str">
        <f>IFERROR(__xludf.DUMMYFUNCTION("""COMPUTED_VALUE"""),"200 Back")</f>
        <v>200 Back</v>
      </c>
      <c r="D69" s="3" t="str">
        <f>IFERROR(__xludf.DUMMYFUNCTION("""COMPUTED_VALUE"""),"200 IM")</f>
        <v>200 IM</v>
      </c>
      <c r="E69" s="3"/>
      <c r="F69" s="3"/>
      <c r="G69" s="3"/>
    </row>
    <row r="70">
      <c r="A70" s="3" t="str">
        <f>IFERROR(__xludf.DUMMYFUNCTION("""COMPUTED_VALUE"""),"50 Free")</f>
        <v>50 Free</v>
      </c>
      <c r="B70" s="3" t="str">
        <f>IFERROR(__xludf.DUMMYFUNCTION("""COMPUTED_VALUE"""),"100 Free")</f>
        <v>100 Free</v>
      </c>
      <c r="C70" s="3" t="str">
        <f>IFERROR(__xludf.DUMMYFUNCTION("""COMPUTED_VALUE"""),"200 Fly")</f>
        <v>200 Fly</v>
      </c>
      <c r="D70" s="3"/>
      <c r="E70" s="3"/>
      <c r="F70" s="3"/>
      <c r="G70" s="3"/>
    </row>
    <row r="71">
      <c r="A71" s="3" t="str">
        <f>IFERROR(__xludf.DUMMYFUNCTION("""COMPUTED_VALUE"""),"50 Free")</f>
        <v>50 Free</v>
      </c>
      <c r="B71" s="3" t="str">
        <f>IFERROR(__xludf.DUMMYFUNCTION("""COMPUTED_VALUE"""),"100 Free")</f>
        <v>100 Free</v>
      </c>
      <c r="C71" s="3" t="str">
        <f>IFERROR(__xludf.DUMMYFUNCTION("""COMPUTED_VALUE"""),"200 Free")</f>
        <v>200 Free</v>
      </c>
      <c r="D71" s="3"/>
      <c r="E71" s="3"/>
      <c r="F71" s="3"/>
      <c r="G71" s="3"/>
    </row>
    <row r="72">
      <c r="A72" s="3" t="str">
        <f>IFERROR(__xludf.DUMMYFUNCTION("""COMPUTED_VALUE"""),"50 Free")</f>
        <v>50 Free</v>
      </c>
      <c r="B72" s="3" t="str">
        <f>IFERROR(__xludf.DUMMYFUNCTION("""COMPUTED_VALUE"""),"100 Free")</f>
        <v>100 Free</v>
      </c>
      <c r="C72" s="3" t="str">
        <f>IFERROR(__xludf.DUMMYFUNCTION("""COMPUTED_VALUE"""),"200 Free")</f>
        <v>200 Free</v>
      </c>
      <c r="D72" s="3" t="str">
        <f>IFERROR(__xludf.DUMMYFUNCTION("""COMPUTED_VALUE"""),"500 Free")</f>
        <v>500 Free</v>
      </c>
      <c r="E72" s="3" t="str">
        <f>IFERROR(__xludf.DUMMYFUNCTION("""COMPUTED_VALUE"""),"1650 Free")</f>
        <v>1650 Free</v>
      </c>
      <c r="F72" s="3" t="str">
        <f>IFERROR(__xludf.DUMMYFUNCTION("""COMPUTED_VALUE"""),"1000 Free")</f>
        <v>1000 Free</v>
      </c>
      <c r="G72" s="3"/>
    </row>
    <row r="73">
      <c r="A73" s="3" t="str">
        <f>IFERROR(__xludf.DUMMYFUNCTION("""COMPUTED_VALUE"""),"50 Free")</f>
        <v>50 Free</v>
      </c>
      <c r="B73" s="3" t="str">
        <f>IFERROR(__xludf.DUMMYFUNCTION("""COMPUTED_VALUE"""),"100 Back")</f>
        <v>100 Back</v>
      </c>
      <c r="C73" s="3" t="str">
        <f>IFERROR(__xludf.DUMMYFUNCTION("""COMPUTED_VALUE"""),"200 Back")</f>
        <v>200 Back</v>
      </c>
      <c r="D73" s="3" t="str">
        <f>IFERROR(__xludf.DUMMYFUNCTION("""COMPUTED_VALUE"""),"200 IM")</f>
        <v>200 IM</v>
      </c>
      <c r="E73" s="3"/>
      <c r="F73" s="3"/>
      <c r="G73" s="3"/>
    </row>
    <row r="74">
      <c r="A74" s="3" t="str">
        <f>IFERROR(__xludf.DUMMYFUNCTION("""COMPUTED_VALUE"""),"50 Free")</f>
        <v>50 Free</v>
      </c>
      <c r="B74" s="3" t="str">
        <f>IFERROR(__xludf.DUMMYFUNCTION("""COMPUTED_VALUE"""),"100 Free")</f>
        <v>100 Free</v>
      </c>
      <c r="C74" s="3" t="str">
        <f>IFERROR(__xludf.DUMMYFUNCTION("""COMPUTED_VALUE"""),"100 Breast")</f>
        <v>100 Breast</v>
      </c>
      <c r="D74" s="3" t="str">
        <f>IFERROR(__xludf.DUMMYFUNCTION("""COMPUTED_VALUE"""),"100 Fly")</f>
        <v>100 Fly</v>
      </c>
      <c r="E74" s="3" t="str">
        <f>IFERROR(__xludf.DUMMYFUNCTION("""COMPUTED_VALUE"""),"200 Fly")</f>
        <v>200 Fly</v>
      </c>
      <c r="F74" s="3" t="str">
        <f>IFERROR(__xludf.DUMMYFUNCTION("""COMPUTED_VALUE"""),"200 IM")</f>
        <v>200 IM</v>
      </c>
      <c r="G74" s="3"/>
    </row>
    <row r="75">
      <c r="A75" s="3" t="str">
        <f>IFERROR(__xludf.DUMMYFUNCTION("""COMPUTED_VALUE"""),"50 Free")</f>
        <v>50 Free</v>
      </c>
      <c r="B75" s="3" t="str">
        <f>IFERROR(__xludf.DUMMYFUNCTION("""COMPUTED_VALUE"""),"100 Free")</f>
        <v>100 Free</v>
      </c>
      <c r="C75" s="3" t="str">
        <f>IFERROR(__xludf.DUMMYFUNCTION("""COMPUTED_VALUE"""),"100 Breast")</f>
        <v>100 Breast</v>
      </c>
      <c r="D75" s="3" t="str">
        <f>IFERROR(__xludf.DUMMYFUNCTION("""COMPUTED_VALUE"""),"200 Breast")</f>
        <v>200 Breast</v>
      </c>
      <c r="E75" s="3" t="str">
        <f>IFERROR(__xludf.DUMMYFUNCTION("""COMPUTED_VALUE"""),"200 IM")</f>
        <v>200 IM</v>
      </c>
      <c r="F75" s="3"/>
      <c r="G75" s="3"/>
    </row>
    <row r="76">
      <c r="A76" s="3" t="str">
        <f>IFERROR(__xludf.DUMMYFUNCTION("""COMPUTED_VALUE"""),"50 Free")</f>
        <v>50 Free</v>
      </c>
      <c r="B76" s="3" t="str">
        <f>IFERROR(__xludf.DUMMYFUNCTION("""COMPUTED_VALUE"""),"100 Free")</f>
        <v>100 Free</v>
      </c>
      <c r="C76" s="3" t="str">
        <f>IFERROR(__xludf.DUMMYFUNCTION("""COMPUTED_VALUE"""),"100 Back")</f>
        <v>100 Back</v>
      </c>
      <c r="D76" s="3" t="str">
        <f>IFERROR(__xludf.DUMMYFUNCTION("""COMPUTED_VALUE"""),"200 Back")</f>
        <v>200 Back</v>
      </c>
      <c r="E76" s="3" t="str">
        <f>IFERROR(__xludf.DUMMYFUNCTION("""COMPUTED_VALUE"""),"100 Fly")</f>
        <v>100 Fly</v>
      </c>
      <c r="F76" s="3" t="str">
        <f>IFERROR(__xludf.DUMMYFUNCTION("""COMPUTED_VALUE"""),"200 Fly")</f>
        <v>200 Fly</v>
      </c>
      <c r="G76" s="3"/>
    </row>
    <row r="77">
      <c r="A77" s="3" t="str">
        <f>IFERROR(__xludf.DUMMYFUNCTION("""COMPUTED_VALUE"""),"50 Free")</f>
        <v>50 Free</v>
      </c>
      <c r="B77" s="3" t="str">
        <f>IFERROR(__xludf.DUMMYFUNCTION("""COMPUTED_VALUE"""),"100 Free")</f>
        <v>100 Free</v>
      </c>
      <c r="C77" s="3" t="str">
        <f>IFERROR(__xludf.DUMMYFUNCTION("""COMPUTED_VALUE"""),"200 Free")</f>
        <v>200 Free</v>
      </c>
      <c r="D77" s="3" t="str">
        <f>IFERROR(__xludf.DUMMYFUNCTION("""COMPUTED_VALUE"""),"100 Breast")</f>
        <v>100 Breast</v>
      </c>
      <c r="E77" s="3" t="str">
        <f>IFERROR(__xludf.DUMMYFUNCTION("""COMPUTED_VALUE"""),"100 Fly")</f>
        <v>100 Fly</v>
      </c>
      <c r="F77" s="3" t="str">
        <f>IFERROR(__xludf.DUMMYFUNCTION("""COMPUTED_VALUE"""),"200 IM")</f>
        <v>200 IM</v>
      </c>
      <c r="G77" s="3"/>
    </row>
    <row r="78">
      <c r="A78" s="3" t="str">
        <f>IFERROR(__xludf.DUMMYFUNCTION("""COMPUTED_VALUE"""),"50 Free")</f>
        <v>50 Free</v>
      </c>
      <c r="B78" s="3" t="str">
        <f>IFERROR(__xludf.DUMMYFUNCTION("""COMPUTED_VALUE"""),"100 Free")</f>
        <v>100 Free</v>
      </c>
      <c r="C78" s="3" t="str">
        <f>IFERROR(__xludf.DUMMYFUNCTION("""COMPUTED_VALUE"""),"100 Breast")</f>
        <v>100 Breast</v>
      </c>
      <c r="D78" s="3" t="str">
        <f>IFERROR(__xludf.DUMMYFUNCTION("""COMPUTED_VALUE"""),"200 Breast")</f>
        <v>200 Breast</v>
      </c>
      <c r="E78" s="3"/>
      <c r="F78" s="3"/>
      <c r="G78" s="3"/>
    </row>
    <row r="79">
      <c r="A79" s="3" t="str">
        <f>IFERROR(__xludf.DUMMYFUNCTION("""COMPUTED_VALUE"""),"50 Free")</f>
        <v>50 Free</v>
      </c>
      <c r="B79" s="3" t="str">
        <f>IFERROR(__xludf.DUMMYFUNCTION("""COMPUTED_VALUE"""),"200 Free")</f>
        <v>200 Free</v>
      </c>
      <c r="C79" s="3" t="str">
        <f>IFERROR(__xludf.DUMMYFUNCTION("""COMPUTED_VALUE"""),"100 Breast")</f>
        <v>100 Breast</v>
      </c>
      <c r="D79" s="3" t="str">
        <f>IFERROR(__xludf.DUMMYFUNCTION("""COMPUTED_VALUE"""),"200 Breast")</f>
        <v>200 Breast</v>
      </c>
      <c r="E79" s="3" t="str">
        <f>IFERROR(__xludf.DUMMYFUNCTION("""COMPUTED_VALUE"""),"200 IM")</f>
        <v>200 IM</v>
      </c>
      <c r="F79" s="3" t="str">
        <f>IFERROR(__xludf.DUMMYFUNCTION("""COMPUTED_VALUE"""),"1000 Free")</f>
        <v>1000 Free</v>
      </c>
      <c r="G79" s="3"/>
    </row>
    <row r="80">
      <c r="A80" s="3" t="str">
        <f>IFERROR(__xludf.DUMMYFUNCTION("""COMPUTED_VALUE"""),"50 Free")</f>
        <v>50 Free</v>
      </c>
      <c r="B80" s="3" t="str">
        <f>IFERROR(__xludf.DUMMYFUNCTION("""COMPUTED_VALUE"""),"100 Free")</f>
        <v>100 Free</v>
      </c>
      <c r="C80" s="3" t="str">
        <f>IFERROR(__xludf.DUMMYFUNCTION("""COMPUTED_VALUE"""),"100 Breast")</f>
        <v>100 Breast</v>
      </c>
      <c r="D80" s="3" t="str">
        <f>IFERROR(__xludf.DUMMYFUNCTION("""COMPUTED_VALUE"""),"100 Fly")</f>
        <v>100 Fly</v>
      </c>
      <c r="E80" s="3"/>
      <c r="F80" s="3"/>
      <c r="G80" s="3"/>
    </row>
    <row r="81">
      <c r="A81" s="3" t="str">
        <f>IFERROR(__xludf.DUMMYFUNCTION("""COMPUTED_VALUE"""),"50 Free")</f>
        <v>50 Free</v>
      </c>
      <c r="B81" s="3" t="str">
        <f>IFERROR(__xludf.DUMMYFUNCTION("""COMPUTED_VALUE"""),"100 Breast")</f>
        <v>100 Breast</v>
      </c>
      <c r="C81" s="3"/>
      <c r="D81" s="3"/>
      <c r="E81" s="3"/>
      <c r="F81" s="3"/>
      <c r="G81" s="3"/>
    </row>
    <row r="82">
      <c r="A82" s="3" t="str">
        <f>IFERROR(__xludf.DUMMYFUNCTION("""COMPUTED_VALUE"""),"50 Free")</f>
        <v>50 Free</v>
      </c>
      <c r="B82" s="3" t="str">
        <f>IFERROR(__xludf.DUMMYFUNCTION("""COMPUTED_VALUE"""),"100 Back")</f>
        <v>100 Back</v>
      </c>
      <c r="C82" s="3"/>
      <c r="D82" s="3"/>
      <c r="E82" s="3"/>
      <c r="F82" s="3"/>
      <c r="G82" s="3"/>
    </row>
    <row r="83">
      <c r="A83" s="3" t="str">
        <f>IFERROR(__xludf.DUMMYFUNCTION("""COMPUTED_VALUE"""),"50 Free")</f>
        <v>50 Free</v>
      </c>
      <c r="B83" s="3" t="str">
        <f>IFERROR(__xludf.DUMMYFUNCTION("""COMPUTED_VALUE"""),"100 Free")</f>
        <v>100 Free</v>
      </c>
      <c r="C83" s="3"/>
      <c r="D83" s="3"/>
      <c r="E83" s="3"/>
      <c r="F83" s="3"/>
      <c r="G83" s="3"/>
    </row>
    <row r="84">
      <c r="A84" s="3" t="str">
        <f>IFERROR(__xludf.DUMMYFUNCTION("""COMPUTED_VALUE"""),"50 Free")</f>
        <v>50 Free</v>
      </c>
      <c r="B84" s="3" t="str">
        <f>IFERROR(__xludf.DUMMYFUNCTION("""COMPUTED_VALUE"""),"200 Free")</f>
        <v>200 Free</v>
      </c>
      <c r="C84" s="3" t="str">
        <f>IFERROR(__xludf.DUMMYFUNCTION("""COMPUTED_VALUE"""),"500 Free")</f>
        <v>500 Free</v>
      </c>
      <c r="D84" s="3" t="str">
        <f>IFERROR(__xludf.DUMMYFUNCTION("""COMPUTED_VALUE"""),"400 IM")</f>
        <v>400 IM</v>
      </c>
      <c r="E84" s="3"/>
      <c r="F84" s="3"/>
      <c r="G84" s="3"/>
    </row>
    <row r="85">
      <c r="A85" s="3" t="str">
        <f>IFERROR(__xludf.DUMMYFUNCTION("""COMPUTED_VALUE"""),"50 Free")</f>
        <v>50 Free</v>
      </c>
      <c r="B85" s="3" t="str">
        <f>IFERROR(__xludf.DUMMYFUNCTION("""COMPUTED_VALUE"""),"100 Free")</f>
        <v>100 Free</v>
      </c>
      <c r="C85" s="3" t="str">
        <f>IFERROR(__xludf.DUMMYFUNCTION("""COMPUTED_VALUE"""),"100 Back")</f>
        <v>100 Back</v>
      </c>
      <c r="D85" s="3" t="str">
        <f>IFERROR(__xludf.DUMMYFUNCTION("""COMPUTED_VALUE"""),"200 Back")</f>
        <v>200 Back</v>
      </c>
      <c r="E85" s="3"/>
      <c r="F85" s="3"/>
      <c r="G85" s="3"/>
    </row>
    <row r="86">
      <c r="A86" s="3" t="str">
        <f>IFERROR(__xludf.DUMMYFUNCTION("""COMPUTED_VALUE"""),"50 Free")</f>
        <v>50 Free</v>
      </c>
      <c r="B86" s="3" t="str">
        <f>IFERROR(__xludf.DUMMYFUNCTION("""COMPUTED_VALUE"""),"100 Free")</f>
        <v>100 Free</v>
      </c>
      <c r="C86" s="3" t="str">
        <f>IFERROR(__xludf.DUMMYFUNCTION("""COMPUTED_VALUE"""),"200 Free")</f>
        <v>200 Free</v>
      </c>
      <c r="D86" s="3" t="str">
        <f>IFERROR(__xludf.DUMMYFUNCTION("""COMPUTED_VALUE"""),"500 Free")</f>
        <v>500 Free</v>
      </c>
      <c r="E86" s="3" t="str">
        <f>IFERROR(__xludf.DUMMYFUNCTION("""COMPUTED_VALUE"""),"1650 Free")</f>
        <v>1650 Free</v>
      </c>
      <c r="F86" s="3" t="str">
        <f>IFERROR(__xludf.DUMMYFUNCTION("""COMPUTED_VALUE"""),"1000 Free")</f>
        <v>1000 Free</v>
      </c>
      <c r="G86" s="3"/>
    </row>
    <row r="87">
      <c r="A87" s="3" t="str">
        <f>IFERROR(__xludf.DUMMYFUNCTION("""COMPUTED_VALUE"""),"50 Free")</f>
        <v>50 Free</v>
      </c>
      <c r="B87" s="3" t="str">
        <f>IFERROR(__xludf.DUMMYFUNCTION("""COMPUTED_VALUE"""),"100 Breast")</f>
        <v>100 Breast</v>
      </c>
      <c r="C87" s="3" t="str">
        <f>IFERROR(__xludf.DUMMYFUNCTION("""COMPUTED_VALUE"""),"200 Breast")</f>
        <v>200 Breast</v>
      </c>
      <c r="D87" s="3"/>
      <c r="E87" s="3"/>
      <c r="F87" s="3"/>
      <c r="G87" s="3"/>
    </row>
    <row r="88">
      <c r="A88" s="3" t="str">
        <f>IFERROR(__xludf.DUMMYFUNCTION("""COMPUTED_VALUE"""),"50 Free")</f>
        <v>50 Free</v>
      </c>
      <c r="B88" s="3" t="str">
        <f>IFERROR(__xludf.DUMMYFUNCTION("""COMPUTED_VALUE"""),"100 Back")</f>
        <v>100 Back</v>
      </c>
      <c r="C88" s="3" t="str">
        <f>IFERROR(__xludf.DUMMYFUNCTION("""COMPUTED_VALUE"""),"100 Breast")</f>
        <v>100 Breast</v>
      </c>
      <c r="D88" s="3" t="str">
        <f>IFERROR(__xludf.DUMMYFUNCTION("""COMPUTED_VALUE"""),"100 Fly")</f>
        <v>100 Fly</v>
      </c>
      <c r="E88" s="3" t="str">
        <f>IFERROR(__xludf.DUMMYFUNCTION("""COMPUTED_VALUE"""),"200 Fly")</f>
        <v>200 Fly</v>
      </c>
      <c r="F88" s="3" t="str">
        <f>IFERROR(__xludf.DUMMYFUNCTION("""COMPUTED_VALUE"""),"200 IM")</f>
        <v>200 IM</v>
      </c>
      <c r="G88" s="3"/>
    </row>
    <row r="89">
      <c r="A89" s="3" t="str">
        <f>IFERROR(__xludf.DUMMYFUNCTION("""COMPUTED_VALUE"""),"50 Free")</f>
        <v>50 Free</v>
      </c>
      <c r="B89" s="3" t="str">
        <f>IFERROR(__xludf.DUMMYFUNCTION("""COMPUTED_VALUE"""),"100 Free")</f>
        <v>100 Free</v>
      </c>
      <c r="C89" s="3" t="str">
        <f>IFERROR(__xludf.DUMMYFUNCTION("""COMPUTED_VALUE"""),"100 Breast")</f>
        <v>100 Breast</v>
      </c>
      <c r="D89" s="3"/>
      <c r="E89" s="3"/>
      <c r="F89" s="3"/>
      <c r="G89" s="3"/>
    </row>
    <row r="90">
      <c r="A90" s="3" t="str">
        <f>IFERROR(__xludf.DUMMYFUNCTION("""COMPUTED_VALUE"""),"50 Free")</f>
        <v>50 Free</v>
      </c>
      <c r="B90" s="3" t="str">
        <f>IFERROR(__xludf.DUMMYFUNCTION("""COMPUTED_VALUE"""),"100 Free")</f>
        <v>100 Free</v>
      </c>
      <c r="C90" s="3"/>
      <c r="D90" s="3"/>
      <c r="E90" s="3"/>
      <c r="F90" s="3"/>
      <c r="G90" s="3"/>
    </row>
    <row r="91">
      <c r="A91" s="3" t="str">
        <f>IFERROR(__xludf.DUMMYFUNCTION("""COMPUTED_VALUE"""),"50 Free")</f>
        <v>50 Free</v>
      </c>
      <c r="B91" s="3" t="str">
        <f>IFERROR(__xludf.DUMMYFUNCTION("""COMPUTED_VALUE"""),"100 Free")</f>
        <v>100 Free</v>
      </c>
      <c r="C91" s="3" t="str">
        <f>IFERROR(__xludf.DUMMYFUNCTION("""COMPUTED_VALUE"""),"200 Free")</f>
        <v>200 Free</v>
      </c>
      <c r="D91" s="3" t="str">
        <f>IFERROR(__xludf.DUMMYFUNCTION("""COMPUTED_VALUE"""),"500 Free")</f>
        <v>500 Free</v>
      </c>
      <c r="E91" s="3" t="str">
        <f>IFERROR(__xludf.DUMMYFUNCTION("""COMPUTED_VALUE"""),"100 Fly")</f>
        <v>100 Fly</v>
      </c>
      <c r="F91" s="3" t="str">
        <f>IFERROR(__xludf.DUMMYFUNCTION("""COMPUTED_VALUE"""),"200 Fly")</f>
        <v>200 Fly</v>
      </c>
      <c r="G91" s="3"/>
    </row>
    <row r="92">
      <c r="A92" s="3" t="str">
        <f>IFERROR(__xludf.DUMMYFUNCTION("""COMPUTED_VALUE"""),"50 Free")</f>
        <v>50 Free</v>
      </c>
      <c r="B92" s="3" t="str">
        <f>IFERROR(__xludf.DUMMYFUNCTION("""COMPUTED_VALUE"""),"100 Back")</f>
        <v>100 Back</v>
      </c>
      <c r="C92" s="3" t="str">
        <f>IFERROR(__xludf.DUMMYFUNCTION("""COMPUTED_VALUE"""),"200 Back")</f>
        <v>200 Back</v>
      </c>
      <c r="D92" s="3"/>
      <c r="E92" s="3"/>
      <c r="F92" s="3"/>
      <c r="G92" s="3"/>
    </row>
    <row r="93">
      <c r="A93" s="3" t="str">
        <f>IFERROR(__xludf.DUMMYFUNCTION("""COMPUTED_VALUE"""),"50 Free")</f>
        <v>50 Free</v>
      </c>
      <c r="B93" s="3" t="str">
        <f>IFERROR(__xludf.DUMMYFUNCTION("""COMPUTED_VALUE"""),"100 Fly")</f>
        <v>100 Fly</v>
      </c>
      <c r="C93" s="3"/>
      <c r="D93" s="3"/>
      <c r="E93" s="3"/>
      <c r="F93" s="3"/>
      <c r="G93" s="3"/>
    </row>
    <row r="94">
      <c r="A94" s="3" t="str">
        <f>IFERROR(__xludf.DUMMYFUNCTION("""COMPUTED_VALUE"""),"50 Free")</f>
        <v>50 Free</v>
      </c>
      <c r="B94" s="3" t="str">
        <f>IFERROR(__xludf.DUMMYFUNCTION("""COMPUTED_VALUE"""),"100 Free")</f>
        <v>100 Free</v>
      </c>
      <c r="C94" s="3"/>
      <c r="D94" s="3"/>
      <c r="E94" s="3"/>
      <c r="F94" s="3"/>
      <c r="G94" s="3"/>
    </row>
    <row r="95">
      <c r="A95" s="3" t="str">
        <f>IFERROR(__xludf.DUMMYFUNCTION("""COMPUTED_VALUE"""),"50 Free")</f>
        <v>50 Free</v>
      </c>
      <c r="B95" s="3" t="str">
        <f>IFERROR(__xludf.DUMMYFUNCTION("""COMPUTED_VALUE"""),"100 Free")</f>
        <v>100 Free</v>
      </c>
      <c r="C95" s="3" t="str">
        <f>IFERROR(__xludf.DUMMYFUNCTION("""COMPUTED_VALUE"""),"200 Back")</f>
        <v>200 Back</v>
      </c>
      <c r="D95" s="3"/>
      <c r="E95" s="3"/>
      <c r="F95" s="3"/>
      <c r="G95" s="3"/>
    </row>
    <row r="96">
      <c r="A96" s="3" t="str">
        <f>IFERROR(__xludf.DUMMYFUNCTION("""COMPUTED_VALUE"""),"50 Free")</f>
        <v>50 Free</v>
      </c>
      <c r="B96" s="3" t="str">
        <f>IFERROR(__xludf.DUMMYFUNCTION("""COMPUTED_VALUE"""),"1650 Free")</f>
        <v>1650 Free</v>
      </c>
      <c r="C96" s="3" t="str">
        <f>IFERROR(__xludf.DUMMYFUNCTION("""COMPUTED_VALUE"""),"100 Breast")</f>
        <v>100 Breast</v>
      </c>
      <c r="D96" s="3" t="str">
        <f>IFERROR(__xludf.DUMMYFUNCTION("""COMPUTED_VALUE"""),"200 Breast")</f>
        <v>200 Breast</v>
      </c>
      <c r="E96" s="3" t="str">
        <f>IFERROR(__xludf.DUMMYFUNCTION("""COMPUTED_VALUE"""),"200 IM")</f>
        <v>200 IM</v>
      </c>
      <c r="F96" s="3" t="str">
        <f>IFERROR(__xludf.DUMMYFUNCTION("""COMPUTED_VALUE"""),"1000 Free")</f>
        <v>1000 Free</v>
      </c>
      <c r="G96" s="3"/>
    </row>
    <row r="97">
      <c r="A97" s="3" t="str">
        <f>IFERROR(__xludf.DUMMYFUNCTION("""COMPUTED_VALUE"""),"50 Free")</f>
        <v>50 Free</v>
      </c>
      <c r="B97" s="3" t="str">
        <f>IFERROR(__xludf.DUMMYFUNCTION("""COMPUTED_VALUE"""),"100 Free")</f>
        <v>100 Free</v>
      </c>
      <c r="C97" s="3" t="str">
        <f>IFERROR(__xludf.DUMMYFUNCTION("""COMPUTED_VALUE"""),"200 Free")</f>
        <v>200 Free</v>
      </c>
      <c r="D97" s="3" t="str">
        <f>IFERROR(__xludf.DUMMYFUNCTION("""COMPUTED_VALUE"""),"100 Back")</f>
        <v>100 Back</v>
      </c>
      <c r="E97" s="3" t="str">
        <f>IFERROR(__xludf.DUMMYFUNCTION("""COMPUTED_VALUE"""),"100 Fly")</f>
        <v>100 Fly</v>
      </c>
      <c r="F97" s="3" t="str">
        <f>IFERROR(__xludf.DUMMYFUNCTION("""COMPUTED_VALUE"""),"200 Fly")</f>
        <v>200 Fly</v>
      </c>
      <c r="G97" s="3" t="str">
        <f>IFERROR(__xludf.DUMMYFUNCTION("""COMPUTED_VALUE"""),"200 IM")</f>
        <v>200 IM</v>
      </c>
    </row>
    <row r="98">
      <c r="A98" s="3" t="str">
        <f>IFERROR(__xludf.DUMMYFUNCTION("""COMPUTED_VALUE"""),"50 Free")</f>
        <v>50 Free</v>
      </c>
      <c r="B98" s="3" t="str">
        <f>IFERROR(__xludf.DUMMYFUNCTION("""COMPUTED_VALUE"""),"100 Free")</f>
        <v>100 Free</v>
      </c>
      <c r="C98" s="3" t="str">
        <f>IFERROR(__xludf.DUMMYFUNCTION("""COMPUTED_VALUE"""),"200 Free")</f>
        <v>200 Free</v>
      </c>
      <c r="D98" s="3" t="str">
        <f>IFERROR(__xludf.DUMMYFUNCTION("""COMPUTED_VALUE"""),"100 Fly")</f>
        <v>100 Fly</v>
      </c>
      <c r="E98" s="3" t="str">
        <f>IFERROR(__xludf.DUMMYFUNCTION("""COMPUTED_VALUE"""),"200 IM")</f>
        <v>200 IM</v>
      </c>
      <c r="F98" s="3"/>
      <c r="G98" s="3"/>
    </row>
    <row r="99">
      <c r="A99" s="3" t="str">
        <f>IFERROR(__xludf.DUMMYFUNCTION("""COMPUTED_VALUE"""),"50 Free")</f>
        <v>50 Free</v>
      </c>
      <c r="B99" s="3"/>
      <c r="C99" s="3"/>
      <c r="D99" s="3"/>
      <c r="E99" s="3"/>
      <c r="F99" s="3"/>
      <c r="G99" s="3"/>
    </row>
    <row r="100">
      <c r="A100" s="3" t="str">
        <f>IFERROR(__xludf.DUMMYFUNCTION("""COMPUTED_VALUE"""),"50 Free")</f>
        <v>50 Free</v>
      </c>
      <c r="B100" s="3" t="str">
        <f>IFERROR(__xludf.DUMMYFUNCTION("""COMPUTED_VALUE"""),"100 Fly")</f>
        <v>100 Fly</v>
      </c>
      <c r="C100" s="3" t="str">
        <f>IFERROR(__xludf.DUMMYFUNCTION("""COMPUTED_VALUE"""),"200 Fly")</f>
        <v>200 Fly</v>
      </c>
      <c r="D100" s="3" t="str">
        <f>IFERROR(__xludf.DUMMYFUNCTION("""COMPUTED_VALUE"""),"400 IM")</f>
        <v>400 IM</v>
      </c>
      <c r="E100" s="3"/>
      <c r="F100" s="3"/>
      <c r="G100" s="3"/>
    </row>
    <row r="101">
      <c r="A101" s="3" t="str">
        <f>IFERROR(__xludf.DUMMYFUNCTION("""COMPUTED_VALUE"""),"50 Free")</f>
        <v>50 Free</v>
      </c>
      <c r="B101" s="3" t="str">
        <f>IFERROR(__xludf.DUMMYFUNCTION("""COMPUTED_VALUE"""),"200 Free")</f>
        <v>200 Free</v>
      </c>
      <c r="C101" s="3" t="str">
        <f>IFERROR(__xludf.DUMMYFUNCTION("""COMPUTED_VALUE"""),"100 Fly")</f>
        <v>100 Fly</v>
      </c>
      <c r="D101" s="3" t="str">
        <f>IFERROR(__xludf.DUMMYFUNCTION("""COMPUTED_VALUE"""),"200 Fly")</f>
        <v>200 Fly</v>
      </c>
      <c r="E101" s="3"/>
      <c r="F101" s="3"/>
      <c r="G101" s="3"/>
    </row>
    <row r="102">
      <c r="A102" s="3" t="str">
        <f>IFERROR(__xludf.DUMMYFUNCTION("""COMPUTED_VALUE"""),"")</f>
        <v/>
      </c>
      <c r="B102" s="3"/>
      <c r="C102" s="3"/>
      <c r="D102" s="3"/>
      <c r="E102" s="3"/>
      <c r="F102" s="3"/>
      <c r="G102" s="3"/>
    </row>
    <row r="103">
      <c r="A103" s="3" t="str">
        <f>IFERROR(__xludf.DUMMYFUNCTION("""COMPUTED_VALUE"""),"100 Free")</f>
        <v>100 Free</v>
      </c>
      <c r="B103" s="3" t="str">
        <f>IFERROR(__xludf.DUMMYFUNCTION("""COMPUTED_VALUE"""),"200 Free")</f>
        <v>200 Free</v>
      </c>
      <c r="C103" s="3" t="str">
        <f>IFERROR(__xludf.DUMMYFUNCTION("""COMPUTED_VALUE"""),"100 Back")</f>
        <v>100 Back</v>
      </c>
      <c r="D103" s="3" t="str">
        <f>IFERROR(__xludf.DUMMYFUNCTION("""COMPUTED_VALUE"""),"200 Back")</f>
        <v>200 Back</v>
      </c>
      <c r="E103" s="3" t="str">
        <f>IFERROR(__xludf.DUMMYFUNCTION("""COMPUTED_VALUE"""),"100 Fly")</f>
        <v>100 Fly</v>
      </c>
      <c r="F103" s="3" t="str">
        <f>IFERROR(__xludf.DUMMYFUNCTION("""COMPUTED_VALUE"""),"200 Fly")</f>
        <v>200 Fly</v>
      </c>
      <c r="G103" s="3"/>
    </row>
    <row r="104">
      <c r="A104" s="3" t="str">
        <f>IFERROR(__xludf.DUMMYFUNCTION("""COMPUTED_VALUE"""),"100 Free")</f>
        <v>100 Free</v>
      </c>
      <c r="B104" s="3" t="str">
        <f>IFERROR(__xludf.DUMMYFUNCTION("""COMPUTED_VALUE"""),"100 Back")</f>
        <v>100 Back</v>
      </c>
      <c r="C104" s="3" t="str">
        <f>IFERROR(__xludf.DUMMYFUNCTION("""COMPUTED_VALUE"""),"200 Back")</f>
        <v>200 Back</v>
      </c>
      <c r="D104" s="3" t="str">
        <f>IFERROR(__xludf.DUMMYFUNCTION("""COMPUTED_VALUE"""),"100 Breast")</f>
        <v>100 Breast</v>
      </c>
      <c r="E104" s="3" t="str">
        <f>IFERROR(__xludf.DUMMYFUNCTION("""COMPUTED_VALUE"""),"200 Fly")</f>
        <v>200 Fly</v>
      </c>
      <c r="F104" s="3" t="str">
        <f>IFERROR(__xludf.DUMMYFUNCTION("""COMPUTED_VALUE"""),"1000 Free")</f>
        <v>1000 Free</v>
      </c>
      <c r="G104" s="3"/>
    </row>
    <row r="105">
      <c r="A105" s="3" t="str">
        <f>IFERROR(__xludf.DUMMYFUNCTION("""COMPUTED_VALUE"""),"100 Free")</f>
        <v>100 Free</v>
      </c>
      <c r="B105" s="3" t="str">
        <f>IFERROR(__xludf.DUMMYFUNCTION("""COMPUTED_VALUE"""),"500 Free")</f>
        <v>500 Free</v>
      </c>
      <c r="C105" s="3" t="str">
        <f>IFERROR(__xludf.DUMMYFUNCTION("""COMPUTED_VALUE"""),"100 Breast")</f>
        <v>100 Breast</v>
      </c>
      <c r="D105" s="3" t="str">
        <f>IFERROR(__xludf.DUMMYFUNCTION("""COMPUTED_VALUE"""),"200 Breast")</f>
        <v>200 Breast</v>
      </c>
      <c r="E105" s="3" t="str">
        <f>IFERROR(__xludf.DUMMYFUNCTION("""COMPUTED_VALUE"""),"200 IM")</f>
        <v>200 IM</v>
      </c>
      <c r="F105" s="3" t="str">
        <f>IFERROR(__xludf.DUMMYFUNCTION("""COMPUTED_VALUE"""),"400 IM")</f>
        <v>400 IM</v>
      </c>
      <c r="G105" s="3"/>
    </row>
    <row r="106">
      <c r="A106" s="3" t="str">
        <f>IFERROR(__xludf.DUMMYFUNCTION("""COMPUTED_VALUE"""),"100 Free")</f>
        <v>100 Free</v>
      </c>
      <c r="B106" s="3" t="str">
        <f>IFERROR(__xludf.DUMMYFUNCTION("""COMPUTED_VALUE"""),"200 Free")</f>
        <v>200 Free</v>
      </c>
      <c r="C106" s="3" t="str">
        <f>IFERROR(__xludf.DUMMYFUNCTION("""COMPUTED_VALUE"""),"500 Free")</f>
        <v>500 Free</v>
      </c>
      <c r="D106" s="3" t="str">
        <f>IFERROR(__xludf.DUMMYFUNCTION("""COMPUTED_VALUE"""),"100 Back")</f>
        <v>100 Back</v>
      </c>
      <c r="E106" s="3" t="str">
        <f>IFERROR(__xludf.DUMMYFUNCTION("""COMPUTED_VALUE"""),"200 Back")</f>
        <v>200 Back</v>
      </c>
      <c r="F106" s="3" t="str">
        <f>IFERROR(__xludf.DUMMYFUNCTION("""COMPUTED_VALUE"""),"400 IM")</f>
        <v>400 IM</v>
      </c>
      <c r="G106" s="3"/>
    </row>
    <row r="107">
      <c r="A107" s="3" t="str">
        <f>IFERROR(__xludf.DUMMYFUNCTION("""COMPUTED_VALUE"""),"100 Free")</f>
        <v>100 Free</v>
      </c>
      <c r="B107" s="3" t="str">
        <f>IFERROR(__xludf.DUMMYFUNCTION("""COMPUTED_VALUE"""),"200 Free")</f>
        <v>200 Free</v>
      </c>
      <c r="C107" s="3" t="str">
        <f>IFERROR(__xludf.DUMMYFUNCTION("""COMPUTED_VALUE"""),"100 Back")</f>
        <v>100 Back</v>
      </c>
      <c r="D107" s="3" t="str">
        <f>IFERROR(__xludf.DUMMYFUNCTION("""COMPUTED_VALUE"""),"100 Fly")</f>
        <v>100 Fly</v>
      </c>
      <c r="E107" s="3" t="str">
        <f>IFERROR(__xludf.DUMMYFUNCTION("""COMPUTED_VALUE"""),"200 Fly")</f>
        <v>200 Fly</v>
      </c>
      <c r="F107" s="3" t="str">
        <f>IFERROR(__xludf.DUMMYFUNCTION("""COMPUTED_VALUE"""),"200 IM")</f>
        <v>200 IM</v>
      </c>
      <c r="G107" s="3"/>
    </row>
    <row r="108">
      <c r="A108" s="3" t="str">
        <f>IFERROR(__xludf.DUMMYFUNCTION("""COMPUTED_VALUE"""),"100 Free")</f>
        <v>100 Free</v>
      </c>
      <c r="B108" s="3" t="str">
        <f>IFERROR(__xludf.DUMMYFUNCTION("""COMPUTED_VALUE"""),"100 Back")</f>
        <v>100 Back</v>
      </c>
      <c r="C108" s="3" t="str">
        <f>IFERROR(__xludf.DUMMYFUNCTION("""COMPUTED_VALUE"""),"100 Fly")</f>
        <v>100 Fly</v>
      </c>
      <c r="D108" s="3" t="str">
        <f>IFERROR(__xludf.DUMMYFUNCTION("""COMPUTED_VALUE"""),"200 Fly")</f>
        <v>200 Fly</v>
      </c>
      <c r="E108" s="3" t="str">
        <f>IFERROR(__xludf.DUMMYFUNCTION("""COMPUTED_VALUE"""),"200 IM")</f>
        <v>200 IM</v>
      </c>
      <c r="F108" s="3" t="str">
        <f>IFERROR(__xludf.DUMMYFUNCTION("""COMPUTED_VALUE"""),"400 IM")</f>
        <v>400 IM</v>
      </c>
      <c r="G108" s="3"/>
    </row>
    <row r="109">
      <c r="A109" s="3" t="str">
        <f>IFERROR(__xludf.DUMMYFUNCTION("""COMPUTED_VALUE"""),"100 Free")</f>
        <v>100 Free</v>
      </c>
      <c r="B109" s="3" t="str">
        <f>IFERROR(__xludf.DUMMYFUNCTION("""COMPUTED_VALUE"""),"200 Free")</f>
        <v>200 Free</v>
      </c>
      <c r="C109" s="3" t="str">
        <f>IFERROR(__xludf.DUMMYFUNCTION("""COMPUTED_VALUE"""),"100 Back")</f>
        <v>100 Back</v>
      </c>
      <c r="D109" s="3" t="str">
        <f>IFERROR(__xludf.DUMMYFUNCTION("""COMPUTED_VALUE"""),"200 Back")</f>
        <v>200 Back</v>
      </c>
      <c r="E109" s="3" t="str">
        <f>IFERROR(__xludf.DUMMYFUNCTION("""COMPUTED_VALUE"""),"100 Fly")</f>
        <v>100 Fly</v>
      </c>
      <c r="F109" s="3" t="str">
        <f>IFERROR(__xludf.DUMMYFUNCTION("""COMPUTED_VALUE"""),"200 Fly")</f>
        <v>200 Fly</v>
      </c>
      <c r="G109" s="3"/>
    </row>
    <row r="110">
      <c r="A110" s="3" t="str">
        <f>IFERROR(__xludf.DUMMYFUNCTION("""COMPUTED_VALUE"""),"100 Free")</f>
        <v>100 Free</v>
      </c>
      <c r="B110" s="3" t="str">
        <f>IFERROR(__xludf.DUMMYFUNCTION("""COMPUTED_VALUE"""),"200 Free")</f>
        <v>200 Free</v>
      </c>
      <c r="C110" s="3" t="str">
        <f>IFERROR(__xludf.DUMMYFUNCTION("""COMPUTED_VALUE"""),"500 Free")</f>
        <v>500 Free</v>
      </c>
      <c r="D110" s="3" t="str">
        <f>IFERROR(__xludf.DUMMYFUNCTION("""COMPUTED_VALUE"""),"100 Back")</f>
        <v>100 Back</v>
      </c>
      <c r="E110" s="3" t="str">
        <f>IFERROR(__xludf.DUMMYFUNCTION("""COMPUTED_VALUE"""),"200 Back")</f>
        <v>200 Back</v>
      </c>
      <c r="F110" s="3" t="str">
        <f>IFERROR(__xludf.DUMMYFUNCTION("""COMPUTED_VALUE"""),"400 IM")</f>
        <v>400 IM</v>
      </c>
      <c r="G110" s="3"/>
    </row>
    <row r="111">
      <c r="A111" s="3" t="str">
        <f>IFERROR(__xludf.DUMMYFUNCTION("""COMPUTED_VALUE"""),"100 Free")</f>
        <v>100 Free</v>
      </c>
      <c r="B111" s="3" t="str">
        <f>IFERROR(__xludf.DUMMYFUNCTION("""COMPUTED_VALUE"""),"200 Free")</f>
        <v>200 Free</v>
      </c>
      <c r="C111" s="3" t="str">
        <f>IFERROR(__xludf.DUMMYFUNCTION("""COMPUTED_VALUE"""),"100 Fly")</f>
        <v>100 Fly</v>
      </c>
      <c r="D111" s="3" t="str">
        <f>IFERROR(__xludf.DUMMYFUNCTION("""COMPUTED_VALUE"""),"200 IM")</f>
        <v>200 IM</v>
      </c>
      <c r="E111" s="3"/>
      <c r="F111" s="3"/>
      <c r="G111" s="3"/>
    </row>
    <row r="112">
      <c r="A112" s="3" t="str">
        <f>IFERROR(__xludf.DUMMYFUNCTION("""COMPUTED_VALUE"""),"100 Free")</f>
        <v>100 Free</v>
      </c>
      <c r="B112" s="3" t="str">
        <f>IFERROR(__xludf.DUMMYFUNCTION("""COMPUTED_VALUE"""),"200 Free")</f>
        <v>200 Free</v>
      </c>
      <c r="C112" s="3" t="str">
        <f>IFERROR(__xludf.DUMMYFUNCTION("""COMPUTED_VALUE"""),"100 Back")</f>
        <v>100 Back</v>
      </c>
      <c r="D112" s="3" t="str">
        <f>IFERROR(__xludf.DUMMYFUNCTION("""COMPUTED_VALUE"""),"200 Back")</f>
        <v>200 Back</v>
      </c>
      <c r="E112" s="3" t="str">
        <f>IFERROR(__xludf.DUMMYFUNCTION("""COMPUTED_VALUE"""),"100 Fly")</f>
        <v>100 Fly</v>
      </c>
      <c r="F112" s="3" t="str">
        <f>IFERROR(__xludf.DUMMYFUNCTION("""COMPUTED_VALUE"""),"200 Fly")</f>
        <v>200 Fly</v>
      </c>
      <c r="G112" s="3"/>
    </row>
    <row r="113">
      <c r="A113" s="3" t="str">
        <f>IFERROR(__xludf.DUMMYFUNCTION("""COMPUTED_VALUE"""),"100 Free")</f>
        <v>100 Free</v>
      </c>
      <c r="B113" s="3" t="str">
        <f>IFERROR(__xludf.DUMMYFUNCTION("""COMPUTED_VALUE"""),"200 Breast")</f>
        <v>200 Breast</v>
      </c>
      <c r="C113" s="3" t="str">
        <f>IFERROR(__xludf.DUMMYFUNCTION("""COMPUTED_VALUE"""),"100 Fly")</f>
        <v>100 Fly</v>
      </c>
      <c r="D113" s="3" t="str">
        <f>IFERROR(__xludf.DUMMYFUNCTION("""COMPUTED_VALUE"""),"200 Fly")</f>
        <v>200 Fly</v>
      </c>
      <c r="E113" s="3" t="str">
        <f>IFERROR(__xludf.DUMMYFUNCTION("""COMPUTED_VALUE"""),"200 IM")</f>
        <v>200 IM</v>
      </c>
      <c r="F113" s="3" t="str">
        <f>IFERROR(__xludf.DUMMYFUNCTION("""COMPUTED_VALUE"""),"400 IM")</f>
        <v>400 IM</v>
      </c>
      <c r="G113" s="3"/>
    </row>
    <row r="114">
      <c r="A114" s="3" t="str">
        <f>IFERROR(__xludf.DUMMYFUNCTION("""COMPUTED_VALUE"""),"100 Free")</f>
        <v>100 Free</v>
      </c>
      <c r="B114" s="3" t="str">
        <f>IFERROR(__xludf.DUMMYFUNCTION("""COMPUTED_VALUE"""),"200 Free")</f>
        <v>200 Free</v>
      </c>
      <c r="C114" s="3" t="str">
        <f>IFERROR(__xludf.DUMMYFUNCTION("""COMPUTED_VALUE"""),"100 Back")</f>
        <v>100 Back</v>
      </c>
      <c r="D114" s="3" t="str">
        <f>IFERROR(__xludf.DUMMYFUNCTION("""COMPUTED_VALUE"""),"100 Fly")</f>
        <v>100 Fly</v>
      </c>
      <c r="E114" s="3" t="str">
        <f>IFERROR(__xludf.DUMMYFUNCTION("""COMPUTED_VALUE"""),"200 Fly")</f>
        <v>200 Fly</v>
      </c>
      <c r="F114" s="3" t="str">
        <f>IFERROR(__xludf.DUMMYFUNCTION("""COMPUTED_VALUE"""),"200 IM")</f>
        <v>200 IM</v>
      </c>
      <c r="G114" s="3"/>
    </row>
    <row r="115">
      <c r="A115" s="3" t="str">
        <f>IFERROR(__xludf.DUMMYFUNCTION("""COMPUTED_VALUE"""),"100 Free")</f>
        <v>100 Free</v>
      </c>
      <c r="B115" s="3" t="str">
        <f>IFERROR(__xludf.DUMMYFUNCTION("""COMPUTED_VALUE"""),"100 Breast")</f>
        <v>100 Breast</v>
      </c>
      <c r="C115" s="3" t="str">
        <f>IFERROR(__xludf.DUMMYFUNCTION("""COMPUTED_VALUE"""),"200 Breast")</f>
        <v>200 Breast</v>
      </c>
      <c r="D115" s="3" t="str">
        <f>IFERROR(__xludf.DUMMYFUNCTION("""COMPUTED_VALUE"""),"200 IM")</f>
        <v>200 IM</v>
      </c>
      <c r="E115" s="3" t="str">
        <f>IFERROR(__xludf.DUMMYFUNCTION("""COMPUTED_VALUE"""),"400 IM")</f>
        <v>400 IM</v>
      </c>
      <c r="F115" s="3"/>
      <c r="G115" s="3"/>
    </row>
    <row r="116">
      <c r="A116" s="3" t="str">
        <f>IFERROR(__xludf.DUMMYFUNCTION("""COMPUTED_VALUE"""),"100 Free")</f>
        <v>100 Free</v>
      </c>
      <c r="B116" s="3" t="str">
        <f>IFERROR(__xludf.DUMMYFUNCTION("""COMPUTED_VALUE"""),"200 Free")</f>
        <v>200 Free</v>
      </c>
      <c r="C116" s="3" t="str">
        <f>IFERROR(__xludf.DUMMYFUNCTION("""COMPUTED_VALUE"""),"500 Free")</f>
        <v>500 Free</v>
      </c>
      <c r="D116" s="3" t="str">
        <f>IFERROR(__xludf.DUMMYFUNCTION("""COMPUTED_VALUE"""),"100 Fly")</f>
        <v>100 Fly</v>
      </c>
      <c r="E116" s="3" t="str">
        <f>IFERROR(__xludf.DUMMYFUNCTION("""COMPUTED_VALUE"""),"200 Fly")</f>
        <v>200 Fly</v>
      </c>
      <c r="F116" s="3" t="str">
        <f>IFERROR(__xludf.DUMMYFUNCTION("""COMPUTED_VALUE"""),"200 IM")</f>
        <v>200 IM</v>
      </c>
      <c r="G116" s="3"/>
    </row>
    <row r="117">
      <c r="A117" s="3" t="str">
        <f>IFERROR(__xludf.DUMMYFUNCTION("""COMPUTED_VALUE"""),"100 Free")</f>
        <v>100 Free</v>
      </c>
      <c r="B117" s="3" t="str">
        <f>IFERROR(__xludf.DUMMYFUNCTION("""COMPUTED_VALUE"""),"200 Breast")</f>
        <v>200 Breast</v>
      </c>
      <c r="C117" s="3" t="str">
        <f>IFERROR(__xludf.DUMMYFUNCTION("""COMPUTED_VALUE"""),"200 IM")</f>
        <v>200 IM</v>
      </c>
      <c r="D117" s="3"/>
      <c r="E117" s="3"/>
      <c r="F117" s="3"/>
      <c r="G117" s="3"/>
    </row>
    <row r="118">
      <c r="A118" s="3" t="str">
        <f>IFERROR(__xludf.DUMMYFUNCTION("""COMPUTED_VALUE"""),"100 Free")</f>
        <v>100 Free</v>
      </c>
      <c r="B118" s="3" t="str">
        <f>IFERROR(__xludf.DUMMYFUNCTION("""COMPUTED_VALUE"""),"100 Back")</f>
        <v>100 Back</v>
      </c>
      <c r="C118" s="3" t="str">
        <f>IFERROR(__xludf.DUMMYFUNCTION("""COMPUTED_VALUE"""),"100 Breast")</f>
        <v>100 Breast</v>
      </c>
      <c r="D118" s="3" t="str">
        <f>IFERROR(__xludf.DUMMYFUNCTION("""COMPUTED_VALUE"""),"200 Breast")</f>
        <v>200 Breast</v>
      </c>
      <c r="E118" s="3" t="str">
        <f>IFERROR(__xludf.DUMMYFUNCTION("""COMPUTED_VALUE"""),"200 IM")</f>
        <v>200 IM</v>
      </c>
      <c r="F118" s="3" t="str">
        <f>IFERROR(__xludf.DUMMYFUNCTION("""COMPUTED_VALUE"""),"400 IM")</f>
        <v>400 IM</v>
      </c>
      <c r="G118" s="3"/>
    </row>
    <row r="119">
      <c r="A119" s="3" t="str">
        <f>IFERROR(__xludf.DUMMYFUNCTION("""COMPUTED_VALUE"""),"100 Free")</f>
        <v>100 Free</v>
      </c>
      <c r="B119" s="3" t="str">
        <f>IFERROR(__xludf.DUMMYFUNCTION("""COMPUTED_VALUE"""),"100 Back")</f>
        <v>100 Back</v>
      </c>
      <c r="C119" s="3" t="str">
        <f>IFERROR(__xludf.DUMMYFUNCTION("""COMPUTED_VALUE"""),"100 Breast")</f>
        <v>100 Breast</v>
      </c>
      <c r="D119" s="3" t="str">
        <f>IFERROR(__xludf.DUMMYFUNCTION("""COMPUTED_VALUE"""),"100 Fly")</f>
        <v>100 Fly</v>
      </c>
      <c r="E119" s="3" t="str">
        <f>IFERROR(__xludf.DUMMYFUNCTION("""COMPUTED_VALUE"""),"200 Fly")</f>
        <v>200 Fly</v>
      </c>
      <c r="F119" s="3" t="str">
        <f>IFERROR(__xludf.DUMMYFUNCTION("""COMPUTED_VALUE"""),"200 IM")</f>
        <v>200 IM</v>
      </c>
      <c r="G119" s="3"/>
    </row>
    <row r="120">
      <c r="A120" s="3" t="str">
        <f>IFERROR(__xludf.DUMMYFUNCTION("""COMPUTED_VALUE"""),"100 Free")</f>
        <v>100 Free</v>
      </c>
      <c r="B120" s="3" t="str">
        <f>IFERROR(__xludf.DUMMYFUNCTION("""COMPUTED_VALUE"""),"100 Back")</f>
        <v>100 Back</v>
      </c>
      <c r="C120" s="3" t="str">
        <f>IFERROR(__xludf.DUMMYFUNCTION("""COMPUTED_VALUE"""),"100 Breast")</f>
        <v>100 Breast</v>
      </c>
      <c r="D120" s="3" t="str">
        <f>IFERROR(__xludf.DUMMYFUNCTION("""COMPUTED_VALUE"""),"200 Breast")</f>
        <v>200 Breast</v>
      </c>
      <c r="E120" s="3" t="str">
        <f>IFERROR(__xludf.DUMMYFUNCTION("""COMPUTED_VALUE"""),"100 Fly")</f>
        <v>100 Fly</v>
      </c>
      <c r="F120" s="3" t="str">
        <f>IFERROR(__xludf.DUMMYFUNCTION("""COMPUTED_VALUE"""),"200 IM")</f>
        <v>200 IM</v>
      </c>
      <c r="G120" s="3"/>
    </row>
    <row r="121">
      <c r="A121" s="3" t="str">
        <f>IFERROR(__xludf.DUMMYFUNCTION("""COMPUTED_VALUE"""),"100 Free")</f>
        <v>100 Free</v>
      </c>
      <c r="B121" s="3" t="str">
        <f>IFERROR(__xludf.DUMMYFUNCTION("""COMPUTED_VALUE"""),"200 Free")</f>
        <v>200 Free</v>
      </c>
      <c r="C121" s="3" t="str">
        <f>IFERROR(__xludf.DUMMYFUNCTION("""COMPUTED_VALUE"""),"100 Back")</f>
        <v>100 Back</v>
      </c>
      <c r="D121" s="3" t="str">
        <f>IFERROR(__xludf.DUMMYFUNCTION("""COMPUTED_VALUE"""),"200 Back")</f>
        <v>200 Back</v>
      </c>
      <c r="E121" s="3" t="str">
        <f>IFERROR(__xludf.DUMMYFUNCTION("""COMPUTED_VALUE"""),"100 Fly")</f>
        <v>100 Fly</v>
      </c>
      <c r="F121" s="3"/>
      <c r="G121" s="3"/>
    </row>
    <row r="122">
      <c r="A122" s="3" t="str">
        <f>IFERROR(__xludf.DUMMYFUNCTION("""COMPUTED_VALUE"""),"100 Free")</f>
        <v>100 Free</v>
      </c>
      <c r="B122" s="3" t="str">
        <f>IFERROR(__xludf.DUMMYFUNCTION("""COMPUTED_VALUE"""),"500 Free")</f>
        <v>500 Free</v>
      </c>
      <c r="C122" s="3" t="str">
        <f>IFERROR(__xludf.DUMMYFUNCTION("""COMPUTED_VALUE"""),"100 Breast")</f>
        <v>100 Breast</v>
      </c>
      <c r="D122" s="3" t="str">
        <f>IFERROR(__xludf.DUMMYFUNCTION("""COMPUTED_VALUE"""),"200 Breast")</f>
        <v>200 Breast</v>
      </c>
      <c r="E122" s="3" t="str">
        <f>IFERROR(__xludf.DUMMYFUNCTION("""COMPUTED_VALUE"""),"200 IM")</f>
        <v>200 IM</v>
      </c>
      <c r="F122" s="3" t="str">
        <f>IFERROR(__xludf.DUMMYFUNCTION("""COMPUTED_VALUE"""),"400 IM")</f>
        <v>400 IM</v>
      </c>
      <c r="G122" s="3"/>
    </row>
    <row r="123">
      <c r="A123" s="3" t="str">
        <f>IFERROR(__xludf.DUMMYFUNCTION("""COMPUTED_VALUE"""),"100 Free")</f>
        <v>100 Free</v>
      </c>
      <c r="B123" s="3" t="str">
        <f>IFERROR(__xludf.DUMMYFUNCTION("""COMPUTED_VALUE"""),"200 Breast")</f>
        <v>200 Breast</v>
      </c>
      <c r="C123" s="3" t="str">
        <f>IFERROR(__xludf.DUMMYFUNCTION("""COMPUTED_VALUE"""),"100 Fly")</f>
        <v>100 Fly</v>
      </c>
      <c r="D123" s="3" t="str">
        <f>IFERROR(__xludf.DUMMYFUNCTION("""COMPUTED_VALUE"""),"200 Fly")</f>
        <v>200 Fly</v>
      </c>
      <c r="E123" s="3" t="str">
        <f>IFERROR(__xludf.DUMMYFUNCTION("""COMPUTED_VALUE"""),"200 IM")</f>
        <v>200 IM</v>
      </c>
      <c r="F123" s="3" t="str">
        <f>IFERROR(__xludf.DUMMYFUNCTION("""COMPUTED_VALUE"""),"400 IM")</f>
        <v>400 IM</v>
      </c>
      <c r="G123" s="3"/>
    </row>
    <row r="124">
      <c r="A124" s="3" t="str">
        <f>IFERROR(__xludf.DUMMYFUNCTION("""COMPUTED_VALUE"""),"100 Free")</f>
        <v>100 Free</v>
      </c>
      <c r="B124" s="3" t="str">
        <f>IFERROR(__xludf.DUMMYFUNCTION("""COMPUTED_VALUE"""),"100 Back")</f>
        <v>100 Back</v>
      </c>
      <c r="C124" s="3" t="str">
        <f>IFERROR(__xludf.DUMMYFUNCTION("""COMPUTED_VALUE"""),"100 Breast")</f>
        <v>100 Breast</v>
      </c>
      <c r="D124" s="3" t="str">
        <f>IFERROR(__xludf.DUMMYFUNCTION("""COMPUTED_VALUE"""),"200 Breast")</f>
        <v>200 Breast</v>
      </c>
      <c r="E124" s="3" t="str">
        <f>IFERROR(__xludf.DUMMYFUNCTION("""COMPUTED_VALUE"""),"100 Fly")</f>
        <v>100 Fly</v>
      </c>
      <c r="F124" s="3" t="str">
        <f>IFERROR(__xludf.DUMMYFUNCTION("""COMPUTED_VALUE"""),"200 IM")</f>
        <v>200 IM</v>
      </c>
      <c r="G124" s="3"/>
    </row>
    <row r="125">
      <c r="A125" s="3" t="str">
        <f>IFERROR(__xludf.DUMMYFUNCTION("""COMPUTED_VALUE"""),"100 Free")</f>
        <v>100 Free</v>
      </c>
      <c r="B125" s="3" t="str">
        <f>IFERROR(__xludf.DUMMYFUNCTION("""COMPUTED_VALUE"""),"500 Free")</f>
        <v>500 Free</v>
      </c>
      <c r="C125" s="3" t="str">
        <f>IFERROR(__xludf.DUMMYFUNCTION("""COMPUTED_VALUE"""),"100 Fly")</f>
        <v>100 Fly</v>
      </c>
      <c r="D125" s="3" t="str">
        <f>IFERROR(__xludf.DUMMYFUNCTION("""COMPUTED_VALUE"""),"200 Fly")</f>
        <v>200 Fly</v>
      </c>
      <c r="E125" s="3"/>
      <c r="F125" s="3"/>
      <c r="G125" s="3"/>
    </row>
    <row r="126">
      <c r="A126" s="3" t="str">
        <f>IFERROR(__xludf.DUMMYFUNCTION("""COMPUTED_VALUE"""),"100 Free")</f>
        <v>100 Free</v>
      </c>
      <c r="B126" s="3" t="str">
        <f>IFERROR(__xludf.DUMMYFUNCTION("""COMPUTED_VALUE"""),"100 Back")</f>
        <v>100 Back</v>
      </c>
      <c r="C126" s="3" t="str">
        <f>IFERROR(__xludf.DUMMYFUNCTION("""COMPUTED_VALUE"""),"100 Breast")</f>
        <v>100 Breast</v>
      </c>
      <c r="D126" s="3" t="str">
        <f>IFERROR(__xludf.DUMMYFUNCTION("""COMPUTED_VALUE"""),"200 Breast")</f>
        <v>200 Breast</v>
      </c>
      <c r="E126" s="3" t="str">
        <f>IFERROR(__xludf.DUMMYFUNCTION("""COMPUTED_VALUE"""),"200 IM")</f>
        <v>200 IM</v>
      </c>
      <c r="F126" s="3" t="str">
        <f>IFERROR(__xludf.DUMMYFUNCTION("""COMPUTED_VALUE"""),"400 IM")</f>
        <v>400 IM</v>
      </c>
      <c r="G126" s="3"/>
    </row>
    <row r="127">
      <c r="A127" s="3" t="str">
        <f>IFERROR(__xludf.DUMMYFUNCTION("""COMPUTED_VALUE"""),"100 Free")</f>
        <v>100 Free</v>
      </c>
      <c r="B127" s="3" t="str">
        <f>IFERROR(__xludf.DUMMYFUNCTION("""COMPUTED_VALUE"""),"100 Breast")</f>
        <v>100 Breast</v>
      </c>
      <c r="C127" s="3" t="str">
        <f>IFERROR(__xludf.DUMMYFUNCTION("""COMPUTED_VALUE"""),"200 Breast")</f>
        <v>200 Breast</v>
      </c>
      <c r="D127" s="3" t="str">
        <f>IFERROR(__xludf.DUMMYFUNCTION("""COMPUTED_VALUE"""),"200 Fly")</f>
        <v>200 Fly</v>
      </c>
      <c r="E127" s="3" t="str">
        <f>IFERROR(__xludf.DUMMYFUNCTION("""COMPUTED_VALUE"""),"200 IM")</f>
        <v>200 IM</v>
      </c>
      <c r="F127" s="3" t="str">
        <f>IFERROR(__xludf.DUMMYFUNCTION("""COMPUTED_VALUE"""),"400 IM")</f>
        <v>400 IM</v>
      </c>
      <c r="G127" s="3"/>
    </row>
    <row r="128">
      <c r="A128" s="3" t="str">
        <f>IFERROR(__xludf.DUMMYFUNCTION("""COMPUTED_VALUE"""),"100 Free")</f>
        <v>100 Free</v>
      </c>
      <c r="B128" s="3" t="str">
        <f>IFERROR(__xludf.DUMMYFUNCTION("""COMPUTED_VALUE"""),"200 Free")</f>
        <v>200 Free</v>
      </c>
      <c r="C128" s="3" t="str">
        <f>IFERROR(__xludf.DUMMYFUNCTION("""COMPUTED_VALUE"""),"100 Fly")</f>
        <v>100 Fly</v>
      </c>
      <c r="D128" s="3" t="str">
        <f>IFERROR(__xludf.DUMMYFUNCTION("""COMPUTED_VALUE"""),"200 Fly")</f>
        <v>200 Fly</v>
      </c>
      <c r="E128" s="3" t="str">
        <f>IFERROR(__xludf.DUMMYFUNCTION("""COMPUTED_VALUE"""),"200 IM")</f>
        <v>200 IM</v>
      </c>
      <c r="F128" s="3" t="str">
        <f>IFERROR(__xludf.DUMMYFUNCTION("""COMPUTED_VALUE"""),"1000 Free")</f>
        <v>1000 Free</v>
      </c>
      <c r="G128" s="3"/>
    </row>
    <row r="129">
      <c r="A129" s="3" t="str">
        <f>IFERROR(__xludf.DUMMYFUNCTION("""COMPUTED_VALUE"""),"100 Free")</f>
        <v>100 Free</v>
      </c>
      <c r="B129" s="3" t="str">
        <f>IFERROR(__xludf.DUMMYFUNCTION("""COMPUTED_VALUE"""),"200 Breast")</f>
        <v>200 Breast</v>
      </c>
      <c r="C129" s="3" t="str">
        <f>IFERROR(__xludf.DUMMYFUNCTION("""COMPUTED_VALUE"""),"200 IM")</f>
        <v>200 IM</v>
      </c>
      <c r="D129" s="3"/>
      <c r="E129" s="3"/>
      <c r="F129" s="3"/>
      <c r="G129" s="3"/>
    </row>
    <row r="130">
      <c r="A130" s="3" t="str">
        <f>IFERROR(__xludf.DUMMYFUNCTION("""COMPUTED_VALUE"""),"100 Free")</f>
        <v>100 Free</v>
      </c>
      <c r="B130" s="3" t="str">
        <f>IFERROR(__xludf.DUMMYFUNCTION("""COMPUTED_VALUE"""),"100 Back")</f>
        <v>100 Back</v>
      </c>
      <c r="C130" s="3" t="str">
        <f>IFERROR(__xludf.DUMMYFUNCTION("""COMPUTED_VALUE"""),"200 Back")</f>
        <v>200 Back</v>
      </c>
      <c r="D130" s="3"/>
      <c r="E130" s="3"/>
      <c r="F130" s="3"/>
      <c r="G130" s="3"/>
    </row>
    <row r="131">
      <c r="A131" s="3" t="str">
        <f>IFERROR(__xludf.DUMMYFUNCTION("""COMPUTED_VALUE"""),"100 Free")</f>
        <v>100 Free</v>
      </c>
      <c r="B131" s="3" t="str">
        <f>IFERROR(__xludf.DUMMYFUNCTION("""COMPUTED_VALUE"""),"200 Free")</f>
        <v>200 Free</v>
      </c>
      <c r="C131" s="3" t="str">
        <f>IFERROR(__xludf.DUMMYFUNCTION("""COMPUTED_VALUE"""),"500 Free")</f>
        <v>500 Free</v>
      </c>
      <c r="D131" s="3" t="str">
        <f>IFERROR(__xludf.DUMMYFUNCTION("""COMPUTED_VALUE"""),"100 Back")</f>
        <v>100 Back</v>
      </c>
      <c r="E131" s="3" t="str">
        <f>IFERROR(__xludf.DUMMYFUNCTION("""COMPUTED_VALUE"""),"200 Back")</f>
        <v>200 Back</v>
      </c>
      <c r="F131" s="3"/>
      <c r="G131" s="3"/>
    </row>
    <row r="132">
      <c r="A132" s="3" t="str">
        <f>IFERROR(__xludf.DUMMYFUNCTION("""COMPUTED_VALUE"""),"100 Free")</f>
        <v>100 Free</v>
      </c>
      <c r="B132" s="3" t="str">
        <f>IFERROR(__xludf.DUMMYFUNCTION("""COMPUTED_VALUE"""),"100 Breast")</f>
        <v>100 Breast</v>
      </c>
      <c r="C132" s="3" t="str">
        <f>IFERROR(__xludf.DUMMYFUNCTION("""COMPUTED_VALUE"""),"200 Breast")</f>
        <v>200 Breast</v>
      </c>
      <c r="D132" s="3" t="str">
        <f>IFERROR(__xludf.DUMMYFUNCTION("""COMPUTED_VALUE"""),"200 IM")</f>
        <v>200 IM</v>
      </c>
      <c r="E132" s="3" t="str">
        <f>IFERROR(__xludf.DUMMYFUNCTION("""COMPUTED_VALUE"""),"400 IM")</f>
        <v>400 IM</v>
      </c>
      <c r="F132" s="3"/>
      <c r="G132" s="3"/>
    </row>
    <row r="133">
      <c r="A133" s="3" t="str">
        <f>IFERROR(__xludf.DUMMYFUNCTION("""COMPUTED_VALUE"""),"100 Free")</f>
        <v>100 Free</v>
      </c>
      <c r="B133" s="3" t="str">
        <f>IFERROR(__xludf.DUMMYFUNCTION("""COMPUTED_VALUE"""),"200 Free")</f>
        <v>200 Free</v>
      </c>
      <c r="C133" s="3" t="str">
        <f>IFERROR(__xludf.DUMMYFUNCTION("""COMPUTED_VALUE"""),"500 Free")</f>
        <v>500 Free</v>
      </c>
      <c r="D133" s="3" t="str">
        <f>IFERROR(__xludf.DUMMYFUNCTION("""COMPUTED_VALUE"""),"100 Back")</f>
        <v>100 Back</v>
      </c>
      <c r="E133" s="3" t="str">
        <f>IFERROR(__xludf.DUMMYFUNCTION("""COMPUTED_VALUE"""),"200 Back")</f>
        <v>200 Back</v>
      </c>
      <c r="F133" s="3" t="str">
        <f>IFERROR(__xludf.DUMMYFUNCTION("""COMPUTED_VALUE"""),"1000 Free")</f>
        <v>1000 Free</v>
      </c>
      <c r="G133" s="3"/>
    </row>
    <row r="134">
      <c r="A134" s="3" t="str">
        <f>IFERROR(__xludf.DUMMYFUNCTION("""COMPUTED_VALUE"""),"100 Free")</f>
        <v>100 Free</v>
      </c>
      <c r="B134" s="3" t="str">
        <f>IFERROR(__xludf.DUMMYFUNCTION("""COMPUTED_VALUE"""),"100 Breast")</f>
        <v>100 Breast</v>
      </c>
      <c r="C134" s="3"/>
      <c r="D134" s="3"/>
      <c r="E134" s="3"/>
      <c r="F134" s="3"/>
      <c r="G134" s="3"/>
    </row>
    <row r="135">
      <c r="A135" s="3" t="str">
        <f>IFERROR(__xludf.DUMMYFUNCTION("""COMPUTED_VALUE"""),"100 Free")</f>
        <v>100 Free</v>
      </c>
      <c r="B135" s="3" t="str">
        <f>IFERROR(__xludf.DUMMYFUNCTION("""COMPUTED_VALUE"""),"100 Back")</f>
        <v>100 Back</v>
      </c>
      <c r="C135" s="3" t="str">
        <f>IFERROR(__xludf.DUMMYFUNCTION("""COMPUTED_VALUE"""),"200 Back")</f>
        <v>200 Back</v>
      </c>
      <c r="D135" s="3"/>
      <c r="E135" s="3"/>
      <c r="F135" s="3"/>
      <c r="G135" s="3"/>
    </row>
    <row r="136">
      <c r="A136" s="3" t="str">
        <f>IFERROR(__xludf.DUMMYFUNCTION("""COMPUTED_VALUE"""),"100 Free")</f>
        <v>100 Free</v>
      </c>
      <c r="B136" s="3" t="str">
        <f>IFERROR(__xludf.DUMMYFUNCTION("""COMPUTED_VALUE"""),"200 Free")</f>
        <v>200 Free</v>
      </c>
      <c r="C136" s="3" t="str">
        <f>IFERROR(__xludf.DUMMYFUNCTION("""COMPUTED_VALUE"""),"1650 Free")</f>
        <v>1650 Free</v>
      </c>
      <c r="D136" s="3" t="str">
        <f>IFERROR(__xludf.DUMMYFUNCTION("""COMPUTED_VALUE"""),"1000 Free")</f>
        <v>1000 Free</v>
      </c>
      <c r="E136" s="3"/>
      <c r="F136" s="3"/>
      <c r="G136" s="3"/>
    </row>
    <row r="137">
      <c r="A137" s="3" t="str">
        <f>IFERROR(__xludf.DUMMYFUNCTION("""COMPUTED_VALUE"""),"100 Free")</f>
        <v>100 Free</v>
      </c>
      <c r="B137" s="3" t="str">
        <f>IFERROR(__xludf.DUMMYFUNCTION("""COMPUTED_VALUE"""),"200 Free")</f>
        <v>200 Free</v>
      </c>
      <c r="C137" s="3" t="str">
        <f>IFERROR(__xludf.DUMMYFUNCTION("""COMPUTED_VALUE"""),"200 Back")</f>
        <v>200 Back</v>
      </c>
      <c r="D137" s="3" t="str">
        <f>IFERROR(__xludf.DUMMYFUNCTION("""COMPUTED_VALUE"""),"100 Fly")</f>
        <v>100 Fly</v>
      </c>
      <c r="E137" s="3" t="str">
        <f>IFERROR(__xludf.DUMMYFUNCTION("""COMPUTED_VALUE"""),"200 Fly")</f>
        <v>200 Fly</v>
      </c>
      <c r="F137" s="3"/>
      <c r="G137" s="3"/>
    </row>
    <row r="138">
      <c r="A138" s="3" t="str">
        <f>IFERROR(__xludf.DUMMYFUNCTION("""COMPUTED_VALUE"""),"100 Free")</f>
        <v>100 Free</v>
      </c>
      <c r="B138" s="3" t="str">
        <f>IFERROR(__xludf.DUMMYFUNCTION("""COMPUTED_VALUE"""),"100 Back")</f>
        <v>100 Back</v>
      </c>
      <c r="C138" s="3" t="str">
        <f>IFERROR(__xludf.DUMMYFUNCTION("""COMPUTED_VALUE"""),"200 Back")</f>
        <v>200 Back</v>
      </c>
      <c r="D138" s="3" t="str">
        <f>IFERROR(__xludf.DUMMYFUNCTION("""COMPUTED_VALUE"""),"100 Fly")</f>
        <v>100 Fly</v>
      </c>
      <c r="E138" s="3" t="str">
        <f>IFERROR(__xludf.DUMMYFUNCTION("""COMPUTED_VALUE"""),"200 Fly")</f>
        <v>200 Fly</v>
      </c>
      <c r="F138" s="3"/>
      <c r="G138" s="3"/>
    </row>
    <row r="139">
      <c r="A139" s="3" t="str">
        <f>IFERROR(__xludf.DUMMYFUNCTION("""COMPUTED_VALUE"""),"100 Free")</f>
        <v>100 Free</v>
      </c>
      <c r="B139" s="3" t="str">
        <f>IFERROR(__xludf.DUMMYFUNCTION("""COMPUTED_VALUE"""),"100 Breast")</f>
        <v>100 Breast</v>
      </c>
      <c r="C139" s="3"/>
      <c r="D139" s="3"/>
      <c r="E139" s="3"/>
      <c r="F139" s="3"/>
      <c r="G139" s="3"/>
    </row>
    <row r="140">
      <c r="A140" s="3" t="str">
        <f>IFERROR(__xludf.DUMMYFUNCTION("""COMPUTED_VALUE"""),"200 Free")</f>
        <v>200 Free</v>
      </c>
      <c r="B140" s="3" t="str">
        <f>IFERROR(__xludf.DUMMYFUNCTION("""COMPUTED_VALUE"""),"500 Free")</f>
        <v>500 Free</v>
      </c>
      <c r="C140" s="3" t="str">
        <f>IFERROR(__xludf.DUMMYFUNCTION("""COMPUTED_VALUE"""),"1650 Free")</f>
        <v>1650 Free</v>
      </c>
      <c r="D140" s="3" t="str">
        <f>IFERROR(__xludf.DUMMYFUNCTION("""COMPUTED_VALUE"""),"100 Fly")</f>
        <v>100 Fly</v>
      </c>
      <c r="E140" s="3" t="str">
        <f>IFERROR(__xludf.DUMMYFUNCTION("""COMPUTED_VALUE"""),"200 Fly")</f>
        <v>200 Fly</v>
      </c>
      <c r="F140" s="3" t="str">
        <f>IFERROR(__xludf.DUMMYFUNCTION("""COMPUTED_VALUE"""),"1000 Free")</f>
        <v>1000 Free</v>
      </c>
      <c r="G140" s="3"/>
    </row>
    <row r="141">
      <c r="A141" s="3" t="str">
        <f>IFERROR(__xludf.DUMMYFUNCTION("""COMPUTED_VALUE"""),"200 Free")</f>
        <v>200 Free</v>
      </c>
      <c r="B141" s="3" t="str">
        <f>IFERROR(__xludf.DUMMYFUNCTION("""COMPUTED_VALUE"""),"100 Back")</f>
        <v>100 Back</v>
      </c>
      <c r="C141" s="3" t="str">
        <f>IFERROR(__xludf.DUMMYFUNCTION("""COMPUTED_VALUE"""),"200 Back")</f>
        <v>200 Back</v>
      </c>
      <c r="D141" s="3" t="str">
        <f>IFERROR(__xludf.DUMMYFUNCTION("""COMPUTED_VALUE"""),"200 Fly")</f>
        <v>200 Fly</v>
      </c>
      <c r="E141" s="3" t="str">
        <f>IFERROR(__xludf.DUMMYFUNCTION("""COMPUTED_VALUE"""),"200 IM")</f>
        <v>200 IM</v>
      </c>
      <c r="F141" s="3" t="str">
        <f>IFERROR(__xludf.DUMMYFUNCTION("""COMPUTED_VALUE"""),"400 IM")</f>
        <v>400 IM</v>
      </c>
      <c r="G141" s="3"/>
    </row>
    <row r="142">
      <c r="A142" s="3" t="str">
        <f>IFERROR(__xludf.DUMMYFUNCTION("""COMPUTED_VALUE"""),"200 Free")</f>
        <v>200 Free</v>
      </c>
      <c r="B142" s="3" t="str">
        <f>IFERROR(__xludf.DUMMYFUNCTION("""COMPUTED_VALUE"""),"500 Free")</f>
        <v>500 Free</v>
      </c>
      <c r="C142" s="3" t="str">
        <f>IFERROR(__xludf.DUMMYFUNCTION("""COMPUTED_VALUE"""),"1650 Free")</f>
        <v>1650 Free</v>
      </c>
      <c r="D142" s="3" t="str">
        <f>IFERROR(__xludf.DUMMYFUNCTION("""COMPUTED_VALUE"""),"200 IM")</f>
        <v>200 IM</v>
      </c>
      <c r="E142" s="3" t="str">
        <f>IFERROR(__xludf.DUMMYFUNCTION("""COMPUTED_VALUE"""),"400 IM")</f>
        <v>400 IM</v>
      </c>
      <c r="F142" s="3"/>
      <c r="G142" s="3"/>
    </row>
    <row r="143">
      <c r="A143" s="3" t="str">
        <f>IFERROR(__xludf.DUMMYFUNCTION("""COMPUTED_VALUE"""),"200 Free")</f>
        <v>200 Free</v>
      </c>
      <c r="B143" s="3" t="str">
        <f>IFERROR(__xludf.DUMMYFUNCTION("""COMPUTED_VALUE"""),"500 Free")</f>
        <v>500 Free</v>
      </c>
      <c r="C143" s="3" t="str">
        <f>IFERROR(__xludf.DUMMYFUNCTION("""COMPUTED_VALUE"""),"1650 Free")</f>
        <v>1650 Free</v>
      </c>
      <c r="D143" s="3" t="str">
        <f>IFERROR(__xludf.DUMMYFUNCTION("""COMPUTED_VALUE"""),"200 Breast")</f>
        <v>200 Breast</v>
      </c>
      <c r="E143" s="3" t="str">
        <f>IFERROR(__xludf.DUMMYFUNCTION("""COMPUTED_VALUE"""),"400 IM")</f>
        <v>400 IM</v>
      </c>
      <c r="F143" s="3" t="str">
        <f>IFERROR(__xludf.DUMMYFUNCTION("""COMPUTED_VALUE"""),"1000 Free")</f>
        <v>1000 Free</v>
      </c>
      <c r="G143" s="3"/>
    </row>
    <row r="144">
      <c r="A144" s="3" t="str">
        <f>IFERROR(__xludf.DUMMYFUNCTION("""COMPUTED_VALUE"""),"200 Free")</f>
        <v>200 Free</v>
      </c>
      <c r="B144" s="3" t="str">
        <f>IFERROR(__xludf.DUMMYFUNCTION("""COMPUTED_VALUE"""),"500 Free")</f>
        <v>500 Free</v>
      </c>
      <c r="C144" s="3" t="str">
        <f>IFERROR(__xludf.DUMMYFUNCTION("""COMPUTED_VALUE"""),"100 Back")</f>
        <v>100 Back</v>
      </c>
      <c r="D144" s="3" t="str">
        <f>IFERROR(__xludf.DUMMYFUNCTION("""COMPUTED_VALUE"""),"200 Back")</f>
        <v>200 Back</v>
      </c>
      <c r="E144" s="3" t="str">
        <f>IFERROR(__xludf.DUMMYFUNCTION("""COMPUTED_VALUE"""),"200 IM")</f>
        <v>200 IM</v>
      </c>
      <c r="F144" s="3" t="str">
        <f>IFERROR(__xludf.DUMMYFUNCTION("""COMPUTED_VALUE"""),"400 IM")</f>
        <v>400 IM</v>
      </c>
      <c r="G144" s="3"/>
    </row>
    <row r="145">
      <c r="A145" s="3" t="str">
        <f>IFERROR(__xludf.DUMMYFUNCTION("""COMPUTED_VALUE"""),"200 Free")</f>
        <v>200 Free</v>
      </c>
      <c r="B145" s="3" t="str">
        <f>IFERROR(__xludf.DUMMYFUNCTION("""COMPUTED_VALUE"""),"500 Free")</f>
        <v>500 Free</v>
      </c>
      <c r="C145" s="3" t="str">
        <f>IFERROR(__xludf.DUMMYFUNCTION("""COMPUTED_VALUE"""),"1650 Free")</f>
        <v>1650 Free</v>
      </c>
      <c r="D145" s="3" t="str">
        <f>IFERROR(__xludf.DUMMYFUNCTION("""COMPUTED_VALUE"""),"200 Back")</f>
        <v>200 Back</v>
      </c>
      <c r="E145" s="3" t="str">
        <f>IFERROR(__xludf.DUMMYFUNCTION("""COMPUTED_VALUE"""),"400 IM")</f>
        <v>400 IM</v>
      </c>
      <c r="F145" s="3" t="str">
        <f>IFERROR(__xludf.DUMMYFUNCTION("""COMPUTED_VALUE"""),"1000 Free")</f>
        <v>1000 Free</v>
      </c>
      <c r="G145" s="3"/>
    </row>
    <row r="146">
      <c r="A146" s="3" t="str">
        <f>IFERROR(__xludf.DUMMYFUNCTION("""COMPUTED_VALUE"""),"200 Free")</f>
        <v>200 Free</v>
      </c>
      <c r="B146" s="3" t="str">
        <f>IFERROR(__xludf.DUMMYFUNCTION("""COMPUTED_VALUE"""),"100 Back")</f>
        <v>100 Back</v>
      </c>
      <c r="C146" s="3" t="str">
        <f>IFERROR(__xludf.DUMMYFUNCTION("""COMPUTED_VALUE"""),"200 Back")</f>
        <v>200 Back</v>
      </c>
      <c r="D146" s="3" t="str">
        <f>IFERROR(__xludf.DUMMYFUNCTION("""COMPUTED_VALUE"""),"200 Fly")</f>
        <v>200 Fly</v>
      </c>
      <c r="E146" s="3" t="str">
        <f>IFERROR(__xludf.DUMMYFUNCTION("""COMPUTED_VALUE"""),"200 IM")</f>
        <v>200 IM</v>
      </c>
      <c r="F146" s="3" t="str">
        <f>IFERROR(__xludf.DUMMYFUNCTION("""COMPUTED_VALUE"""),"400 IM")</f>
        <v>400 IM</v>
      </c>
      <c r="G146" s="3"/>
    </row>
    <row r="147">
      <c r="A147" s="3" t="str">
        <f>IFERROR(__xludf.DUMMYFUNCTION("""COMPUTED_VALUE"""),"200 Free")</f>
        <v>200 Free</v>
      </c>
      <c r="B147" s="3" t="str">
        <f>IFERROR(__xludf.DUMMYFUNCTION("""COMPUTED_VALUE"""),"500 Free")</f>
        <v>500 Free</v>
      </c>
      <c r="C147" s="3" t="str">
        <f>IFERROR(__xludf.DUMMYFUNCTION("""COMPUTED_VALUE"""),"200 Back")</f>
        <v>200 Back</v>
      </c>
      <c r="D147" s="3" t="str">
        <f>IFERROR(__xludf.DUMMYFUNCTION("""COMPUTED_VALUE"""),"100 Fly")</f>
        <v>100 Fly</v>
      </c>
      <c r="E147" s="3" t="str">
        <f>IFERROR(__xludf.DUMMYFUNCTION("""COMPUTED_VALUE"""),"200 Fly")</f>
        <v>200 Fly</v>
      </c>
      <c r="F147" s="3" t="str">
        <f>IFERROR(__xludf.DUMMYFUNCTION("""COMPUTED_VALUE"""),"1000 Free")</f>
        <v>1000 Free</v>
      </c>
      <c r="G147" s="3"/>
    </row>
    <row r="148">
      <c r="A148" s="3" t="str">
        <f>IFERROR(__xludf.DUMMYFUNCTION("""COMPUTED_VALUE"""),"200 Free")</f>
        <v>200 Free</v>
      </c>
      <c r="B148" s="3" t="str">
        <f>IFERROR(__xludf.DUMMYFUNCTION("""COMPUTED_VALUE"""),"500 Free")</f>
        <v>500 Free</v>
      </c>
      <c r="C148" s="3" t="str">
        <f>IFERROR(__xludf.DUMMYFUNCTION("""COMPUTED_VALUE"""),"100 Back")</f>
        <v>100 Back</v>
      </c>
      <c r="D148" s="3" t="str">
        <f>IFERROR(__xludf.DUMMYFUNCTION("""COMPUTED_VALUE"""),"200 Back")</f>
        <v>200 Back</v>
      </c>
      <c r="E148" s="3" t="str">
        <f>IFERROR(__xludf.DUMMYFUNCTION("""COMPUTED_VALUE"""),"400 IM")</f>
        <v>400 IM</v>
      </c>
      <c r="F148" s="3" t="str">
        <f>IFERROR(__xludf.DUMMYFUNCTION("""COMPUTED_VALUE"""),"1000 Free")</f>
        <v>1000 Free</v>
      </c>
      <c r="G148" s="3"/>
    </row>
    <row r="149">
      <c r="A149" s="3" t="str">
        <f>IFERROR(__xludf.DUMMYFUNCTION("""COMPUTED_VALUE"""),"200 Free")</f>
        <v>200 Free</v>
      </c>
      <c r="B149" s="3" t="str">
        <f>IFERROR(__xludf.DUMMYFUNCTION("""COMPUTED_VALUE"""),"100 Back")</f>
        <v>100 Back</v>
      </c>
      <c r="C149" s="3" t="str">
        <f>IFERROR(__xludf.DUMMYFUNCTION("""COMPUTED_VALUE"""),"200 Back")</f>
        <v>200 Back</v>
      </c>
      <c r="D149" s="3" t="str">
        <f>IFERROR(__xludf.DUMMYFUNCTION("""COMPUTED_VALUE"""),"100 Fly")</f>
        <v>100 Fly</v>
      </c>
      <c r="E149" s="3" t="str">
        <f>IFERROR(__xludf.DUMMYFUNCTION("""COMPUTED_VALUE"""),"200 Fly")</f>
        <v>200 Fly</v>
      </c>
      <c r="F149" s="3" t="str">
        <f>IFERROR(__xludf.DUMMYFUNCTION("""COMPUTED_VALUE"""),"200 IM")</f>
        <v>200 IM</v>
      </c>
      <c r="G149" s="3"/>
    </row>
    <row r="150">
      <c r="A150" s="3" t="str">
        <f>IFERROR(__xludf.DUMMYFUNCTION("""COMPUTED_VALUE"""),"200 Free")</f>
        <v>200 Free</v>
      </c>
      <c r="B150" s="3" t="str">
        <f>IFERROR(__xludf.DUMMYFUNCTION("""COMPUTED_VALUE"""),"500 Free")</f>
        <v>500 Free</v>
      </c>
      <c r="C150" s="3" t="str">
        <f>IFERROR(__xludf.DUMMYFUNCTION("""COMPUTED_VALUE"""),"100 Back")</f>
        <v>100 Back</v>
      </c>
      <c r="D150" s="3" t="str">
        <f>IFERROR(__xludf.DUMMYFUNCTION("""COMPUTED_VALUE"""),"200 Back")</f>
        <v>200 Back</v>
      </c>
      <c r="E150" s="3" t="str">
        <f>IFERROR(__xludf.DUMMYFUNCTION("""COMPUTED_VALUE"""),"200 IM")</f>
        <v>200 IM</v>
      </c>
      <c r="F150" s="3" t="str">
        <f>IFERROR(__xludf.DUMMYFUNCTION("""COMPUTED_VALUE"""),"400 IM")</f>
        <v>400 IM</v>
      </c>
      <c r="G150" s="3"/>
    </row>
    <row r="151">
      <c r="A151" s="3" t="str">
        <f>IFERROR(__xludf.DUMMYFUNCTION("""COMPUTED_VALUE"""),"200 Free")</f>
        <v>200 Free</v>
      </c>
      <c r="B151" s="3" t="str">
        <f>IFERROR(__xludf.DUMMYFUNCTION("""COMPUTED_VALUE"""),"500 Free")</f>
        <v>500 Free</v>
      </c>
      <c r="C151" s="3" t="str">
        <f>IFERROR(__xludf.DUMMYFUNCTION("""COMPUTED_VALUE"""),"100 Back")</f>
        <v>100 Back</v>
      </c>
      <c r="D151" s="3" t="str">
        <f>IFERROR(__xludf.DUMMYFUNCTION("""COMPUTED_VALUE"""),"100 Fly")</f>
        <v>100 Fly</v>
      </c>
      <c r="E151" s="3" t="str">
        <f>IFERROR(__xludf.DUMMYFUNCTION("""COMPUTED_VALUE"""),"200 IM")</f>
        <v>200 IM</v>
      </c>
      <c r="F151" s="3" t="str">
        <f>IFERROR(__xludf.DUMMYFUNCTION("""COMPUTED_VALUE"""),"1000 Free")</f>
        <v>1000 Free</v>
      </c>
      <c r="G151" s="3"/>
    </row>
    <row r="152">
      <c r="A152" s="3" t="str">
        <f>IFERROR(__xludf.DUMMYFUNCTION("""COMPUTED_VALUE"""),"200 Free")</f>
        <v>200 Free</v>
      </c>
      <c r="B152" s="3" t="str">
        <f>IFERROR(__xludf.DUMMYFUNCTION("""COMPUTED_VALUE"""),"500 Free")</f>
        <v>500 Free</v>
      </c>
      <c r="C152" s="3" t="str">
        <f>IFERROR(__xludf.DUMMYFUNCTION("""COMPUTED_VALUE"""),"200 Fly")</f>
        <v>200 Fly</v>
      </c>
      <c r="D152" s="3" t="str">
        <f>IFERROR(__xludf.DUMMYFUNCTION("""COMPUTED_VALUE"""),"400 IM")</f>
        <v>400 IM</v>
      </c>
      <c r="E152" s="3"/>
      <c r="F152" s="3"/>
      <c r="G152" s="3"/>
    </row>
    <row r="153">
      <c r="A153" s="3" t="str">
        <f>IFERROR(__xludf.DUMMYFUNCTION("""COMPUTED_VALUE"""),"200 Free")</f>
        <v>200 Free</v>
      </c>
      <c r="B153" s="3" t="str">
        <f>IFERROR(__xludf.DUMMYFUNCTION("""COMPUTED_VALUE"""),"500 Free")</f>
        <v>500 Free</v>
      </c>
      <c r="C153" s="3" t="str">
        <f>IFERROR(__xludf.DUMMYFUNCTION("""COMPUTED_VALUE"""),"200 Back")</f>
        <v>200 Back</v>
      </c>
      <c r="D153" s="3" t="str">
        <f>IFERROR(__xludf.DUMMYFUNCTION("""COMPUTED_VALUE"""),"200 Fly")</f>
        <v>200 Fly</v>
      </c>
      <c r="E153" s="3" t="str">
        <f>IFERROR(__xludf.DUMMYFUNCTION("""COMPUTED_VALUE"""),"400 IM")</f>
        <v>400 IM</v>
      </c>
      <c r="F153" s="3" t="str">
        <f>IFERROR(__xludf.DUMMYFUNCTION("""COMPUTED_VALUE"""),"1000 Free")</f>
        <v>1000 Free</v>
      </c>
      <c r="G153" s="3"/>
    </row>
    <row r="154">
      <c r="A154" s="3" t="str">
        <f>IFERROR(__xludf.DUMMYFUNCTION("""COMPUTED_VALUE"""),"200 Free")</f>
        <v>200 Free</v>
      </c>
      <c r="B154" s="3" t="str">
        <f>IFERROR(__xludf.DUMMYFUNCTION("""COMPUTED_VALUE"""),"500 Free")</f>
        <v>500 Free</v>
      </c>
      <c r="C154" s="3" t="str">
        <f>IFERROR(__xludf.DUMMYFUNCTION("""COMPUTED_VALUE"""),"100 Back")</f>
        <v>100 Back</v>
      </c>
      <c r="D154" s="3" t="str">
        <f>IFERROR(__xludf.DUMMYFUNCTION("""COMPUTED_VALUE"""),"200 Back")</f>
        <v>200 Back</v>
      </c>
      <c r="E154" s="3" t="str">
        <f>IFERROR(__xludf.DUMMYFUNCTION("""COMPUTED_VALUE"""),"200 IM")</f>
        <v>200 IM</v>
      </c>
      <c r="F154" s="3" t="str">
        <f>IFERROR(__xludf.DUMMYFUNCTION("""COMPUTED_VALUE"""),"400 IM")</f>
        <v>400 IM</v>
      </c>
      <c r="G154" s="3"/>
    </row>
    <row r="155">
      <c r="A155" s="3" t="str">
        <f>IFERROR(__xludf.DUMMYFUNCTION("""COMPUTED_VALUE"""),"200 Free")</f>
        <v>200 Free</v>
      </c>
      <c r="B155" s="3" t="str">
        <f>IFERROR(__xludf.DUMMYFUNCTION("""COMPUTED_VALUE"""),"500 Free")</f>
        <v>500 Free</v>
      </c>
      <c r="C155" s="3" t="str">
        <f>IFERROR(__xludf.DUMMYFUNCTION("""COMPUTED_VALUE"""),"1650 Free")</f>
        <v>1650 Free</v>
      </c>
      <c r="D155" s="3" t="str">
        <f>IFERROR(__xludf.DUMMYFUNCTION("""COMPUTED_VALUE"""),"200 Back")</f>
        <v>200 Back</v>
      </c>
      <c r="E155" s="3" t="str">
        <f>IFERROR(__xludf.DUMMYFUNCTION("""COMPUTED_VALUE"""),"200 Fly")</f>
        <v>200 Fly</v>
      </c>
      <c r="F155" s="3" t="str">
        <f>IFERROR(__xludf.DUMMYFUNCTION("""COMPUTED_VALUE"""),"1000 Free")</f>
        <v>1000 Free</v>
      </c>
      <c r="G155" s="3"/>
    </row>
    <row r="156">
      <c r="A156" s="3" t="str">
        <f>IFERROR(__xludf.DUMMYFUNCTION("""COMPUTED_VALUE"""),"200 Free")</f>
        <v>200 Free</v>
      </c>
      <c r="B156" s="3" t="str">
        <f>IFERROR(__xludf.DUMMYFUNCTION("""COMPUTED_VALUE"""),"500 Free")</f>
        <v>500 Free</v>
      </c>
      <c r="C156" s="3" t="str">
        <f>IFERROR(__xludf.DUMMYFUNCTION("""COMPUTED_VALUE"""),"1650 Free")</f>
        <v>1650 Free</v>
      </c>
      <c r="D156" s="3" t="str">
        <f>IFERROR(__xludf.DUMMYFUNCTION("""COMPUTED_VALUE"""),"100 Back")</f>
        <v>100 Back</v>
      </c>
      <c r="E156" s="3"/>
      <c r="F156" s="3"/>
      <c r="G156" s="3"/>
    </row>
    <row r="157">
      <c r="A157" s="3" t="str">
        <f>IFERROR(__xludf.DUMMYFUNCTION("""COMPUTED_VALUE"""),"200 Free")</f>
        <v>200 Free</v>
      </c>
      <c r="B157" s="3" t="str">
        <f>IFERROR(__xludf.DUMMYFUNCTION("""COMPUTED_VALUE"""),"500 Free")</f>
        <v>500 Free</v>
      </c>
      <c r="C157" s="3" t="str">
        <f>IFERROR(__xludf.DUMMYFUNCTION("""COMPUTED_VALUE"""),"1650 Free")</f>
        <v>1650 Free</v>
      </c>
      <c r="D157" s="3" t="str">
        <f>IFERROR(__xludf.DUMMYFUNCTION("""COMPUTED_VALUE"""),"200 Back")</f>
        <v>200 Back</v>
      </c>
      <c r="E157" s="3" t="str">
        <f>IFERROR(__xludf.DUMMYFUNCTION("""COMPUTED_VALUE"""),"200 IM")</f>
        <v>200 IM</v>
      </c>
      <c r="F157" s="3" t="str">
        <f>IFERROR(__xludf.DUMMYFUNCTION("""COMPUTED_VALUE"""),"400 IM")</f>
        <v>400 IM</v>
      </c>
      <c r="G157" s="3"/>
    </row>
    <row r="158">
      <c r="A158" s="3" t="str">
        <f>IFERROR(__xludf.DUMMYFUNCTION("""COMPUTED_VALUE"""),"200 Free")</f>
        <v>200 Free</v>
      </c>
      <c r="B158" s="3" t="str">
        <f>IFERROR(__xludf.DUMMYFUNCTION("""COMPUTED_VALUE"""),"500 Free")</f>
        <v>500 Free</v>
      </c>
      <c r="C158" s="3" t="str">
        <f>IFERROR(__xludf.DUMMYFUNCTION("""COMPUTED_VALUE"""),"100 Back")</f>
        <v>100 Back</v>
      </c>
      <c r="D158" s="3" t="str">
        <f>IFERROR(__xludf.DUMMYFUNCTION("""COMPUTED_VALUE"""),"200 Back")</f>
        <v>200 Back</v>
      </c>
      <c r="E158" s="3" t="str">
        <f>IFERROR(__xludf.DUMMYFUNCTION("""COMPUTED_VALUE"""),"100 Fly")</f>
        <v>100 Fly</v>
      </c>
      <c r="F158" s="3" t="str">
        <f>IFERROR(__xludf.DUMMYFUNCTION("""COMPUTED_VALUE"""),"200 IM")</f>
        <v>200 IM</v>
      </c>
      <c r="G158" s="3"/>
    </row>
    <row r="159">
      <c r="A159" s="3" t="str">
        <f>IFERROR(__xludf.DUMMYFUNCTION("""COMPUTED_VALUE"""),"200 Free")</f>
        <v>200 Free</v>
      </c>
      <c r="B159" s="3" t="str">
        <f>IFERROR(__xludf.DUMMYFUNCTION("""COMPUTED_VALUE"""),"500 Free")</f>
        <v>500 Free</v>
      </c>
      <c r="C159" s="3" t="str">
        <f>IFERROR(__xludf.DUMMYFUNCTION("""COMPUTED_VALUE"""),"200 Back")</f>
        <v>200 Back</v>
      </c>
      <c r="D159" s="3" t="str">
        <f>IFERROR(__xludf.DUMMYFUNCTION("""COMPUTED_VALUE"""),"100 Fly")</f>
        <v>100 Fly</v>
      </c>
      <c r="E159" s="3" t="str">
        <f>IFERROR(__xludf.DUMMYFUNCTION("""COMPUTED_VALUE"""),"200 Fly")</f>
        <v>200 Fly</v>
      </c>
      <c r="F159" s="3" t="str">
        <f>IFERROR(__xludf.DUMMYFUNCTION("""COMPUTED_VALUE"""),"1000 Free")</f>
        <v>1000 Free</v>
      </c>
      <c r="G159" s="3"/>
    </row>
    <row r="160">
      <c r="A160" s="3" t="str">
        <f>IFERROR(__xludf.DUMMYFUNCTION("""COMPUTED_VALUE"""),"200 Free")</f>
        <v>200 Free</v>
      </c>
      <c r="B160" s="3" t="str">
        <f>IFERROR(__xludf.DUMMYFUNCTION("""COMPUTED_VALUE"""),"500 Free")</f>
        <v>500 Free</v>
      </c>
      <c r="C160" s="3" t="str">
        <f>IFERROR(__xludf.DUMMYFUNCTION("""COMPUTED_VALUE"""),"1650 Free")</f>
        <v>1650 Free</v>
      </c>
      <c r="D160" s="3" t="str">
        <f>IFERROR(__xludf.DUMMYFUNCTION("""COMPUTED_VALUE"""),"200 Fly")</f>
        <v>200 Fly</v>
      </c>
      <c r="E160" s="3" t="str">
        <f>IFERROR(__xludf.DUMMYFUNCTION("""COMPUTED_VALUE"""),"400 IM")</f>
        <v>400 IM</v>
      </c>
      <c r="F160" s="3" t="str">
        <f>IFERROR(__xludf.DUMMYFUNCTION("""COMPUTED_VALUE"""),"1000 Free")</f>
        <v>1000 Free</v>
      </c>
      <c r="G160" s="3"/>
    </row>
    <row r="161">
      <c r="A161" s="3" t="str">
        <f>IFERROR(__xludf.DUMMYFUNCTION("""COMPUTED_VALUE"""),"200 Free")</f>
        <v>200 Free</v>
      </c>
      <c r="B161" s="3" t="str">
        <f>IFERROR(__xludf.DUMMYFUNCTION("""COMPUTED_VALUE"""),"500 Free")</f>
        <v>500 Free</v>
      </c>
      <c r="C161" s="3" t="str">
        <f>IFERROR(__xludf.DUMMYFUNCTION("""COMPUTED_VALUE"""),"100 Back")</f>
        <v>100 Back</v>
      </c>
      <c r="D161" s="3" t="str">
        <f>IFERROR(__xludf.DUMMYFUNCTION("""COMPUTED_VALUE"""),"200 Back")</f>
        <v>200 Back</v>
      </c>
      <c r="E161" s="3" t="str">
        <f>IFERROR(__xludf.DUMMYFUNCTION("""COMPUTED_VALUE"""),"200 Fly")</f>
        <v>200 Fly</v>
      </c>
      <c r="F161" s="3" t="str">
        <f>IFERROR(__xludf.DUMMYFUNCTION("""COMPUTED_VALUE"""),"200 IM")</f>
        <v>200 IM</v>
      </c>
      <c r="G161" s="3"/>
    </row>
    <row r="162">
      <c r="A162" s="3" t="str">
        <f>IFERROR(__xludf.DUMMYFUNCTION("""COMPUTED_VALUE"""),"200 Free")</f>
        <v>200 Free</v>
      </c>
      <c r="B162" s="3" t="str">
        <f>IFERROR(__xludf.DUMMYFUNCTION("""COMPUTED_VALUE"""),"500 Free")</f>
        <v>500 Free</v>
      </c>
      <c r="C162" s="3" t="str">
        <f>IFERROR(__xludf.DUMMYFUNCTION("""COMPUTED_VALUE"""),"100 Back")</f>
        <v>100 Back</v>
      </c>
      <c r="D162" s="3" t="str">
        <f>IFERROR(__xludf.DUMMYFUNCTION("""COMPUTED_VALUE"""),"200 Back")</f>
        <v>200 Back</v>
      </c>
      <c r="E162" s="3" t="str">
        <f>IFERROR(__xludf.DUMMYFUNCTION("""COMPUTED_VALUE"""),"400 IM")</f>
        <v>400 IM</v>
      </c>
      <c r="F162" s="3" t="str">
        <f>IFERROR(__xludf.DUMMYFUNCTION("""COMPUTED_VALUE"""),"1000 Free")</f>
        <v>1000 Free</v>
      </c>
      <c r="G162" s="3"/>
    </row>
    <row r="163">
      <c r="A163" s="3" t="str">
        <f>IFERROR(__xludf.DUMMYFUNCTION("""COMPUTED_VALUE"""),"200 Free")</f>
        <v>200 Free</v>
      </c>
      <c r="B163" s="3" t="str">
        <f>IFERROR(__xludf.DUMMYFUNCTION("""COMPUTED_VALUE"""),"500 Free")</f>
        <v>500 Free</v>
      </c>
      <c r="C163" s="3" t="str">
        <f>IFERROR(__xludf.DUMMYFUNCTION("""COMPUTED_VALUE"""),"100 Back")</f>
        <v>100 Back</v>
      </c>
      <c r="D163" s="3" t="str">
        <f>IFERROR(__xludf.DUMMYFUNCTION("""COMPUTED_VALUE"""),"100 Fly")</f>
        <v>100 Fly</v>
      </c>
      <c r="E163" s="3" t="str">
        <f>IFERROR(__xludf.DUMMYFUNCTION("""COMPUTED_VALUE"""),"200 Fly")</f>
        <v>200 Fly</v>
      </c>
      <c r="F163" s="3" t="str">
        <f>IFERROR(__xludf.DUMMYFUNCTION("""COMPUTED_VALUE"""),"200 IM")</f>
        <v>200 IM</v>
      </c>
      <c r="G163" s="3"/>
    </row>
    <row r="164">
      <c r="A164" s="3" t="str">
        <f>IFERROR(__xludf.DUMMYFUNCTION("""COMPUTED_VALUE"""),"200 Free")</f>
        <v>200 Free</v>
      </c>
      <c r="B164" s="3" t="str">
        <f>IFERROR(__xludf.DUMMYFUNCTION("""COMPUTED_VALUE"""),"100 Back")</f>
        <v>100 Back</v>
      </c>
      <c r="C164" s="3" t="str">
        <f>IFERROR(__xludf.DUMMYFUNCTION("""COMPUTED_VALUE"""),"200 Back")</f>
        <v>200 Back</v>
      </c>
      <c r="D164" s="3" t="str">
        <f>IFERROR(__xludf.DUMMYFUNCTION("""COMPUTED_VALUE"""),"100 Fly")</f>
        <v>100 Fly</v>
      </c>
      <c r="E164" s="3" t="str">
        <f>IFERROR(__xludf.DUMMYFUNCTION("""COMPUTED_VALUE"""),"200 Fly")</f>
        <v>200 Fly</v>
      </c>
      <c r="F164" s="3" t="str">
        <f>IFERROR(__xludf.DUMMYFUNCTION("""COMPUTED_VALUE"""),"1000 Free")</f>
        <v>1000 Free</v>
      </c>
      <c r="G164" s="3"/>
    </row>
    <row r="165">
      <c r="A165" s="3" t="str">
        <f>IFERROR(__xludf.DUMMYFUNCTION("""COMPUTED_VALUE"""),"200 Free")</f>
        <v>200 Free</v>
      </c>
      <c r="B165" s="3" t="str">
        <f>IFERROR(__xludf.DUMMYFUNCTION("""COMPUTED_VALUE"""),"500 Free")</f>
        <v>500 Free</v>
      </c>
      <c r="C165" s="3" t="str">
        <f>IFERROR(__xludf.DUMMYFUNCTION("""COMPUTED_VALUE"""),"1650 Free")</f>
        <v>1650 Free</v>
      </c>
      <c r="D165" s="3" t="str">
        <f>IFERROR(__xludf.DUMMYFUNCTION("""COMPUTED_VALUE"""),"200 Fly")</f>
        <v>200 Fly</v>
      </c>
      <c r="E165" s="3" t="str">
        <f>IFERROR(__xludf.DUMMYFUNCTION("""COMPUTED_VALUE"""),"400 IM")</f>
        <v>400 IM</v>
      </c>
      <c r="F165" s="3" t="str">
        <f>IFERROR(__xludf.DUMMYFUNCTION("""COMPUTED_VALUE"""),"1000 Free")</f>
        <v>1000 Free</v>
      </c>
      <c r="G165" s="3"/>
    </row>
    <row r="166">
      <c r="A166" s="3" t="str">
        <f>IFERROR(__xludf.DUMMYFUNCTION("""COMPUTED_VALUE"""),"200 Free")</f>
        <v>200 Free</v>
      </c>
      <c r="B166" s="3" t="str">
        <f>IFERROR(__xludf.DUMMYFUNCTION("""COMPUTED_VALUE"""),"500 Free")</f>
        <v>500 Free</v>
      </c>
      <c r="C166" s="3" t="str">
        <f>IFERROR(__xludf.DUMMYFUNCTION("""COMPUTED_VALUE"""),"1650 Free")</f>
        <v>1650 Free</v>
      </c>
      <c r="D166" s="3" t="str">
        <f>IFERROR(__xludf.DUMMYFUNCTION("""COMPUTED_VALUE"""),"200 Fly")</f>
        <v>200 Fly</v>
      </c>
      <c r="E166" s="3" t="str">
        <f>IFERROR(__xludf.DUMMYFUNCTION("""COMPUTED_VALUE"""),"200 IM")</f>
        <v>200 IM</v>
      </c>
      <c r="F166" s="3" t="str">
        <f>IFERROR(__xludf.DUMMYFUNCTION("""COMPUTED_VALUE"""),"1000 Free")</f>
        <v>1000 Free</v>
      </c>
      <c r="G166" s="3"/>
    </row>
    <row r="167">
      <c r="A167" s="3" t="str">
        <f>IFERROR(__xludf.DUMMYFUNCTION("""COMPUTED_VALUE"""),"200 Free")</f>
        <v>200 Free</v>
      </c>
      <c r="B167" s="3" t="str">
        <f>IFERROR(__xludf.DUMMYFUNCTION("""COMPUTED_VALUE"""),"500 Free")</f>
        <v>500 Free</v>
      </c>
      <c r="C167" s="3" t="str">
        <f>IFERROR(__xludf.DUMMYFUNCTION("""COMPUTED_VALUE"""),"1650 Free")</f>
        <v>1650 Free</v>
      </c>
      <c r="D167" s="3" t="str">
        <f>IFERROR(__xludf.DUMMYFUNCTION("""COMPUTED_VALUE"""),"100 Back")</f>
        <v>100 Back</v>
      </c>
      <c r="E167" s="3" t="str">
        <f>IFERROR(__xludf.DUMMYFUNCTION("""COMPUTED_VALUE"""),"200 Back")</f>
        <v>200 Back</v>
      </c>
      <c r="F167" s="3" t="str">
        <f>IFERROR(__xludf.DUMMYFUNCTION("""COMPUTED_VALUE"""),"1000 Free")</f>
        <v>1000 Free</v>
      </c>
      <c r="G167" s="3"/>
    </row>
    <row r="168">
      <c r="A168" s="3" t="str">
        <f>IFERROR(__xludf.DUMMYFUNCTION("""COMPUTED_VALUE"""),"200 Free")</f>
        <v>200 Free</v>
      </c>
      <c r="B168" s="3" t="str">
        <f>IFERROR(__xludf.DUMMYFUNCTION("""COMPUTED_VALUE"""),"500 Free")</f>
        <v>500 Free</v>
      </c>
      <c r="C168" s="3" t="str">
        <f>IFERROR(__xludf.DUMMYFUNCTION("""COMPUTED_VALUE"""),"100 Back")</f>
        <v>100 Back</v>
      </c>
      <c r="D168" s="3" t="str">
        <f>IFERROR(__xludf.DUMMYFUNCTION("""COMPUTED_VALUE"""),"200 Back")</f>
        <v>200 Back</v>
      </c>
      <c r="E168" s="3" t="str">
        <f>IFERROR(__xludf.DUMMYFUNCTION("""COMPUTED_VALUE"""),"400 IM")</f>
        <v>400 IM</v>
      </c>
      <c r="F168" s="3"/>
      <c r="G168" s="3"/>
    </row>
    <row r="169">
      <c r="A169" s="3" t="str">
        <f>IFERROR(__xludf.DUMMYFUNCTION("""COMPUTED_VALUE"""),"200 Free")</f>
        <v>200 Free</v>
      </c>
      <c r="B169" s="3" t="str">
        <f>IFERROR(__xludf.DUMMYFUNCTION("""COMPUTED_VALUE"""),"100 Breast")</f>
        <v>100 Breast</v>
      </c>
      <c r="C169" s="3" t="str">
        <f>IFERROR(__xludf.DUMMYFUNCTION("""COMPUTED_VALUE"""),"200 Breast")</f>
        <v>200 Breast</v>
      </c>
      <c r="D169" s="3"/>
      <c r="E169" s="3"/>
      <c r="F169" s="3"/>
      <c r="G169" s="3"/>
    </row>
    <row r="170">
      <c r="A170" s="3" t="str">
        <f>IFERROR(__xludf.DUMMYFUNCTION("""COMPUTED_VALUE"""),"200 Free")</f>
        <v>200 Free</v>
      </c>
      <c r="B170" s="3" t="str">
        <f>IFERROR(__xludf.DUMMYFUNCTION("""COMPUTED_VALUE"""),"100 Breast")</f>
        <v>100 Breast</v>
      </c>
      <c r="C170" s="3" t="str">
        <f>IFERROR(__xludf.DUMMYFUNCTION("""COMPUTED_VALUE"""),"200 Breast")</f>
        <v>200 Breast</v>
      </c>
      <c r="D170" s="3" t="str">
        <f>IFERROR(__xludf.DUMMYFUNCTION("""COMPUTED_VALUE"""),"200 IM")</f>
        <v>200 IM</v>
      </c>
      <c r="E170" s="3"/>
      <c r="F170" s="3"/>
      <c r="G170" s="3"/>
    </row>
    <row r="171">
      <c r="A171" s="3" t="str">
        <f>IFERROR(__xludf.DUMMYFUNCTION("""COMPUTED_VALUE"""),"200 Free")</f>
        <v>200 Free</v>
      </c>
      <c r="B171" s="3" t="str">
        <f>IFERROR(__xludf.DUMMYFUNCTION("""COMPUTED_VALUE"""),"500 Free")</f>
        <v>500 Free</v>
      </c>
      <c r="C171" s="3" t="str">
        <f>IFERROR(__xludf.DUMMYFUNCTION("""COMPUTED_VALUE"""),"100 Back")</f>
        <v>100 Back</v>
      </c>
      <c r="D171" s="3" t="str">
        <f>IFERROR(__xludf.DUMMYFUNCTION("""COMPUTED_VALUE"""),"200 Back")</f>
        <v>200 Back</v>
      </c>
      <c r="E171" s="3" t="str">
        <f>IFERROR(__xludf.DUMMYFUNCTION("""COMPUTED_VALUE"""),"400 IM")</f>
        <v>400 IM</v>
      </c>
      <c r="F171" s="3" t="str">
        <f>IFERROR(__xludf.DUMMYFUNCTION("""COMPUTED_VALUE"""),"1000 Free")</f>
        <v>1000 Free</v>
      </c>
      <c r="G171" s="3"/>
    </row>
    <row r="172">
      <c r="A172" s="3" t="str">
        <f>IFERROR(__xludf.DUMMYFUNCTION("""COMPUTED_VALUE"""),"200 Free")</f>
        <v>200 Free</v>
      </c>
      <c r="B172" s="3" t="str">
        <f>IFERROR(__xludf.DUMMYFUNCTION("""COMPUTED_VALUE"""),"100 Back")</f>
        <v>100 Back</v>
      </c>
      <c r="C172" s="3" t="str">
        <f>IFERROR(__xludf.DUMMYFUNCTION("""COMPUTED_VALUE"""),"200 Back")</f>
        <v>200 Back</v>
      </c>
      <c r="D172" s="3" t="str">
        <f>IFERROR(__xludf.DUMMYFUNCTION("""COMPUTED_VALUE"""),"100 Fly")</f>
        <v>100 Fly</v>
      </c>
      <c r="E172" s="3" t="str">
        <f>IFERROR(__xludf.DUMMYFUNCTION("""COMPUTED_VALUE"""),"200 Fly")</f>
        <v>200 Fly</v>
      </c>
      <c r="F172" s="3"/>
      <c r="G172" s="3"/>
    </row>
    <row r="173">
      <c r="A173" s="3" t="str">
        <f>IFERROR(__xludf.DUMMYFUNCTION("""COMPUTED_VALUE"""),"200 Free")</f>
        <v>200 Free</v>
      </c>
      <c r="B173" s="3" t="str">
        <f>IFERROR(__xludf.DUMMYFUNCTION("""COMPUTED_VALUE"""),"500 Free")</f>
        <v>500 Free</v>
      </c>
      <c r="C173" s="3" t="str">
        <f>IFERROR(__xludf.DUMMYFUNCTION("""COMPUTED_VALUE"""),"1650 Free")</f>
        <v>1650 Free</v>
      </c>
      <c r="D173" s="3" t="str">
        <f>IFERROR(__xludf.DUMMYFUNCTION("""COMPUTED_VALUE"""),"100 Breast")</f>
        <v>100 Breast</v>
      </c>
      <c r="E173" s="3" t="str">
        <f>IFERROR(__xludf.DUMMYFUNCTION("""COMPUTED_VALUE"""),"200 Breast")</f>
        <v>200 Breast</v>
      </c>
      <c r="F173" s="3" t="str">
        <f>IFERROR(__xludf.DUMMYFUNCTION("""COMPUTED_VALUE"""),"1000 Free")</f>
        <v>1000 Free</v>
      </c>
      <c r="G173" s="3"/>
    </row>
    <row r="174">
      <c r="A174" s="3" t="str">
        <f>IFERROR(__xludf.DUMMYFUNCTION("""COMPUTED_VALUE"""),"200 Free")</f>
        <v>200 Free</v>
      </c>
      <c r="B174" s="3" t="str">
        <f>IFERROR(__xludf.DUMMYFUNCTION("""COMPUTED_VALUE"""),"500 Free")</f>
        <v>500 Free</v>
      </c>
      <c r="C174" s="3" t="str">
        <f>IFERROR(__xludf.DUMMYFUNCTION("""COMPUTED_VALUE"""),"1650 Free")</f>
        <v>1650 Free</v>
      </c>
      <c r="D174" s="3" t="str">
        <f>IFERROR(__xludf.DUMMYFUNCTION("""COMPUTED_VALUE"""),"1000 Free")</f>
        <v>1000 Free</v>
      </c>
      <c r="E174" s="3"/>
      <c r="F174" s="3"/>
      <c r="G174" s="3"/>
    </row>
    <row r="175">
      <c r="A175" s="3" t="str">
        <f>IFERROR(__xludf.DUMMYFUNCTION("""COMPUTED_VALUE"""),"200 Free")</f>
        <v>200 Free</v>
      </c>
      <c r="B175" s="3" t="str">
        <f>IFERROR(__xludf.DUMMYFUNCTION("""COMPUTED_VALUE"""),"1650 Free")</f>
        <v>1650 Free</v>
      </c>
      <c r="C175" s="3" t="str">
        <f>IFERROR(__xludf.DUMMYFUNCTION("""COMPUTED_VALUE"""),"1000 Free")</f>
        <v>1000 Free</v>
      </c>
      <c r="D175" s="3"/>
      <c r="E175" s="3"/>
      <c r="F175" s="3"/>
      <c r="G175" s="3"/>
    </row>
    <row r="176">
      <c r="A176" s="3" t="str">
        <f>IFERROR(__xludf.DUMMYFUNCTION("""COMPUTED_VALUE"""),"200 Free")</f>
        <v>200 Free</v>
      </c>
      <c r="B176" s="3" t="str">
        <f>IFERROR(__xludf.DUMMYFUNCTION("""COMPUTED_VALUE"""),"500 Free")</f>
        <v>500 Free</v>
      </c>
      <c r="C176" s="3" t="str">
        <f>IFERROR(__xludf.DUMMYFUNCTION("""COMPUTED_VALUE"""),"1650 Free")</f>
        <v>1650 Free</v>
      </c>
      <c r="D176" s="3" t="str">
        <f>IFERROR(__xludf.DUMMYFUNCTION("""COMPUTED_VALUE"""),"200 IM")</f>
        <v>200 IM</v>
      </c>
      <c r="E176" s="3" t="str">
        <f>IFERROR(__xludf.DUMMYFUNCTION("""COMPUTED_VALUE"""),"400 IM")</f>
        <v>400 IM</v>
      </c>
      <c r="F176" s="3" t="str">
        <f>IFERROR(__xludf.DUMMYFUNCTION("""COMPUTED_VALUE"""),"1000 Free")</f>
        <v>1000 Free</v>
      </c>
      <c r="G176" s="3"/>
    </row>
    <row r="177">
      <c r="A177" s="3" t="str">
        <f>IFERROR(__xludf.DUMMYFUNCTION("""COMPUTED_VALUE"""),"200 Free")</f>
        <v>200 Free</v>
      </c>
      <c r="B177" s="3" t="str">
        <f>IFERROR(__xludf.DUMMYFUNCTION("""COMPUTED_VALUE"""),"1650 Free")</f>
        <v>1650 Free</v>
      </c>
      <c r="C177" s="3" t="str">
        <f>IFERROR(__xludf.DUMMYFUNCTION("""COMPUTED_VALUE"""),"200 Back")</f>
        <v>200 Back</v>
      </c>
      <c r="D177" s="3" t="str">
        <f>IFERROR(__xludf.DUMMYFUNCTION("""COMPUTED_VALUE"""),"400 IM")</f>
        <v>400 IM</v>
      </c>
      <c r="E177" s="3" t="str">
        <f>IFERROR(__xludf.DUMMYFUNCTION("""COMPUTED_VALUE"""),"1000 Free")</f>
        <v>1000 Free</v>
      </c>
      <c r="F177" s="3"/>
      <c r="G177" s="3"/>
    </row>
    <row r="178">
      <c r="A178" s="3" t="str">
        <f>IFERROR(__xludf.DUMMYFUNCTION("""COMPUTED_VALUE"""),"200 Free")</f>
        <v>200 Free</v>
      </c>
      <c r="B178" s="3" t="str">
        <f>IFERROR(__xludf.DUMMYFUNCTION("""COMPUTED_VALUE"""),"100 Back")</f>
        <v>100 Back</v>
      </c>
      <c r="C178" s="3" t="str">
        <f>IFERROR(__xludf.DUMMYFUNCTION("""COMPUTED_VALUE"""),"100 Breast")</f>
        <v>100 Breast</v>
      </c>
      <c r="D178" s="3" t="str">
        <f>IFERROR(__xludf.DUMMYFUNCTION("""COMPUTED_VALUE"""),"200 IM")</f>
        <v>200 IM</v>
      </c>
      <c r="E178" s="3"/>
      <c r="F178" s="3"/>
      <c r="G178" s="3"/>
    </row>
    <row r="179">
      <c r="A179" s="3" t="str">
        <f>IFERROR(__xludf.DUMMYFUNCTION("""COMPUTED_VALUE"""),"200 Free")</f>
        <v>200 Free</v>
      </c>
      <c r="B179" s="3" t="str">
        <f>IFERROR(__xludf.DUMMYFUNCTION("""COMPUTED_VALUE"""),"1650 Free")</f>
        <v>1650 Free</v>
      </c>
      <c r="C179" s="3"/>
      <c r="D179" s="3"/>
      <c r="E179" s="3"/>
      <c r="F179" s="3"/>
      <c r="G179" s="3"/>
    </row>
    <row r="180">
      <c r="A180" s="3" t="str">
        <f>IFERROR(__xludf.DUMMYFUNCTION("""COMPUTED_VALUE"""),"500 Free")</f>
        <v>500 Free</v>
      </c>
      <c r="B180" s="3" t="str">
        <f>IFERROR(__xludf.DUMMYFUNCTION("""COMPUTED_VALUE"""),"1650 Free")</f>
        <v>1650 Free</v>
      </c>
      <c r="C180" s="3" t="str">
        <f>IFERROR(__xludf.DUMMYFUNCTION("""COMPUTED_VALUE"""),"200 Fly")</f>
        <v>200 Fly</v>
      </c>
      <c r="D180" s="3" t="str">
        <f>IFERROR(__xludf.DUMMYFUNCTION("""COMPUTED_VALUE"""),"200 IM")</f>
        <v>200 IM</v>
      </c>
      <c r="E180" s="3" t="str">
        <f>IFERROR(__xludf.DUMMYFUNCTION("""COMPUTED_VALUE"""),"400 IM")</f>
        <v>400 IM</v>
      </c>
      <c r="F180" s="3" t="str">
        <f>IFERROR(__xludf.DUMMYFUNCTION("""COMPUTED_VALUE"""),"1000 Free")</f>
        <v>1000 Free</v>
      </c>
      <c r="G180" s="3"/>
    </row>
    <row r="181">
      <c r="A181" s="3" t="str">
        <f>IFERROR(__xludf.DUMMYFUNCTION("""COMPUTED_VALUE"""),"500 Free")</f>
        <v>500 Free</v>
      </c>
      <c r="B181" s="3" t="str">
        <f>IFERROR(__xludf.DUMMYFUNCTION("""COMPUTED_VALUE"""),"100 Breast")</f>
        <v>100 Breast</v>
      </c>
      <c r="C181" s="3" t="str">
        <f>IFERROR(__xludf.DUMMYFUNCTION("""COMPUTED_VALUE"""),"100 Fly")</f>
        <v>100 Fly</v>
      </c>
      <c r="D181" s="3" t="str">
        <f>IFERROR(__xludf.DUMMYFUNCTION("""COMPUTED_VALUE"""),"200 IM")</f>
        <v>200 IM</v>
      </c>
      <c r="E181" s="3" t="str">
        <f>IFERROR(__xludf.DUMMYFUNCTION("""COMPUTED_VALUE"""),"400 IM")</f>
        <v>400 IM</v>
      </c>
      <c r="F181" s="3" t="str">
        <f>IFERROR(__xludf.DUMMYFUNCTION("""COMPUTED_VALUE"""),"1000 Free")</f>
        <v>1000 Free</v>
      </c>
      <c r="G181" s="3"/>
    </row>
    <row r="182">
      <c r="A182" s="3" t="str">
        <f>IFERROR(__xludf.DUMMYFUNCTION("""COMPUTED_VALUE"""),"500 Free")</f>
        <v>500 Free</v>
      </c>
      <c r="B182" s="3" t="str">
        <f>IFERROR(__xludf.DUMMYFUNCTION("""COMPUTED_VALUE"""),"1650 Free")</f>
        <v>1650 Free</v>
      </c>
      <c r="C182" s="3" t="str">
        <f>IFERROR(__xludf.DUMMYFUNCTION("""COMPUTED_VALUE"""),"200 Breast")</f>
        <v>200 Breast</v>
      </c>
      <c r="D182" s="3" t="str">
        <f>IFERROR(__xludf.DUMMYFUNCTION("""COMPUTED_VALUE"""),"200 IM")</f>
        <v>200 IM</v>
      </c>
      <c r="E182" s="3" t="str">
        <f>IFERROR(__xludf.DUMMYFUNCTION("""COMPUTED_VALUE"""),"400 IM")</f>
        <v>400 IM</v>
      </c>
      <c r="F182" s="3" t="str">
        <f>IFERROR(__xludf.DUMMYFUNCTION("""COMPUTED_VALUE"""),"1000 Free")</f>
        <v>1000 Free</v>
      </c>
      <c r="G182" s="3"/>
    </row>
    <row r="183">
      <c r="A183" s="3" t="str">
        <f>IFERROR(__xludf.DUMMYFUNCTION("""COMPUTED_VALUE"""),"500 Free")</f>
        <v>500 Free</v>
      </c>
      <c r="B183" s="3" t="str">
        <f>IFERROR(__xludf.DUMMYFUNCTION("""COMPUTED_VALUE"""),"1650 Free")</f>
        <v>1650 Free</v>
      </c>
      <c r="C183" s="3" t="str">
        <f>IFERROR(__xludf.DUMMYFUNCTION("""COMPUTED_VALUE"""),"100 Fly")</f>
        <v>100 Fly</v>
      </c>
      <c r="D183" s="3" t="str">
        <f>IFERROR(__xludf.DUMMYFUNCTION("""COMPUTED_VALUE"""),"200 Fly")</f>
        <v>200 Fly</v>
      </c>
      <c r="E183" s="3" t="str">
        <f>IFERROR(__xludf.DUMMYFUNCTION("""COMPUTED_VALUE"""),"200 IM")</f>
        <v>200 IM</v>
      </c>
      <c r="F183" s="3" t="str">
        <f>IFERROR(__xludf.DUMMYFUNCTION("""COMPUTED_VALUE"""),"400 IM")</f>
        <v>400 IM</v>
      </c>
      <c r="G183" s="3"/>
    </row>
    <row r="184">
      <c r="A184" s="3" t="str">
        <f>IFERROR(__xludf.DUMMYFUNCTION("""COMPUTED_VALUE"""),"500 Free")</f>
        <v>500 Free</v>
      </c>
      <c r="B184" s="3" t="str">
        <f>IFERROR(__xludf.DUMMYFUNCTION("""COMPUTED_VALUE"""),"1650 Free")</f>
        <v>1650 Free</v>
      </c>
      <c r="C184" s="3" t="str">
        <f>IFERROR(__xludf.DUMMYFUNCTION("""COMPUTED_VALUE"""),"100 Back")</f>
        <v>100 Back</v>
      </c>
      <c r="D184" s="3" t="str">
        <f>IFERROR(__xludf.DUMMYFUNCTION("""COMPUTED_VALUE"""),"200 Back")</f>
        <v>200 Back</v>
      </c>
      <c r="E184" s="3" t="str">
        <f>IFERROR(__xludf.DUMMYFUNCTION("""COMPUTED_VALUE"""),"400 IM")</f>
        <v>400 IM</v>
      </c>
      <c r="F184" s="3" t="str">
        <f>IFERROR(__xludf.DUMMYFUNCTION("""COMPUTED_VALUE"""),"1000 Free")</f>
        <v>1000 Free</v>
      </c>
      <c r="G184" s="3"/>
    </row>
    <row r="185">
      <c r="A185" s="3" t="str">
        <f>IFERROR(__xludf.DUMMYFUNCTION("""COMPUTED_VALUE"""),"500 Free")</f>
        <v>500 Free</v>
      </c>
      <c r="B185" s="3" t="str">
        <f>IFERROR(__xludf.DUMMYFUNCTION("""COMPUTED_VALUE"""),"100 Breast")</f>
        <v>100 Breast</v>
      </c>
      <c r="C185" s="3" t="str">
        <f>IFERROR(__xludf.DUMMYFUNCTION("""COMPUTED_VALUE"""),"200 Breast")</f>
        <v>200 Breast</v>
      </c>
      <c r="D185" s="3" t="str">
        <f>IFERROR(__xludf.DUMMYFUNCTION("""COMPUTED_VALUE"""),"200 IM")</f>
        <v>200 IM</v>
      </c>
      <c r="E185" s="3" t="str">
        <f>IFERROR(__xludf.DUMMYFUNCTION("""COMPUTED_VALUE"""),"400 IM")</f>
        <v>400 IM</v>
      </c>
      <c r="F185" s="3" t="str">
        <f>IFERROR(__xludf.DUMMYFUNCTION("""COMPUTED_VALUE"""),"1000 Free")</f>
        <v>1000 Free</v>
      </c>
      <c r="G185" s="3"/>
    </row>
    <row r="186">
      <c r="A186" s="3" t="str">
        <f>IFERROR(__xludf.DUMMYFUNCTION("""COMPUTED_VALUE"""),"500 Free")</f>
        <v>500 Free</v>
      </c>
      <c r="B186" s="3" t="str">
        <f>IFERROR(__xludf.DUMMYFUNCTION("""COMPUTED_VALUE"""),"100 Breast")</f>
        <v>100 Breast</v>
      </c>
      <c r="C186" s="3" t="str">
        <f>IFERROR(__xludf.DUMMYFUNCTION("""COMPUTED_VALUE"""),"200 Breast")</f>
        <v>200 Breast</v>
      </c>
      <c r="D186" s="3" t="str">
        <f>IFERROR(__xludf.DUMMYFUNCTION("""COMPUTED_VALUE"""),"200 IM")</f>
        <v>200 IM</v>
      </c>
      <c r="E186" s="3" t="str">
        <f>IFERROR(__xludf.DUMMYFUNCTION("""COMPUTED_VALUE"""),"400 IM")</f>
        <v>400 IM</v>
      </c>
      <c r="F186" s="3" t="str">
        <f>IFERROR(__xludf.DUMMYFUNCTION("""COMPUTED_VALUE"""),"1000 Free")</f>
        <v>1000 Free</v>
      </c>
      <c r="G186" s="3"/>
    </row>
    <row r="187">
      <c r="A187" s="3" t="str">
        <f>IFERROR(__xludf.DUMMYFUNCTION("""COMPUTED_VALUE"""),"500 Free")</f>
        <v>500 Free</v>
      </c>
      <c r="B187" s="3" t="str">
        <f>IFERROR(__xludf.DUMMYFUNCTION("""COMPUTED_VALUE"""),"1650 Free")</f>
        <v>1650 Free</v>
      </c>
      <c r="C187" s="3" t="str">
        <f>IFERROR(__xludf.DUMMYFUNCTION("""COMPUTED_VALUE"""),"200 Back")</f>
        <v>200 Back</v>
      </c>
      <c r="D187" s="3" t="str">
        <f>IFERROR(__xludf.DUMMYFUNCTION("""COMPUTED_VALUE"""),"200 IM")</f>
        <v>200 IM</v>
      </c>
      <c r="E187" s="3" t="str">
        <f>IFERROR(__xludf.DUMMYFUNCTION("""COMPUTED_VALUE"""),"400 IM")</f>
        <v>400 IM</v>
      </c>
      <c r="F187" s="3" t="str">
        <f>IFERROR(__xludf.DUMMYFUNCTION("""COMPUTED_VALUE"""),"1000 Free")</f>
        <v>1000 Free</v>
      </c>
      <c r="G187" s="3"/>
    </row>
    <row r="188">
      <c r="A188" s="3" t="str">
        <f>IFERROR(__xludf.DUMMYFUNCTION("""COMPUTED_VALUE"""),"500 Free")</f>
        <v>500 Free</v>
      </c>
      <c r="B188" s="3" t="str">
        <f>IFERROR(__xludf.DUMMYFUNCTION("""COMPUTED_VALUE"""),"1650 Free")</f>
        <v>1650 Free</v>
      </c>
      <c r="C188" s="3" t="str">
        <f>IFERROR(__xludf.DUMMYFUNCTION("""COMPUTED_VALUE"""),"100 Breast")</f>
        <v>100 Breast</v>
      </c>
      <c r="D188" s="3" t="str">
        <f>IFERROR(__xludf.DUMMYFUNCTION("""COMPUTED_VALUE"""),"100 Fly")</f>
        <v>100 Fly</v>
      </c>
      <c r="E188" s="3" t="str">
        <f>IFERROR(__xludf.DUMMYFUNCTION("""COMPUTED_VALUE"""),"200 Fly")</f>
        <v>200 Fly</v>
      </c>
      <c r="F188" s="3" t="str">
        <f>IFERROR(__xludf.DUMMYFUNCTION("""COMPUTED_VALUE"""),"1000 Free")</f>
        <v>1000 Free</v>
      </c>
      <c r="G188" s="3"/>
    </row>
    <row r="189">
      <c r="A189" s="3" t="str">
        <f>IFERROR(__xludf.DUMMYFUNCTION("""COMPUTED_VALUE"""),"500 Free")</f>
        <v>500 Free</v>
      </c>
      <c r="B189" s="3" t="str">
        <f>IFERROR(__xludf.DUMMYFUNCTION("""COMPUTED_VALUE"""),"1650 Free")</f>
        <v>1650 Free</v>
      </c>
      <c r="C189" s="3" t="str">
        <f>IFERROR(__xludf.DUMMYFUNCTION("""COMPUTED_VALUE"""),"100 Fly")</f>
        <v>100 Fly</v>
      </c>
      <c r="D189" s="3" t="str">
        <f>IFERROR(__xludf.DUMMYFUNCTION("""COMPUTED_VALUE"""),"200 IM")</f>
        <v>200 IM</v>
      </c>
      <c r="E189" s="3" t="str">
        <f>IFERROR(__xludf.DUMMYFUNCTION("""COMPUTED_VALUE"""),"400 IM")</f>
        <v>400 IM</v>
      </c>
      <c r="F189" s="3" t="str">
        <f>IFERROR(__xludf.DUMMYFUNCTION("""COMPUTED_VALUE"""),"1000 Free")</f>
        <v>1000 Free</v>
      </c>
      <c r="G189" s="3"/>
    </row>
    <row r="190">
      <c r="A190" s="3" t="str">
        <f>IFERROR(__xludf.DUMMYFUNCTION("""COMPUTED_VALUE"""),"500 Free")</f>
        <v>500 Free</v>
      </c>
      <c r="B190" s="3" t="str">
        <f>IFERROR(__xludf.DUMMYFUNCTION("""COMPUTED_VALUE"""),"100 Breast")</f>
        <v>100 Breast</v>
      </c>
      <c r="C190" s="3" t="str">
        <f>IFERROR(__xludf.DUMMYFUNCTION("""COMPUTED_VALUE"""),"200 Breast")</f>
        <v>200 Breast</v>
      </c>
      <c r="D190" s="3" t="str">
        <f>IFERROR(__xludf.DUMMYFUNCTION("""COMPUTED_VALUE"""),"200 IM")</f>
        <v>200 IM</v>
      </c>
      <c r="E190" s="3" t="str">
        <f>IFERROR(__xludf.DUMMYFUNCTION("""COMPUTED_VALUE"""),"400 IM")</f>
        <v>400 IM</v>
      </c>
      <c r="F190" s="3" t="str">
        <f>IFERROR(__xludf.DUMMYFUNCTION("""COMPUTED_VALUE"""),"1000 Free")</f>
        <v>1000 Free</v>
      </c>
      <c r="G190" s="3"/>
    </row>
    <row r="191">
      <c r="A191" s="3" t="str">
        <f>IFERROR(__xludf.DUMMYFUNCTION("""COMPUTED_VALUE"""),"500 Free")</f>
        <v>500 Free</v>
      </c>
      <c r="B191" s="3" t="str">
        <f>IFERROR(__xludf.DUMMYFUNCTION("""COMPUTED_VALUE"""),"1650 Free")</f>
        <v>1650 Free</v>
      </c>
      <c r="C191" s="3" t="str">
        <f>IFERROR(__xludf.DUMMYFUNCTION("""COMPUTED_VALUE"""),"200 Fly")</f>
        <v>200 Fly</v>
      </c>
      <c r="D191" s="3" t="str">
        <f>IFERROR(__xludf.DUMMYFUNCTION("""COMPUTED_VALUE"""),"200 IM")</f>
        <v>200 IM</v>
      </c>
      <c r="E191" s="3" t="str">
        <f>IFERROR(__xludf.DUMMYFUNCTION("""COMPUTED_VALUE"""),"400 IM")</f>
        <v>400 IM</v>
      </c>
      <c r="F191" s="3" t="str">
        <f>IFERROR(__xludf.DUMMYFUNCTION("""COMPUTED_VALUE"""),"1000 Free")</f>
        <v>1000 Free</v>
      </c>
      <c r="G191" s="3"/>
    </row>
    <row r="192">
      <c r="A192" s="3" t="str">
        <f>IFERROR(__xludf.DUMMYFUNCTION("""COMPUTED_VALUE"""),"500 Free")</f>
        <v>500 Free</v>
      </c>
      <c r="B192" s="3" t="str">
        <f>IFERROR(__xludf.DUMMYFUNCTION("""COMPUTED_VALUE"""),"100 Breast")</f>
        <v>100 Breast</v>
      </c>
      <c r="C192" s="3" t="str">
        <f>IFERROR(__xludf.DUMMYFUNCTION("""COMPUTED_VALUE"""),"200 Breast")</f>
        <v>200 Breast</v>
      </c>
      <c r="D192" s="3" t="str">
        <f>IFERROR(__xludf.DUMMYFUNCTION("""COMPUTED_VALUE"""),"100 Fly")</f>
        <v>100 Fly</v>
      </c>
      <c r="E192" s="3" t="str">
        <f>IFERROR(__xludf.DUMMYFUNCTION("""COMPUTED_VALUE"""),"200 Fly")</f>
        <v>200 Fly</v>
      </c>
      <c r="F192" s="3" t="str">
        <f>IFERROR(__xludf.DUMMYFUNCTION("""COMPUTED_VALUE"""),"200 IM")</f>
        <v>200 IM</v>
      </c>
      <c r="G192" s="3"/>
    </row>
    <row r="193">
      <c r="A193" s="3" t="str">
        <f>IFERROR(__xludf.DUMMYFUNCTION("""COMPUTED_VALUE"""),"500 Free")</f>
        <v>500 Free</v>
      </c>
      <c r="B193" s="3" t="str">
        <f>IFERROR(__xludf.DUMMYFUNCTION("""COMPUTED_VALUE"""),"1650 Free")</f>
        <v>1650 Free</v>
      </c>
      <c r="C193" s="3" t="str">
        <f>IFERROR(__xludf.DUMMYFUNCTION("""COMPUTED_VALUE"""),"100 Breast")</f>
        <v>100 Breast</v>
      </c>
      <c r="D193" s="3" t="str">
        <f>IFERROR(__xludf.DUMMYFUNCTION("""COMPUTED_VALUE"""),"200 Breast")</f>
        <v>200 Breast</v>
      </c>
      <c r="E193" s="3" t="str">
        <f>IFERROR(__xludf.DUMMYFUNCTION("""COMPUTED_VALUE"""),"200 IM")</f>
        <v>200 IM</v>
      </c>
      <c r="F193" s="3" t="str">
        <f>IFERROR(__xludf.DUMMYFUNCTION("""COMPUTED_VALUE"""),"1000 Free")</f>
        <v>1000 Free</v>
      </c>
      <c r="G193" s="3"/>
    </row>
    <row r="194">
      <c r="A194" s="3" t="str">
        <f>IFERROR(__xludf.DUMMYFUNCTION("""COMPUTED_VALUE"""),"500 Free")</f>
        <v>500 Free</v>
      </c>
      <c r="B194" s="3" t="str">
        <f>IFERROR(__xludf.DUMMYFUNCTION("""COMPUTED_VALUE"""),"100 Back")</f>
        <v>100 Back</v>
      </c>
      <c r="C194" s="3" t="str">
        <f>IFERROR(__xludf.DUMMYFUNCTION("""COMPUTED_VALUE"""),"200 Back")</f>
        <v>200 Back</v>
      </c>
      <c r="D194" s="3" t="str">
        <f>IFERROR(__xludf.DUMMYFUNCTION("""COMPUTED_VALUE"""),"200 IM")</f>
        <v>200 IM</v>
      </c>
      <c r="E194" s="3"/>
      <c r="F194" s="3"/>
      <c r="G194" s="3"/>
    </row>
    <row r="195">
      <c r="A195" s="3" t="str">
        <f>IFERROR(__xludf.DUMMYFUNCTION("""COMPUTED_VALUE"""),"500 Free")</f>
        <v>500 Free</v>
      </c>
      <c r="B195" s="3" t="str">
        <f>IFERROR(__xludf.DUMMYFUNCTION("""COMPUTED_VALUE"""),"200 Back")</f>
        <v>200 Back</v>
      </c>
      <c r="C195" s="3" t="str">
        <f>IFERROR(__xludf.DUMMYFUNCTION("""COMPUTED_VALUE"""),"200 Fly")</f>
        <v>200 Fly</v>
      </c>
      <c r="D195" s="3" t="str">
        <f>IFERROR(__xludf.DUMMYFUNCTION("""COMPUTED_VALUE"""),"400 IM")</f>
        <v>400 IM</v>
      </c>
      <c r="E195" s="3" t="str">
        <f>IFERROR(__xludf.DUMMYFUNCTION("""COMPUTED_VALUE"""),"1000 Free")</f>
        <v>1000 Free</v>
      </c>
      <c r="F195" s="3"/>
      <c r="G195" s="3"/>
    </row>
    <row r="196">
      <c r="A196" s="3" t="str">
        <f>IFERROR(__xludf.DUMMYFUNCTION("""COMPUTED_VALUE"""),"500 Free")</f>
        <v>500 Free</v>
      </c>
      <c r="B196" s="3" t="str">
        <f>IFERROR(__xludf.DUMMYFUNCTION("""COMPUTED_VALUE"""),"1650 Free")</f>
        <v>1650 Free</v>
      </c>
      <c r="C196" s="3" t="str">
        <f>IFERROR(__xludf.DUMMYFUNCTION("""COMPUTED_VALUE"""),"100 Breast")</f>
        <v>100 Breast</v>
      </c>
      <c r="D196" s="3" t="str">
        <f>IFERROR(__xludf.DUMMYFUNCTION("""COMPUTED_VALUE"""),"200 Breast")</f>
        <v>200 Breast</v>
      </c>
      <c r="E196" s="3" t="str">
        <f>IFERROR(__xludf.DUMMYFUNCTION("""COMPUTED_VALUE"""),"200 IM")</f>
        <v>200 IM</v>
      </c>
      <c r="F196" s="3" t="str">
        <f>IFERROR(__xludf.DUMMYFUNCTION("""COMPUTED_VALUE"""),"400 IM")</f>
        <v>400 IM</v>
      </c>
      <c r="G196" s="3"/>
    </row>
    <row r="197">
      <c r="A197" s="3" t="str">
        <f>IFERROR(__xludf.DUMMYFUNCTION("""COMPUTED_VALUE"""),"500 Free")</f>
        <v>500 Free</v>
      </c>
      <c r="B197" s="3" t="str">
        <f>IFERROR(__xludf.DUMMYFUNCTION("""COMPUTED_VALUE"""),"200 Back")</f>
        <v>200 Back</v>
      </c>
      <c r="C197" s="3" t="str">
        <f>IFERROR(__xludf.DUMMYFUNCTION("""COMPUTED_VALUE"""),"200 Breast")</f>
        <v>200 Breast</v>
      </c>
      <c r="D197" s="3" t="str">
        <f>IFERROR(__xludf.DUMMYFUNCTION("""COMPUTED_VALUE"""),"200 IM")</f>
        <v>200 IM</v>
      </c>
      <c r="E197" s="3" t="str">
        <f>IFERROR(__xludf.DUMMYFUNCTION("""COMPUTED_VALUE"""),"1000 Free")</f>
        <v>1000 Free</v>
      </c>
      <c r="F197" s="3"/>
      <c r="G197" s="3"/>
    </row>
    <row r="198">
      <c r="A198" s="3" t="str">
        <f>IFERROR(__xludf.DUMMYFUNCTION("""COMPUTED_VALUE"""),"500 Free")</f>
        <v>500 Free</v>
      </c>
      <c r="B198" s="3" t="str">
        <f>IFERROR(__xludf.DUMMYFUNCTION("""COMPUTED_VALUE"""),"1000 Free")</f>
        <v>1000 Free</v>
      </c>
      <c r="C198" s="3"/>
      <c r="D198" s="3"/>
      <c r="E198" s="3"/>
      <c r="F198" s="3"/>
      <c r="G198" s="3"/>
    </row>
    <row r="199">
      <c r="A199" s="3" t="str">
        <f>IFERROR(__xludf.DUMMYFUNCTION("""COMPUTED_VALUE"""),"500 Free")</f>
        <v>500 Free</v>
      </c>
      <c r="B199" s="3" t="str">
        <f>IFERROR(__xludf.DUMMYFUNCTION("""COMPUTED_VALUE"""),"1650 Free")</f>
        <v>1650 Free</v>
      </c>
      <c r="C199" s="3" t="str">
        <f>IFERROR(__xludf.DUMMYFUNCTION("""COMPUTED_VALUE"""),"100 Back")</f>
        <v>100 Back</v>
      </c>
      <c r="D199" s="3" t="str">
        <f>IFERROR(__xludf.DUMMYFUNCTION("""COMPUTED_VALUE"""),"100 Fly")</f>
        <v>100 Fly</v>
      </c>
      <c r="E199" s="3" t="str">
        <f>IFERROR(__xludf.DUMMYFUNCTION("""COMPUTED_VALUE"""),"200 Fly")</f>
        <v>200 Fly</v>
      </c>
      <c r="F199" s="3"/>
      <c r="G199" s="3"/>
    </row>
    <row r="200">
      <c r="A200" s="3" t="str">
        <f>IFERROR(__xludf.DUMMYFUNCTION("""COMPUTED_VALUE"""),"1650 Free")</f>
        <v>1650 Free</v>
      </c>
      <c r="B200" s="3" t="str">
        <f>IFERROR(__xludf.DUMMYFUNCTION("""COMPUTED_VALUE"""),"200 Back")</f>
        <v>200 Back</v>
      </c>
      <c r="C200" s="3" t="str">
        <f>IFERROR(__xludf.DUMMYFUNCTION("""COMPUTED_VALUE"""),"200 Breast")</f>
        <v>200 Breast</v>
      </c>
      <c r="D200" s="3" t="str">
        <f>IFERROR(__xludf.DUMMYFUNCTION("""COMPUTED_VALUE"""),"200 Fly")</f>
        <v>200 Fly</v>
      </c>
      <c r="E200" s="3" t="str">
        <f>IFERROR(__xludf.DUMMYFUNCTION("""COMPUTED_VALUE"""),"200 IM")</f>
        <v>200 IM</v>
      </c>
      <c r="F200" s="3" t="str">
        <f>IFERROR(__xludf.DUMMYFUNCTION("""COMPUTED_VALUE"""),"400 IM")</f>
        <v>400 IM</v>
      </c>
      <c r="G200" s="3"/>
    </row>
    <row r="201">
      <c r="A201" s="3" t="str">
        <f>IFERROR(__xludf.DUMMYFUNCTION("""COMPUTED_VALUE"""),"1650 Free")</f>
        <v>1650 Free</v>
      </c>
      <c r="B201" s="3" t="str">
        <f>IFERROR(__xludf.DUMMYFUNCTION("""COMPUTED_VALUE"""),"200 Back")</f>
        <v>200 Back</v>
      </c>
      <c r="C201" s="3" t="str">
        <f>IFERROR(__xludf.DUMMYFUNCTION("""COMPUTED_VALUE"""),"100 Fly")</f>
        <v>100 Fly</v>
      </c>
      <c r="D201" s="3" t="str">
        <f>IFERROR(__xludf.DUMMYFUNCTION("""COMPUTED_VALUE"""),"200 Fly")</f>
        <v>200 Fly</v>
      </c>
      <c r="E201" s="3" t="str">
        <f>IFERROR(__xludf.DUMMYFUNCTION("""COMPUTED_VALUE"""),"400 IM")</f>
        <v>400 IM</v>
      </c>
      <c r="F201" s="3" t="str">
        <f>IFERROR(__xludf.DUMMYFUNCTION("""COMPUTED_VALUE"""),"1000 Free")</f>
        <v>1000 Free</v>
      </c>
      <c r="G201" s="3"/>
    </row>
    <row r="202">
      <c r="A202" s="3" t="str">
        <f>IFERROR(__xludf.DUMMYFUNCTION("""COMPUTED_VALUE"""),"1650 Free")</f>
        <v>1650 Free</v>
      </c>
      <c r="B202" s="3" t="str">
        <f>IFERROR(__xludf.DUMMYFUNCTION("""COMPUTED_VALUE"""),"200 Back")</f>
        <v>200 Back</v>
      </c>
      <c r="C202" s="3" t="str">
        <f>IFERROR(__xludf.DUMMYFUNCTION("""COMPUTED_VALUE"""),"200 Fly")</f>
        <v>200 Fly</v>
      </c>
      <c r="D202" s="3" t="str">
        <f>IFERROR(__xludf.DUMMYFUNCTION("""COMPUTED_VALUE"""),"1000 Free")</f>
        <v>1000 Free</v>
      </c>
      <c r="E202" s="3"/>
      <c r="F202" s="3"/>
      <c r="G202" s="3"/>
    </row>
    <row r="203">
      <c r="A203" s="3" t="str">
        <f>IFERROR(__xludf.DUMMYFUNCTION("""COMPUTED_VALUE"""),"1650 Free")</f>
        <v>1650 Free</v>
      </c>
      <c r="B203" s="3" t="str">
        <f>IFERROR(__xludf.DUMMYFUNCTION("""COMPUTED_VALUE"""),"200 Breast")</f>
        <v>200 Breast</v>
      </c>
      <c r="C203" s="3" t="str">
        <f>IFERROR(__xludf.DUMMYFUNCTION("""COMPUTED_VALUE"""),"1000 Free")</f>
        <v>1000 Free</v>
      </c>
      <c r="D203" s="3"/>
      <c r="E203" s="3"/>
      <c r="F203" s="3"/>
      <c r="G203" s="3"/>
    </row>
    <row r="204">
      <c r="A204" s="3" t="str">
        <f>IFERROR(__xludf.DUMMYFUNCTION("""COMPUTED_VALUE"""),"1650 Free")</f>
        <v>1650 Free</v>
      </c>
      <c r="B204" s="3" t="str">
        <f>IFERROR(__xludf.DUMMYFUNCTION("""COMPUTED_VALUE"""),"1000 Free")</f>
        <v>1000 Free</v>
      </c>
      <c r="C204" s="3"/>
      <c r="D204" s="3"/>
      <c r="E204" s="3"/>
      <c r="F204" s="3"/>
      <c r="G204" s="3"/>
    </row>
    <row r="205">
      <c r="A205" s="3" t="str">
        <f>IFERROR(__xludf.DUMMYFUNCTION("""COMPUTED_VALUE"""),"1650 Free")</f>
        <v>1650 Free</v>
      </c>
      <c r="B205" s="3" t="str">
        <f>IFERROR(__xludf.DUMMYFUNCTION("""COMPUTED_VALUE"""),"200 Breast")</f>
        <v>200 Breast</v>
      </c>
      <c r="C205" s="3" t="str">
        <f>IFERROR(__xludf.DUMMYFUNCTION("""COMPUTED_VALUE"""),"1000 Free")</f>
        <v>1000 Free</v>
      </c>
      <c r="D205" s="3"/>
      <c r="E205" s="3"/>
      <c r="F205" s="3"/>
      <c r="G205" s="3"/>
    </row>
    <row r="206">
      <c r="A206" s="3" t="str">
        <f>IFERROR(__xludf.DUMMYFUNCTION("""COMPUTED_VALUE"""),"1650 Free")</f>
        <v>1650 Free</v>
      </c>
      <c r="B206" s="3" t="str">
        <f>IFERROR(__xludf.DUMMYFUNCTION("""COMPUTED_VALUE"""),"100 Breast")</f>
        <v>100 Breast</v>
      </c>
      <c r="C206" s="3" t="str">
        <f>IFERROR(__xludf.DUMMYFUNCTION("""COMPUTED_VALUE"""),"100 Fly")</f>
        <v>100 Fly</v>
      </c>
      <c r="D206" s="3" t="str">
        <f>IFERROR(__xludf.DUMMYFUNCTION("""COMPUTED_VALUE"""),"1000 Free")</f>
        <v>1000 Free</v>
      </c>
      <c r="E206" s="3"/>
      <c r="F206" s="3"/>
      <c r="G206" s="3"/>
    </row>
    <row r="207">
      <c r="A207" s="3" t="str">
        <f>IFERROR(__xludf.DUMMYFUNCTION("""COMPUTED_VALUE"""),"1650 Free")</f>
        <v>1650 Free</v>
      </c>
      <c r="B207" s="3" t="str">
        <f>IFERROR(__xludf.DUMMYFUNCTION("""COMPUTED_VALUE"""),"200 Fly")</f>
        <v>200 Fly</v>
      </c>
      <c r="C207" s="3" t="str">
        <f>IFERROR(__xludf.DUMMYFUNCTION("""COMPUTED_VALUE"""),"1000 Free")</f>
        <v>1000 Free</v>
      </c>
      <c r="D207" s="3"/>
      <c r="E207" s="3"/>
      <c r="F207" s="3"/>
      <c r="G207" s="3"/>
    </row>
    <row r="208">
      <c r="A208" s="3" t="str">
        <f>IFERROR(__xludf.DUMMYFUNCTION("""COMPUTED_VALUE"""),"1650 Free")</f>
        <v>1650 Free</v>
      </c>
      <c r="B208" s="3" t="str">
        <f>IFERROR(__xludf.DUMMYFUNCTION("""COMPUTED_VALUE"""),"1000 Free")</f>
        <v>1000 Free</v>
      </c>
      <c r="C208" s="3"/>
      <c r="D208" s="3"/>
      <c r="E208" s="3"/>
      <c r="F208" s="3"/>
      <c r="G208" s="3"/>
    </row>
    <row r="209">
      <c r="A209" s="3" t="str">
        <f>IFERROR(__xludf.DUMMYFUNCTION("""COMPUTED_VALUE"""),"100 Back")</f>
        <v>100 Back</v>
      </c>
      <c r="B209" s="3" t="str">
        <f>IFERROR(__xludf.DUMMYFUNCTION("""COMPUTED_VALUE"""),"200 Back")</f>
        <v>200 Back</v>
      </c>
      <c r="C209" s="3" t="str">
        <f>IFERROR(__xludf.DUMMYFUNCTION("""COMPUTED_VALUE"""),"100 Fly")</f>
        <v>100 Fly</v>
      </c>
      <c r="D209" s="3" t="str">
        <f>IFERROR(__xludf.DUMMYFUNCTION("""COMPUTED_VALUE"""),"200 Fly")</f>
        <v>200 Fly</v>
      </c>
      <c r="E209" s="3" t="str">
        <f>IFERROR(__xludf.DUMMYFUNCTION("""COMPUTED_VALUE"""),"200 IM")</f>
        <v>200 IM</v>
      </c>
      <c r="F209" s="3" t="str">
        <f>IFERROR(__xludf.DUMMYFUNCTION("""COMPUTED_VALUE"""),"400 IM")</f>
        <v>400 IM</v>
      </c>
      <c r="G209" s="3"/>
    </row>
    <row r="210">
      <c r="A210" s="3" t="str">
        <f>IFERROR(__xludf.DUMMYFUNCTION("""COMPUTED_VALUE"""),"100 Back")</f>
        <v>100 Back</v>
      </c>
      <c r="B210" s="3" t="str">
        <f>IFERROR(__xludf.DUMMYFUNCTION("""COMPUTED_VALUE"""),"200 Back")</f>
        <v>200 Back</v>
      </c>
      <c r="C210" s="3" t="str">
        <f>IFERROR(__xludf.DUMMYFUNCTION("""COMPUTED_VALUE"""),"100 Fly")</f>
        <v>100 Fly</v>
      </c>
      <c r="D210" s="3" t="str">
        <f>IFERROR(__xludf.DUMMYFUNCTION("""COMPUTED_VALUE"""),"200 Fly")</f>
        <v>200 Fly</v>
      </c>
      <c r="E210" s="3" t="str">
        <f>IFERROR(__xludf.DUMMYFUNCTION("""COMPUTED_VALUE"""),"200 IM")</f>
        <v>200 IM</v>
      </c>
      <c r="F210" s="3" t="str">
        <f>IFERROR(__xludf.DUMMYFUNCTION("""COMPUTED_VALUE"""),"400 IM")</f>
        <v>400 IM</v>
      </c>
      <c r="G210" s="3"/>
    </row>
    <row r="211">
      <c r="A211" s="3" t="str">
        <f>IFERROR(__xludf.DUMMYFUNCTION("""COMPUTED_VALUE"""),"100 Back")</f>
        <v>100 Back</v>
      </c>
      <c r="B211" s="3" t="str">
        <f>IFERROR(__xludf.DUMMYFUNCTION("""COMPUTED_VALUE"""),"200 Back")</f>
        <v>200 Back</v>
      </c>
      <c r="C211" s="3" t="str">
        <f>IFERROR(__xludf.DUMMYFUNCTION("""COMPUTED_VALUE"""),"100 Breast")</f>
        <v>100 Breast</v>
      </c>
      <c r="D211" s="3" t="str">
        <f>IFERROR(__xludf.DUMMYFUNCTION("""COMPUTED_VALUE"""),"200 Breast")</f>
        <v>200 Breast</v>
      </c>
      <c r="E211" s="3" t="str">
        <f>IFERROR(__xludf.DUMMYFUNCTION("""COMPUTED_VALUE"""),"200 IM")</f>
        <v>200 IM</v>
      </c>
      <c r="F211" s="3" t="str">
        <f>IFERROR(__xludf.DUMMYFUNCTION("""COMPUTED_VALUE"""),"400 IM")</f>
        <v>400 IM</v>
      </c>
      <c r="G211" s="3"/>
    </row>
    <row r="212">
      <c r="A212" s="3" t="str">
        <f>IFERROR(__xludf.DUMMYFUNCTION("""COMPUTED_VALUE"""),"100 Back")</f>
        <v>100 Back</v>
      </c>
      <c r="B212" s="3" t="str">
        <f>IFERROR(__xludf.DUMMYFUNCTION("""COMPUTED_VALUE"""),"200 Back")</f>
        <v>200 Back</v>
      </c>
      <c r="C212" s="3" t="str">
        <f>IFERROR(__xludf.DUMMYFUNCTION("""COMPUTED_VALUE"""),"100 Breast")</f>
        <v>100 Breast</v>
      </c>
      <c r="D212" s="3" t="str">
        <f>IFERROR(__xludf.DUMMYFUNCTION("""COMPUTED_VALUE"""),"200 Breast")</f>
        <v>200 Breast</v>
      </c>
      <c r="E212" s="3" t="str">
        <f>IFERROR(__xludf.DUMMYFUNCTION("""COMPUTED_VALUE"""),"200 IM")</f>
        <v>200 IM</v>
      </c>
      <c r="F212" s="3" t="str">
        <f>IFERROR(__xludf.DUMMYFUNCTION("""COMPUTED_VALUE"""),"400 IM")</f>
        <v>400 IM</v>
      </c>
      <c r="G212" s="3"/>
    </row>
    <row r="213">
      <c r="A213" s="3" t="str">
        <f>IFERROR(__xludf.DUMMYFUNCTION("""COMPUTED_VALUE"""),"100 Back")</f>
        <v>100 Back</v>
      </c>
      <c r="B213" s="3" t="str">
        <f>IFERROR(__xludf.DUMMYFUNCTION("""COMPUTED_VALUE"""),"200 Back")</f>
        <v>200 Back</v>
      </c>
      <c r="C213" s="3" t="str">
        <f>IFERROR(__xludf.DUMMYFUNCTION("""COMPUTED_VALUE"""),"100 Breast")</f>
        <v>100 Breast</v>
      </c>
      <c r="D213" s="3" t="str">
        <f>IFERROR(__xludf.DUMMYFUNCTION("""COMPUTED_VALUE"""),"100 Fly")</f>
        <v>100 Fly</v>
      </c>
      <c r="E213" s="3" t="str">
        <f>IFERROR(__xludf.DUMMYFUNCTION("""COMPUTED_VALUE"""),"200 Fly")</f>
        <v>200 Fly</v>
      </c>
      <c r="F213" s="3" t="str">
        <f>IFERROR(__xludf.DUMMYFUNCTION("""COMPUTED_VALUE"""),"200 IM")</f>
        <v>200 IM</v>
      </c>
      <c r="G213" s="3"/>
    </row>
    <row r="214">
      <c r="A214" s="3" t="str">
        <f>IFERROR(__xludf.DUMMYFUNCTION("""COMPUTED_VALUE"""),"100 Back")</f>
        <v>100 Back</v>
      </c>
      <c r="B214" s="3" t="str">
        <f>IFERROR(__xludf.DUMMYFUNCTION("""COMPUTED_VALUE"""),"200 Back")</f>
        <v>200 Back</v>
      </c>
      <c r="C214" s="3" t="str">
        <f>IFERROR(__xludf.DUMMYFUNCTION("""COMPUTED_VALUE"""),"100 Breast")</f>
        <v>100 Breast</v>
      </c>
      <c r="D214" s="3" t="str">
        <f>IFERROR(__xludf.DUMMYFUNCTION("""COMPUTED_VALUE"""),"100 Fly")</f>
        <v>100 Fly</v>
      </c>
      <c r="E214" s="3" t="str">
        <f>IFERROR(__xludf.DUMMYFUNCTION("""COMPUTED_VALUE"""),"200 Fly")</f>
        <v>200 Fly</v>
      </c>
      <c r="F214" s="3" t="str">
        <f>IFERROR(__xludf.DUMMYFUNCTION("""COMPUTED_VALUE"""),"200 IM")</f>
        <v>200 IM</v>
      </c>
      <c r="G214" s="3"/>
    </row>
    <row r="215">
      <c r="A215" s="3" t="str">
        <f>IFERROR(__xludf.DUMMYFUNCTION("""COMPUTED_VALUE"""),"100 Back")</f>
        <v>100 Back</v>
      </c>
      <c r="B215" s="3" t="str">
        <f>IFERROR(__xludf.DUMMYFUNCTION("""COMPUTED_VALUE"""),"200 Back")</f>
        <v>200 Back</v>
      </c>
      <c r="C215" s="3" t="str">
        <f>IFERROR(__xludf.DUMMYFUNCTION("""COMPUTED_VALUE"""),"100 Breast")</f>
        <v>100 Breast</v>
      </c>
      <c r="D215" s="3" t="str">
        <f>IFERROR(__xludf.DUMMYFUNCTION("""COMPUTED_VALUE"""),"200 Breast")</f>
        <v>200 Breast</v>
      </c>
      <c r="E215" s="3" t="str">
        <f>IFERROR(__xludf.DUMMYFUNCTION("""COMPUTED_VALUE"""),"200 IM")</f>
        <v>200 IM</v>
      </c>
      <c r="F215" s="3" t="str">
        <f>IFERROR(__xludf.DUMMYFUNCTION("""COMPUTED_VALUE"""),"400 IM")</f>
        <v>400 IM</v>
      </c>
      <c r="G215" s="3"/>
    </row>
    <row r="216">
      <c r="A216" s="3" t="str">
        <f>IFERROR(__xludf.DUMMYFUNCTION("""COMPUTED_VALUE"""),"100 Back")</f>
        <v>100 Back</v>
      </c>
      <c r="B216" s="3" t="str">
        <f>IFERROR(__xludf.DUMMYFUNCTION("""COMPUTED_VALUE"""),"200 Back")</f>
        <v>200 Back</v>
      </c>
      <c r="C216" s="3" t="str">
        <f>IFERROR(__xludf.DUMMYFUNCTION("""COMPUTED_VALUE"""),"100 Fly")</f>
        <v>100 Fly</v>
      </c>
      <c r="D216" s="3" t="str">
        <f>IFERROR(__xludf.DUMMYFUNCTION("""COMPUTED_VALUE"""),"200 Fly")</f>
        <v>200 Fly</v>
      </c>
      <c r="E216" s="3" t="str">
        <f>IFERROR(__xludf.DUMMYFUNCTION("""COMPUTED_VALUE"""),"200 IM")</f>
        <v>200 IM</v>
      </c>
      <c r="F216" s="3" t="str">
        <f>IFERROR(__xludf.DUMMYFUNCTION("""COMPUTED_VALUE"""),"400 IM")</f>
        <v>400 IM</v>
      </c>
      <c r="G216" s="3"/>
    </row>
    <row r="217">
      <c r="A217" s="3" t="str">
        <f>IFERROR(__xludf.DUMMYFUNCTION("""COMPUTED_VALUE"""),"100 Back")</f>
        <v>100 Back</v>
      </c>
      <c r="B217" s="3" t="str">
        <f>IFERROR(__xludf.DUMMYFUNCTION("""COMPUTED_VALUE"""),"200 Back")</f>
        <v>200 Back</v>
      </c>
      <c r="C217" s="3" t="str">
        <f>IFERROR(__xludf.DUMMYFUNCTION("""COMPUTED_VALUE"""),"100 Fly")</f>
        <v>100 Fly</v>
      </c>
      <c r="D217" s="3" t="str">
        <f>IFERROR(__xludf.DUMMYFUNCTION("""COMPUTED_VALUE"""),"200 Fly")</f>
        <v>200 Fly</v>
      </c>
      <c r="E217" s="3" t="str">
        <f>IFERROR(__xludf.DUMMYFUNCTION("""COMPUTED_VALUE"""),"200 IM")</f>
        <v>200 IM</v>
      </c>
      <c r="F217" s="3" t="str">
        <f>IFERROR(__xludf.DUMMYFUNCTION("""COMPUTED_VALUE"""),"400 IM")</f>
        <v>400 IM</v>
      </c>
      <c r="G217" s="3"/>
    </row>
    <row r="218">
      <c r="A218" s="3" t="str">
        <f>IFERROR(__xludf.DUMMYFUNCTION("""COMPUTED_VALUE"""),"100 Back")</f>
        <v>100 Back</v>
      </c>
      <c r="B218" s="3" t="str">
        <f>IFERROR(__xludf.DUMMYFUNCTION("""COMPUTED_VALUE"""),"200 Back")</f>
        <v>200 Back</v>
      </c>
      <c r="C218" s="3" t="str">
        <f>IFERROR(__xludf.DUMMYFUNCTION("""COMPUTED_VALUE"""),"100 Breast")</f>
        <v>100 Breast</v>
      </c>
      <c r="D218" s="3" t="str">
        <f>IFERROR(__xludf.DUMMYFUNCTION("""COMPUTED_VALUE"""),"200 Breast")</f>
        <v>200 Breast</v>
      </c>
      <c r="E218" s="3" t="str">
        <f>IFERROR(__xludf.DUMMYFUNCTION("""COMPUTED_VALUE"""),"100 Fly")</f>
        <v>100 Fly</v>
      </c>
      <c r="F218" s="3" t="str">
        <f>IFERROR(__xludf.DUMMYFUNCTION("""COMPUTED_VALUE"""),"200 IM")</f>
        <v>200 IM</v>
      </c>
      <c r="G218" s="3"/>
    </row>
    <row r="219">
      <c r="A219" s="3" t="str">
        <f>IFERROR(__xludf.DUMMYFUNCTION("""COMPUTED_VALUE"""),"100 Back")</f>
        <v>100 Back</v>
      </c>
      <c r="B219" s="3" t="str">
        <f>IFERROR(__xludf.DUMMYFUNCTION("""COMPUTED_VALUE"""),"200 Back")</f>
        <v>200 Back</v>
      </c>
      <c r="C219" s="3"/>
      <c r="D219" s="3"/>
      <c r="E219" s="3"/>
      <c r="F219" s="3"/>
      <c r="G219" s="3"/>
    </row>
    <row r="220">
      <c r="A220" s="3" t="str">
        <f>IFERROR(__xludf.DUMMYFUNCTION("""COMPUTED_VALUE"""),"100 Back")</f>
        <v>100 Back</v>
      </c>
      <c r="B220" s="3" t="str">
        <f>IFERROR(__xludf.DUMMYFUNCTION("""COMPUTED_VALUE"""),"200 Back")</f>
        <v>200 Back</v>
      </c>
      <c r="C220" s="3" t="str">
        <f>IFERROR(__xludf.DUMMYFUNCTION("""COMPUTED_VALUE"""),"100 Breast")</f>
        <v>100 Breast</v>
      </c>
      <c r="D220" s="3" t="str">
        <f>IFERROR(__xludf.DUMMYFUNCTION("""COMPUTED_VALUE"""),"200 Breast")</f>
        <v>200 Breast</v>
      </c>
      <c r="E220" s="3" t="str">
        <f>IFERROR(__xludf.DUMMYFUNCTION("""COMPUTED_VALUE"""),"200 IM")</f>
        <v>200 IM</v>
      </c>
      <c r="F220" s="3"/>
      <c r="G220" s="3"/>
    </row>
    <row r="221">
      <c r="A221" s="3" t="str">
        <f>IFERROR(__xludf.DUMMYFUNCTION("""COMPUTED_VALUE"""),"100 Back")</f>
        <v>100 Back</v>
      </c>
      <c r="B221" s="3" t="str">
        <f>IFERROR(__xludf.DUMMYFUNCTION("""COMPUTED_VALUE"""),"200 Back")</f>
        <v>200 Back</v>
      </c>
      <c r="C221" s="3" t="str">
        <f>IFERROR(__xludf.DUMMYFUNCTION("""COMPUTED_VALUE"""),"100 Breast")</f>
        <v>100 Breast</v>
      </c>
      <c r="D221" s="3" t="str">
        <f>IFERROR(__xludf.DUMMYFUNCTION("""COMPUTED_VALUE"""),"200 Breast")</f>
        <v>200 Breast</v>
      </c>
      <c r="E221" s="3" t="str">
        <f>IFERROR(__xludf.DUMMYFUNCTION("""COMPUTED_VALUE"""),"200 IM")</f>
        <v>200 IM</v>
      </c>
      <c r="F221" s="3" t="str">
        <f>IFERROR(__xludf.DUMMYFUNCTION("""COMPUTED_VALUE"""),"400 IM")</f>
        <v>400 IM</v>
      </c>
      <c r="G221" s="3"/>
    </row>
    <row r="222">
      <c r="A222" s="3" t="str">
        <f>IFERROR(__xludf.DUMMYFUNCTION("""COMPUTED_VALUE"""),"100 Back")</f>
        <v>100 Back</v>
      </c>
      <c r="B222" s="3" t="str">
        <f>IFERROR(__xludf.DUMMYFUNCTION("""COMPUTED_VALUE"""),"200 Back")</f>
        <v>200 Back</v>
      </c>
      <c r="C222" s="3"/>
      <c r="D222" s="3"/>
      <c r="E222" s="3"/>
      <c r="F222" s="3"/>
      <c r="G222" s="3"/>
    </row>
    <row r="223">
      <c r="A223" s="3" t="str">
        <f>IFERROR(__xludf.DUMMYFUNCTION("""COMPUTED_VALUE"""),"100 Back")</f>
        <v>100 Back</v>
      </c>
      <c r="B223" s="3" t="str">
        <f>IFERROR(__xludf.DUMMYFUNCTION("""COMPUTED_VALUE"""),"200 Back")</f>
        <v>200 Back</v>
      </c>
      <c r="C223" s="3" t="str">
        <f>IFERROR(__xludf.DUMMYFUNCTION("""COMPUTED_VALUE"""),"100 Breast")</f>
        <v>100 Breast</v>
      </c>
      <c r="D223" s="3" t="str">
        <f>IFERROR(__xludf.DUMMYFUNCTION("""COMPUTED_VALUE"""),"200 IM")</f>
        <v>200 IM</v>
      </c>
      <c r="E223" s="3"/>
      <c r="F223" s="3"/>
      <c r="G223" s="3"/>
    </row>
    <row r="224">
      <c r="A224" s="3" t="str">
        <f>IFERROR(__xludf.DUMMYFUNCTION("""COMPUTED_VALUE"""),"100 Back")</f>
        <v>100 Back</v>
      </c>
      <c r="B224" s="3" t="str">
        <f>IFERROR(__xludf.DUMMYFUNCTION("""COMPUTED_VALUE"""),"200 Back")</f>
        <v>200 Back</v>
      </c>
      <c r="C224" s="3" t="str">
        <f>IFERROR(__xludf.DUMMYFUNCTION("""COMPUTED_VALUE"""),"100 Breast")</f>
        <v>100 Breast</v>
      </c>
      <c r="D224" s="3" t="str">
        <f>IFERROR(__xludf.DUMMYFUNCTION("""COMPUTED_VALUE"""),"200 Breast")</f>
        <v>200 Breast</v>
      </c>
      <c r="E224" s="3" t="str">
        <f>IFERROR(__xludf.DUMMYFUNCTION("""COMPUTED_VALUE"""),"200 IM")</f>
        <v>200 IM</v>
      </c>
      <c r="F224" s="3" t="str">
        <f>IFERROR(__xludf.DUMMYFUNCTION("""COMPUTED_VALUE"""),"400 IM")</f>
        <v>400 IM</v>
      </c>
      <c r="G224" s="3"/>
    </row>
    <row r="225">
      <c r="A225" s="3" t="str">
        <f>IFERROR(__xludf.DUMMYFUNCTION("""COMPUTED_VALUE"""),"100 Back")</f>
        <v>100 Back</v>
      </c>
      <c r="B225" s="3"/>
      <c r="C225" s="3"/>
      <c r="D225" s="3"/>
      <c r="E225" s="3"/>
      <c r="F225" s="3"/>
      <c r="G225" s="3"/>
    </row>
    <row r="226">
      <c r="A226" s="3" t="str">
        <f>IFERROR(__xludf.DUMMYFUNCTION("""COMPUTED_VALUE"""),"100 Back")</f>
        <v>100 Back</v>
      </c>
      <c r="B226" s="3" t="str">
        <f>IFERROR(__xludf.DUMMYFUNCTION("""COMPUTED_VALUE"""),"100 Fly")</f>
        <v>100 Fly</v>
      </c>
      <c r="C226" s="3" t="str">
        <f>IFERROR(__xludf.DUMMYFUNCTION("""COMPUTED_VALUE"""),"200 Fly")</f>
        <v>200 Fly</v>
      </c>
      <c r="D226" s="3" t="str">
        <f>IFERROR(__xludf.DUMMYFUNCTION("""COMPUTED_VALUE"""),"200 IM")</f>
        <v>200 IM</v>
      </c>
      <c r="E226" s="3"/>
      <c r="F226" s="3"/>
      <c r="G226" s="3"/>
    </row>
    <row r="227">
      <c r="A227" s="3" t="str">
        <f>IFERROR(__xludf.DUMMYFUNCTION("""COMPUTED_VALUE"""),"100 Back")</f>
        <v>100 Back</v>
      </c>
      <c r="B227" s="3"/>
      <c r="C227" s="3"/>
      <c r="D227" s="3"/>
      <c r="E227" s="3"/>
      <c r="F227" s="3"/>
      <c r="G227" s="3"/>
    </row>
    <row r="228">
      <c r="A228" s="3" t="str">
        <f>IFERROR(__xludf.DUMMYFUNCTION("""COMPUTED_VALUE"""),"100 Back")</f>
        <v>100 Back</v>
      </c>
      <c r="B228" s="3"/>
      <c r="C228" s="3"/>
      <c r="D228" s="3"/>
      <c r="E228" s="3"/>
      <c r="F228" s="3"/>
      <c r="G228" s="3"/>
    </row>
    <row r="229">
      <c r="A229" s="3" t="str">
        <f>IFERROR(__xludf.DUMMYFUNCTION("""COMPUTED_VALUE"""),"100 Back")</f>
        <v>100 Back</v>
      </c>
      <c r="B229" s="3" t="str">
        <f>IFERROR(__xludf.DUMMYFUNCTION("""COMPUTED_VALUE"""),"200 Back")</f>
        <v>200 Back</v>
      </c>
      <c r="C229" s="3"/>
      <c r="D229" s="3"/>
      <c r="E229" s="3"/>
      <c r="F229" s="3"/>
      <c r="G229" s="3"/>
    </row>
    <row r="230">
      <c r="A230" s="3" t="str">
        <f>IFERROR(__xludf.DUMMYFUNCTION("""COMPUTED_VALUE"""),"100 Back")</f>
        <v>100 Back</v>
      </c>
      <c r="B230" s="3" t="str">
        <f>IFERROR(__xludf.DUMMYFUNCTION("""COMPUTED_VALUE"""),"200 Back")</f>
        <v>200 Back</v>
      </c>
      <c r="C230" s="3"/>
      <c r="D230" s="3"/>
      <c r="E230" s="3"/>
      <c r="F230" s="3"/>
      <c r="G230" s="3"/>
    </row>
    <row r="231">
      <c r="A231" s="3" t="str">
        <f>IFERROR(__xludf.DUMMYFUNCTION("""COMPUTED_VALUE"""),"100 Back")</f>
        <v>100 Back</v>
      </c>
      <c r="B231" s="3" t="str">
        <f>IFERROR(__xludf.DUMMYFUNCTION("""COMPUTED_VALUE"""),"200 Back")</f>
        <v>200 Back</v>
      </c>
      <c r="C231" s="3"/>
      <c r="D231" s="3"/>
      <c r="E231" s="3"/>
      <c r="F231" s="3"/>
      <c r="G231" s="3"/>
    </row>
    <row r="232">
      <c r="A232" s="3" t="str">
        <f>IFERROR(__xludf.DUMMYFUNCTION("""COMPUTED_VALUE"""),"100 Back")</f>
        <v>100 Back</v>
      </c>
      <c r="B232" s="3" t="str">
        <f>IFERROR(__xludf.DUMMYFUNCTION("""COMPUTED_VALUE"""),"200 Back")</f>
        <v>200 Back</v>
      </c>
      <c r="C232" s="3"/>
      <c r="D232" s="3"/>
      <c r="E232" s="3"/>
      <c r="F232" s="3"/>
      <c r="G232" s="3"/>
    </row>
    <row r="233">
      <c r="A233" s="3" t="str">
        <f>IFERROR(__xludf.DUMMYFUNCTION("""COMPUTED_VALUE"""),"100 Back")</f>
        <v>100 Back</v>
      </c>
      <c r="B233" s="3" t="str">
        <f>IFERROR(__xludf.DUMMYFUNCTION("""COMPUTED_VALUE"""),"200 Back")</f>
        <v>200 Back</v>
      </c>
      <c r="C233" s="3" t="str">
        <f>IFERROR(__xludf.DUMMYFUNCTION("""COMPUTED_VALUE"""),"100 Breast")</f>
        <v>100 Breast</v>
      </c>
      <c r="D233" s="3" t="str">
        <f>IFERROR(__xludf.DUMMYFUNCTION("""COMPUTED_VALUE"""),"200 Breast")</f>
        <v>200 Breast</v>
      </c>
      <c r="E233" s="3" t="str">
        <f>IFERROR(__xludf.DUMMYFUNCTION("""COMPUTED_VALUE"""),"400 IM")</f>
        <v>400 IM</v>
      </c>
      <c r="F233" s="3"/>
      <c r="G233" s="3"/>
    </row>
    <row r="234">
      <c r="A234" s="3" t="str">
        <f>IFERROR(__xludf.DUMMYFUNCTION("""COMPUTED_VALUE"""),"100 Back")</f>
        <v>100 Back</v>
      </c>
      <c r="B234" s="3" t="str">
        <f>IFERROR(__xludf.DUMMYFUNCTION("""COMPUTED_VALUE"""),"100 Fly")</f>
        <v>100 Fly</v>
      </c>
      <c r="C234" s="3"/>
      <c r="D234" s="3"/>
      <c r="E234" s="3"/>
      <c r="F234" s="3"/>
      <c r="G234" s="3"/>
    </row>
    <row r="235">
      <c r="A235" s="3" t="str">
        <f>IFERROR(__xludf.DUMMYFUNCTION("""COMPUTED_VALUE"""),"100 Back")</f>
        <v>100 Back</v>
      </c>
      <c r="B235" s="3"/>
      <c r="C235" s="3"/>
      <c r="D235" s="3"/>
      <c r="E235" s="3"/>
      <c r="F235" s="3"/>
      <c r="G235" s="3"/>
    </row>
    <row r="236">
      <c r="A236" s="3" t="str">
        <f>IFERROR(__xludf.DUMMYFUNCTION("""COMPUTED_VALUE"""),"100 Back")</f>
        <v>100 Back</v>
      </c>
      <c r="B236" s="3" t="str">
        <f>IFERROR(__xludf.DUMMYFUNCTION("""COMPUTED_VALUE"""),"100 Breast")</f>
        <v>100 Breast</v>
      </c>
      <c r="C236" s="3" t="str">
        <f>IFERROR(__xludf.DUMMYFUNCTION("""COMPUTED_VALUE"""),"200 Breast")</f>
        <v>200 Breast</v>
      </c>
      <c r="D236" s="3" t="str">
        <f>IFERROR(__xludf.DUMMYFUNCTION("""COMPUTED_VALUE"""),"400 IM")</f>
        <v>400 IM</v>
      </c>
      <c r="E236" s="3"/>
      <c r="F236" s="3"/>
      <c r="G236" s="3"/>
    </row>
    <row r="237">
      <c r="A237" s="3" t="str">
        <f>IFERROR(__xludf.DUMMYFUNCTION("""COMPUTED_VALUE"""),"200 Back")</f>
        <v>200 Back</v>
      </c>
      <c r="B237" s="3" t="str">
        <f>IFERROR(__xludf.DUMMYFUNCTION("""COMPUTED_VALUE"""),"100 Breast")</f>
        <v>100 Breast</v>
      </c>
      <c r="C237" s="3" t="str">
        <f>IFERROR(__xludf.DUMMYFUNCTION("""COMPUTED_VALUE"""),"200 Breast")</f>
        <v>200 Breast</v>
      </c>
      <c r="D237" s="3" t="str">
        <f>IFERROR(__xludf.DUMMYFUNCTION("""COMPUTED_VALUE"""),"200 Fly")</f>
        <v>200 Fly</v>
      </c>
      <c r="E237" s="3" t="str">
        <f>IFERROR(__xludf.DUMMYFUNCTION("""COMPUTED_VALUE"""),"200 IM")</f>
        <v>200 IM</v>
      </c>
      <c r="F237" s="3"/>
      <c r="G237" s="3"/>
    </row>
    <row r="238">
      <c r="A238" s="3" t="str">
        <f>IFERROR(__xludf.DUMMYFUNCTION("""COMPUTED_VALUE"""),"200 Back")</f>
        <v>200 Back</v>
      </c>
      <c r="B238" s="3" t="str">
        <f>IFERROR(__xludf.DUMMYFUNCTION("""COMPUTED_VALUE"""),"100 Breast")</f>
        <v>100 Breast</v>
      </c>
      <c r="C238" s="3" t="str">
        <f>IFERROR(__xludf.DUMMYFUNCTION("""COMPUTED_VALUE"""),"200 Breast")</f>
        <v>200 Breast</v>
      </c>
      <c r="D238" s="3" t="str">
        <f>IFERROR(__xludf.DUMMYFUNCTION("""COMPUTED_VALUE"""),"200 Fly")</f>
        <v>200 Fly</v>
      </c>
      <c r="E238" s="3" t="str">
        <f>IFERROR(__xludf.DUMMYFUNCTION("""COMPUTED_VALUE"""),"200 IM")</f>
        <v>200 IM</v>
      </c>
      <c r="F238" s="3" t="str">
        <f>IFERROR(__xludf.DUMMYFUNCTION("""COMPUTED_VALUE"""),"400 IM")</f>
        <v>400 IM</v>
      </c>
      <c r="G238" s="3"/>
    </row>
    <row r="239">
      <c r="A239" s="3" t="str">
        <f>IFERROR(__xludf.DUMMYFUNCTION("""COMPUTED_VALUE"""),"200 Back")</f>
        <v>200 Back</v>
      </c>
      <c r="B239" s="3" t="str">
        <f>IFERROR(__xludf.DUMMYFUNCTION("""COMPUTED_VALUE"""),"200 Fly")</f>
        <v>200 Fly</v>
      </c>
      <c r="C239" s="3" t="str">
        <f>IFERROR(__xludf.DUMMYFUNCTION("""COMPUTED_VALUE"""),"200 IM")</f>
        <v>200 IM</v>
      </c>
      <c r="D239" s="3" t="str">
        <f>IFERROR(__xludf.DUMMYFUNCTION("""COMPUTED_VALUE"""),"400 IM")</f>
        <v>400 IM</v>
      </c>
      <c r="E239" s="3"/>
      <c r="F239" s="3"/>
      <c r="G239" s="3"/>
    </row>
    <row r="240">
      <c r="A240" s="3" t="str">
        <f>IFERROR(__xludf.DUMMYFUNCTION("""COMPUTED_VALUE"""),"200 Back")</f>
        <v>200 Back</v>
      </c>
      <c r="B240" s="3"/>
      <c r="C240" s="3"/>
      <c r="D240" s="3"/>
      <c r="E240" s="3"/>
      <c r="F240" s="3"/>
      <c r="G240" s="3"/>
    </row>
    <row r="241">
      <c r="A241" s="3" t="str">
        <f>IFERROR(__xludf.DUMMYFUNCTION("""COMPUTED_VALUE"""),"200 Back")</f>
        <v>200 Back</v>
      </c>
      <c r="B241" s="3"/>
      <c r="C241" s="3"/>
      <c r="D241" s="3"/>
      <c r="E241" s="3"/>
      <c r="F241" s="3"/>
      <c r="G241" s="3"/>
    </row>
    <row r="242">
      <c r="A242" s="3" t="str">
        <f>IFERROR(__xludf.DUMMYFUNCTION("""COMPUTED_VALUE"""),"100 Breast")</f>
        <v>100 Breast</v>
      </c>
      <c r="B242" s="3" t="str">
        <f>IFERROR(__xludf.DUMMYFUNCTION("""COMPUTED_VALUE"""),"100 Fly")</f>
        <v>100 Fly</v>
      </c>
      <c r="C242" s="3"/>
      <c r="D242" s="3"/>
      <c r="E242" s="3"/>
      <c r="F242" s="3"/>
      <c r="G242" s="3"/>
    </row>
    <row r="243">
      <c r="A243" s="3" t="str">
        <f>IFERROR(__xludf.DUMMYFUNCTION("""COMPUTED_VALUE"""),"100 Breast")</f>
        <v>100 Breast</v>
      </c>
      <c r="B243" s="3" t="str">
        <f>IFERROR(__xludf.DUMMYFUNCTION("""COMPUTED_VALUE"""),"200 Breast")</f>
        <v>200 Breast</v>
      </c>
      <c r="C243" s="3" t="str">
        <f>IFERROR(__xludf.DUMMYFUNCTION("""COMPUTED_VALUE"""),"100 Fly")</f>
        <v>100 Fly</v>
      </c>
      <c r="D243" s="3" t="str">
        <f>IFERROR(__xludf.DUMMYFUNCTION("""COMPUTED_VALUE"""),"200 Fly")</f>
        <v>200 Fly</v>
      </c>
      <c r="E243" s="3" t="str">
        <f>IFERROR(__xludf.DUMMYFUNCTION("""COMPUTED_VALUE"""),"200 IM")</f>
        <v>200 IM</v>
      </c>
      <c r="F243" s="3"/>
      <c r="G243" s="3"/>
    </row>
    <row r="244">
      <c r="A244" s="3" t="str">
        <f>IFERROR(__xludf.DUMMYFUNCTION("""COMPUTED_VALUE"""),"100 Breast")</f>
        <v>100 Breast</v>
      </c>
      <c r="B244" s="3" t="str">
        <f>IFERROR(__xludf.DUMMYFUNCTION("""COMPUTED_VALUE"""),"200 Breast")</f>
        <v>200 Breast</v>
      </c>
      <c r="C244" s="3" t="str">
        <f>IFERROR(__xludf.DUMMYFUNCTION("""COMPUTED_VALUE"""),"200 IM")</f>
        <v>200 IM</v>
      </c>
      <c r="D244" s="3"/>
      <c r="E244" s="3"/>
      <c r="F244" s="3"/>
      <c r="G244" s="3"/>
    </row>
    <row r="245">
      <c r="A245" s="3" t="str">
        <f>IFERROR(__xludf.DUMMYFUNCTION("""COMPUTED_VALUE"""),"100 Breast")</f>
        <v>100 Breast</v>
      </c>
      <c r="B245" s="3" t="str">
        <f>IFERROR(__xludf.DUMMYFUNCTION("""COMPUTED_VALUE"""),"200 Breast")</f>
        <v>200 Breast</v>
      </c>
      <c r="C245" s="3" t="str">
        <f>IFERROR(__xludf.DUMMYFUNCTION("""COMPUTED_VALUE"""),"100 Fly")</f>
        <v>100 Fly</v>
      </c>
      <c r="D245" s="3" t="str">
        <f>IFERROR(__xludf.DUMMYFUNCTION("""COMPUTED_VALUE"""),"200 Fly")</f>
        <v>200 Fly</v>
      </c>
      <c r="E245" s="3" t="str">
        <f>IFERROR(__xludf.DUMMYFUNCTION("""COMPUTED_VALUE"""),"200 IM")</f>
        <v>200 IM</v>
      </c>
      <c r="F245" s="3" t="str">
        <f>IFERROR(__xludf.DUMMYFUNCTION("""COMPUTED_VALUE"""),"400 IM")</f>
        <v>400 IM</v>
      </c>
      <c r="G245" s="3"/>
    </row>
    <row r="246">
      <c r="A246" s="3" t="str">
        <f>IFERROR(__xludf.DUMMYFUNCTION("""COMPUTED_VALUE"""),"100 Breast")</f>
        <v>100 Breast</v>
      </c>
      <c r="B246" s="3" t="str">
        <f>IFERROR(__xludf.DUMMYFUNCTION("""COMPUTED_VALUE"""),"200 Breast")</f>
        <v>200 Breast</v>
      </c>
      <c r="C246" s="3" t="str">
        <f>IFERROR(__xludf.DUMMYFUNCTION("""COMPUTED_VALUE"""),"200 IM")</f>
        <v>200 IM</v>
      </c>
      <c r="D246" s="3"/>
      <c r="E246" s="3"/>
      <c r="F246" s="3"/>
      <c r="G246" s="3"/>
    </row>
    <row r="247">
      <c r="A247" s="3" t="str">
        <f>IFERROR(__xludf.DUMMYFUNCTION("""COMPUTED_VALUE"""),"100 Breast")</f>
        <v>100 Breast</v>
      </c>
      <c r="B247" s="3" t="str">
        <f>IFERROR(__xludf.DUMMYFUNCTION("""COMPUTED_VALUE"""),"200 Breast")</f>
        <v>200 Breast</v>
      </c>
      <c r="C247" s="3" t="str">
        <f>IFERROR(__xludf.DUMMYFUNCTION("""COMPUTED_VALUE"""),"100 Fly")</f>
        <v>100 Fly</v>
      </c>
      <c r="D247" s="3" t="str">
        <f>IFERROR(__xludf.DUMMYFUNCTION("""COMPUTED_VALUE"""),"200 Fly")</f>
        <v>200 Fly</v>
      </c>
      <c r="E247" s="3" t="str">
        <f>IFERROR(__xludf.DUMMYFUNCTION("""COMPUTED_VALUE"""),"200 IM")</f>
        <v>200 IM</v>
      </c>
      <c r="F247" s="3" t="str">
        <f>IFERROR(__xludf.DUMMYFUNCTION("""COMPUTED_VALUE"""),"400 IM")</f>
        <v>400 IM</v>
      </c>
      <c r="G247" s="3"/>
    </row>
    <row r="248">
      <c r="A248" s="3" t="str">
        <f>IFERROR(__xludf.DUMMYFUNCTION("""COMPUTED_VALUE"""),"100 Breast")</f>
        <v>100 Breast</v>
      </c>
      <c r="B248" s="3" t="str">
        <f>IFERROR(__xludf.DUMMYFUNCTION("""COMPUTED_VALUE"""),"200 Breast")</f>
        <v>200 Breast</v>
      </c>
      <c r="C248" s="3" t="str">
        <f>IFERROR(__xludf.DUMMYFUNCTION("""COMPUTED_VALUE"""),"100 Fly")</f>
        <v>100 Fly</v>
      </c>
      <c r="D248" s="3" t="str">
        <f>IFERROR(__xludf.DUMMYFUNCTION("""COMPUTED_VALUE"""),"200 IM")</f>
        <v>200 IM</v>
      </c>
      <c r="E248" s="3"/>
      <c r="F248" s="3"/>
      <c r="G248" s="3"/>
    </row>
    <row r="249">
      <c r="A249" s="3" t="str">
        <f>IFERROR(__xludf.DUMMYFUNCTION("""COMPUTED_VALUE"""),"100 Breast")</f>
        <v>100 Breast</v>
      </c>
      <c r="B249" s="3" t="str">
        <f>IFERROR(__xludf.DUMMYFUNCTION("""COMPUTED_VALUE"""),"200 Breast")</f>
        <v>200 Breast</v>
      </c>
      <c r="C249" s="3" t="str">
        <f>IFERROR(__xludf.DUMMYFUNCTION("""COMPUTED_VALUE"""),"200 Fly")</f>
        <v>200 Fly</v>
      </c>
      <c r="D249" s="3" t="str">
        <f>IFERROR(__xludf.DUMMYFUNCTION("""COMPUTED_VALUE"""),"200 IM")</f>
        <v>200 IM</v>
      </c>
      <c r="E249" s="3" t="str">
        <f>IFERROR(__xludf.DUMMYFUNCTION("""COMPUTED_VALUE"""),"400 IM")</f>
        <v>400 IM</v>
      </c>
      <c r="F249" s="3" t="str">
        <f>IFERROR(__xludf.DUMMYFUNCTION("""COMPUTED_VALUE"""),"1000 Free")</f>
        <v>1000 Free</v>
      </c>
      <c r="G249" s="3"/>
    </row>
    <row r="250">
      <c r="A250" s="3" t="str">
        <f>IFERROR(__xludf.DUMMYFUNCTION("""COMPUTED_VALUE"""),"100 Breast")</f>
        <v>100 Breast</v>
      </c>
      <c r="B250" s="3" t="str">
        <f>IFERROR(__xludf.DUMMYFUNCTION("""COMPUTED_VALUE"""),"200 Breast")</f>
        <v>200 Breast</v>
      </c>
      <c r="C250" s="3"/>
      <c r="D250" s="3"/>
      <c r="E250" s="3"/>
      <c r="F250" s="3"/>
      <c r="G250" s="3"/>
    </row>
    <row r="251">
      <c r="A251" s="3" t="str">
        <f>IFERROR(__xludf.DUMMYFUNCTION("""COMPUTED_VALUE"""),"100 Breast")</f>
        <v>100 Breast</v>
      </c>
      <c r="B251" s="3" t="str">
        <f>IFERROR(__xludf.DUMMYFUNCTION("""COMPUTED_VALUE"""),"200 Breast")</f>
        <v>200 Breast</v>
      </c>
      <c r="C251" s="3"/>
      <c r="D251" s="3"/>
      <c r="E251" s="3"/>
      <c r="F251" s="3"/>
      <c r="G251" s="3"/>
    </row>
    <row r="252">
      <c r="A252" s="3" t="str">
        <f>IFERROR(__xludf.DUMMYFUNCTION("""COMPUTED_VALUE"""),"100 Breast")</f>
        <v>100 Breast</v>
      </c>
      <c r="B252" s="3" t="str">
        <f>IFERROR(__xludf.DUMMYFUNCTION("""COMPUTED_VALUE"""),"200 Breast")</f>
        <v>200 Breast</v>
      </c>
      <c r="C252" s="3" t="str">
        <f>IFERROR(__xludf.DUMMYFUNCTION("""COMPUTED_VALUE"""),"200 IM")</f>
        <v>200 IM</v>
      </c>
      <c r="D252" s="3" t="str">
        <f>IFERROR(__xludf.DUMMYFUNCTION("""COMPUTED_VALUE"""),"400 IM")</f>
        <v>400 IM</v>
      </c>
      <c r="E252" s="3"/>
      <c r="F252" s="3"/>
      <c r="G252" s="3"/>
    </row>
    <row r="253">
      <c r="A253" s="3" t="str">
        <f>IFERROR(__xludf.DUMMYFUNCTION("""COMPUTED_VALUE"""),"100 Breast")</f>
        <v>100 Breast</v>
      </c>
      <c r="B253" s="3" t="str">
        <f>IFERROR(__xludf.DUMMYFUNCTION("""COMPUTED_VALUE"""),"200 Breast")</f>
        <v>200 Breast</v>
      </c>
      <c r="C253" s="3" t="str">
        <f>IFERROR(__xludf.DUMMYFUNCTION("""COMPUTED_VALUE"""),"200 IM")</f>
        <v>200 IM</v>
      </c>
      <c r="D253" s="3" t="str">
        <f>IFERROR(__xludf.DUMMYFUNCTION("""COMPUTED_VALUE"""),"400 IM")</f>
        <v>400 IM</v>
      </c>
      <c r="E253" s="3"/>
      <c r="F253" s="3"/>
      <c r="G253" s="3"/>
    </row>
    <row r="254">
      <c r="A254" s="3" t="str">
        <f>IFERROR(__xludf.DUMMYFUNCTION("""COMPUTED_VALUE"""),"100 Breast")</f>
        <v>100 Breast</v>
      </c>
      <c r="B254" s="3" t="str">
        <f>IFERROR(__xludf.DUMMYFUNCTION("""COMPUTED_VALUE"""),"200 Breast")</f>
        <v>200 Breast</v>
      </c>
      <c r="C254" s="3" t="str">
        <f>IFERROR(__xludf.DUMMYFUNCTION("""COMPUTED_VALUE"""),"100 Fly")</f>
        <v>100 Fly</v>
      </c>
      <c r="D254" s="3" t="str">
        <f>IFERROR(__xludf.DUMMYFUNCTION("""COMPUTED_VALUE"""),"200 Fly")</f>
        <v>200 Fly</v>
      </c>
      <c r="E254" s="3"/>
      <c r="F254" s="3"/>
      <c r="G254" s="3"/>
    </row>
    <row r="255">
      <c r="A255" s="3" t="str">
        <f>IFERROR(__xludf.DUMMYFUNCTION("""COMPUTED_VALUE"""),"100 Breast")</f>
        <v>100 Breast</v>
      </c>
      <c r="B255" s="3" t="str">
        <f>IFERROR(__xludf.DUMMYFUNCTION("""COMPUTED_VALUE"""),"200 Breast")</f>
        <v>200 Breast</v>
      </c>
      <c r="C255" s="3"/>
      <c r="D255" s="3"/>
      <c r="E255" s="3"/>
      <c r="F255" s="3"/>
      <c r="G255" s="3"/>
    </row>
    <row r="256">
      <c r="A256" s="3" t="str">
        <f>IFERROR(__xludf.DUMMYFUNCTION("""COMPUTED_VALUE"""),"100 Breast")</f>
        <v>100 Breast</v>
      </c>
      <c r="B256" s="3" t="str">
        <f>IFERROR(__xludf.DUMMYFUNCTION("""COMPUTED_VALUE"""),"200 Breast")</f>
        <v>200 Breast</v>
      </c>
      <c r="C256" s="3"/>
      <c r="D256" s="3"/>
      <c r="E256" s="3"/>
      <c r="F256" s="3"/>
      <c r="G256" s="3"/>
    </row>
    <row r="257">
      <c r="A257" s="3" t="str">
        <f>IFERROR(__xludf.DUMMYFUNCTION("""COMPUTED_VALUE"""),"100 Breast")</f>
        <v>100 Breast</v>
      </c>
      <c r="B257" s="3" t="str">
        <f>IFERROR(__xludf.DUMMYFUNCTION("""COMPUTED_VALUE"""),"200 Breast")</f>
        <v>200 Breast</v>
      </c>
      <c r="C257" s="3"/>
      <c r="D257" s="3"/>
      <c r="E257" s="3"/>
      <c r="F257" s="3"/>
      <c r="G257" s="3"/>
    </row>
    <row r="258">
      <c r="A258" s="3" t="str">
        <f>IFERROR(__xludf.DUMMYFUNCTION("""COMPUTED_VALUE"""),"100 Breast")</f>
        <v>100 Breast</v>
      </c>
      <c r="B258" s="3" t="str">
        <f>IFERROR(__xludf.DUMMYFUNCTION("""COMPUTED_VALUE"""),"200 IM")</f>
        <v>200 IM</v>
      </c>
      <c r="C258" s="3"/>
      <c r="D258" s="3"/>
      <c r="E258" s="3"/>
      <c r="F258" s="3"/>
      <c r="G258" s="3"/>
    </row>
    <row r="259">
      <c r="A259" s="3" t="str">
        <f>IFERROR(__xludf.DUMMYFUNCTION("""COMPUTED_VALUE"""),"100 Breast")</f>
        <v>100 Breast</v>
      </c>
      <c r="B259" s="3" t="str">
        <f>IFERROR(__xludf.DUMMYFUNCTION("""COMPUTED_VALUE"""),"200 Breast")</f>
        <v>200 Breast</v>
      </c>
      <c r="C259" s="3"/>
      <c r="D259" s="3"/>
      <c r="E259" s="3"/>
      <c r="F259" s="3"/>
      <c r="G259" s="3"/>
    </row>
    <row r="260">
      <c r="A260" s="3" t="str">
        <f>IFERROR(__xludf.DUMMYFUNCTION("""COMPUTED_VALUE"""),"100 Breast")</f>
        <v>100 Breast</v>
      </c>
      <c r="B260" s="3" t="str">
        <f>IFERROR(__xludf.DUMMYFUNCTION("""COMPUTED_VALUE"""),"200 Breast")</f>
        <v>200 Breast</v>
      </c>
      <c r="C260" s="3" t="str">
        <f>IFERROR(__xludf.DUMMYFUNCTION("""COMPUTED_VALUE"""),"200 Fly")</f>
        <v>200 Fly</v>
      </c>
      <c r="D260" s="3"/>
      <c r="E260" s="3"/>
      <c r="F260" s="3"/>
      <c r="G260" s="3"/>
    </row>
    <row r="261">
      <c r="A261" s="3" t="str">
        <f>IFERROR(__xludf.DUMMYFUNCTION("""COMPUTED_VALUE"""),"100 Breast")</f>
        <v>100 Breast</v>
      </c>
      <c r="B261" s="3"/>
      <c r="C261" s="3"/>
      <c r="D261" s="3"/>
      <c r="E261" s="3"/>
      <c r="F261" s="3"/>
      <c r="G261" s="3"/>
    </row>
    <row r="262">
      <c r="A262" s="3" t="str">
        <f>IFERROR(__xludf.DUMMYFUNCTION("""COMPUTED_VALUE"""),"100 Breast")</f>
        <v>100 Breast</v>
      </c>
      <c r="B262" s="3" t="str">
        <f>IFERROR(__xludf.DUMMYFUNCTION("""COMPUTED_VALUE"""),"200 Breast")</f>
        <v>200 Breast</v>
      </c>
      <c r="C262" s="3" t="str">
        <f>IFERROR(__xludf.DUMMYFUNCTION("""COMPUTED_VALUE"""),"100 Fly")</f>
        <v>100 Fly</v>
      </c>
      <c r="D262" s="3" t="str">
        <f>IFERROR(__xludf.DUMMYFUNCTION("""COMPUTED_VALUE"""),"200 IM")</f>
        <v>200 IM</v>
      </c>
      <c r="E262" s="3"/>
      <c r="F262" s="3"/>
      <c r="G262" s="3"/>
    </row>
    <row r="263">
      <c r="A263" s="3" t="str">
        <f>IFERROR(__xludf.DUMMYFUNCTION("""COMPUTED_VALUE"""),"100 Breast")</f>
        <v>100 Breast</v>
      </c>
      <c r="B263" s="3" t="str">
        <f>IFERROR(__xludf.DUMMYFUNCTION("""COMPUTED_VALUE"""),"200 Breast")</f>
        <v>200 Breast</v>
      </c>
      <c r="C263" s="3"/>
      <c r="D263" s="3"/>
      <c r="E263" s="3"/>
      <c r="F263" s="3"/>
      <c r="G263" s="3"/>
    </row>
    <row r="264">
      <c r="A264" s="3" t="str">
        <f>IFERROR(__xludf.DUMMYFUNCTION("""COMPUTED_VALUE"""),"100 Breast")</f>
        <v>100 Breast</v>
      </c>
      <c r="B264" s="3" t="str">
        <f>IFERROR(__xludf.DUMMYFUNCTION("""COMPUTED_VALUE"""),"100 Fly")</f>
        <v>100 Fly</v>
      </c>
      <c r="C264" s="3"/>
      <c r="D264" s="3"/>
      <c r="E264" s="3"/>
      <c r="F264" s="3"/>
      <c r="G264" s="3"/>
    </row>
    <row r="265">
      <c r="A265" s="3" t="str">
        <f>IFERROR(__xludf.DUMMYFUNCTION("""COMPUTED_VALUE"""),"100 Breast")</f>
        <v>100 Breast</v>
      </c>
      <c r="B265" s="3" t="str">
        <f>IFERROR(__xludf.DUMMYFUNCTION("""COMPUTED_VALUE"""),"200 Breast")</f>
        <v>200 Breast</v>
      </c>
      <c r="C265" s="3"/>
      <c r="D265" s="3"/>
      <c r="E265" s="3"/>
      <c r="F265" s="3"/>
      <c r="G265" s="3"/>
    </row>
    <row r="266">
      <c r="A266" s="3" t="str">
        <f>IFERROR(__xludf.DUMMYFUNCTION("""COMPUTED_VALUE"""),"100 Breast")</f>
        <v>100 Breast</v>
      </c>
      <c r="B266" s="3"/>
      <c r="C266" s="3"/>
      <c r="D266" s="3"/>
      <c r="E266" s="3"/>
      <c r="F266" s="3"/>
      <c r="G266" s="3"/>
    </row>
    <row r="267">
      <c r="A267" s="3" t="str">
        <f>IFERROR(__xludf.DUMMYFUNCTION("""COMPUTED_VALUE"""),"100 Breast")</f>
        <v>100 Breast</v>
      </c>
      <c r="B267" s="3" t="str">
        <f>IFERROR(__xludf.DUMMYFUNCTION("""COMPUTED_VALUE"""),"100 Fly")</f>
        <v>100 Fly</v>
      </c>
      <c r="C267" s="3" t="str">
        <f>IFERROR(__xludf.DUMMYFUNCTION("""COMPUTED_VALUE"""),"200 Fly")</f>
        <v>200 Fly</v>
      </c>
      <c r="D267" s="3"/>
      <c r="E267" s="3"/>
      <c r="F267" s="3"/>
      <c r="G267" s="3"/>
    </row>
    <row r="268">
      <c r="A268" s="3" t="str">
        <f>IFERROR(__xludf.DUMMYFUNCTION("""COMPUTED_VALUE"""),"100 Breast")</f>
        <v>100 Breast</v>
      </c>
      <c r="B268" s="3"/>
      <c r="C268" s="3"/>
      <c r="D268" s="3"/>
      <c r="E268" s="3"/>
      <c r="F268" s="3"/>
      <c r="G268" s="3"/>
    </row>
    <row r="269">
      <c r="A269" s="3" t="str">
        <f>IFERROR(__xludf.DUMMYFUNCTION("""COMPUTED_VALUE"""),"100 Breast")</f>
        <v>100 Breast</v>
      </c>
      <c r="B269" s="3" t="str">
        <f>IFERROR(__xludf.DUMMYFUNCTION("""COMPUTED_VALUE"""),"200 Breast")</f>
        <v>200 Breast</v>
      </c>
      <c r="C269" s="3"/>
      <c r="D269" s="3"/>
      <c r="E269" s="3"/>
      <c r="F269" s="3"/>
      <c r="G269" s="3"/>
    </row>
    <row r="270">
      <c r="A270" s="3" t="str">
        <f>IFERROR(__xludf.DUMMYFUNCTION("""COMPUTED_VALUE"""),"100 Breast")</f>
        <v>100 Breast</v>
      </c>
      <c r="B270" s="3" t="str">
        <f>IFERROR(__xludf.DUMMYFUNCTION("""COMPUTED_VALUE"""),"100 Fly")</f>
        <v>100 Fly</v>
      </c>
      <c r="C270" s="3"/>
      <c r="D270" s="3"/>
      <c r="E270" s="3"/>
      <c r="F270" s="3"/>
      <c r="G270" s="3"/>
    </row>
    <row r="271">
      <c r="A271" s="3" t="str">
        <f>IFERROR(__xludf.DUMMYFUNCTION("""COMPUTED_VALUE"""),"100 Breast")</f>
        <v>100 Breast</v>
      </c>
      <c r="B271" s="3" t="str">
        <f>IFERROR(__xludf.DUMMYFUNCTION("""COMPUTED_VALUE"""),"200 Fly")</f>
        <v>200 Fly</v>
      </c>
      <c r="C271" s="3" t="str">
        <f>IFERROR(__xludf.DUMMYFUNCTION("""COMPUTED_VALUE"""),"200 IM")</f>
        <v>200 IM</v>
      </c>
      <c r="D271" s="3" t="str">
        <f>IFERROR(__xludf.DUMMYFUNCTION("""COMPUTED_VALUE"""),"400 IM")</f>
        <v>400 IM</v>
      </c>
      <c r="E271" s="3"/>
      <c r="F271" s="3"/>
      <c r="G271" s="3"/>
    </row>
    <row r="272">
      <c r="A272" s="3" t="str">
        <f>IFERROR(__xludf.DUMMYFUNCTION("""COMPUTED_VALUE"""),"100 Breast")</f>
        <v>100 Breast</v>
      </c>
      <c r="B272" s="3" t="str">
        <f>IFERROR(__xludf.DUMMYFUNCTION("""COMPUTED_VALUE"""),"200 Breast")</f>
        <v>200 Breast</v>
      </c>
      <c r="C272" s="3"/>
      <c r="D272" s="3"/>
      <c r="E272" s="3"/>
      <c r="F272" s="3"/>
      <c r="G272" s="3"/>
    </row>
    <row r="273">
      <c r="A273" s="3" t="str">
        <f>IFERROR(__xludf.DUMMYFUNCTION("""COMPUTED_VALUE"""),"100 Breast")</f>
        <v>100 Breast</v>
      </c>
      <c r="B273" s="3" t="str">
        <f>IFERROR(__xludf.DUMMYFUNCTION("""COMPUTED_VALUE"""),"100 Fly")</f>
        <v>100 Fly</v>
      </c>
      <c r="C273" s="3" t="str">
        <f>IFERROR(__xludf.DUMMYFUNCTION("""COMPUTED_VALUE"""),"400 IM")</f>
        <v>400 IM</v>
      </c>
      <c r="D273" s="3"/>
      <c r="E273" s="3"/>
      <c r="F273" s="3"/>
      <c r="G273" s="3"/>
    </row>
    <row r="274">
      <c r="A274" s="3" t="str">
        <f>IFERROR(__xludf.DUMMYFUNCTION("""COMPUTED_VALUE"""),"100 Breast")</f>
        <v>100 Breast</v>
      </c>
      <c r="B274" s="3"/>
      <c r="C274" s="3"/>
      <c r="D274" s="3"/>
      <c r="E274" s="3"/>
      <c r="F274" s="3"/>
      <c r="G274" s="3"/>
    </row>
    <row r="275">
      <c r="A275" s="3" t="str">
        <f>IFERROR(__xludf.DUMMYFUNCTION("""COMPUTED_VALUE"""),"100 Breast")</f>
        <v>100 Breast</v>
      </c>
      <c r="B275" s="3"/>
      <c r="C275" s="3"/>
      <c r="D275" s="3"/>
      <c r="E275" s="3"/>
      <c r="F275" s="3"/>
      <c r="G275" s="3"/>
    </row>
    <row r="276">
      <c r="A276" s="3" t="str">
        <f>IFERROR(__xludf.DUMMYFUNCTION("""COMPUTED_VALUE"""),"100 Breast")</f>
        <v>100 Breast</v>
      </c>
      <c r="B276" s="3"/>
      <c r="C276" s="3"/>
      <c r="D276" s="3"/>
      <c r="E276" s="3"/>
      <c r="F276" s="3"/>
      <c r="G276" s="3"/>
    </row>
    <row r="277">
      <c r="A277" s="3" t="str">
        <f>IFERROR(__xludf.DUMMYFUNCTION("""COMPUTED_VALUE"""),"200 Breast")</f>
        <v>200 Breast</v>
      </c>
      <c r="B277" s="3" t="str">
        <f>IFERROR(__xludf.DUMMYFUNCTION("""COMPUTED_VALUE"""),"200 Fly")</f>
        <v>200 Fly</v>
      </c>
      <c r="C277" s="3"/>
      <c r="D277" s="3"/>
      <c r="E277" s="3"/>
      <c r="F277" s="3"/>
      <c r="G277" s="3"/>
    </row>
    <row r="278">
      <c r="A278" s="3" t="str">
        <f>IFERROR(__xludf.DUMMYFUNCTION("""COMPUTED_VALUE"""),"200 Breast")</f>
        <v>200 Breast</v>
      </c>
      <c r="B278" s="3" t="str">
        <f>IFERROR(__xludf.DUMMYFUNCTION("""COMPUTED_VALUE"""),"200 IM")</f>
        <v>200 IM</v>
      </c>
      <c r="C278" s="3"/>
      <c r="D278" s="3"/>
      <c r="E278" s="3"/>
      <c r="F278" s="3"/>
      <c r="G278" s="3"/>
    </row>
    <row r="279">
      <c r="A279" s="3" t="str">
        <f>IFERROR(__xludf.DUMMYFUNCTION("""COMPUTED_VALUE"""),"200 Breast")</f>
        <v>200 Breast</v>
      </c>
      <c r="B279" s="3" t="str">
        <f>IFERROR(__xludf.DUMMYFUNCTION("""COMPUTED_VALUE"""),"100 Fly")</f>
        <v>100 Fly</v>
      </c>
      <c r="C279" s="3" t="str">
        <f>IFERROR(__xludf.DUMMYFUNCTION("""COMPUTED_VALUE"""),"200 Fly")</f>
        <v>200 Fly</v>
      </c>
      <c r="D279" s="3" t="str">
        <f>IFERROR(__xludf.DUMMYFUNCTION("""COMPUTED_VALUE"""),"200 IM")</f>
        <v>200 IM</v>
      </c>
      <c r="E279" s="3" t="str">
        <f>IFERROR(__xludf.DUMMYFUNCTION("""COMPUTED_VALUE"""),"400 IM")</f>
        <v>400 IM</v>
      </c>
      <c r="F279" s="3" t="str">
        <f>IFERROR(__xludf.DUMMYFUNCTION("""COMPUTED_VALUE"""),"1000 Free")</f>
        <v>1000 Free</v>
      </c>
      <c r="G279" s="3"/>
    </row>
    <row r="280">
      <c r="A280" s="3" t="str">
        <f>IFERROR(__xludf.DUMMYFUNCTION("""COMPUTED_VALUE"""),"100 Fly")</f>
        <v>100 Fly</v>
      </c>
      <c r="B280" s="3" t="str">
        <f>IFERROR(__xludf.DUMMYFUNCTION("""COMPUTED_VALUE"""),"200 Fly")</f>
        <v>200 Fly</v>
      </c>
      <c r="C280" s="3" t="str">
        <f>IFERROR(__xludf.DUMMYFUNCTION("""COMPUTED_VALUE"""),"200 IM")</f>
        <v>200 IM</v>
      </c>
      <c r="D280" s="3"/>
      <c r="E280" s="3"/>
      <c r="F280" s="3"/>
      <c r="G280" s="3"/>
    </row>
    <row r="281">
      <c r="A281" s="3" t="str">
        <f>IFERROR(__xludf.DUMMYFUNCTION("""COMPUTED_VALUE"""),"100 Fly")</f>
        <v>100 Fly</v>
      </c>
      <c r="B281" s="3" t="str">
        <f>IFERROR(__xludf.DUMMYFUNCTION("""COMPUTED_VALUE"""),"200 Fly")</f>
        <v>200 Fly</v>
      </c>
      <c r="C281" s="3" t="str">
        <f>IFERROR(__xludf.DUMMYFUNCTION("""COMPUTED_VALUE"""),"400 IM")</f>
        <v>400 IM</v>
      </c>
      <c r="D281" s="3" t="str">
        <f>IFERROR(__xludf.DUMMYFUNCTION("""COMPUTED_VALUE"""),"1000 Free")</f>
        <v>1000 Free</v>
      </c>
      <c r="E281" s="3"/>
      <c r="F281" s="3"/>
      <c r="G281" s="3"/>
    </row>
    <row r="282">
      <c r="A282" s="3" t="str">
        <f>IFERROR(__xludf.DUMMYFUNCTION("""COMPUTED_VALUE"""),"100 Fly")</f>
        <v>100 Fly</v>
      </c>
      <c r="B282" s="3" t="str">
        <f>IFERROR(__xludf.DUMMYFUNCTION("""COMPUTED_VALUE"""),"200 Fly")</f>
        <v>200 Fly</v>
      </c>
      <c r="C282" s="3"/>
      <c r="D282" s="3"/>
      <c r="E282" s="3"/>
      <c r="F282" s="3"/>
      <c r="G282" s="3"/>
    </row>
    <row r="283">
      <c r="A283" s="3" t="str">
        <f>IFERROR(__xludf.DUMMYFUNCTION("""COMPUTED_VALUE"""),"100 Fly")</f>
        <v>100 Fly</v>
      </c>
      <c r="B283" s="3" t="str">
        <f>IFERROR(__xludf.DUMMYFUNCTION("""COMPUTED_VALUE"""),"200 Fly")</f>
        <v>200 Fly</v>
      </c>
      <c r="C283" s="3"/>
      <c r="D283" s="3"/>
      <c r="E283" s="3"/>
      <c r="F283" s="3"/>
      <c r="G283" s="3"/>
    </row>
    <row r="284">
      <c r="A284" s="3" t="str">
        <f>IFERROR(__xludf.DUMMYFUNCTION("""COMPUTED_VALUE"""),"100 Fly")</f>
        <v>100 Fly</v>
      </c>
      <c r="B284" s="3" t="str">
        <f>IFERROR(__xludf.DUMMYFUNCTION("""COMPUTED_VALUE"""),"200 Fly")</f>
        <v>200 Fly</v>
      </c>
      <c r="C284" s="3"/>
      <c r="D284" s="3"/>
      <c r="E284" s="3"/>
      <c r="F284" s="3"/>
      <c r="G284" s="3"/>
    </row>
    <row r="285">
      <c r="A285" s="3" t="str">
        <f>IFERROR(__xludf.DUMMYFUNCTION("""COMPUTED_VALUE"""),"100 Fly")</f>
        <v>100 Fly</v>
      </c>
      <c r="B285" s="3"/>
      <c r="C285" s="3"/>
      <c r="D285" s="3"/>
      <c r="E285" s="3"/>
      <c r="F285" s="3"/>
      <c r="G285" s="3"/>
    </row>
    <row r="286">
      <c r="A286" s="3" t="str">
        <f>IFERROR(__xludf.DUMMYFUNCTION("""COMPUTED_VALUE"""),"200 Fly")</f>
        <v>200 Fly</v>
      </c>
      <c r="B286" s="3"/>
      <c r="C286" s="3"/>
      <c r="D286" s="3"/>
      <c r="E286" s="3"/>
      <c r="F286" s="3"/>
      <c r="G286" s="3"/>
    </row>
    <row r="287">
      <c r="A287" s="3" t="str">
        <f>IFERROR(__xludf.DUMMYFUNCTION("""COMPUTED_VALUE"""),"200 Fly")</f>
        <v>200 Fly</v>
      </c>
      <c r="B287" s="3"/>
      <c r="C287" s="3"/>
      <c r="D287" s="3"/>
      <c r="E287" s="3"/>
      <c r="F287" s="3"/>
      <c r="G287" s="3"/>
    </row>
    <row r="288">
      <c r="A288" s="3" t="str">
        <f>IFERROR(__xludf.DUMMYFUNCTION("""COMPUTED_VALUE"""),"200 Fly")</f>
        <v>200 Fly</v>
      </c>
      <c r="B288" s="3"/>
      <c r="C288" s="3"/>
      <c r="D288" s="3"/>
      <c r="E288" s="3"/>
      <c r="F288" s="3"/>
      <c r="G288" s="3"/>
    </row>
    <row r="289">
      <c r="A289" s="3" t="str">
        <f>IFERROR(__xludf.DUMMYFUNCTION("""COMPUTED_VALUE"""),"200 Fly")</f>
        <v>200 Fly</v>
      </c>
      <c r="B289" s="3"/>
      <c r="C289" s="3"/>
      <c r="D289" s="3"/>
      <c r="E289" s="3"/>
      <c r="F289" s="3"/>
      <c r="G289" s="3"/>
    </row>
    <row r="290">
      <c r="A290" s="3" t="str">
        <f>IFERROR(__xludf.DUMMYFUNCTION("""COMPUTED_VALUE"""),"200 IM")</f>
        <v>200 IM</v>
      </c>
      <c r="B290" s="3"/>
      <c r="C290" s="3"/>
      <c r="D290" s="3"/>
      <c r="E290" s="3"/>
      <c r="F290" s="3"/>
      <c r="G290" s="3"/>
    </row>
    <row r="291">
      <c r="A291" s="3" t="str">
        <f>IFERROR(__xludf.DUMMYFUNCTION("""COMPUTED_VALUE"""),"")</f>
        <v/>
      </c>
      <c r="B291" s="3"/>
      <c r="C291" s="3"/>
      <c r="D291" s="3"/>
      <c r="E291" s="3"/>
      <c r="F291" s="3"/>
      <c r="G291" s="3"/>
    </row>
    <row r="292">
      <c r="A292" s="3" t="str">
        <f>IFERROR(__xludf.DUMMYFUNCTION("""COMPUTED_VALUE"""),"")</f>
        <v/>
      </c>
      <c r="B292" s="3"/>
      <c r="C292" s="3"/>
      <c r="D292" s="3"/>
      <c r="E292" s="3"/>
      <c r="F292" s="3"/>
      <c r="G292" s="3"/>
    </row>
    <row r="293">
      <c r="A293" s="3" t="str">
        <f>IFERROR(__xludf.DUMMYFUNCTION("""COMPUTED_VALUE"""),"")</f>
        <v/>
      </c>
      <c r="B293" s="3"/>
      <c r="C293" s="3"/>
      <c r="D293" s="3"/>
      <c r="E293" s="3"/>
      <c r="F293" s="3"/>
      <c r="G293" s="3"/>
    </row>
    <row r="294">
      <c r="A294" s="3" t="str">
        <f>IFERROR(__xludf.DUMMYFUNCTION("""COMPUTED_VALUE"""),"")</f>
        <v/>
      </c>
      <c r="B294" s="3"/>
      <c r="C294" s="3"/>
      <c r="D294" s="3"/>
      <c r="E294" s="3"/>
      <c r="F294" s="3"/>
      <c r="G294" s="3"/>
    </row>
    <row r="295">
      <c r="A295" s="3" t="str">
        <f>IFERROR(__xludf.DUMMYFUNCTION("""COMPUTED_VALUE"""),"")</f>
        <v/>
      </c>
      <c r="B295" s="3"/>
      <c r="C295" s="3"/>
      <c r="D295" s="3"/>
      <c r="E295" s="3"/>
      <c r="F295" s="3"/>
      <c r="G295" s="3"/>
    </row>
    <row r="296">
      <c r="A296" s="3" t="str">
        <f>IFERROR(__xludf.DUMMYFUNCTION("""COMPUTED_VALUE"""),"")</f>
        <v/>
      </c>
      <c r="B296" s="3"/>
      <c r="C296" s="3"/>
      <c r="D296" s="3"/>
      <c r="E296" s="3"/>
      <c r="F296" s="3"/>
      <c r="G296" s="3"/>
    </row>
    <row r="297">
      <c r="A297" s="3" t="str">
        <f>IFERROR(__xludf.DUMMYFUNCTION("""COMPUTED_VALUE"""),"")</f>
        <v/>
      </c>
      <c r="B297" s="3"/>
      <c r="C297" s="3"/>
      <c r="D297" s="3"/>
      <c r="E297" s="3"/>
      <c r="F297" s="3"/>
      <c r="G297" s="3"/>
    </row>
    <row r="298">
      <c r="A298" s="3" t="str">
        <f>IFERROR(__xludf.DUMMYFUNCTION("""COMPUTED_VALUE"""),"")</f>
        <v/>
      </c>
      <c r="B298" s="3"/>
      <c r="C298" s="3"/>
      <c r="D298" s="3"/>
      <c r="E298" s="3"/>
      <c r="F298" s="3"/>
      <c r="G298" s="3"/>
    </row>
    <row r="299">
      <c r="A299" s="3" t="str">
        <f>IFERROR(__xludf.DUMMYFUNCTION("""COMPUTED_VALUE"""),"")</f>
        <v/>
      </c>
      <c r="B299" s="3"/>
      <c r="C299" s="3"/>
      <c r="D299" s="3"/>
      <c r="E299" s="3"/>
      <c r="F299" s="3"/>
      <c r="G299" s="3"/>
    </row>
    <row r="300">
      <c r="A300" s="3" t="str">
        <f>IFERROR(__xludf.DUMMYFUNCTION("""COMPUTED_VALUE"""),"")</f>
        <v/>
      </c>
      <c r="B300" s="3"/>
      <c r="C300" s="3"/>
      <c r="D300" s="3"/>
      <c r="E300" s="3"/>
      <c r="F300" s="3"/>
      <c r="G300" s="3"/>
    </row>
    <row r="301">
      <c r="A301" s="3" t="str">
        <f>IFERROR(__xludf.DUMMYFUNCTION("""COMPUTED_VALUE"""),"")</f>
        <v/>
      </c>
      <c r="B301" s="3"/>
      <c r="C301" s="3"/>
      <c r="D301" s="3"/>
      <c r="E301" s="3"/>
      <c r="F301" s="3"/>
      <c r="G301" s="3"/>
    </row>
    <row r="302">
      <c r="A302" s="3" t="str">
        <f>IFERROR(__xludf.DUMMYFUNCTION("""COMPUTED_VALUE"""),"")</f>
        <v/>
      </c>
      <c r="B302" s="3"/>
      <c r="C302" s="3"/>
      <c r="D302" s="3"/>
      <c r="E302" s="3"/>
      <c r="F302" s="3"/>
      <c r="G302" s="3"/>
    </row>
    <row r="303">
      <c r="A303" s="3" t="str">
        <f>IFERROR(__xludf.DUMMYFUNCTION("""COMPUTED_VALUE"""),"")</f>
        <v/>
      </c>
      <c r="B303" s="3"/>
      <c r="C303" s="3"/>
      <c r="D303" s="3"/>
      <c r="E303" s="3"/>
      <c r="F303" s="3"/>
      <c r="G303" s="3"/>
    </row>
    <row r="304">
      <c r="A304" s="3" t="str">
        <f>IFERROR(__xludf.DUMMYFUNCTION("""COMPUTED_VALUE"""),"")</f>
        <v/>
      </c>
      <c r="B304" s="3"/>
      <c r="C304" s="3"/>
      <c r="D304" s="3"/>
      <c r="E304" s="3"/>
      <c r="F304" s="3"/>
      <c r="G304" s="3"/>
    </row>
    <row r="305">
      <c r="A305" s="3" t="str">
        <f>IFERROR(__xludf.DUMMYFUNCTION("""COMPUTED_VALUE"""),"")</f>
        <v/>
      </c>
      <c r="B305" s="3"/>
      <c r="C305" s="3"/>
      <c r="D305" s="3"/>
      <c r="E305" s="3"/>
      <c r="F305" s="3"/>
      <c r="G305" s="3"/>
    </row>
    <row r="306">
      <c r="A306" s="3" t="str">
        <f>IFERROR(__xludf.DUMMYFUNCTION("""COMPUTED_VALUE"""),"")</f>
        <v/>
      </c>
      <c r="B306" s="3"/>
      <c r="C306" s="3"/>
      <c r="D306" s="3"/>
      <c r="E306" s="3"/>
      <c r="F306" s="3"/>
      <c r="G306" s="3"/>
    </row>
    <row r="307">
      <c r="A307" s="3" t="str">
        <f>IFERROR(__xludf.DUMMYFUNCTION("""COMPUTED_VALUE"""),"")</f>
        <v/>
      </c>
      <c r="B307" s="3"/>
      <c r="C307" s="3"/>
      <c r="D307" s="3"/>
      <c r="E307" s="3"/>
      <c r="F307" s="3"/>
      <c r="G307" s="3"/>
    </row>
    <row r="308">
      <c r="A308" s="3" t="str">
        <f>IFERROR(__xludf.DUMMYFUNCTION("""COMPUTED_VALUE"""),"")</f>
        <v/>
      </c>
      <c r="B308" s="3"/>
      <c r="C308" s="3"/>
      <c r="D308" s="3"/>
      <c r="E308" s="3"/>
      <c r="F308" s="3"/>
      <c r="G308" s="3"/>
    </row>
    <row r="309">
      <c r="A309" s="3" t="str">
        <f>IFERROR(__xludf.DUMMYFUNCTION("""COMPUTED_VALUE"""),"")</f>
        <v/>
      </c>
      <c r="B309" s="3"/>
      <c r="C309" s="3"/>
      <c r="D309" s="3"/>
      <c r="E309" s="3"/>
      <c r="F309" s="3"/>
      <c r="G309" s="3"/>
    </row>
    <row r="310">
      <c r="A310" s="3" t="str">
        <f>IFERROR(__xludf.DUMMYFUNCTION("""COMPUTED_VALUE"""),"")</f>
        <v/>
      </c>
      <c r="B310" s="3"/>
      <c r="C310" s="3"/>
      <c r="D310" s="3"/>
      <c r="E310" s="3"/>
      <c r="F310" s="3"/>
      <c r="G310" s="3"/>
    </row>
    <row r="311">
      <c r="A311" s="3" t="str">
        <f>IFERROR(__xludf.DUMMYFUNCTION("""COMPUTED_VALUE"""),"")</f>
        <v/>
      </c>
      <c r="B311" s="3"/>
      <c r="C311" s="3"/>
      <c r="D311" s="3"/>
      <c r="E311" s="3"/>
      <c r="F311" s="3"/>
      <c r="G311" s="3"/>
    </row>
    <row r="312">
      <c r="A312" s="3" t="str">
        <f>IFERROR(__xludf.DUMMYFUNCTION("""COMPUTED_VALUE"""),"")</f>
        <v/>
      </c>
      <c r="B312" s="3"/>
      <c r="C312" s="3"/>
      <c r="D312" s="3"/>
      <c r="E312" s="3"/>
      <c r="F312" s="3"/>
      <c r="G312" s="3"/>
    </row>
    <row r="313">
      <c r="A313" s="3" t="str">
        <f>IFERROR(__xludf.DUMMYFUNCTION("""COMPUTED_VALUE"""),"")</f>
        <v/>
      </c>
      <c r="B313" s="3"/>
      <c r="C313" s="3"/>
      <c r="D313" s="3"/>
      <c r="E313" s="3"/>
      <c r="F313" s="3"/>
      <c r="G313" s="3"/>
    </row>
    <row r="314">
      <c r="A314" s="3" t="str">
        <f>IFERROR(__xludf.DUMMYFUNCTION("""COMPUTED_VALUE"""),"")</f>
        <v/>
      </c>
      <c r="B314" s="3"/>
      <c r="C314" s="3"/>
      <c r="D314" s="3"/>
      <c r="E314" s="3"/>
      <c r="F314" s="3"/>
      <c r="G314" s="3"/>
    </row>
    <row r="315">
      <c r="A315" s="3" t="str">
        <f>IFERROR(__xludf.DUMMYFUNCTION("""COMPUTED_VALUE"""),"")</f>
        <v/>
      </c>
      <c r="B315" s="3"/>
      <c r="C315" s="3"/>
      <c r="D315" s="3"/>
      <c r="E315" s="3"/>
      <c r="F315" s="3"/>
      <c r="G315" s="3"/>
    </row>
    <row r="316">
      <c r="A316" s="3" t="str">
        <f>IFERROR(__xludf.DUMMYFUNCTION("""COMPUTED_VALUE"""),"")</f>
        <v/>
      </c>
      <c r="B316" s="3"/>
      <c r="C316" s="3"/>
      <c r="D316" s="3"/>
      <c r="E316" s="3"/>
      <c r="F316" s="3"/>
      <c r="G316" s="3"/>
    </row>
    <row r="317">
      <c r="A317" s="3" t="str">
        <f>IFERROR(__xludf.DUMMYFUNCTION("""COMPUTED_VALUE"""),"")</f>
        <v/>
      </c>
      <c r="B317" s="3"/>
      <c r="C317" s="3"/>
      <c r="D317" s="3"/>
      <c r="E317" s="3"/>
      <c r="F317" s="3"/>
      <c r="G317" s="3"/>
    </row>
    <row r="318">
      <c r="A318" s="3" t="str">
        <f>IFERROR(__xludf.DUMMYFUNCTION("""COMPUTED_VALUE"""),"")</f>
        <v/>
      </c>
      <c r="B318" s="3"/>
      <c r="C318" s="3"/>
      <c r="D318" s="3"/>
      <c r="E318" s="3"/>
      <c r="F318" s="3"/>
      <c r="G318" s="3"/>
    </row>
    <row r="319">
      <c r="A319" s="3" t="str">
        <f>IFERROR(__xludf.DUMMYFUNCTION("""COMPUTED_VALUE"""),"")</f>
        <v/>
      </c>
      <c r="B319" s="3"/>
      <c r="C319" s="3"/>
      <c r="D319" s="3"/>
      <c r="E319" s="3"/>
      <c r="F319" s="3"/>
      <c r="G319" s="3"/>
    </row>
    <row r="320">
      <c r="A320" s="3" t="str">
        <f>IFERROR(__xludf.DUMMYFUNCTION("""COMPUTED_VALUE"""),"")</f>
        <v/>
      </c>
      <c r="B320" s="3"/>
      <c r="C320" s="3"/>
      <c r="D320" s="3"/>
      <c r="E320" s="3"/>
      <c r="F320" s="3"/>
      <c r="G320" s="3"/>
    </row>
    <row r="321">
      <c r="A321" s="3" t="str">
        <f>IFERROR(__xludf.DUMMYFUNCTION("""COMPUTED_VALUE"""),"")</f>
        <v/>
      </c>
      <c r="B321" s="3"/>
      <c r="C321" s="3"/>
      <c r="D321" s="3"/>
      <c r="E321" s="3"/>
      <c r="F321" s="3"/>
      <c r="G321" s="3"/>
    </row>
    <row r="322">
      <c r="A322" s="3" t="str">
        <f>IFERROR(__xludf.DUMMYFUNCTION("""COMPUTED_VALUE"""),"")</f>
        <v/>
      </c>
      <c r="B322" s="3"/>
      <c r="C322" s="3"/>
      <c r="D322" s="3"/>
      <c r="E322" s="3"/>
      <c r="F322" s="3"/>
      <c r="G322" s="3"/>
    </row>
    <row r="323">
      <c r="A323" s="3" t="str">
        <f>IFERROR(__xludf.DUMMYFUNCTION("""COMPUTED_VALUE"""),"")</f>
        <v/>
      </c>
      <c r="B323" s="3"/>
      <c r="C323" s="3"/>
      <c r="D323" s="3"/>
      <c r="E323" s="3"/>
      <c r="F323" s="3"/>
      <c r="G323" s="3"/>
    </row>
    <row r="324">
      <c r="A324" s="3" t="str">
        <f>IFERROR(__xludf.DUMMYFUNCTION("""COMPUTED_VALUE"""),"")</f>
        <v/>
      </c>
      <c r="B324" s="3"/>
      <c r="C324" s="3"/>
      <c r="D324" s="3"/>
      <c r="E324" s="3"/>
      <c r="F324" s="3"/>
      <c r="G324" s="3"/>
    </row>
    <row r="325">
      <c r="A325" s="3" t="str">
        <f>IFERROR(__xludf.DUMMYFUNCTION("""COMPUTED_VALUE"""),"")</f>
        <v/>
      </c>
      <c r="B325" s="3"/>
      <c r="C325" s="3"/>
      <c r="D325" s="3"/>
      <c r="E325" s="3"/>
      <c r="F325" s="3"/>
      <c r="G325" s="3"/>
    </row>
    <row r="326">
      <c r="A326" s="3" t="str">
        <f>IFERROR(__xludf.DUMMYFUNCTION("""COMPUTED_VALUE"""),"")</f>
        <v/>
      </c>
      <c r="B326" s="3"/>
      <c r="C326" s="3"/>
      <c r="D326" s="3"/>
      <c r="E326" s="3"/>
      <c r="F326" s="3"/>
      <c r="G326" s="3"/>
    </row>
    <row r="327">
      <c r="A327" s="3" t="str">
        <f>IFERROR(__xludf.DUMMYFUNCTION("""COMPUTED_VALUE"""),"")</f>
        <v/>
      </c>
      <c r="B327" s="3"/>
      <c r="C327" s="3"/>
      <c r="D327" s="3"/>
      <c r="E327" s="3"/>
      <c r="F327" s="3"/>
      <c r="G327" s="3"/>
    </row>
    <row r="328">
      <c r="A328" s="3" t="str">
        <f>IFERROR(__xludf.DUMMYFUNCTION("""COMPUTED_VALUE"""),"")</f>
        <v/>
      </c>
      <c r="B328" s="3"/>
      <c r="C328" s="3"/>
      <c r="D328" s="3"/>
      <c r="E328" s="3"/>
      <c r="F328" s="3"/>
      <c r="G328" s="3"/>
    </row>
    <row r="329">
      <c r="A329" s="3" t="str">
        <f>IFERROR(__xludf.DUMMYFUNCTION("""COMPUTED_VALUE"""),"")</f>
        <v/>
      </c>
      <c r="B329" s="3"/>
      <c r="C329" s="3"/>
      <c r="D329" s="3"/>
      <c r="E329" s="3"/>
      <c r="F329" s="3"/>
      <c r="G329" s="3"/>
    </row>
    <row r="330">
      <c r="A330" s="3" t="str">
        <f>IFERROR(__xludf.DUMMYFUNCTION("""COMPUTED_VALUE"""),"")</f>
        <v/>
      </c>
      <c r="B330" s="3"/>
      <c r="C330" s="3"/>
      <c r="D330" s="3"/>
      <c r="E330" s="3"/>
      <c r="F330" s="3"/>
      <c r="G330" s="3"/>
    </row>
    <row r="331">
      <c r="A331" s="3" t="str">
        <f>IFERROR(__xludf.DUMMYFUNCTION("""COMPUTED_VALUE"""),"")</f>
        <v/>
      </c>
      <c r="B331" s="3"/>
      <c r="C331" s="3"/>
      <c r="D331" s="3"/>
      <c r="E331" s="3"/>
      <c r="F331" s="3"/>
      <c r="G331" s="3"/>
    </row>
    <row r="332">
      <c r="A332" s="3" t="str">
        <f>IFERROR(__xludf.DUMMYFUNCTION("""COMPUTED_VALUE"""),"")</f>
        <v/>
      </c>
      <c r="B332" s="3"/>
      <c r="C332" s="3"/>
      <c r="D332" s="3"/>
      <c r="E332" s="3"/>
      <c r="F332" s="3"/>
      <c r="G332" s="3"/>
    </row>
    <row r="333">
      <c r="A333" s="3" t="str">
        <f>IFERROR(__xludf.DUMMYFUNCTION("""COMPUTED_VALUE"""),"")</f>
        <v/>
      </c>
      <c r="B333" s="3"/>
      <c r="C333" s="3"/>
      <c r="D333" s="3"/>
      <c r="E333" s="3"/>
      <c r="F333" s="3"/>
      <c r="G333" s="3"/>
    </row>
    <row r="334">
      <c r="A334" s="3" t="str">
        <f>IFERROR(__xludf.DUMMYFUNCTION("""COMPUTED_VALUE"""),"")</f>
        <v/>
      </c>
      <c r="B334" s="3"/>
      <c r="C334" s="3"/>
      <c r="D334" s="3"/>
      <c r="E334" s="3"/>
      <c r="F334" s="3"/>
      <c r="G334" s="3"/>
    </row>
    <row r="335">
      <c r="A335" s="3" t="str">
        <f>IFERROR(__xludf.DUMMYFUNCTION("""COMPUTED_VALUE"""),"")</f>
        <v/>
      </c>
      <c r="B335" s="3"/>
      <c r="C335" s="3"/>
      <c r="D335" s="3"/>
      <c r="E335" s="3"/>
      <c r="F335" s="3"/>
      <c r="G335" s="3"/>
    </row>
    <row r="336">
      <c r="A336" s="3" t="str">
        <f>IFERROR(__xludf.DUMMYFUNCTION("""COMPUTED_VALUE"""),"")</f>
        <v/>
      </c>
      <c r="B336" s="3"/>
      <c r="C336" s="3"/>
      <c r="D336" s="3"/>
      <c r="E336" s="3"/>
      <c r="F336" s="3"/>
      <c r="G336" s="3"/>
    </row>
    <row r="337">
      <c r="A337" s="3" t="str">
        <f>IFERROR(__xludf.DUMMYFUNCTION("""COMPUTED_VALUE"""),"")</f>
        <v/>
      </c>
      <c r="B337" s="3"/>
      <c r="C337" s="3"/>
      <c r="D337" s="3"/>
      <c r="E337" s="3"/>
      <c r="F337" s="3"/>
      <c r="G337" s="3"/>
    </row>
    <row r="338">
      <c r="A338" s="3" t="str">
        <f>IFERROR(__xludf.DUMMYFUNCTION("""COMPUTED_VALUE"""),"")</f>
        <v/>
      </c>
      <c r="B338" s="3"/>
      <c r="C338" s="3"/>
      <c r="D338" s="3"/>
      <c r="E338" s="3"/>
      <c r="F338" s="3"/>
      <c r="G338" s="3"/>
    </row>
    <row r="339">
      <c r="A339" s="3" t="str">
        <f>IFERROR(__xludf.DUMMYFUNCTION("""COMPUTED_VALUE"""),"")</f>
        <v/>
      </c>
      <c r="B339" s="3"/>
      <c r="C339" s="3"/>
      <c r="D339" s="3"/>
      <c r="E339" s="3"/>
      <c r="F339" s="3"/>
      <c r="G339" s="3"/>
    </row>
    <row r="340">
      <c r="A340" s="3" t="str">
        <f>IFERROR(__xludf.DUMMYFUNCTION("""COMPUTED_VALUE"""),"")</f>
        <v/>
      </c>
      <c r="B340" s="3"/>
      <c r="C340" s="3"/>
      <c r="D340" s="3"/>
      <c r="E340" s="3"/>
      <c r="F340" s="3"/>
      <c r="G340" s="3"/>
    </row>
    <row r="341">
      <c r="A341" s="3" t="str">
        <f>IFERROR(__xludf.DUMMYFUNCTION("""COMPUTED_VALUE"""),"")</f>
        <v/>
      </c>
      <c r="B341" s="3"/>
      <c r="C341" s="3"/>
      <c r="D341" s="3"/>
      <c r="E341" s="3"/>
      <c r="F341" s="3"/>
      <c r="G341" s="3"/>
    </row>
    <row r="342">
      <c r="A342" s="3" t="str">
        <f>IFERROR(__xludf.DUMMYFUNCTION("""COMPUTED_VALUE"""),"")</f>
        <v/>
      </c>
      <c r="B342" s="3"/>
      <c r="C342" s="3"/>
      <c r="D342" s="3"/>
      <c r="E342" s="3"/>
      <c r="F342" s="3"/>
      <c r="G342" s="3"/>
    </row>
    <row r="343">
      <c r="A343" s="3" t="str">
        <f>IFERROR(__xludf.DUMMYFUNCTION("""COMPUTED_VALUE"""),"")</f>
        <v/>
      </c>
      <c r="B343" s="3"/>
      <c r="C343" s="3"/>
      <c r="D343" s="3"/>
      <c r="E343" s="3"/>
      <c r="F343" s="3"/>
      <c r="G343" s="3"/>
    </row>
    <row r="344">
      <c r="A344" s="3" t="str">
        <f>IFERROR(__xludf.DUMMYFUNCTION("""COMPUTED_VALUE"""),"")</f>
        <v/>
      </c>
      <c r="B344" s="3"/>
      <c r="C344" s="3"/>
      <c r="D344" s="3"/>
      <c r="E344" s="3"/>
      <c r="F344" s="3"/>
      <c r="G344" s="3"/>
    </row>
    <row r="345">
      <c r="A345" s="3" t="str">
        <f>IFERROR(__xludf.DUMMYFUNCTION("""COMPUTED_VALUE"""),"")</f>
        <v/>
      </c>
      <c r="B345" s="3"/>
      <c r="C345" s="3"/>
      <c r="D345" s="3"/>
      <c r="E345" s="3"/>
      <c r="F345" s="3"/>
      <c r="G345" s="3"/>
    </row>
    <row r="346">
      <c r="A346" s="3" t="str">
        <f>IFERROR(__xludf.DUMMYFUNCTION("""COMPUTED_VALUE"""),"")</f>
        <v/>
      </c>
      <c r="B346" s="3"/>
      <c r="C346" s="3"/>
      <c r="D346" s="3"/>
      <c r="E346" s="3"/>
      <c r="F346" s="3"/>
      <c r="G346" s="3"/>
    </row>
    <row r="347">
      <c r="A347" s="3" t="str">
        <f>IFERROR(__xludf.DUMMYFUNCTION("""COMPUTED_VALUE"""),"")</f>
        <v/>
      </c>
      <c r="B347" s="3"/>
      <c r="C347" s="3"/>
      <c r="D347" s="3"/>
      <c r="E347" s="3"/>
      <c r="F347" s="3"/>
      <c r="G347" s="3"/>
    </row>
    <row r="348">
      <c r="A348" s="3" t="str">
        <f>IFERROR(__xludf.DUMMYFUNCTION("""COMPUTED_VALUE"""),"")</f>
        <v/>
      </c>
      <c r="B348" s="3"/>
      <c r="C348" s="3"/>
      <c r="D348" s="3"/>
      <c r="E348" s="3"/>
      <c r="F348" s="3"/>
      <c r="G348" s="3"/>
    </row>
    <row r="349">
      <c r="A349" s="3" t="str">
        <f>IFERROR(__xludf.DUMMYFUNCTION("""COMPUTED_VALUE"""),"")</f>
        <v/>
      </c>
      <c r="B349" s="3"/>
      <c r="C349" s="3"/>
      <c r="D349" s="3"/>
      <c r="E349" s="3"/>
      <c r="F349" s="3"/>
      <c r="G349" s="3"/>
    </row>
    <row r="350">
      <c r="A350" s="3" t="str">
        <f>IFERROR(__xludf.DUMMYFUNCTION("""COMPUTED_VALUE"""),"")</f>
        <v/>
      </c>
      <c r="B350" s="3"/>
      <c r="C350" s="3"/>
      <c r="D350" s="3"/>
      <c r="E350" s="3"/>
      <c r="F350" s="3"/>
      <c r="G350" s="3"/>
    </row>
    <row r="351">
      <c r="A351" s="3" t="str">
        <f>IFERROR(__xludf.DUMMYFUNCTION("""COMPUTED_VALUE"""),"")</f>
        <v/>
      </c>
      <c r="B351" s="3"/>
      <c r="C351" s="3"/>
      <c r="D351" s="3"/>
      <c r="E351" s="3"/>
      <c r="F351" s="3"/>
      <c r="G351" s="3"/>
    </row>
    <row r="352">
      <c r="A352" s="3" t="str">
        <f>IFERROR(__xludf.DUMMYFUNCTION("""COMPUTED_VALUE"""),"")</f>
        <v/>
      </c>
      <c r="B352" s="3"/>
      <c r="C352" s="3"/>
      <c r="D352" s="3"/>
      <c r="E352" s="3"/>
      <c r="F352" s="3"/>
      <c r="G352" s="3"/>
    </row>
    <row r="353">
      <c r="A353" s="3" t="str">
        <f>IFERROR(__xludf.DUMMYFUNCTION("""COMPUTED_VALUE"""),"")</f>
        <v/>
      </c>
      <c r="B353" s="3"/>
      <c r="C353" s="3"/>
      <c r="D353" s="3"/>
      <c r="E353" s="3"/>
      <c r="F353" s="3"/>
      <c r="G353" s="3"/>
    </row>
    <row r="354">
      <c r="A354" s="3" t="str">
        <f>IFERROR(__xludf.DUMMYFUNCTION("""COMPUTED_VALUE"""),"")</f>
        <v/>
      </c>
      <c r="B354" s="3"/>
      <c r="C354" s="3"/>
      <c r="D354" s="3"/>
      <c r="E354" s="3"/>
      <c r="F354" s="3"/>
      <c r="G354" s="3"/>
    </row>
    <row r="355">
      <c r="A355" s="3" t="str">
        <f>IFERROR(__xludf.DUMMYFUNCTION("""COMPUTED_VALUE"""),"")</f>
        <v/>
      </c>
      <c r="B355" s="3"/>
      <c r="C355" s="3"/>
      <c r="D355" s="3"/>
      <c r="E355" s="3"/>
      <c r="F355" s="3"/>
      <c r="G355" s="3"/>
    </row>
    <row r="356">
      <c r="A356" s="3" t="str">
        <f>IFERROR(__xludf.DUMMYFUNCTION("""COMPUTED_VALUE"""),"")</f>
        <v/>
      </c>
      <c r="B356" s="3"/>
      <c r="C356" s="3"/>
      <c r="D356" s="3"/>
      <c r="E356" s="3"/>
      <c r="F356" s="3"/>
      <c r="G356" s="3"/>
    </row>
    <row r="357">
      <c r="A357" s="3" t="str">
        <f>IFERROR(__xludf.DUMMYFUNCTION("""COMPUTED_VALUE"""),"")</f>
        <v/>
      </c>
      <c r="B357" s="3"/>
      <c r="C357" s="3"/>
      <c r="D357" s="3"/>
      <c r="E357" s="3"/>
      <c r="F357" s="3"/>
      <c r="G357" s="3"/>
    </row>
    <row r="358">
      <c r="A358" s="3" t="str">
        <f>IFERROR(__xludf.DUMMYFUNCTION("""COMPUTED_VALUE"""),"")</f>
        <v/>
      </c>
      <c r="B358" s="3"/>
      <c r="C358" s="3"/>
      <c r="D358" s="3"/>
      <c r="E358" s="3"/>
      <c r="F358" s="3"/>
      <c r="G358" s="3"/>
    </row>
    <row r="359">
      <c r="A359" s="3" t="str">
        <f>IFERROR(__xludf.DUMMYFUNCTION("""COMPUTED_VALUE"""),"")</f>
        <v/>
      </c>
      <c r="B359" s="3"/>
      <c r="C359" s="3"/>
      <c r="D359" s="3"/>
      <c r="E359" s="3"/>
      <c r="F359" s="3"/>
      <c r="G359" s="3"/>
    </row>
    <row r="360">
      <c r="A360" s="3" t="str">
        <f>IFERROR(__xludf.DUMMYFUNCTION("""COMPUTED_VALUE"""),"")</f>
        <v/>
      </c>
      <c r="B360" s="3"/>
      <c r="C360" s="3"/>
      <c r="D360" s="3"/>
      <c r="E360" s="3"/>
      <c r="F360" s="3"/>
      <c r="G360" s="3"/>
    </row>
    <row r="361">
      <c r="A361" s="3" t="str">
        <f>IFERROR(__xludf.DUMMYFUNCTION("""COMPUTED_VALUE"""),"")</f>
        <v/>
      </c>
      <c r="B361" s="3"/>
      <c r="C361" s="3"/>
      <c r="D361" s="3"/>
      <c r="E361" s="3"/>
      <c r="F361" s="3"/>
      <c r="G361" s="3"/>
    </row>
    <row r="362">
      <c r="A362" s="3" t="str">
        <f>IFERROR(__xludf.DUMMYFUNCTION("""COMPUTED_VALUE"""),"")</f>
        <v/>
      </c>
      <c r="B362" s="3"/>
      <c r="C362" s="3"/>
      <c r="D362" s="3"/>
      <c r="E362" s="3"/>
      <c r="F362" s="3"/>
      <c r="G362" s="3"/>
    </row>
    <row r="363">
      <c r="A363" s="3" t="str">
        <f>IFERROR(__xludf.DUMMYFUNCTION("""COMPUTED_VALUE"""),"")</f>
        <v/>
      </c>
      <c r="B363" s="3"/>
      <c r="C363" s="3"/>
      <c r="D363" s="3"/>
      <c r="E363" s="3"/>
      <c r="F363" s="3"/>
      <c r="G363" s="3"/>
    </row>
    <row r="364">
      <c r="A364" s="3" t="str">
        <f>IFERROR(__xludf.DUMMYFUNCTION("""COMPUTED_VALUE"""),"")</f>
        <v/>
      </c>
      <c r="B364" s="3"/>
      <c r="C364" s="3"/>
      <c r="D364" s="3"/>
      <c r="E364" s="3"/>
      <c r="F364" s="3"/>
      <c r="G364" s="3"/>
    </row>
    <row r="365">
      <c r="A365" s="3" t="str">
        <f>IFERROR(__xludf.DUMMYFUNCTION("""COMPUTED_VALUE"""),"")</f>
        <v/>
      </c>
      <c r="B365" s="3"/>
      <c r="C365" s="3"/>
      <c r="D365" s="3"/>
      <c r="E365" s="3"/>
      <c r="F365" s="3"/>
      <c r="G365" s="3"/>
    </row>
    <row r="366">
      <c r="A366" s="3" t="str">
        <f>IFERROR(__xludf.DUMMYFUNCTION("""COMPUTED_VALUE"""),"")</f>
        <v/>
      </c>
      <c r="B366" s="3"/>
      <c r="C366" s="3"/>
      <c r="D366" s="3"/>
      <c r="E366" s="3"/>
      <c r="F366" s="3"/>
      <c r="G366" s="3"/>
    </row>
    <row r="367">
      <c r="A367" s="3" t="str">
        <f>IFERROR(__xludf.DUMMYFUNCTION("""COMPUTED_VALUE"""),"")</f>
        <v/>
      </c>
      <c r="B367" s="3"/>
      <c r="C367" s="3"/>
      <c r="D367" s="3"/>
      <c r="E367" s="3"/>
      <c r="F367" s="3"/>
      <c r="G367" s="3"/>
    </row>
    <row r="368">
      <c r="A368" s="3" t="str">
        <f>IFERROR(__xludf.DUMMYFUNCTION("""COMPUTED_VALUE"""),"")</f>
        <v/>
      </c>
      <c r="B368" s="3"/>
      <c r="C368" s="3"/>
      <c r="D368" s="3"/>
      <c r="E368" s="3"/>
      <c r="F368" s="3"/>
      <c r="G368" s="3"/>
    </row>
    <row r="369">
      <c r="A369" s="3" t="str">
        <f>IFERROR(__xludf.DUMMYFUNCTION("""COMPUTED_VALUE"""),"")</f>
        <v/>
      </c>
      <c r="B369" s="3"/>
      <c r="C369" s="3"/>
      <c r="D369" s="3"/>
      <c r="E369" s="3"/>
      <c r="F369" s="3"/>
      <c r="G369" s="3"/>
    </row>
    <row r="370">
      <c r="A370" s="3" t="str">
        <f>IFERROR(__xludf.DUMMYFUNCTION("""COMPUTED_VALUE"""),"")</f>
        <v/>
      </c>
      <c r="B370" s="3"/>
      <c r="C370" s="3"/>
      <c r="D370" s="3"/>
      <c r="E370" s="3"/>
      <c r="F370" s="3"/>
      <c r="G370" s="3"/>
    </row>
    <row r="371">
      <c r="A371" s="3" t="str">
        <f>IFERROR(__xludf.DUMMYFUNCTION("""COMPUTED_VALUE"""),"")</f>
        <v/>
      </c>
      <c r="B371" s="3"/>
      <c r="C371" s="3"/>
      <c r="D371" s="3"/>
      <c r="E371" s="3"/>
      <c r="F371" s="3"/>
      <c r="G371" s="3"/>
    </row>
    <row r="372">
      <c r="A372" s="3" t="str">
        <f>IFERROR(__xludf.DUMMYFUNCTION("""COMPUTED_VALUE"""),"")</f>
        <v/>
      </c>
      <c r="B372" s="3"/>
      <c r="C372" s="3"/>
      <c r="D372" s="3"/>
      <c r="E372" s="3"/>
      <c r="F372" s="3"/>
      <c r="G372" s="3"/>
    </row>
    <row r="373">
      <c r="A373" s="3" t="str">
        <f>IFERROR(__xludf.DUMMYFUNCTION("""COMPUTED_VALUE"""),"")</f>
        <v/>
      </c>
      <c r="B373" s="3"/>
      <c r="C373" s="3"/>
      <c r="D373" s="3"/>
      <c r="E373" s="3"/>
      <c r="F373" s="3"/>
      <c r="G373" s="3"/>
    </row>
    <row r="374">
      <c r="A374" s="3" t="str">
        <f>IFERROR(__xludf.DUMMYFUNCTION("""COMPUTED_VALUE"""),"")</f>
        <v/>
      </c>
      <c r="B374" s="3"/>
      <c r="C374" s="3"/>
      <c r="D374" s="3"/>
      <c r="E374" s="3"/>
      <c r="F374" s="3"/>
      <c r="G374" s="3"/>
    </row>
    <row r="375">
      <c r="A375" s="3" t="str">
        <f>IFERROR(__xludf.DUMMYFUNCTION("""COMPUTED_VALUE"""),"")</f>
        <v/>
      </c>
      <c r="B375" s="3"/>
      <c r="C375" s="3"/>
      <c r="D375" s="3"/>
      <c r="E375" s="3"/>
      <c r="F375" s="3"/>
      <c r="G375" s="3"/>
    </row>
    <row r="376">
      <c r="A376" s="3" t="str">
        <f>IFERROR(__xludf.DUMMYFUNCTION("""COMPUTED_VALUE"""),"")</f>
        <v/>
      </c>
      <c r="B376" s="3"/>
      <c r="C376" s="3"/>
      <c r="D376" s="3"/>
      <c r="E376" s="3"/>
      <c r="F376" s="3"/>
      <c r="G376" s="3"/>
    </row>
    <row r="377">
      <c r="A377" s="3" t="str">
        <f>IFERROR(__xludf.DUMMYFUNCTION("""COMPUTED_VALUE"""),"")</f>
        <v/>
      </c>
      <c r="B377" s="3"/>
      <c r="C377" s="3"/>
      <c r="D377" s="3"/>
      <c r="E377" s="3"/>
      <c r="F377" s="3"/>
      <c r="G377" s="3"/>
    </row>
    <row r="378">
      <c r="A378" s="3" t="str">
        <f>IFERROR(__xludf.DUMMYFUNCTION("""COMPUTED_VALUE"""),"")</f>
        <v/>
      </c>
      <c r="B378" s="3"/>
      <c r="C378" s="3"/>
      <c r="D378" s="3"/>
      <c r="E378" s="3"/>
      <c r="F378" s="3"/>
      <c r="G378" s="3"/>
    </row>
    <row r="379">
      <c r="A379" s="3" t="str">
        <f>IFERROR(__xludf.DUMMYFUNCTION("""COMPUTED_VALUE"""),"")</f>
        <v/>
      </c>
      <c r="B379" s="3"/>
      <c r="C379" s="3"/>
      <c r="D379" s="3"/>
      <c r="E379" s="3"/>
      <c r="F379" s="3"/>
      <c r="G379" s="3"/>
    </row>
    <row r="380">
      <c r="A380" s="3" t="str">
        <f>IFERROR(__xludf.DUMMYFUNCTION("""COMPUTED_VALUE"""),"")</f>
        <v/>
      </c>
      <c r="B380" s="3"/>
      <c r="C380" s="3"/>
      <c r="D380" s="3"/>
      <c r="E380" s="3"/>
      <c r="F380" s="3"/>
      <c r="G380" s="3"/>
    </row>
    <row r="381">
      <c r="A381" s="3" t="str">
        <f>IFERROR(__xludf.DUMMYFUNCTION("""COMPUTED_VALUE"""),"")</f>
        <v/>
      </c>
      <c r="B381" s="3"/>
      <c r="C381" s="3"/>
      <c r="D381" s="3"/>
      <c r="E381" s="3"/>
      <c r="F381" s="3"/>
      <c r="G381" s="3"/>
    </row>
    <row r="382">
      <c r="A382" s="3" t="str">
        <f>IFERROR(__xludf.DUMMYFUNCTION("""COMPUTED_VALUE"""),"")</f>
        <v/>
      </c>
      <c r="B382" s="3"/>
      <c r="C382" s="3"/>
      <c r="D382" s="3"/>
      <c r="E382" s="3"/>
      <c r="F382" s="3"/>
      <c r="G382" s="3"/>
    </row>
    <row r="383">
      <c r="A383" s="3" t="str">
        <f>IFERROR(__xludf.DUMMYFUNCTION("""COMPUTED_VALUE"""),"")</f>
        <v/>
      </c>
      <c r="B383" s="3"/>
      <c r="C383" s="3"/>
      <c r="D383" s="3"/>
      <c r="E383" s="3"/>
      <c r="F383" s="3"/>
      <c r="G383" s="3"/>
    </row>
    <row r="384">
      <c r="A384" s="3" t="str">
        <f>IFERROR(__xludf.DUMMYFUNCTION("""COMPUTED_VALUE"""),"")</f>
        <v/>
      </c>
      <c r="B384" s="3"/>
      <c r="C384" s="3"/>
      <c r="D384" s="3"/>
      <c r="E384" s="3"/>
      <c r="F384" s="3"/>
      <c r="G384" s="3"/>
    </row>
    <row r="385">
      <c r="A385" s="3" t="str">
        <f>IFERROR(__xludf.DUMMYFUNCTION("""COMPUTED_VALUE"""),"")</f>
        <v/>
      </c>
      <c r="B385" s="3"/>
      <c r="C385" s="3"/>
      <c r="D385" s="3"/>
      <c r="E385" s="3"/>
      <c r="F385" s="3"/>
      <c r="G385" s="3"/>
    </row>
    <row r="386">
      <c r="A386" s="3" t="str">
        <f>IFERROR(__xludf.DUMMYFUNCTION("""COMPUTED_VALUE"""),"")</f>
        <v/>
      </c>
      <c r="B386" s="3"/>
      <c r="C386" s="3"/>
      <c r="D386" s="3"/>
      <c r="E386" s="3"/>
      <c r="F386" s="3"/>
      <c r="G386" s="3"/>
    </row>
    <row r="387">
      <c r="A387" s="3" t="str">
        <f>IFERROR(__xludf.DUMMYFUNCTION("""COMPUTED_VALUE"""),"")</f>
        <v/>
      </c>
      <c r="B387" s="3"/>
      <c r="C387" s="3"/>
      <c r="D387" s="3"/>
      <c r="E387" s="3"/>
      <c r="F387" s="3"/>
      <c r="G387" s="3"/>
    </row>
    <row r="388">
      <c r="A388" s="3" t="str">
        <f>IFERROR(__xludf.DUMMYFUNCTION("""COMPUTED_VALUE"""),"")</f>
        <v/>
      </c>
      <c r="B388" s="3"/>
      <c r="C388" s="3"/>
      <c r="D388" s="3"/>
      <c r="E388" s="3"/>
      <c r="F388" s="3"/>
      <c r="G388" s="3"/>
    </row>
    <row r="389">
      <c r="A389" s="3" t="str">
        <f>IFERROR(__xludf.DUMMYFUNCTION("""COMPUTED_VALUE"""),"")</f>
        <v/>
      </c>
      <c r="B389" s="3"/>
      <c r="C389" s="3"/>
      <c r="D389" s="3"/>
      <c r="E389" s="3"/>
      <c r="F389" s="3"/>
      <c r="G389" s="3"/>
    </row>
    <row r="390">
      <c r="A390" s="3" t="str">
        <f>IFERROR(__xludf.DUMMYFUNCTION("""COMPUTED_VALUE"""),"")</f>
        <v/>
      </c>
      <c r="B390" s="3"/>
      <c r="C390" s="3"/>
      <c r="D390" s="3"/>
      <c r="E390" s="3"/>
      <c r="F390" s="3"/>
      <c r="G390" s="3"/>
    </row>
    <row r="391">
      <c r="A391" s="3" t="str">
        <f>IFERROR(__xludf.DUMMYFUNCTION("""COMPUTED_VALUE"""),"")</f>
        <v/>
      </c>
      <c r="B391" s="3"/>
      <c r="C391" s="3"/>
      <c r="D391" s="3"/>
      <c r="E391" s="3"/>
      <c r="F391" s="3"/>
      <c r="G391" s="3"/>
    </row>
    <row r="392">
      <c r="A392" s="3" t="str">
        <f>IFERROR(__xludf.DUMMYFUNCTION("""COMPUTED_VALUE"""),"")</f>
        <v/>
      </c>
      <c r="B392" s="3"/>
      <c r="C392" s="3"/>
      <c r="D392" s="3"/>
      <c r="E392" s="3"/>
      <c r="F392" s="3"/>
      <c r="G392" s="3"/>
    </row>
    <row r="393">
      <c r="A393" s="3" t="str">
        <f>IFERROR(__xludf.DUMMYFUNCTION("""COMPUTED_VALUE"""),"")</f>
        <v/>
      </c>
      <c r="B393" s="3"/>
      <c r="C393" s="3"/>
      <c r="D393" s="3"/>
      <c r="E393" s="3"/>
      <c r="F393" s="3"/>
      <c r="G393" s="3"/>
    </row>
    <row r="394">
      <c r="A394" s="3" t="str">
        <f>IFERROR(__xludf.DUMMYFUNCTION("""COMPUTED_VALUE"""),"")</f>
        <v/>
      </c>
      <c r="B394" s="3"/>
      <c r="C394" s="3"/>
      <c r="D394" s="3"/>
      <c r="E394" s="3"/>
      <c r="F394" s="3"/>
      <c r="G394" s="3"/>
    </row>
    <row r="395">
      <c r="A395" s="3" t="str">
        <f>IFERROR(__xludf.DUMMYFUNCTION("""COMPUTED_VALUE"""),"")</f>
        <v/>
      </c>
      <c r="B395" s="3"/>
      <c r="C395" s="3"/>
      <c r="D395" s="3"/>
      <c r="E395" s="3"/>
      <c r="F395" s="3"/>
      <c r="G395" s="3"/>
    </row>
    <row r="396">
      <c r="A396" s="3" t="str">
        <f>IFERROR(__xludf.DUMMYFUNCTION("""COMPUTED_VALUE"""),"")</f>
        <v/>
      </c>
      <c r="B396" s="3"/>
      <c r="C396" s="3"/>
      <c r="D396" s="3"/>
      <c r="E396" s="3"/>
      <c r="F396" s="3"/>
      <c r="G396" s="3"/>
    </row>
    <row r="397">
      <c r="A397" s="3" t="str">
        <f>IFERROR(__xludf.DUMMYFUNCTION("""COMPUTED_VALUE"""),"")</f>
        <v/>
      </c>
      <c r="B397" s="3"/>
      <c r="C397" s="3"/>
      <c r="D397" s="3"/>
      <c r="E397" s="3"/>
      <c r="F397" s="3"/>
      <c r="G397" s="3"/>
    </row>
    <row r="398">
      <c r="A398" s="3" t="str">
        <f>IFERROR(__xludf.DUMMYFUNCTION("""COMPUTED_VALUE"""),"")</f>
        <v/>
      </c>
      <c r="B398" s="3"/>
      <c r="C398" s="3"/>
      <c r="D398" s="3"/>
      <c r="E398" s="3"/>
      <c r="F398" s="3"/>
      <c r="G398" s="3"/>
    </row>
    <row r="399">
      <c r="A399" s="3" t="str">
        <f>IFERROR(__xludf.DUMMYFUNCTION("""COMPUTED_VALUE"""),"")</f>
        <v/>
      </c>
      <c r="B399" s="3"/>
      <c r="C399" s="3"/>
      <c r="D399" s="3"/>
      <c r="E399" s="3"/>
      <c r="F399" s="3"/>
      <c r="G399" s="3"/>
    </row>
    <row r="400">
      <c r="A400" s="3" t="str">
        <f>IFERROR(__xludf.DUMMYFUNCTION("""COMPUTED_VALUE"""),"")</f>
        <v/>
      </c>
      <c r="B400" s="3"/>
      <c r="C400" s="3"/>
      <c r="D400" s="3"/>
      <c r="E400" s="3"/>
      <c r="F400" s="3"/>
      <c r="G400" s="3"/>
    </row>
    <row r="401">
      <c r="A401" s="3" t="str">
        <f>IFERROR(__xludf.DUMMYFUNCTION("""COMPUTED_VALUE"""),"")</f>
        <v/>
      </c>
      <c r="B401" s="3"/>
      <c r="C401" s="3"/>
      <c r="D401" s="3"/>
      <c r="E401" s="3"/>
      <c r="F401" s="3"/>
      <c r="G401" s="3"/>
    </row>
    <row r="402">
      <c r="A402" s="3" t="str">
        <f>IFERROR(__xludf.DUMMYFUNCTION("""COMPUTED_VALUE"""),"")</f>
        <v/>
      </c>
      <c r="B402" s="3"/>
      <c r="C402" s="3"/>
      <c r="D402" s="3"/>
      <c r="E402" s="3"/>
      <c r="F402" s="3"/>
      <c r="G402" s="3"/>
    </row>
    <row r="403">
      <c r="A403" s="3" t="str">
        <f>IFERROR(__xludf.DUMMYFUNCTION("""COMPUTED_VALUE"""),"")</f>
        <v/>
      </c>
      <c r="B403" s="3"/>
      <c r="C403" s="3"/>
      <c r="D403" s="3"/>
      <c r="E403" s="3"/>
      <c r="F403" s="3"/>
      <c r="G403" s="3"/>
    </row>
    <row r="404">
      <c r="A404" s="3" t="str">
        <f>IFERROR(__xludf.DUMMYFUNCTION("""COMPUTED_VALUE"""),"")</f>
        <v/>
      </c>
      <c r="B404" s="3"/>
      <c r="C404" s="3"/>
      <c r="D404" s="3"/>
      <c r="E404" s="3"/>
      <c r="F404" s="3"/>
      <c r="G404" s="3"/>
    </row>
    <row r="405">
      <c r="A405" s="3" t="str">
        <f>IFERROR(__xludf.DUMMYFUNCTION("""COMPUTED_VALUE"""),"")</f>
        <v/>
      </c>
      <c r="B405" s="3"/>
      <c r="C405" s="3"/>
      <c r="D405" s="3"/>
      <c r="E405" s="3"/>
      <c r="F405" s="3"/>
      <c r="G405" s="3"/>
    </row>
    <row r="406">
      <c r="A406" s="3" t="str">
        <f>IFERROR(__xludf.DUMMYFUNCTION("""COMPUTED_VALUE"""),"")</f>
        <v/>
      </c>
      <c r="B406" s="3"/>
      <c r="C406" s="3"/>
      <c r="D406" s="3"/>
      <c r="E406" s="3"/>
      <c r="F406" s="3"/>
      <c r="G406" s="3"/>
    </row>
    <row r="407">
      <c r="A407" s="3" t="str">
        <f>IFERROR(__xludf.DUMMYFUNCTION("""COMPUTED_VALUE"""),"")</f>
        <v/>
      </c>
      <c r="B407" s="3"/>
      <c r="C407" s="3"/>
      <c r="D407" s="3"/>
      <c r="E407" s="3"/>
      <c r="F407" s="3"/>
      <c r="G407" s="3"/>
    </row>
    <row r="408">
      <c r="A408" s="3" t="str">
        <f>IFERROR(__xludf.DUMMYFUNCTION("""COMPUTED_VALUE"""),"")</f>
        <v/>
      </c>
      <c r="B408" s="3"/>
      <c r="C408" s="3"/>
      <c r="D408" s="3"/>
      <c r="E408" s="3"/>
      <c r="F408" s="3"/>
      <c r="G408" s="3"/>
    </row>
    <row r="409">
      <c r="A409" s="3" t="str">
        <f>IFERROR(__xludf.DUMMYFUNCTION("""COMPUTED_VALUE"""),"")</f>
        <v/>
      </c>
      <c r="B409" s="3"/>
      <c r="C409" s="3"/>
      <c r="D409" s="3"/>
      <c r="E409" s="3"/>
      <c r="F409" s="3"/>
      <c r="G409" s="3"/>
    </row>
    <row r="410">
      <c r="A410" s="3" t="str">
        <f>IFERROR(__xludf.DUMMYFUNCTION("""COMPUTED_VALUE"""),"")</f>
        <v/>
      </c>
      <c r="B410" s="3"/>
      <c r="C410" s="3"/>
      <c r="D410" s="3"/>
      <c r="E410" s="3"/>
      <c r="F410" s="3"/>
      <c r="G410" s="3"/>
    </row>
    <row r="411">
      <c r="A411" s="3" t="str">
        <f>IFERROR(__xludf.DUMMYFUNCTION("""COMPUTED_VALUE"""),"")</f>
        <v/>
      </c>
      <c r="B411" s="3"/>
      <c r="C411" s="3"/>
      <c r="D411" s="3"/>
      <c r="E411" s="3"/>
      <c r="F411" s="3"/>
      <c r="G411" s="3"/>
    </row>
    <row r="412">
      <c r="A412" s="3" t="str">
        <f>IFERROR(__xludf.DUMMYFUNCTION("""COMPUTED_VALUE"""),"")</f>
        <v/>
      </c>
      <c r="B412" s="3"/>
      <c r="C412" s="3"/>
      <c r="D412" s="3"/>
      <c r="E412" s="3"/>
      <c r="F412" s="3"/>
      <c r="G412" s="3"/>
    </row>
    <row r="413">
      <c r="A413" s="3" t="str">
        <f>IFERROR(__xludf.DUMMYFUNCTION("""COMPUTED_VALUE"""),"")</f>
        <v/>
      </c>
      <c r="B413" s="3"/>
      <c r="C413" s="3"/>
      <c r="D413" s="3"/>
      <c r="E413" s="3"/>
      <c r="F413" s="3"/>
      <c r="G413" s="3"/>
    </row>
    <row r="414">
      <c r="A414" s="3" t="str">
        <f>IFERROR(__xludf.DUMMYFUNCTION("""COMPUTED_VALUE"""),"")</f>
        <v/>
      </c>
      <c r="B414" s="3"/>
      <c r="C414" s="3"/>
      <c r="D414" s="3"/>
      <c r="E414" s="3"/>
      <c r="F414" s="3"/>
      <c r="G414" s="3"/>
    </row>
    <row r="415">
      <c r="A415" s="3" t="str">
        <f>IFERROR(__xludf.DUMMYFUNCTION("""COMPUTED_VALUE"""),"")</f>
        <v/>
      </c>
      <c r="B415" s="3"/>
      <c r="C415" s="3"/>
      <c r="D415" s="3"/>
      <c r="E415" s="3"/>
      <c r="F415" s="3"/>
      <c r="G415" s="3"/>
    </row>
    <row r="416">
      <c r="A416" s="3" t="str">
        <f>IFERROR(__xludf.DUMMYFUNCTION("""COMPUTED_VALUE"""),"")</f>
        <v/>
      </c>
      <c r="B416" s="3"/>
      <c r="C416" s="3"/>
      <c r="D416" s="3"/>
      <c r="E416" s="3"/>
      <c r="F416" s="3"/>
      <c r="G416" s="3"/>
    </row>
    <row r="417">
      <c r="A417" s="3" t="str">
        <f>IFERROR(__xludf.DUMMYFUNCTION("""COMPUTED_VALUE"""),"")</f>
        <v/>
      </c>
      <c r="B417" s="3"/>
      <c r="C417" s="3"/>
      <c r="D417" s="3"/>
      <c r="E417" s="3"/>
      <c r="F417" s="3"/>
      <c r="G417" s="3"/>
    </row>
    <row r="418">
      <c r="A418" s="3" t="str">
        <f>IFERROR(__xludf.DUMMYFUNCTION("""COMPUTED_VALUE"""),"")</f>
        <v/>
      </c>
      <c r="B418" s="3"/>
      <c r="C418" s="3"/>
      <c r="D418" s="3"/>
      <c r="E418" s="3"/>
      <c r="F418" s="3"/>
      <c r="G418" s="3"/>
    </row>
    <row r="419">
      <c r="A419" s="3" t="str">
        <f>IFERROR(__xludf.DUMMYFUNCTION("""COMPUTED_VALUE"""),"")</f>
        <v/>
      </c>
      <c r="B419" s="3"/>
      <c r="C419" s="3"/>
      <c r="D419" s="3"/>
      <c r="E419" s="3"/>
      <c r="F419" s="3"/>
      <c r="G419" s="3"/>
    </row>
    <row r="420">
      <c r="A420" s="3" t="str">
        <f>IFERROR(__xludf.DUMMYFUNCTION("""COMPUTED_VALUE"""),"")</f>
        <v/>
      </c>
      <c r="B420" s="3"/>
      <c r="C420" s="3"/>
      <c r="D420" s="3"/>
      <c r="E420" s="3"/>
      <c r="F420" s="3"/>
      <c r="G420" s="3"/>
    </row>
    <row r="421">
      <c r="A421" s="3" t="str">
        <f>IFERROR(__xludf.DUMMYFUNCTION("""COMPUTED_VALUE"""),"")</f>
        <v/>
      </c>
      <c r="B421" s="3"/>
      <c r="C421" s="3"/>
      <c r="D421" s="3"/>
      <c r="E421" s="3"/>
      <c r="F421" s="3"/>
      <c r="G421" s="3"/>
    </row>
    <row r="422">
      <c r="A422" s="3" t="str">
        <f>IFERROR(__xludf.DUMMYFUNCTION("""COMPUTED_VALUE"""),"")</f>
        <v/>
      </c>
      <c r="B422" s="3"/>
      <c r="C422" s="3"/>
      <c r="D422" s="3"/>
      <c r="E422" s="3"/>
      <c r="F422" s="3"/>
      <c r="G422" s="3"/>
    </row>
    <row r="423">
      <c r="A423" s="3" t="str">
        <f>IFERROR(__xludf.DUMMYFUNCTION("""COMPUTED_VALUE"""),"")</f>
        <v/>
      </c>
      <c r="B423" s="3"/>
      <c r="C423" s="3"/>
      <c r="D423" s="3"/>
      <c r="E423" s="3"/>
      <c r="F423" s="3"/>
      <c r="G423" s="3"/>
    </row>
    <row r="424">
      <c r="A424" s="3" t="str">
        <f>IFERROR(__xludf.DUMMYFUNCTION("""COMPUTED_VALUE"""),"")</f>
        <v/>
      </c>
      <c r="B424" s="3"/>
      <c r="C424" s="3"/>
      <c r="D424" s="3"/>
      <c r="E424" s="3"/>
      <c r="F424" s="3"/>
      <c r="G424" s="3"/>
    </row>
    <row r="425">
      <c r="A425" s="3" t="str">
        <f>IFERROR(__xludf.DUMMYFUNCTION("""COMPUTED_VALUE"""),"")</f>
        <v/>
      </c>
      <c r="B425" s="3"/>
      <c r="C425" s="3"/>
      <c r="D425" s="3"/>
      <c r="E425" s="3"/>
      <c r="F425" s="3"/>
      <c r="G425" s="3"/>
    </row>
    <row r="426">
      <c r="A426" s="3" t="str">
        <f>IFERROR(__xludf.DUMMYFUNCTION("""COMPUTED_VALUE"""),"")</f>
        <v/>
      </c>
      <c r="B426" s="3"/>
      <c r="C426" s="3"/>
      <c r="D426" s="3"/>
      <c r="E426" s="3"/>
      <c r="F426" s="3"/>
      <c r="G426" s="3"/>
    </row>
    <row r="427">
      <c r="A427" s="3" t="str">
        <f>IFERROR(__xludf.DUMMYFUNCTION("""COMPUTED_VALUE"""),"")</f>
        <v/>
      </c>
      <c r="B427" s="3"/>
      <c r="C427" s="3"/>
      <c r="D427" s="3"/>
      <c r="E427" s="3"/>
      <c r="F427" s="3"/>
      <c r="G427" s="3"/>
    </row>
    <row r="428">
      <c r="A428" s="3" t="str">
        <f>IFERROR(__xludf.DUMMYFUNCTION("""COMPUTED_VALUE"""),"")</f>
        <v/>
      </c>
      <c r="B428" s="3"/>
      <c r="C428" s="3"/>
      <c r="D428" s="3"/>
      <c r="E428" s="3"/>
      <c r="F428" s="3"/>
      <c r="G428" s="3"/>
    </row>
    <row r="429">
      <c r="A429" s="3" t="str">
        <f>IFERROR(__xludf.DUMMYFUNCTION("""COMPUTED_VALUE"""),"")</f>
        <v/>
      </c>
      <c r="B429" s="3"/>
      <c r="C429" s="3"/>
      <c r="D429" s="3"/>
      <c r="E429" s="3"/>
      <c r="F429" s="3"/>
      <c r="G429" s="3"/>
    </row>
    <row r="430">
      <c r="A430" s="3" t="str">
        <f>IFERROR(__xludf.DUMMYFUNCTION("""COMPUTED_VALUE"""),"")</f>
        <v/>
      </c>
      <c r="B430" s="3"/>
      <c r="C430" s="3"/>
      <c r="D430" s="3"/>
      <c r="E430" s="3"/>
      <c r="F430" s="3"/>
      <c r="G430" s="3"/>
    </row>
    <row r="431">
      <c r="A431" s="3" t="str">
        <f>IFERROR(__xludf.DUMMYFUNCTION("""COMPUTED_VALUE"""),"")</f>
        <v/>
      </c>
      <c r="B431" s="3"/>
      <c r="C431" s="3"/>
      <c r="D431" s="3"/>
      <c r="E431" s="3"/>
      <c r="F431" s="3"/>
      <c r="G431" s="3"/>
    </row>
    <row r="432">
      <c r="A432" s="3" t="str">
        <f>IFERROR(__xludf.DUMMYFUNCTION("""COMPUTED_VALUE"""),"")</f>
        <v/>
      </c>
      <c r="B432" s="3"/>
      <c r="C432" s="3"/>
      <c r="D432" s="3"/>
      <c r="E432" s="3"/>
      <c r="F432" s="3"/>
      <c r="G432" s="3"/>
    </row>
    <row r="433">
      <c r="A433" s="3" t="str">
        <f>IFERROR(__xludf.DUMMYFUNCTION("""COMPUTED_VALUE"""),"")</f>
        <v/>
      </c>
      <c r="B433" s="3"/>
      <c r="C433" s="3"/>
      <c r="D433" s="3"/>
      <c r="E433" s="3"/>
      <c r="F433" s="3"/>
      <c r="G433" s="3"/>
    </row>
    <row r="434">
      <c r="A434" s="3" t="str">
        <f>IFERROR(__xludf.DUMMYFUNCTION("""COMPUTED_VALUE"""),"")</f>
        <v/>
      </c>
      <c r="B434" s="3"/>
      <c r="C434" s="3"/>
      <c r="D434" s="3"/>
      <c r="E434" s="3"/>
      <c r="F434" s="3"/>
      <c r="G434" s="3"/>
    </row>
    <row r="435">
      <c r="A435" s="3" t="str">
        <f>IFERROR(__xludf.DUMMYFUNCTION("""COMPUTED_VALUE"""),"")</f>
        <v/>
      </c>
      <c r="B435" s="3"/>
      <c r="C435" s="3"/>
      <c r="D435" s="3"/>
      <c r="E435" s="3"/>
      <c r="F435" s="3"/>
      <c r="G435" s="3"/>
    </row>
    <row r="436">
      <c r="A436" s="3" t="str">
        <f>IFERROR(__xludf.DUMMYFUNCTION("""COMPUTED_VALUE"""),"")</f>
        <v/>
      </c>
      <c r="B436" s="3"/>
      <c r="C436" s="3"/>
      <c r="D436" s="3"/>
      <c r="E436" s="3"/>
      <c r="F436" s="3"/>
      <c r="G436" s="3"/>
    </row>
    <row r="437">
      <c r="A437" s="3" t="str">
        <f>IFERROR(__xludf.DUMMYFUNCTION("""COMPUTED_VALUE"""),"")</f>
        <v/>
      </c>
      <c r="B437" s="3"/>
      <c r="C437" s="3"/>
      <c r="D437" s="3"/>
      <c r="E437" s="3"/>
      <c r="F437" s="3"/>
      <c r="G437" s="3"/>
    </row>
    <row r="438">
      <c r="A438" s="3" t="str">
        <f>IFERROR(__xludf.DUMMYFUNCTION("""COMPUTED_VALUE"""),"")</f>
        <v/>
      </c>
      <c r="B438" s="3"/>
      <c r="C438" s="3"/>
      <c r="D438" s="3"/>
      <c r="E438" s="3"/>
      <c r="F438" s="3"/>
      <c r="G438" s="3"/>
    </row>
    <row r="439">
      <c r="A439" s="3" t="str">
        <f>IFERROR(__xludf.DUMMYFUNCTION("""COMPUTED_VALUE"""),"")</f>
        <v/>
      </c>
      <c r="B439" s="3"/>
      <c r="C439" s="3"/>
      <c r="D439" s="3"/>
      <c r="E439" s="3"/>
      <c r="F439" s="3"/>
      <c r="G439" s="3"/>
    </row>
    <row r="440">
      <c r="A440" s="3" t="str">
        <f>IFERROR(__xludf.DUMMYFUNCTION("""COMPUTED_VALUE"""),"")</f>
        <v/>
      </c>
      <c r="B440" s="3"/>
      <c r="C440" s="3"/>
      <c r="D440" s="3"/>
      <c r="E440" s="3"/>
      <c r="F440" s="3"/>
      <c r="G440" s="3"/>
    </row>
    <row r="441">
      <c r="A441" s="3" t="str">
        <f>IFERROR(__xludf.DUMMYFUNCTION("""COMPUTED_VALUE"""),"")</f>
        <v/>
      </c>
      <c r="B441" s="3"/>
      <c r="C441" s="3"/>
      <c r="D441" s="3"/>
      <c r="E441" s="3"/>
      <c r="F441" s="3"/>
      <c r="G441" s="3"/>
    </row>
    <row r="442">
      <c r="A442" s="3" t="str">
        <f>IFERROR(__xludf.DUMMYFUNCTION("""COMPUTED_VALUE"""),"")</f>
        <v/>
      </c>
      <c r="B442" s="3"/>
      <c r="C442" s="3"/>
      <c r="D442" s="3"/>
      <c r="E442" s="3"/>
      <c r="F442" s="3"/>
      <c r="G442" s="3"/>
    </row>
    <row r="443">
      <c r="A443" s="3" t="str">
        <f>IFERROR(__xludf.DUMMYFUNCTION("""COMPUTED_VALUE"""),"")</f>
        <v/>
      </c>
      <c r="B443" s="3"/>
      <c r="C443" s="3"/>
      <c r="D443" s="3"/>
      <c r="E443" s="3"/>
      <c r="F443" s="3"/>
      <c r="G443" s="3"/>
    </row>
    <row r="444">
      <c r="A444" s="3" t="str">
        <f>IFERROR(__xludf.DUMMYFUNCTION("""COMPUTED_VALUE"""),"")</f>
        <v/>
      </c>
      <c r="B444" s="3"/>
      <c r="C444" s="3"/>
      <c r="D444" s="3"/>
      <c r="E444" s="3"/>
      <c r="F444" s="3"/>
      <c r="G444" s="3"/>
    </row>
    <row r="445">
      <c r="A445" s="3" t="str">
        <f>IFERROR(__xludf.DUMMYFUNCTION("""COMPUTED_VALUE"""),"")</f>
        <v/>
      </c>
      <c r="B445" s="3"/>
      <c r="C445" s="3"/>
      <c r="D445" s="3"/>
      <c r="E445" s="3"/>
      <c r="F445" s="3"/>
      <c r="G445" s="3"/>
    </row>
    <row r="446">
      <c r="A446" s="3" t="str">
        <f>IFERROR(__xludf.DUMMYFUNCTION("""COMPUTED_VALUE"""),"")</f>
        <v/>
      </c>
      <c r="B446" s="3"/>
      <c r="C446" s="3"/>
      <c r="D446" s="3"/>
      <c r="E446" s="3"/>
      <c r="F446" s="3"/>
      <c r="G446" s="3"/>
    </row>
    <row r="447">
      <c r="A447" s="3" t="str">
        <f>IFERROR(__xludf.DUMMYFUNCTION("""COMPUTED_VALUE"""),"")</f>
        <v/>
      </c>
      <c r="B447" s="3"/>
      <c r="C447" s="3"/>
      <c r="D447" s="3"/>
      <c r="E447" s="3"/>
      <c r="F447" s="3"/>
      <c r="G447" s="3"/>
    </row>
    <row r="448">
      <c r="A448" s="3" t="str">
        <f>IFERROR(__xludf.DUMMYFUNCTION("""COMPUTED_VALUE"""),"")</f>
        <v/>
      </c>
      <c r="B448" s="3"/>
      <c r="C448" s="3"/>
      <c r="D448" s="3"/>
      <c r="E448" s="3"/>
      <c r="F448" s="3"/>
      <c r="G448" s="3"/>
    </row>
    <row r="449">
      <c r="A449" s="3" t="str">
        <f>IFERROR(__xludf.DUMMYFUNCTION("""COMPUTED_VALUE"""),"")</f>
        <v/>
      </c>
      <c r="B449" s="3"/>
      <c r="C449" s="3"/>
      <c r="D449" s="3"/>
      <c r="E449" s="3"/>
      <c r="F449" s="3"/>
      <c r="G449" s="3"/>
    </row>
    <row r="450">
      <c r="A450" s="3" t="str">
        <f>IFERROR(__xludf.DUMMYFUNCTION("""COMPUTED_VALUE"""),"")</f>
        <v/>
      </c>
      <c r="B450" s="3"/>
      <c r="C450" s="3"/>
      <c r="D450" s="3"/>
      <c r="E450" s="3"/>
      <c r="F450" s="3"/>
      <c r="G450" s="3"/>
    </row>
    <row r="451">
      <c r="A451" s="3" t="str">
        <f>IFERROR(__xludf.DUMMYFUNCTION("""COMPUTED_VALUE"""),"")</f>
        <v/>
      </c>
      <c r="B451" s="3"/>
      <c r="C451" s="3"/>
      <c r="D451" s="3"/>
      <c r="E451" s="3"/>
      <c r="F451" s="3"/>
      <c r="G451" s="3"/>
    </row>
    <row r="452">
      <c r="A452" s="3" t="str">
        <f>IFERROR(__xludf.DUMMYFUNCTION("""COMPUTED_VALUE"""),"")</f>
        <v/>
      </c>
      <c r="B452" s="3"/>
      <c r="C452" s="3"/>
      <c r="D452" s="3"/>
      <c r="E452" s="3"/>
      <c r="F452" s="3"/>
      <c r="G452" s="3"/>
    </row>
    <row r="453">
      <c r="A453" s="3" t="str">
        <f>IFERROR(__xludf.DUMMYFUNCTION("""COMPUTED_VALUE"""),"")</f>
        <v/>
      </c>
      <c r="B453" s="3"/>
      <c r="C453" s="3"/>
      <c r="D453" s="3"/>
      <c r="E453" s="3"/>
      <c r="F453" s="3"/>
      <c r="G453" s="3"/>
    </row>
    <row r="454">
      <c r="A454" s="3" t="str">
        <f>IFERROR(__xludf.DUMMYFUNCTION("""COMPUTED_VALUE"""),"")</f>
        <v/>
      </c>
      <c r="B454" s="3"/>
      <c r="C454" s="3"/>
      <c r="D454" s="3"/>
      <c r="E454" s="3"/>
      <c r="F454" s="3"/>
      <c r="G454" s="3"/>
    </row>
    <row r="455">
      <c r="A455" s="3" t="str">
        <f>IFERROR(__xludf.DUMMYFUNCTION("""COMPUTED_VALUE"""),"")</f>
        <v/>
      </c>
      <c r="B455" s="3"/>
      <c r="C455" s="3"/>
      <c r="D455" s="3"/>
      <c r="E455" s="3"/>
      <c r="F455" s="3"/>
      <c r="G455" s="3"/>
    </row>
    <row r="456">
      <c r="A456" s="3" t="str">
        <f>IFERROR(__xludf.DUMMYFUNCTION("""COMPUTED_VALUE"""),"")</f>
        <v/>
      </c>
      <c r="B456" s="3"/>
      <c r="C456" s="3"/>
      <c r="D456" s="3"/>
      <c r="E456" s="3"/>
      <c r="F456" s="3"/>
      <c r="G456" s="3"/>
    </row>
    <row r="457">
      <c r="A457" s="3" t="str">
        <f>IFERROR(__xludf.DUMMYFUNCTION("""COMPUTED_VALUE"""),"")</f>
        <v/>
      </c>
      <c r="B457" s="3"/>
      <c r="C457" s="3"/>
      <c r="D457" s="3"/>
      <c r="E457" s="3"/>
      <c r="F457" s="3"/>
      <c r="G457" s="3"/>
    </row>
    <row r="458">
      <c r="A458" s="3" t="str">
        <f>IFERROR(__xludf.DUMMYFUNCTION("""COMPUTED_VALUE"""),"")</f>
        <v/>
      </c>
      <c r="B458" s="3"/>
      <c r="C458" s="3"/>
      <c r="D458" s="3"/>
      <c r="E458" s="3"/>
      <c r="F458" s="3"/>
      <c r="G458" s="3"/>
    </row>
    <row r="459">
      <c r="A459" s="3" t="str">
        <f>IFERROR(__xludf.DUMMYFUNCTION("""COMPUTED_VALUE"""),"")</f>
        <v/>
      </c>
      <c r="B459" s="3"/>
      <c r="C459" s="3"/>
      <c r="D459" s="3"/>
      <c r="E459" s="3"/>
      <c r="F459" s="3"/>
      <c r="G459" s="3"/>
    </row>
    <row r="460">
      <c r="A460" s="3" t="str">
        <f>IFERROR(__xludf.DUMMYFUNCTION("""COMPUTED_VALUE"""),"")</f>
        <v/>
      </c>
      <c r="B460" s="3"/>
      <c r="C460" s="3"/>
      <c r="D460" s="3"/>
      <c r="E460" s="3"/>
      <c r="F460" s="3"/>
      <c r="G460" s="3"/>
    </row>
    <row r="461">
      <c r="A461" s="3" t="str">
        <f>IFERROR(__xludf.DUMMYFUNCTION("""COMPUTED_VALUE"""),"")</f>
        <v/>
      </c>
      <c r="B461" s="3"/>
      <c r="C461" s="3"/>
      <c r="D461" s="3"/>
      <c r="E461" s="3"/>
      <c r="F461" s="3"/>
      <c r="G461" s="3"/>
    </row>
    <row r="462">
      <c r="A462" s="3" t="str">
        <f>IFERROR(__xludf.DUMMYFUNCTION("""COMPUTED_VALUE"""),"")</f>
        <v/>
      </c>
      <c r="B462" s="3"/>
      <c r="C462" s="3"/>
      <c r="D462" s="3"/>
      <c r="E462" s="3"/>
      <c r="F462" s="3"/>
      <c r="G462" s="3"/>
    </row>
    <row r="463">
      <c r="A463" s="3" t="str">
        <f>IFERROR(__xludf.DUMMYFUNCTION("""COMPUTED_VALUE"""),"")</f>
        <v/>
      </c>
      <c r="B463" s="3"/>
      <c r="C463" s="3"/>
      <c r="D463" s="3"/>
      <c r="E463" s="3"/>
      <c r="F463" s="3"/>
      <c r="G463" s="3"/>
    </row>
    <row r="464">
      <c r="A464" s="3" t="str">
        <f>IFERROR(__xludf.DUMMYFUNCTION("""COMPUTED_VALUE"""),"")</f>
        <v/>
      </c>
      <c r="B464" s="3"/>
      <c r="C464" s="3"/>
      <c r="D464" s="3"/>
      <c r="E464" s="3"/>
      <c r="F464" s="3"/>
      <c r="G464" s="3"/>
    </row>
    <row r="465">
      <c r="A465" s="3" t="str">
        <f>IFERROR(__xludf.DUMMYFUNCTION("""COMPUTED_VALUE"""),"")</f>
        <v/>
      </c>
      <c r="B465" s="3"/>
      <c r="C465" s="3"/>
      <c r="D465" s="3"/>
      <c r="E465" s="3"/>
      <c r="F465" s="3"/>
      <c r="G465" s="3"/>
    </row>
    <row r="466">
      <c r="A466" s="3" t="str">
        <f>IFERROR(__xludf.DUMMYFUNCTION("""COMPUTED_VALUE"""),"")</f>
        <v/>
      </c>
      <c r="B466" s="3"/>
      <c r="C466" s="3"/>
      <c r="D466" s="3"/>
      <c r="E466" s="3"/>
      <c r="F466" s="3"/>
      <c r="G466" s="3"/>
    </row>
    <row r="467">
      <c r="A467" s="3" t="str">
        <f>IFERROR(__xludf.DUMMYFUNCTION("""COMPUTED_VALUE"""),"")</f>
        <v/>
      </c>
      <c r="B467" s="3"/>
      <c r="C467" s="3"/>
      <c r="D467" s="3"/>
      <c r="E467" s="3"/>
      <c r="F467" s="3"/>
      <c r="G467" s="3"/>
    </row>
    <row r="468">
      <c r="A468" s="3" t="str">
        <f>IFERROR(__xludf.DUMMYFUNCTION("""COMPUTED_VALUE"""),"")</f>
        <v/>
      </c>
      <c r="B468" s="3"/>
      <c r="C468" s="3"/>
      <c r="D468" s="3"/>
      <c r="E468" s="3"/>
      <c r="F468" s="3"/>
      <c r="G468" s="3"/>
    </row>
    <row r="469">
      <c r="A469" s="3" t="str">
        <f>IFERROR(__xludf.DUMMYFUNCTION("""COMPUTED_VALUE"""),"")</f>
        <v/>
      </c>
      <c r="B469" s="3"/>
      <c r="C469" s="3"/>
      <c r="D469" s="3"/>
      <c r="E469" s="3"/>
      <c r="F469" s="3"/>
      <c r="G469" s="3"/>
    </row>
    <row r="470">
      <c r="A470" s="3" t="str">
        <f>IFERROR(__xludf.DUMMYFUNCTION("""COMPUTED_VALUE"""),"")</f>
        <v/>
      </c>
      <c r="B470" s="3"/>
      <c r="C470" s="3"/>
      <c r="D470" s="3"/>
      <c r="E470" s="3"/>
      <c r="F470" s="3"/>
      <c r="G470" s="3"/>
    </row>
    <row r="471">
      <c r="A471" s="3" t="str">
        <f>IFERROR(__xludf.DUMMYFUNCTION("""COMPUTED_VALUE"""),"")</f>
        <v/>
      </c>
      <c r="B471" s="3"/>
      <c r="C471" s="3"/>
      <c r="D471" s="3"/>
      <c r="E471" s="3"/>
      <c r="F471" s="3"/>
      <c r="G471" s="3"/>
    </row>
    <row r="472">
      <c r="A472" s="3" t="str">
        <f>IFERROR(__xludf.DUMMYFUNCTION("""COMPUTED_VALUE"""),"")</f>
        <v/>
      </c>
      <c r="B472" s="3"/>
      <c r="C472" s="3"/>
      <c r="D472" s="3"/>
      <c r="E472" s="3"/>
      <c r="F472" s="3"/>
      <c r="G472" s="3"/>
    </row>
    <row r="473">
      <c r="A473" s="3" t="str">
        <f>IFERROR(__xludf.DUMMYFUNCTION("""COMPUTED_VALUE"""),"")</f>
        <v/>
      </c>
      <c r="B473" s="3"/>
      <c r="C473" s="3"/>
      <c r="D473" s="3"/>
      <c r="E473" s="3"/>
      <c r="F473" s="3"/>
      <c r="G473" s="3"/>
    </row>
    <row r="474">
      <c r="A474" s="3" t="str">
        <f>IFERROR(__xludf.DUMMYFUNCTION("""COMPUTED_VALUE"""),"")</f>
        <v/>
      </c>
      <c r="B474" s="3"/>
      <c r="C474" s="3"/>
      <c r="D474" s="3"/>
      <c r="E474" s="3"/>
      <c r="F474" s="3"/>
      <c r="G474" s="3"/>
    </row>
    <row r="475">
      <c r="A475" s="3" t="str">
        <f>IFERROR(__xludf.DUMMYFUNCTION("""COMPUTED_VALUE"""),"")</f>
        <v/>
      </c>
      <c r="B475" s="3"/>
      <c r="C475" s="3"/>
      <c r="D475" s="3"/>
      <c r="E475" s="3"/>
      <c r="F475" s="3"/>
      <c r="G475" s="3"/>
    </row>
    <row r="476">
      <c r="A476" s="3" t="str">
        <f>IFERROR(__xludf.DUMMYFUNCTION("""COMPUTED_VALUE"""),"")</f>
        <v/>
      </c>
      <c r="B476" s="3"/>
      <c r="C476" s="3"/>
      <c r="D476" s="3"/>
      <c r="E476" s="3"/>
      <c r="F476" s="3"/>
      <c r="G476" s="3"/>
    </row>
    <row r="477">
      <c r="A477" s="3" t="str">
        <f>IFERROR(__xludf.DUMMYFUNCTION("""COMPUTED_VALUE"""),"")</f>
        <v/>
      </c>
      <c r="B477" s="3"/>
      <c r="C477" s="3"/>
      <c r="D477" s="3"/>
      <c r="E477" s="3"/>
      <c r="F477" s="3"/>
      <c r="G477" s="3"/>
    </row>
    <row r="478">
      <c r="A478" s="3" t="str">
        <f>IFERROR(__xludf.DUMMYFUNCTION("""COMPUTED_VALUE"""),"")</f>
        <v/>
      </c>
      <c r="B478" s="3"/>
      <c r="C478" s="3"/>
      <c r="D478" s="3"/>
      <c r="E478" s="3"/>
      <c r="F478" s="3"/>
      <c r="G478" s="3"/>
    </row>
    <row r="479">
      <c r="A479" s="3" t="str">
        <f>IFERROR(__xludf.DUMMYFUNCTION("""COMPUTED_VALUE"""),"")</f>
        <v/>
      </c>
      <c r="B479" s="3"/>
      <c r="C479" s="3"/>
      <c r="D479" s="3"/>
      <c r="E479" s="3"/>
      <c r="F479" s="3"/>
      <c r="G479" s="3"/>
    </row>
    <row r="480">
      <c r="A480" s="3" t="str">
        <f>IFERROR(__xludf.DUMMYFUNCTION("""COMPUTED_VALUE"""),"")</f>
        <v/>
      </c>
      <c r="B480" s="3"/>
      <c r="C480" s="3"/>
      <c r="D480" s="3"/>
      <c r="E480" s="3"/>
      <c r="F480" s="3"/>
      <c r="G480" s="3"/>
    </row>
    <row r="481">
      <c r="A481" s="3" t="str">
        <f>IFERROR(__xludf.DUMMYFUNCTION("""COMPUTED_VALUE"""),"")</f>
        <v/>
      </c>
      <c r="B481" s="3"/>
      <c r="C481" s="3"/>
      <c r="D481" s="3"/>
      <c r="E481" s="3"/>
      <c r="F481" s="3"/>
      <c r="G481" s="3"/>
    </row>
    <row r="482">
      <c r="A482" s="3" t="str">
        <f>IFERROR(__xludf.DUMMYFUNCTION("""COMPUTED_VALUE"""),"")</f>
        <v/>
      </c>
      <c r="B482" s="3"/>
      <c r="C482" s="3"/>
      <c r="D482" s="3"/>
      <c r="E482" s="3"/>
      <c r="F482" s="3"/>
      <c r="G482" s="3"/>
    </row>
    <row r="483">
      <c r="A483" s="3" t="str">
        <f>IFERROR(__xludf.DUMMYFUNCTION("""COMPUTED_VALUE"""),"")</f>
        <v/>
      </c>
      <c r="B483" s="3"/>
      <c r="C483" s="3"/>
      <c r="D483" s="3"/>
      <c r="E483" s="3"/>
      <c r="F483" s="3"/>
      <c r="G483" s="3"/>
    </row>
    <row r="484">
      <c r="A484" s="3" t="str">
        <f>IFERROR(__xludf.DUMMYFUNCTION("""COMPUTED_VALUE"""),"")</f>
        <v/>
      </c>
      <c r="B484" s="3"/>
      <c r="C484" s="3"/>
      <c r="D484" s="3"/>
      <c r="E484" s="3"/>
      <c r="F484" s="3"/>
      <c r="G484" s="3"/>
    </row>
    <row r="485">
      <c r="A485" s="3" t="str">
        <f>IFERROR(__xludf.DUMMYFUNCTION("""COMPUTED_VALUE"""),"")</f>
        <v/>
      </c>
      <c r="B485" s="3"/>
      <c r="C485" s="3"/>
      <c r="D485" s="3"/>
      <c r="E485" s="3"/>
      <c r="F485" s="3"/>
      <c r="G485" s="3"/>
    </row>
    <row r="486">
      <c r="A486" s="3" t="str">
        <f>IFERROR(__xludf.DUMMYFUNCTION("""COMPUTED_VALUE"""),"")</f>
        <v/>
      </c>
      <c r="B486" s="3"/>
      <c r="C486" s="3"/>
      <c r="D486" s="3"/>
      <c r="E486" s="3"/>
      <c r="F486" s="3"/>
      <c r="G486" s="3"/>
    </row>
    <row r="487">
      <c r="A487" s="3" t="str">
        <f>IFERROR(__xludf.DUMMYFUNCTION("""COMPUTED_VALUE"""),"")</f>
        <v/>
      </c>
      <c r="B487" s="3"/>
      <c r="C487" s="3"/>
      <c r="D487" s="3"/>
      <c r="E487" s="3"/>
      <c r="F487" s="3"/>
      <c r="G487" s="3"/>
    </row>
    <row r="488">
      <c r="A488" s="3" t="str">
        <f>IFERROR(__xludf.DUMMYFUNCTION("""COMPUTED_VALUE"""),"")</f>
        <v/>
      </c>
      <c r="B488" s="3"/>
      <c r="C488" s="3"/>
      <c r="D488" s="3"/>
      <c r="E488" s="3"/>
      <c r="F488" s="3"/>
      <c r="G488" s="3"/>
    </row>
    <row r="489">
      <c r="A489" s="3" t="str">
        <f>IFERROR(__xludf.DUMMYFUNCTION("""COMPUTED_VALUE"""),"")</f>
        <v/>
      </c>
      <c r="B489" s="3"/>
      <c r="C489" s="3"/>
      <c r="D489" s="3"/>
      <c r="E489" s="3"/>
      <c r="F489" s="3"/>
      <c r="G489" s="3"/>
    </row>
    <row r="490">
      <c r="A490" s="3" t="str">
        <f>IFERROR(__xludf.DUMMYFUNCTION("""COMPUTED_VALUE"""),"")</f>
        <v/>
      </c>
      <c r="B490" s="3"/>
      <c r="C490" s="3"/>
      <c r="D490" s="3"/>
      <c r="E490" s="3"/>
      <c r="F490" s="3"/>
      <c r="G490" s="3"/>
    </row>
    <row r="491">
      <c r="A491" s="3" t="str">
        <f>IFERROR(__xludf.DUMMYFUNCTION("""COMPUTED_VALUE"""),"")</f>
        <v/>
      </c>
      <c r="B491" s="3"/>
      <c r="C491" s="3"/>
      <c r="D491" s="3"/>
      <c r="E491" s="3"/>
      <c r="F491" s="3"/>
      <c r="G491" s="3"/>
    </row>
    <row r="492">
      <c r="A492" s="3" t="str">
        <f>IFERROR(__xludf.DUMMYFUNCTION("""COMPUTED_VALUE"""),"")</f>
        <v/>
      </c>
      <c r="B492" s="3"/>
      <c r="C492" s="3"/>
      <c r="D492" s="3"/>
      <c r="E492" s="3"/>
      <c r="F492" s="3"/>
      <c r="G492" s="3"/>
    </row>
    <row r="493">
      <c r="A493" s="3" t="str">
        <f>IFERROR(__xludf.DUMMYFUNCTION("""COMPUTED_VALUE"""),"")</f>
        <v/>
      </c>
      <c r="B493" s="3"/>
      <c r="C493" s="3"/>
      <c r="D493" s="3"/>
      <c r="E493" s="3"/>
      <c r="F493" s="3"/>
      <c r="G493" s="3"/>
    </row>
    <row r="494">
      <c r="A494" s="3" t="str">
        <f>IFERROR(__xludf.DUMMYFUNCTION("""COMPUTED_VALUE"""),"")</f>
        <v/>
      </c>
      <c r="B494" s="3"/>
      <c r="C494" s="3"/>
      <c r="D494" s="3"/>
      <c r="E494" s="3"/>
      <c r="F494" s="3"/>
      <c r="G494" s="3"/>
    </row>
    <row r="495">
      <c r="A495" s="3" t="str">
        <f>IFERROR(__xludf.DUMMYFUNCTION("""COMPUTED_VALUE"""),"")</f>
        <v/>
      </c>
      <c r="B495" s="3"/>
      <c r="C495" s="3"/>
      <c r="D495" s="3"/>
      <c r="E495" s="3"/>
      <c r="F495" s="3"/>
      <c r="G495" s="3"/>
    </row>
    <row r="496">
      <c r="A496" s="3" t="str">
        <f>IFERROR(__xludf.DUMMYFUNCTION("""COMPUTED_VALUE"""),"")</f>
        <v/>
      </c>
      <c r="B496" s="3"/>
      <c r="C496" s="3"/>
      <c r="D496" s="3"/>
      <c r="E496" s="3"/>
      <c r="F496" s="3"/>
      <c r="G496" s="3"/>
    </row>
    <row r="497">
      <c r="A497" s="3" t="str">
        <f>IFERROR(__xludf.DUMMYFUNCTION("""COMPUTED_VALUE"""),"")</f>
        <v/>
      </c>
      <c r="B497" s="3"/>
      <c r="C497" s="3"/>
      <c r="D497" s="3"/>
      <c r="E497" s="3"/>
      <c r="F497" s="3"/>
      <c r="G497" s="3"/>
    </row>
    <row r="498">
      <c r="A498" s="3" t="str">
        <f>IFERROR(__xludf.DUMMYFUNCTION("""COMPUTED_VALUE"""),"")</f>
        <v/>
      </c>
      <c r="B498" s="3"/>
      <c r="C498" s="3"/>
      <c r="D498" s="3"/>
      <c r="E498" s="3"/>
      <c r="F498" s="3"/>
      <c r="G498" s="3"/>
    </row>
    <row r="499">
      <c r="A499" s="3" t="str">
        <f>IFERROR(__xludf.DUMMYFUNCTION("""COMPUTED_VALUE"""),"")</f>
        <v/>
      </c>
      <c r="B499" s="3"/>
      <c r="C499" s="3"/>
      <c r="D499" s="3"/>
      <c r="E499" s="3"/>
      <c r="F499" s="3"/>
      <c r="G499" s="3"/>
    </row>
    <row r="500">
      <c r="A500" s="3" t="str">
        <f>IFERROR(__xludf.DUMMYFUNCTION("""COMPUTED_VALUE"""),"")</f>
        <v/>
      </c>
      <c r="B500" s="3"/>
      <c r="C500" s="3"/>
      <c r="D500" s="3"/>
      <c r="E500" s="3"/>
      <c r="F500" s="3"/>
      <c r="G500" s="3"/>
    </row>
    <row r="501">
      <c r="A501" s="3" t="str">
        <f>IFERROR(__xludf.DUMMYFUNCTION("""COMPUTED_VALUE"""),"")</f>
        <v/>
      </c>
      <c r="B501" s="3"/>
      <c r="C501" s="3"/>
      <c r="D501" s="3"/>
      <c r="E501" s="3"/>
      <c r="F501" s="3"/>
      <c r="G501" s="3"/>
    </row>
    <row r="502">
      <c r="A502" s="3" t="str">
        <f>IFERROR(__xludf.DUMMYFUNCTION("""COMPUTED_VALUE"""),"")</f>
        <v/>
      </c>
      <c r="B502" s="3"/>
      <c r="C502" s="3"/>
      <c r="D502" s="3"/>
      <c r="E502" s="3"/>
      <c r="F502" s="3"/>
      <c r="G502" s="3"/>
    </row>
    <row r="503">
      <c r="A503" s="3" t="str">
        <f>IFERROR(__xludf.DUMMYFUNCTION("""COMPUTED_VALUE"""),"")</f>
        <v/>
      </c>
      <c r="B503" s="3"/>
      <c r="C503" s="3"/>
      <c r="D503" s="3"/>
      <c r="E503" s="3"/>
      <c r="F503" s="3"/>
      <c r="G503" s="3"/>
    </row>
    <row r="504">
      <c r="A504" s="3" t="str">
        <f>IFERROR(__xludf.DUMMYFUNCTION("""COMPUTED_VALUE"""),"")</f>
        <v/>
      </c>
      <c r="B504" s="3"/>
      <c r="C504" s="3"/>
      <c r="D504" s="3"/>
      <c r="E504" s="3"/>
      <c r="F504" s="3"/>
      <c r="G504" s="3"/>
    </row>
    <row r="505">
      <c r="A505" s="3" t="str">
        <f>IFERROR(__xludf.DUMMYFUNCTION("""COMPUTED_VALUE"""),"")</f>
        <v/>
      </c>
      <c r="B505" s="3"/>
      <c r="C505" s="3"/>
      <c r="D505" s="3"/>
      <c r="E505" s="3"/>
      <c r="F505" s="3"/>
      <c r="G505" s="3"/>
    </row>
    <row r="506">
      <c r="A506" s="3" t="str">
        <f>IFERROR(__xludf.DUMMYFUNCTION("""COMPUTED_VALUE"""),"")</f>
        <v/>
      </c>
      <c r="B506" s="3"/>
      <c r="C506" s="3"/>
      <c r="D506" s="3"/>
      <c r="E506" s="3"/>
      <c r="F506" s="3"/>
      <c r="G506" s="3"/>
    </row>
    <row r="507">
      <c r="A507" s="3" t="str">
        <f>IFERROR(__xludf.DUMMYFUNCTION("""COMPUTED_VALUE"""),"")</f>
        <v/>
      </c>
      <c r="B507" s="3"/>
      <c r="C507" s="3"/>
      <c r="D507" s="3"/>
      <c r="E507" s="3"/>
      <c r="F507" s="3"/>
      <c r="G507" s="3"/>
    </row>
    <row r="508">
      <c r="A508" s="3" t="str">
        <f>IFERROR(__xludf.DUMMYFUNCTION("""COMPUTED_VALUE"""),"")</f>
        <v/>
      </c>
      <c r="B508" s="3"/>
      <c r="C508" s="3"/>
      <c r="D508" s="3"/>
      <c r="E508" s="3"/>
      <c r="F508" s="3"/>
      <c r="G508" s="3"/>
    </row>
    <row r="509">
      <c r="A509" s="3" t="str">
        <f>IFERROR(__xludf.DUMMYFUNCTION("""COMPUTED_VALUE"""),"")</f>
        <v/>
      </c>
      <c r="B509" s="3"/>
      <c r="C509" s="3"/>
      <c r="D509" s="3"/>
      <c r="E509" s="3"/>
      <c r="F509" s="3"/>
      <c r="G509" s="3"/>
    </row>
    <row r="510">
      <c r="A510" s="3" t="str">
        <f>IFERROR(__xludf.DUMMYFUNCTION("""COMPUTED_VALUE"""),"")</f>
        <v/>
      </c>
      <c r="B510" s="3"/>
      <c r="C510" s="3"/>
      <c r="D510" s="3"/>
      <c r="E510" s="3"/>
      <c r="F510" s="3"/>
      <c r="G510" s="3"/>
    </row>
    <row r="511">
      <c r="A511" s="3" t="str">
        <f>IFERROR(__xludf.DUMMYFUNCTION("""COMPUTED_VALUE"""),"")</f>
        <v/>
      </c>
      <c r="B511" s="3"/>
      <c r="C511" s="3"/>
      <c r="D511" s="3"/>
      <c r="E511" s="3"/>
      <c r="F511" s="3"/>
      <c r="G511" s="3"/>
    </row>
    <row r="512">
      <c r="A512" s="3" t="str">
        <f>IFERROR(__xludf.DUMMYFUNCTION("""COMPUTED_VALUE"""),"")</f>
        <v/>
      </c>
      <c r="B512" s="3"/>
      <c r="C512" s="3"/>
      <c r="D512" s="3"/>
      <c r="E512" s="3"/>
      <c r="F512" s="3"/>
      <c r="G512" s="3"/>
    </row>
    <row r="513">
      <c r="A513" s="3" t="str">
        <f>IFERROR(__xludf.DUMMYFUNCTION("""COMPUTED_VALUE"""),"")</f>
        <v/>
      </c>
      <c r="B513" s="3"/>
      <c r="C513" s="3"/>
      <c r="D513" s="3"/>
      <c r="E513" s="3"/>
      <c r="F513" s="3"/>
      <c r="G513" s="3"/>
    </row>
    <row r="514">
      <c r="A514" s="3" t="str">
        <f>IFERROR(__xludf.DUMMYFUNCTION("""COMPUTED_VALUE"""),"")</f>
        <v/>
      </c>
      <c r="B514" s="3"/>
      <c r="C514" s="3"/>
      <c r="D514" s="3"/>
      <c r="E514" s="3"/>
      <c r="F514" s="3"/>
      <c r="G514" s="3"/>
    </row>
    <row r="515">
      <c r="A515" s="3" t="str">
        <f>IFERROR(__xludf.DUMMYFUNCTION("""COMPUTED_VALUE"""),"")</f>
        <v/>
      </c>
      <c r="B515" s="3"/>
      <c r="C515" s="3"/>
      <c r="D515" s="3"/>
      <c r="E515" s="3"/>
      <c r="F515" s="3"/>
      <c r="G515" s="3"/>
    </row>
    <row r="516">
      <c r="A516" s="3" t="str">
        <f>IFERROR(__xludf.DUMMYFUNCTION("""COMPUTED_VALUE"""),"")</f>
        <v/>
      </c>
      <c r="B516" s="3"/>
      <c r="C516" s="3"/>
      <c r="D516" s="3"/>
      <c r="E516" s="3"/>
      <c r="F516" s="3"/>
      <c r="G516" s="3"/>
    </row>
    <row r="517">
      <c r="A517" s="3" t="str">
        <f>IFERROR(__xludf.DUMMYFUNCTION("""COMPUTED_VALUE"""),"")</f>
        <v/>
      </c>
      <c r="B517" s="3"/>
      <c r="C517" s="3"/>
      <c r="D517" s="3"/>
      <c r="E517" s="3"/>
      <c r="F517" s="3"/>
      <c r="G517" s="3"/>
    </row>
    <row r="518">
      <c r="A518" s="3" t="str">
        <f>IFERROR(__xludf.DUMMYFUNCTION("""COMPUTED_VALUE"""),"")</f>
        <v/>
      </c>
      <c r="B518" s="3"/>
      <c r="C518" s="3"/>
      <c r="D518" s="3"/>
      <c r="E518" s="3"/>
      <c r="F518" s="3"/>
      <c r="G518" s="3"/>
    </row>
    <row r="519">
      <c r="A519" s="3" t="str">
        <f>IFERROR(__xludf.DUMMYFUNCTION("""COMPUTED_VALUE"""),"")</f>
        <v/>
      </c>
      <c r="B519" s="3"/>
      <c r="C519" s="3"/>
      <c r="D519" s="3"/>
      <c r="E519" s="3"/>
      <c r="F519" s="3"/>
      <c r="G519" s="3"/>
    </row>
    <row r="520">
      <c r="A520" s="3" t="str">
        <f>IFERROR(__xludf.DUMMYFUNCTION("""COMPUTED_VALUE"""),"")</f>
        <v/>
      </c>
      <c r="B520" s="3"/>
      <c r="C520" s="3"/>
      <c r="D520" s="3"/>
      <c r="E520" s="3"/>
      <c r="F520" s="3"/>
      <c r="G520" s="3"/>
    </row>
    <row r="521">
      <c r="A521" s="3" t="str">
        <f>IFERROR(__xludf.DUMMYFUNCTION("""COMPUTED_VALUE"""),"")</f>
        <v/>
      </c>
      <c r="B521" s="3"/>
      <c r="C521" s="3"/>
      <c r="D521" s="3"/>
      <c r="E521" s="3"/>
      <c r="F521" s="3"/>
      <c r="G521" s="3"/>
    </row>
    <row r="522">
      <c r="A522" s="3" t="str">
        <f>IFERROR(__xludf.DUMMYFUNCTION("""COMPUTED_VALUE"""),"")</f>
        <v/>
      </c>
      <c r="B522" s="3"/>
      <c r="C522" s="3"/>
      <c r="D522" s="3"/>
      <c r="E522" s="3"/>
      <c r="F522" s="3"/>
      <c r="G522" s="3"/>
    </row>
    <row r="523">
      <c r="A523" s="3" t="str">
        <f>IFERROR(__xludf.DUMMYFUNCTION("""COMPUTED_VALUE"""),"")</f>
        <v/>
      </c>
      <c r="B523" s="3"/>
      <c r="C523" s="3"/>
      <c r="D523" s="3"/>
      <c r="E523" s="3"/>
      <c r="F523" s="3"/>
      <c r="G523" s="3"/>
    </row>
    <row r="524">
      <c r="A524" s="3" t="str">
        <f>IFERROR(__xludf.DUMMYFUNCTION("""COMPUTED_VALUE"""),"")</f>
        <v/>
      </c>
      <c r="B524" s="3"/>
      <c r="C524" s="3"/>
      <c r="D524" s="3"/>
      <c r="E524" s="3"/>
      <c r="F524" s="3"/>
      <c r="G524" s="3"/>
    </row>
    <row r="525">
      <c r="A525" s="3" t="str">
        <f>IFERROR(__xludf.DUMMYFUNCTION("""COMPUTED_VALUE"""),"")</f>
        <v/>
      </c>
      <c r="B525" s="3"/>
      <c r="C525" s="3"/>
      <c r="D525" s="3"/>
      <c r="E525" s="3"/>
      <c r="F525" s="3"/>
      <c r="G525" s="3"/>
    </row>
    <row r="526">
      <c r="A526" s="3" t="str">
        <f>IFERROR(__xludf.DUMMYFUNCTION("""COMPUTED_VALUE"""),"")</f>
        <v/>
      </c>
      <c r="B526" s="3"/>
      <c r="C526" s="3"/>
      <c r="D526" s="3"/>
      <c r="E526" s="3"/>
      <c r="F526" s="3"/>
      <c r="G526" s="3"/>
    </row>
    <row r="527">
      <c r="A527" s="3" t="str">
        <f>IFERROR(__xludf.DUMMYFUNCTION("""COMPUTED_VALUE"""),"")</f>
        <v/>
      </c>
      <c r="B527" s="3"/>
      <c r="C527" s="3"/>
      <c r="D527" s="3"/>
      <c r="E527" s="3"/>
      <c r="F527" s="3"/>
      <c r="G527" s="3"/>
    </row>
    <row r="528">
      <c r="A528" s="3" t="str">
        <f>IFERROR(__xludf.DUMMYFUNCTION("""COMPUTED_VALUE"""),"")</f>
        <v/>
      </c>
      <c r="B528" s="3"/>
      <c r="C528" s="3"/>
      <c r="D528" s="3"/>
      <c r="E528" s="3"/>
      <c r="F528" s="3"/>
      <c r="G528" s="3"/>
    </row>
    <row r="529">
      <c r="A529" s="3" t="str">
        <f>IFERROR(__xludf.DUMMYFUNCTION("""COMPUTED_VALUE"""),"")</f>
        <v/>
      </c>
      <c r="B529" s="3"/>
      <c r="C529" s="3"/>
      <c r="D529" s="3"/>
      <c r="E529" s="3"/>
      <c r="F529" s="3"/>
      <c r="G529" s="3"/>
    </row>
    <row r="530">
      <c r="A530" s="3" t="str">
        <f>IFERROR(__xludf.DUMMYFUNCTION("""COMPUTED_VALUE"""),"")</f>
        <v/>
      </c>
      <c r="B530" s="3"/>
      <c r="C530" s="3"/>
      <c r="D530" s="3"/>
      <c r="E530" s="3"/>
      <c r="F530" s="3"/>
      <c r="G530" s="3"/>
    </row>
    <row r="531">
      <c r="A531" s="3" t="str">
        <f>IFERROR(__xludf.DUMMYFUNCTION("""COMPUTED_VALUE"""),"")</f>
        <v/>
      </c>
      <c r="B531" s="3"/>
      <c r="C531" s="3"/>
      <c r="D531" s="3"/>
      <c r="E531" s="3"/>
      <c r="F531" s="3"/>
      <c r="G531" s="3"/>
    </row>
    <row r="532">
      <c r="A532" s="3" t="str">
        <f>IFERROR(__xludf.DUMMYFUNCTION("""COMPUTED_VALUE"""),"")</f>
        <v/>
      </c>
      <c r="B532" s="3"/>
      <c r="C532" s="3"/>
      <c r="D532" s="3"/>
      <c r="E532" s="3"/>
      <c r="F532" s="3"/>
      <c r="G532" s="3"/>
    </row>
    <row r="533">
      <c r="A533" s="3" t="str">
        <f>IFERROR(__xludf.DUMMYFUNCTION("""COMPUTED_VALUE"""),"")</f>
        <v/>
      </c>
      <c r="B533" s="3"/>
      <c r="C533" s="3"/>
      <c r="D533" s="3"/>
      <c r="E533" s="3"/>
      <c r="F533" s="3"/>
      <c r="G533" s="3"/>
    </row>
    <row r="534">
      <c r="A534" s="3" t="str">
        <f>IFERROR(__xludf.DUMMYFUNCTION("""COMPUTED_VALUE"""),"")</f>
        <v/>
      </c>
      <c r="B534" s="3"/>
      <c r="C534" s="3"/>
      <c r="D534" s="3"/>
      <c r="E534" s="3"/>
      <c r="F534" s="3"/>
      <c r="G534" s="3"/>
    </row>
    <row r="535">
      <c r="A535" s="3" t="str">
        <f>IFERROR(__xludf.DUMMYFUNCTION("""COMPUTED_VALUE"""),"")</f>
        <v/>
      </c>
      <c r="B535" s="3"/>
      <c r="C535" s="3"/>
      <c r="D535" s="3"/>
      <c r="E535" s="3"/>
      <c r="F535" s="3"/>
      <c r="G535" s="3"/>
    </row>
    <row r="536">
      <c r="A536" s="3" t="str">
        <f>IFERROR(__xludf.DUMMYFUNCTION("""COMPUTED_VALUE"""),"")</f>
        <v/>
      </c>
      <c r="B536" s="3"/>
      <c r="C536" s="3"/>
      <c r="D536" s="3"/>
      <c r="E536" s="3"/>
      <c r="F536" s="3"/>
      <c r="G536" s="3"/>
    </row>
    <row r="537">
      <c r="A537" s="3" t="str">
        <f>IFERROR(__xludf.DUMMYFUNCTION("""COMPUTED_VALUE"""),"")</f>
        <v/>
      </c>
      <c r="B537" s="3"/>
      <c r="C537" s="3"/>
      <c r="D537" s="3"/>
      <c r="E537" s="3"/>
      <c r="F537" s="3"/>
      <c r="G537" s="3"/>
    </row>
    <row r="538">
      <c r="A538" s="3" t="str">
        <f>IFERROR(__xludf.DUMMYFUNCTION("""COMPUTED_VALUE"""),"")</f>
        <v/>
      </c>
      <c r="B538" s="3"/>
      <c r="C538" s="3"/>
      <c r="D538" s="3"/>
      <c r="E538" s="3"/>
      <c r="F538" s="3"/>
      <c r="G538" s="3"/>
    </row>
    <row r="539">
      <c r="A539" s="3" t="str">
        <f>IFERROR(__xludf.DUMMYFUNCTION("""COMPUTED_VALUE"""),"")</f>
        <v/>
      </c>
      <c r="B539" s="3"/>
      <c r="C539" s="3"/>
      <c r="D539" s="3"/>
      <c r="E539" s="3"/>
      <c r="F539" s="3"/>
      <c r="G539" s="3"/>
    </row>
    <row r="540">
      <c r="A540" s="3" t="str">
        <f>IFERROR(__xludf.DUMMYFUNCTION("""COMPUTED_VALUE"""),"")</f>
        <v/>
      </c>
      <c r="B540" s="3"/>
      <c r="C540" s="3"/>
      <c r="D540" s="3"/>
      <c r="E540" s="3"/>
      <c r="F540" s="3"/>
      <c r="G540" s="3"/>
    </row>
    <row r="541">
      <c r="A541" s="3" t="str">
        <f>IFERROR(__xludf.DUMMYFUNCTION("""COMPUTED_VALUE"""),"")</f>
        <v/>
      </c>
      <c r="B541" s="3"/>
      <c r="C541" s="3"/>
      <c r="D541" s="3"/>
      <c r="E541" s="3"/>
      <c r="F541" s="3"/>
      <c r="G541" s="3"/>
    </row>
    <row r="542">
      <c r="A542" s="3" t="str">
        <f>IFERROR(__xludf.DUMMYFUNCTION("""COMPUTED_VALUE"""),"")</f>
        <v/>
      </c>
      <c r="B542" s="3"/>
      <c r="C542" s="3"/>
      <c r="D542" s="3"/>
      <c r="E542" s="3"/>
      <c r="F542" s="3"/>
      <c r="G542" s="3"/>
    </row>
    <row r="543">
      <c r="A543" s="3" t="str">
        <f>IFERROR(__xludf.DUMMYFUNCTION("""COMPUTED_VALUE"""),"")</f>
        <v/>
      </c>
      <c r="B543" s="3"/>
      <c r="C543" s="3"/>
      <c r="D543" s="3"/>
      <c r="E543" s="3"/>
      <c r="F543" s="3"/>
      <c r="G543" s="3"/>
    </row>
    <row r="544">
      <c r="A544" s="3" t="str">
        <f>IFERROR(__xludf.DUMMYFUNCTION("""COMPUTED_VALUE"""),"")</f>
        <v/>
      </c>
      <c r="B544" s="3"/>
      <c r="C544" s="3"/>
      <c r="D544" s="3"/>
      <c r="E544" s="3"/>
      <c r="F544" s="3"/>
      <c r="G544" s="3"/>
    </row>
    <row r="545">
      <c r="A545" s="3" t="str">
        <f>IFERROR(__xludf.DUMMYFUNCTION("""COMPUTED_VALUE"""),"")</f>
        <v/>
      </c>
      <c r="B545" s="3"/>
      <c r="C545" s="3"/>
      <c r="D545" s="3"/>
      <c r="E545" s="3"/>
      <c r="F545" s="3"/>
      <c r="G545" s="3"/>
    </row>
    <row r="546">
      <c r="A546" s="3" t="str">
        <f>IFERROR(__xludf.DUMMYFUNCTION("""COMPUTED_VALUE"""),"")</f>
        <v/>
      </c>
      <c r="B546" s="3"/>
      <c r="C546" s="3"/>
      <c r="D546" s="3"/>
      <c r="E546" s="3"/>
      <c r="F546" s="3"/>
      <c r="G546" s="3"/>
    </row>
    <row r="547">
      <c r="A547" s="3" t="str">
        <f>IFERROR(__xludf.DUMMYFUNCTION("""COMPUTED_VALUE"""),"")</f>
        <v/>
      </c>
      <c r="B547" s="3"/>
      <c r="C547" s="3"/>
      <c r="D547" s="3"/>
      <c r="E547" s="3"/>
      <c r="F547" s="3"/>
      <c r="G547" s="3"/>
    </row>
    <row r="548">
      <c r="A548" s="3" t="str">
        <f>IFERROR(__xludf.DUMMYFUNCTION("""COMPUTED_VALUE"""),"")</f>
        <v/>
      </c>
      <c r="B548" s="3"/>
      <c r="C548" s="3"/>
      <c r="D548" s="3"/>
      <c r="E548" s="3"/>
      <c r="F548" s="3"/>
      <c r="G548" s="3"/>
    </row>
    <row r="549">
      <c r="A549" s="3" t="str">
        <f>IFERROR(__xludf.DUMMYFUNCTION("""COMPUTED_VALUE"""),"")</f>
        <v/>
      </c>
      <c r="B549" s="3"/>
      <c r="C549" s="3"/>
      <c r="D549" s="3"/>
      <c r="E549" s="3"/>
      <c r="F549" s="3"/>
      <c r="G549" s="3"/>
    </row>
    <row r="550">
      <c r="A550" s="3" t="str">
        <f>IFERROR(__xludf.DUMMYFUNCTION("""COMPUTED_VALUE"""),"")</f>
        <v/>
      </c>
      <c r="B550" s="3"/>
      <c r="C550" s="3"/>
      <c r="D550" s="3"/>
      <c r="E550" s="3"/>
      <c r="F550" s="3"/>
      <c r="G550" s="3"/>
    </row>
    <row r="551">
      <c r="A551" s="3" t="str">
        <f>IFERROR(__xludf.DUMMYFUNCTION("""COMPUTED_VALUE"""),"")</f>
        <v/>
      </c>
      <c r="B551" s="3"/>
      <c r="C551" s="3"/>
      <c r="D551" s="3"/>
      <c r="E551" s="3"/>
      <c r="F551" s="3"/>
      <c r="G551" s="3"/>
    </row>
    <row r="552">
      <c r="A552" s="3" t="str">
        <f>IFERROR(__xludf.DUMMYFUNCTION("""COMPUTED_VALUE"""),"")</f>
        <v/>
      </c>
      <c r="B552" s="3"/>
      <c r="C552" s="3"/>
      <c r="D552" s="3"/>
      <c r="E552" s="3"/>
      <c r="F552" s="3"/>
      <c r="G552" s="3"/>
    </row>
    <row r="553">
      <c r="A553" s="3" t="str">
        <f>IFERROR(__xludf.DUMMYFUNCTION("""COMPUTED_VALUE"""),"")</f>
        <v/>
      </c>
      <c r="B553" s="3"/>
      <c r="C553" s="3"/>
      <c r="D553" s="3"/>
      <c r="E553" s="3"/>
      <c r="F553" s="3"/>
      <c r="G553" s="3"/>
    </row>
    <row r="554">
      <c r="A554" s="3" t="str">
        <f>IFERROR(__xludf.DUMMYFUNCTION("""COMPUTED_VALUE"""),"")</f>
        <v/>
      </c>
      <c r="B554" s="3"/>
      <c r="C554" s="3"/>
      <c r="D554" s="3"/>
      <c r="E554" s="3"/>
      <c r="F554" s="3"/>
      <c r="G554" s="3"/>
    </row>
    <row r="555">
      <c r="A555" s="3" t="str">
        <f>IFERROR(__xludf.DUMMYFUNCTION("""COMPUTED_VALUE"""),"")</f>
        <v/>
      </c>
      <c r="B555" s="3"/>
      <c r="C555" s="3"/>
      <c r="D555" s="3"/>
      <c r="E555" s="3"/>
      <c r="F555" s="3"/>
      <c r="G555" s="3"/>
    </row>
    <row r="556">
      <c r="A556" s="3" t="str">
        <f>IFERROR(__xludf.DUMMYFUNCTION("""COMPUTED_VALUE"""),"")</f>
        <v/>
      </c>
      <c r="B556" s="3"/>
      <c r="C556" s="3"/>
      <c r="D556" s="3"/>
      <c r="E556" s="3"/>
      <c r="F556" s="3"/>
      <c r="G556" s="3"/>
    </row>
    <row r="557">
      <c r="A557" s="3" t="str">
        <f>IFERROR(__xludf.DUMMYFUNCTION("""COMPUTED_VALUE"""),"")</f>
        <v/>
      </c>
      <c r="B557" s="3"/>
      <c r="C557" s="3"/>
      <c r="D557" s="3"/>
      <c r="E557" s="3"/>
      <c r="F557" s="3"/>
      <c r="G557" s="3"/>
    </row>
    <row r="558">
      <c r="A558" s="3" t="str">
        <f>IFERROR(__xludf.DUMMYFUNCTION("""COMPUTED_VALUE"""),"")</f>
        <v/>
      </c>
      <c r="B558" s="3"/>
      <c r="C558" s="3"/>
      <c r="D558" s="3"/>
      <c r="E558" s="3"/>
      <c r="F558" s="3"/>
      <c r="G558" s="3"/>
    </row>
    <row r="559">
      <c r="A559" s="3" t="str">
        <f>IFERROR(__xludf.DUMMYFUNCTION("""COMPUTED_VALUE"""),"")</f>
        <v/>
      </c>
      <c r="B559" s="3"/>
      <c r="C559" s="3"/>
      <c r="D559" s="3"/>
      <c r="E559" s="3"/>
      <c r="F559" s="3"/>
      <c r="G559" s="3"/>
    </row>
    <row r="560">
      <c r="A560" s="3" t="str">
        <f>IFERROR(__xludf.DUMMYFUNCTION("""COMPUTED_VALUE"""),"")</f>
        <v/>
      </c>
      <c r="B560" s="3"/>
      <c r="C560" s="3"/>
      <c r="D560" s="3"/>
      <c r="E560" s="3"/>
      <c r="F560" s="3"/>
      <c r="G560" s="3"/>
    </row>
    <row r="561">
      <c r="A561" s="3" t="str">
        <f>IFERROR(__xludf.DUMMYFUNCTION("""COMPUTED_VALUE"""),"")</f>
        <v/>
      </c>
      <c r="B561" s="3"/>
      <c r="C561" s="3"/>
      <c r="D561" s="3"/>
      <c r="E561" s="3"/>
      <c r="F561" s="3"/>
      <c r="G561" s="3"/>
    </row>
    <row r="562">
      <c r="A562" s="3" t="str">
        <f>IFERROR(__xludf.DUMMYFUNCTION("""COMPUTED_VALUE"""),"")</f>
        <v/>
      </c>
      <c r="B562" s="3"/>
      <c r="C562" s="3"/>
      <c r="D562" s="3"/>
      <c r="E562" s="3"/>
      <c r="F562" s="3"/>
      <c r="G562" s="3"/>
    </row>
    <row r="563">
      <c r="A563" s="3" t="str">
        <f>IFERROR(__xludf.DUMMYFUNCTION("""COMPUTED_VALUE"""),"")</f>
        <v/>
      </c>
      <c r="B563" s="3"/>
      <c r="C563" s="3"/>
      <c r="D563" s="3"/>
      <c r="E563" s="3"/>
      <c r="F563" s="3"/>
      <c r="G563" s="3"/>
    </row>
    <row r="564">
      <c r="A564" s="3" t="str">
        <f>IFERROR(__xludf.DUMMYFUNCTION("""COMPUTED_VALUE"""),"")</f>
        <v/>
      </c>
      <c r="B564" s="3"/>
      <c r="C564" s="3"/>
      <c r="D564" s="3"/>
      <c r="E564" s="3"/>
      <c r="F564" s="3"/>
      <c r="G564" s="3"/>
    </row>
    <row r="565">
      <c r="A565" s="3" t="str">
        <f>IFERROR(__xludf.DUMMYFUNCTION("""COMPUTED_VALUE"""),"")</f>
        <v/>
      </c>
      <c r="B565" s="3"/>
      <c r="C565" s="3"/>
      <c r="D565" s="3"/>
      <c r="E565" s="3"/>
      <c r="F565" s="3"/>
      <c r="G565" s="3"/>
    </row>
    <row r="566">
      <c r="A566" s="3" t="str">
        <f>IFERROR(__xludf.DUMMYFUNCTION("""COMPUTED_VALUE"""),"")</f>
        <v/>
      </c>
      <c r="B566" s="3"/>
      <c r="C566" s="3"/>
      <c r="D566" s="3"/>
      <c r="E566" s="3"/>
      <c r="F566" s="3"/>
      <c r="G566" s="3"/>
    </row>
    <row r="567">
      <c r="A567" s="3" t="str">
        <f>IFERROR(__xludf.DUMMYFUNCTION("""COMPUTED_VALUE"""),"")</f>
        <v/>
      </c>
      <c r="B567" s="3"/>
      <c r="C567" s="3"/>
      <c r="D567" s="3"/>
      <c r="E567" s="3"/>
      <c r="F567" s="3"/>
      <c r="G567" s="3"/>
    </row>
    <row r="568">
      <c r="A568" s="3" t="str">
        <f>IFERROR(__xludf.DUMMYFUNCTION("""COMPUTED_VALUE"""),"")</f>
        <v/>
      </c>
      <c r="B568" s="3"/>
      <c r="C568" s="3"/>
      <c r="D568" s="3"/>
      <c r="E568" s="3"/>
      <c r="F568" s="3"/>
      <c r="G568" s="3"/>
    </row>
    <row r="569">
      <c r="A569" s="3" t="str">
        <f>IFERROR(__xludf.DUMMYFUNCTION("""COMPUTED_VALUE"""),"")</f>
        <v/>
      </c>
      <c r="B569" s="3"/>
      <c r="C569" s="3"/>
      <c r="D569" s="3"/>
      <c r="E569" s="3"/>
      <c r="F569" s="3"/>
      <c r="G569" s="3"/>
    </row>
    <row r="570">
      <c r="A570" s="3" t="str">
        <f>IFERROR(__xludf.DUMMYFUNCTION("""COMPUTED_VALUE"""),"")</f>
        <v/>
      </c>
      <c r="B570" s="3"/>
      <c r="C570" s="3"/>
      <c r="D570" s="3"/>
      <c r="E570" s="3"/>
      <c r="F570" s="3"/>
      <c r="G570" s="3"/>
    </row>
    <row r="571">
      <c r="A571" s="3" t="str">
        <f>IFERROR(__xludf.DUMMYFUNCTION("""COMPUTED_VALUE"""),"")</f>
        <v/>
      </c>
      <c r="B571" s="3"/>
      <c r="C571" s="3"/>
      <c r="D571" s="3"/>
      <c r="E571" s="3"/>
      <c r="F571" s="3"/>
      <c r="G571" s="3"/>
    </row>
    <row r="572">
      <c r="A572" s="3" t="str">
        <f>IFERROR(__xludf.DUMMYFUNCTION("""COMPUTED_VALUE"""),"")</f>
        <v/>
      </c>
      <c r="B572" s="3"/>
      <c r="C572" s="3"/>
      <c r="D572" s="3"/>
      <c r="E572" s="3"/>
      <c r="F572" s="3"/>
      <c r="G572" s="3"/>
    </row>
    <row r="573">
      <c r="A573" s="3" t="str">
        <f>IFERROR(__xludf.DUMMYFUNCTION("""COMPUTED_VALUE"""),"")</f>
        <v/>
      </c>
      <c r="B573" s="3"/>
      <c r="C573" s="3"/>
      <c r="D573" s="3"/>
      <c r="E573" s="3"/>
      <c r="F573" s="3"/>
      <c r="G573" s="3"/>
    </row>
    <row r="574">
      <c r="A574" s="3" t="str">
        <f>IFERROR(__xludf.DUMMYFUNCTION("""COMPUTED_VALUE"""),"")</f>
        <v/>
      </c>
      <c r="B574" s="3"/>
      <c r="C574" s="3"/>
      <c r="D574" s="3"/>
      <c r="E574" s="3"/>
      <c r="F574" s="3"/>
      <c r="G574" s="3"/>
    </row>
    <row r="575">
      <c r="A575" s="3" t="str">
        <f>IFERROR(__xludf.DUMMYFUNCTION("""COMPUTED_VALUE"""),"")</f>
        <v/>
      </c>
      <c r="B575" s="3"/>
      <c r="C575" s="3"/>
      <c r="D575" s="3"/>
      <c r="E575" s="3"/>
      <c r="F575" s="3"/>
      <c r="G575" s="3"/>
    </row>
    <row r="576">
      <c r="A576" s="3" t="str">
        <f>IFERROR(__xludf.DUMMYFUNCTION("""COMPUTED_VALUE"""),"")</f>
        <v/>
      </c>
      <c r="B576" s="3"/>
      <c r="C576" s="3"/>
      <c r="D576" s="3"/>
      <c r="E576" s="3"/>
      <c r="F576" s="3"/>
      <c r="G576" s="3"/>
    </row>
    <row r="577">
      <c r="A577" s="3" t="str">
        <f>IFERROR(__xludf.DUMMYFUNCTION("""COMPUTED_VALUE"""),"")</f>
        <v/>
      </c>
      <c r="B577" s="3"/>
      <c r="C577" s="3"/>
      <c r="D577" s="3"/>
      <c r="E577" s="3"/>
      <c r="F577" s="3"/>
      <c r="G577" s="3"/>
    </row>
    <row r="578">
      <c r="A578" s="3" t="str">
        <f>IFERROR(__xludf.DUMMYFUNCTION("""COMPUTED_VALUE"""),"")</f>
        <v/>
      </c>
      <c r="B578" s="3"/>
      <c r="C578" s="3"/>
      <c r="D578" s="3"/>
      <c r="E578" s="3"/>
      <c r="F578" s="3"/>
      <c r="G578" s="3"/>
    </row>
    <row r="579">
      <c r="A579" s="3" t="str">
        <f>IFERROR(__xludf.DUMMYFUNCTION("""COMPUTED_VALUE"""),"")</f>
        <v/>
      </c>
      <c r="B579" s="3"/>
      <c r="C579" s="3"/>
      <c r="D579" s="3"/>
      <c r="E579" s="3"/>
      <c r="F579" s="3"/>
      <c r="G579" s="3"/>
    </row>
    <row r="580">
      <c r="A580" s="3" t="str">
        <f>IFERROR(__xludf.DUMMYFUNCTION("""COMPUTED_VALUE"""),"")</f>
        <v/>
      </c>
      <c r="B580" s="3"/>
      <c r="C580" s="3"/>
      <c r="D580" s="3"/>
      <c r="E580" s="3"/>
      <c r="F580" s="3"/>
      <c r="G580" s="3"/>
    </row>
    <row r="581">
      <c r="A581" s="3" t="str">
        <f>IFERROR(__xludf.DUMMYFUNCTION("""COMPUTED_VALUE"""),"")</f>
        <v/>
      </c>
      <c r="B581" s="3"/>
      <c r="C581" s="3"/>
      <c r="D581" s="3"/>
      <c r="E581" s="3"/>
      <c r="F581" s="3"/>
      <c r="G581" s="3"/>
    </row>
    <row r="582">
      <c r="A582" s="3" t="str">
        <f>IFERROR(__xludf.DUMMYFUNCTION("""COMPUTED_VALUE"""),"")</f>
        <v/>
      </c>
      <c r="B582" s="3"/>
      <c r="C582" s="3"/>
      <c r="D582" s="3"/>
      <c r="E582" s="3"/>
      <c r="F582" s="3"/>
      <c r="G582" s="3"/>
    </row>
    <row r="583">
      <c r="A583" s="3" t="str">
        <f>IFERROR(__xludf.DUMMYFUNCTION("""COMPUTED_VALUE"""),"")</f>
        <v/>
      </c>
      <c r="B583" s="3"/>
      <c r="C583" s="3"/>
      <c r="D583" s="3"/>
      <c r="E583" s="3"/>
      <c r="F583" s="3"/>
      <c r="G583" s="3"/>
    </row>
    <row r="584">
      <c r="A584" s="3" t="str">
        <f>IFERROR(__xludf.DUMMYFUNCTION("""COMPUTED_VALUE"""),"")</f>
        <v/>
      </c>
      <c r="B584" s="3"/>
      <c r="C584" s="3"/>
      <c r="D584" s="3"/>
      <c r="E584" s="3"/>
      <c r="F584" s="3"/>
      <c r="G584" s="3"/>
    </row>
    <row r="585">
      <c r="A585" s="3" t="str">
        <f>IFERROR(__xludf.DUMMYFUNCTION("""COMPUTED_VALUE"""),"")</f>
        <v/>
      </c>
      <c r="B585" s="3"/>
      <c r="C585" s="3"/>
      <c r="D585" s="3"/>
      <c r="E585" s="3"/>
      <c r="F585" s="3"/>
      <c r="G585" s="3"/>
    </row>
    <row r="586">
      <c r="A586" s="3" t="str">
        <f>IFERROR(__xludf.DUMMYFUNCTION("""COMPUTED_VALUE"""),"")</f>
        <v/>
      </c>
      <c r="B586" s="3"/>
      <c r="C586" s="3"/>
      <c r="D586" s="3"/>
      <c r="E586" s="3"/>
      <c r="F586" s="3"/>
      <c r="G586" s="3"/>
    </row>
    <row r="587">
      <c r="A587" s="3" t="str">
        <f>IFERROR(__xludf.DUMMYFUNCTION("""COMPUTED_VALUE"""),"")</f>
        <v/>
      </c>
      <c r="B587" s="3"/>
      <c r="C587" s="3"/>
      <c r="D587" s="3"/>
      <c r="E587" s="3"/>
      <c r="F587" s="3"/>
      <c r="G587" s="3"/>
    </row>
    <row r="588">
      <c r="A588" s="3" t="str">
        <f>IFERROR(__xludf.DUMMYFUNCTION("""COMPUTED_VALUE"""),"")</f>
        <v/>
      </c>
      <c r="B588" s="3"/>
      <c r="C588" s="3"/>
      <c r="D588" s="3"/>
      <c r="E588" s="3"/>
      <c r="F588" s="3"/>
      <c r="G588" s="3"/>
    </row>
    <row r="589">
      <c r="A589" s="3" t="str">
        <f>IFERROR(__xludf.DUMMYFUNCTION("""COMPUTED_VALUE"""),"")</f>
        <v/>
      </c>
      <c r="B589" s="3"/>
      <c r="C589" s="3"/>
      <c r="D589" s="3"/>
      <c r="E589" s="3"/>
      <c r="F589" s="3"/>
      <c r="G589" s="3"/>
    </row>
    <row r="590">
      <c r="A590" s="3" t="str">
        <f>IFERROR(__xludf.DUMMYFUNCTION("""COMPUTED_VALUE"""),"")</f>
        <v/>
      </c>
      <c r="B590" s="3"/>
      <c r="C590" s="3"/>
      <c r="D590" s="3"/>
      <c r="E590" s="3"/>
      <c r="F590" s="3"/>
      <c r="G590" s="3"/>
    </row>
    <row r="591">
      <c r="A591" s="3" t="str">
        <f>IFERROR(__xludf.DUMMYFUNCTION("""COMPUTED_VALUE"""),"")</f>
        <v/>
      </c>
      <c r="B591" s="3"/>
      <c r="C591" s="3"/>
      <c r="D591" s="3"/>
      <c r="E591" s="3"/>
      <c r="F591" s="3"/>
      <c r="G591" s="3"/>
    </row>
    <row r="592">
      <c r="A592" s="3" t="str">
        <f>IFERROR(__xludf.DUMMYFUNCTION("""COMPUTED_VALUE"""),"")</f>
        <v/>
      </c>
      <c r="B592" s="3"/>
      <c r="C592" s="3"/>
      <c r="D592" s="3"/>
      <c r="E592" s="3"/>
      <c r="F592" s="3"/>
      <c r="G592" s="3"/>
    </row>
    <row r="593">
      <c r="A593" s="3" t="str">
        <f>IFERROR(__xludf.DUMMYFUNCTION("""COMPUTED_VALUE"""),"")</f>
        <v/>
      </c>
      <c r="B593" s="3"/>
      <c r="C593" s="3"/>
      <c r="D593" s="3"/>
      <c r="E593" s="3"/>
      <c r="F593" s="3"/>
      <c r="G593" s="3"/>
    </row>
    <row r="594">
      <c r="A594" s="3" t="str">
        <f>IFERROR(__xludf.DUMMYFUNCTION("""COMPUTED_VALUE"""),"")</f>
        <v/>
      </c>
      <c r="B594" s="3"/>
      <c r="C594" s="3"/>
      <c r="D594" s="3"/>
      <c r="E594" s="3"/>
      <c r="F594" s="3"/>
      <c r="G594" s="3"/>
    </row>
    <row r="595">
      <c r="A595" s="3" t="str">
        <f>IFERROR(__xludf.DUMMYFUNCTION("""COMPUTED_VALUE"""),"")</f>
        <v/>
      </c>
      <c r="B595" s="3"/>
      <c r="C595" s="3"/>
      <c r="D595" s="3"/>
      <c r="E595" s="3"/>
      <c r="F595" s="3"/>
      <c r="G595" s="3"/>
    </row>
    <row r="596">
      <c r="A596" s="3" t="str">
        <f>IFERROR(__xludf.DUMMYFUNCTION("""COMPUTED_VALUE"""),"")</f>
        <v/>
      </c>
      <c r="B596" s="3"/>
      <c r="C596" s="3"/>
      <c r="D596" s="3"/>
      <c r="E596" s="3"/>
      <c r="F596" s="3"/>
      <c r="G596" s="3"/>
    </row>
    <row r="597">
      <c r="A597" s="3" t="str">
        <f>IFERROR(__xludf.DUMMYFUNCTION("""COMPUTED_VALUE"""),"")</f>
        <v/>
      </c>
      <c r="B597" s="3"/>
      <c r="C597" s="3"/>
      <c r="D597" s="3"/>
      <c r="E597" s="3"/>
      <c r="F597" s="3"/>
      <c r="G597" s="3"/>
    </row>
    <row r="598">
      <c r="A598" s="3" t="str">
        <f>IFERROR(__xludf.DUMMYFUNCTION("""COMPUTED_VALUE"""),"")</f>
        <v/>
      </c>
      <c r="B598" s="3"/>
      <c r="C598" s="3"/>
      <c r="D598" s="3"/>
      <c r="E598" s="3"/>
      <c r="F598" s="3"/>
      <c r="G598" s="3"/>
    </row>
    <row r="599">
      <c r="A599" s="3" t="str">
        <f>IFERROR(__xludf.DUMMYFUNCTION("""COMPUTED_VALUE"""),"")</f>
        <v/>
      </c>
      <c r="B599" s="3"/>
      <c r="C599" s="3"/>
      <c r="D599" s="3"/>
      <c r="E599" s="3"/>
      <c r="F599" s="3"/>
      <c r="G599" s="3"/>
    </row>
    <row r="600">
      <c r="A600" s="3" t="str">
        <f>IFERROR(__xludf.DUMMYFUNCTION("""COMPUTED_VALUE"""),"")</f>
        <v/>
      </c>
      <c r="B600" s="3"/>
      <c r="C600" s="3"/>
      <c r="D600" s="3"/>
      <c r="E600" s="3"/>
      <c r="F600" s="3"/>
      <c r="G600" s="3"/>
    </row>
    <row r="601">
      <c r="A601" s="3" t="str">
        <f>IFERROR(__xludf.DUMMYFUNCTION("""COMPUTED_VALUE"""),"")</f>
        <v/>
      </c>
      <c r="B601" s="3"/>
      <c r="C601" s="3"/>
      <c r="D601" s="3"/>
      <c r="E601" s="3"/>
      <c r="F601" s="3"/>
      <c r="G601" s="3"/>
    </row>
    <row r="602">
      <c r="A602" s="3" t="str">
        <f>IFERROR(__xludf.DUMMYFUNCTION("""COMPUTED_VALUE"""),"")</f>
        <v/>
      </c>
      <c r="B602" s="3"/>
      <c r="C602" s="3"/>
      <c r="D602" s="3"/>
      <c r="E602" s="3"/>
      <c r="F602" s="3"/>
      <c r="G602" s="3"/>
    </row>
    <row r="603">
      <c r="A603" s="3" t="str">
        <f>IFERROR(__xludf.DUMMYFUNCTION("""COMPUTED_VALUE"""),"")</f>
        <v/>
      </c>
      <c r="B603" s="3"/>
      <c r="C603" s="3"/>
      <c r="D603" s="3"/>
      <c r="E603" s="3"/>
      <c r="F603" s="3"/>
      <c r="G603" s="3"/>
    </row>
    <row r="604">
      <c r="A604" s="3" t="str">
        <f>IFERROR(__xludf.DUMMYFUNCTION("""COMPUTED_VALUE"""),"")</f>
        <v/>
      </c>
      <c r="B604" s="3"/>
      <c r="C604" s="3"/>
      <c r="D604" s="3"/>
      <c r="E604" s="3"/>
      <c r="F604" s="3"/>
      <c r="G604" s="3"/>
    </row>
    <row r="605">
      <c r="A605" s="3" t="str">
        <f>IFERROR(__xludf.DUMMYFUNCTION("""COMPUTED_VALUE"""),"")</f>
        <v/>
      </c>
      <c r="B605" s="3"/>
      <c r="C605" s="3"/>
      <c r="D605" s="3"/>
      <c r="E605" s="3"/>
      <c r="F605" s="3"/>
      <c r="G605" s="3"/>
    </row>
    <row r="606">
      <c r="A606" s="3" t="str">
        <f>IFERROR(__xludf.DUMMYFUNCTION("""COMPUTED_VALUE"""),"")</f>
        <v/>
      </c>
      <c r="B606" s="3"/>
      <c r="C606" s="3"/>
      <c r="D606" s="3"/>
      <c r="E606" s="3"/>
      <c r="F606" s="3"/>
      <c r="G606" s="3"/>
    </row>
    <row r="607">
      <c r="A607" s="3" t="str">
        <f>IFERROR(__xludf.DUMMYFUNCTION("""COMPUTED_VALUE"""),"")</f>
        <v/>
      </c>
      <c r="B607" s="3"/>
      <c r="C607" s="3"/>
      <c r="D607" s="3"/>
      <c r="E607" s="3"/>
      <c r="F607" s="3"/>
      <c r="G607" s="3"/>
    </row>
    <row r="608">
      <c r="A608" s="3" t="str">
        <f>IFERROR(__xludf.DUMMYFUNCTION("""COMPUTED_VALUE"""),"")</f>
        <v/>
      </c>
      <c r="B608" s="3"/>
      <c r="C608" s="3"/>
      <c r="D608" s="3"/>
      <c r="E608" s="3"/>
      <c r="F608" s="3"/>
      <c r="G608" s="3"/>
    </row>
    <row r="609">
      <c r="A609" s="3" t="str">
        <f>IFERROR(__xludf.DUMMYFUNCTION("""COMPUTED_VALUE"""),"")</f>
        <v/>
      </c>
      <c r="B609" s="3"/>
      <c r="C609" s="3"/>
      <c r="D609" s="3"/>
      <c r="E609" s="3"/>
      <c r="F609" s="3"/>
      <c r="G609" s="3"/>
    </row>
    <row r="610">
      <c r="A610" s="3" t="str">
        <f>IFERROR(__xludf.DUMMYFUNCTION("""COMPUTED_VALUE"""),"")</f>
        <v/>
      </c>
      <c r="B610" s="3"/>
      <c r="C610" s="3"/>
      <c r="D610" s="3"/>
      <c r="E610" s="3"/>
      <c r="F610" s="3"/>
      <c r="G610" s="3"/>
    </row>
    <row r="611">
      <c r="A611" s="3" t="str">
        <f>IFERROR(__xludf.DUMMYFUNCTION("""COMPUTED_VALUE"""),"")</f>
        <v/>
      </c>
      <c r="B611" s="3"/>
      <c r="C611" s="3"/>
      <c r="D611" s="3"/>
      <c r="E611" s="3"/>
      <c r="F611" s="3"/>
      <c r="G611" s="3"/>
    </row>
    <row r="612">
      <c r="A612" s="3" t="str">
        <f>IFERROR(__xludf.DUMMYFUNCTION("""COMPUTED_VALUE"""),"")</f>
        <v/>
      </c>
      <c r="B612" s="3"/>
      <c r="C612" s="3"/>
      <c r="D612" s="3"/>
      <c r="E612" s="3"/>
      <c r="F612" s="3"/>
      <c r="G612" s="3"/>
    </row>
    <row r="613">
      <c r="A613" s="3" t="str">
        <f>IFERROR(__xludf.DUMMYFUNCTION("""COMPUTED_VALUE"""),"")</f>
        <v/>
      </c>
      <c r="B613" s="3"/>
      <c r="C613" s="3"/>
      <c r="D613" s="3"/>
      <c r="E613" s="3"/>
      <c r="F613" s="3"/>
      <c r="G613" s="3"/>
    </row>
    <row r="614">
      <c r="A614" s="3" t="str">
        <f>IFERROR(__xludf.DUMMYFUNCTION("""COMPUTED_VALUE"""),"")</f>
        <v/>
      </c>
      <c r="B614" s="3"/>
      <c r="C614" s="3"/>
      <c r="D614" s="3"/>
      <c r="E614" s="3"/>
      <c r="F614" s="3"/>
      <c r="G614" s="3"/>
    </row>
    <row r="615">
      <c r="A615" s="3" t="str">
        <f>IFERROR(__xludf.DUMMYFUNCTION("""COMPUTED_VALUE"""),"")</f>
        <v/>
      </c>
      <c r="B615" s="3"/>
      <c r="C615" s="3"/>
      <c r="D615" s="3"/>
      <c r="E615" s="3"/>
      <c r="F615" s="3"/>
      <c r="G615" s="3"/>
    </row>
    <row r="616">
      <c r="A616" s="3" t="str">
        <f>IFERROR(__xludf.DUMMYFUNCTION("""COMPUTED_VALUE"""),"")</f>
        <v/>
      </c>
      <c r="B616" s="3"/>
      <c r="C616" s="3"/>
      <c r="D616" s="3"/>
      <c r="E616" s="3"/>
      <c r="F616" s="3"/>
      <c r="G616" s="3"/>
    </row>
    <row r="617">
      <c r="A617" s="3" t="str">
        <f>IFERROR(__xludf.DUMMYFUNCTION("""COMPUTED_VALUE"""),"")</f>
        <v/>
      </c>
      <c r="B617" s="3"/>
      <c r="C617" s="3"/>
      <c r="D617" s="3"/>
      <c r="E617" s="3"/>
      <c r="F617" s="3"/>
      <c r="G617" s="3"/>
    </row>
    <row r="618">
      <c r="A618" s="3" t="str">
        <f>IFERROR(__xludf.DUMMYFUNCTION("""COMPUTED_VALUE"""),"")</f>
        <v/>
      </c>
      <c r="B618" s="3"/>
      <c r="C618" s="3"/>
      <c r="D618" s="3"/>
      <c r="E618" s="3"/>
      <c r="F618" s="3"/>
      <c r="G618" s="3"/>
    </row>
    <row r="619">
      <c r="A619" s="3" t="str">
        <f>IFERROR(__xludf.DUMMYFUNCTION("""COMPUTED_VALUE"""),"")</f>
        <v/>
      </c>
      <c r="B619" s="3"/>
      <c r="C619" s="3"/>
      <c r="D619" s="3"/>
      <c r="E619" s="3"/>
      <c r="F619" s="3"/>
      <c r="G619" s="3"/>
    </row>
    <row r="620">
      <c r="A620" s="3" t="str">
        <f>IFERROR(__xludf.DUMMYFUNCTION("""COMPUTED_VALUE"""),"")</f>
        <v/>
      </c>
      <c r="B620" s="3"/>
      <c r="C620" s="3"/>
      <c r="D620" s="3"/>
      <c r="E620" s="3"/>
      <c r="F620" s="3"/>
      <c r="G620" s="3"/>
    </row>
    <row r="621">
      <c r="A621" s="3" t="str">
        <f>IFERROR(__xludf.DUMMYFUNCTION("""COMPUTED_VALUE"""),"")</f>
        <v/>
      </c>
      <c r="B621" s="3"/>
      <c r="C621" s="3"/>
      <c r="D621" s="3"/>
      <c r="E621" s="3"/>
      <c r="F621" s="3"/>
      <c r="G621" s="3"/>
    </row>
    <row r="622">
      <c r="A622" s="3" t="str">
        <f>IFERROR(__xludf.DUMMYFUNCTION("""COMPUTED_VALUE"""),"")</f>
        <v/>
      </c>
      <c r="B622" s="3"/>
      <c r="C622" s="3"/>
      <c r="D622" s="3"/>
      <c r="E622" s="3"/>
      <c r="F622" s="3"/>
      <c r="G622" s="3"/>
    </row>
    <row r="623">
      <c r="A623" s="3" t="str">
        <f>IFERROR(__xludf.DUMMYFUNCTION("""COMPUTED_VALUE"""),"")</f>
        <v/>
      </c>
      <c r="B623" s="3"/>
      <c r="C623" s="3"/>
      <c r="D623" s="3"/>
      <c r="E623" s="3"/>
      <c r="F623" s="3"/>
      <c r="G623" s="3"/>
    </row>
    <row r="624">
      <c r="A624" s="3" t="str">
        <f>IFERROR(__xludf.DUMMYFUNCTION("""COMPUTED_VALUE"""),"")</f>
        <v/>
      </c>
      <c r="B624" s="3"/>
      <c r="C624" s="3"/>
      <c r="D624" s="3"/>
      <c r="E624" s="3"/>
      <c r="F624" s="3"/>
      <c r="G624" s="3"/>
    </row>
    <row r="625">
      <c r="A625" s="3" t="str">
        <f>IFERROR(__xludf.DUMMYFUNCTION("""COMPUTED_VALUE"""),"")</f>
        <v/>
      </c>
      <c r="B625" s="3"/>
      <c r="C625" s="3"/>
      <c r="D625" s="3"/>
      <c r="E625" s="3"/>
      <c r="F625" s="3"/>
      <c r="G625" s="3"/>
    </row>
    <row r="626">
      <c r="A626" s="3" t="str">
        <f>IFERROR(__xludf.DUMMYFUNCTION("""COMPUTED_VALUE"""),"")</f>
        <v/>
      </c>
      <c r="B626" s="3"/>
      <c r="C626" s="3"/>
      <c r="D626" s="3"/>
      <c r="E626" s="3"/>
      <c r="F626" s="3"/>
      <c r="G626" s="3"/>
    </row>
    <row r="627">
      <c r="A627" s="3" t="str">
        <f>IFERROR(__xludf.DUMMYFUNCTION("""COMPUTED_VALUE"""),"")</f>
        <v/>
      </c>
      <c r="B627" s="3"/>
      <c r="C627" s="3"/>
      <c r="D627" s="3"/>
      <c r="E627" s="3"/>
      <c r="F627" s="3"/>
      <c r="G627" s="3"/>
    </row>
    <row r="628">
      <c r="A628" s="3" t="str">
        <f>IFERROR(__xludf.DUMMYFUNCTION("""COMPUTED_VALUE"""),"")</f>
        <v/>
      </c>
      <c r="B628" s="3"/>
      <c r="C628" s="3"/>
      <c r="D628" s="3"/>
      <c r="E628" s="3"/>
      <c r="F628" s="3"/>
      <c r="G628" s="3"/>
    </row>
    <row r="629">
      <c r="A629" s="3" t="str">
        <f>IFERROR(__xludf.DUMMYFUNCTION("""COMPUTED_VALUE"""),"")</f>
        <v/>
      </c>
      <c r="B629" s="3"/>
      <c r="C629" s="3"/>
      <c r="D629" s="3"/>
      <c r="E629" s="3"/>
      <c r="F629" s="3"/>
      <c r="G629" s="3"/>
    </row>
    <row r="630">
      <c r="A630" s="3" t="str">
        <f>IFERROR(__xludf.DUMMYFUNCTION("""COMPUTED_VALUE"""),"")</f>
        <v/>
      </c>
      <c r="B630" s="3"/>
      <c r="C630" s="3"/>
      <c r="D630" s="3"/>
      <c r="E630" s="3"/>
      <c r="F630" s="3"/>
      <c r="G630" s="3"/>
    </row>
    <row r="631">
      <c r="A631" s="3" t="str">
        <f>IFERROR(__xludf.DUMMYFUNCTION("""COMPUTED_VALUE"""),"")</f>
        <v/>
      </c>
      <c r="B631" s="3"/>
      <c r="C631" s="3"/>
      <c r="D631" s="3"/>
      <c r="E631" s="3"/>
      <c r="F631" s="3"/>
      <c r="G631" s="3"/>
    </row>
    <row r="632">
      <c r="A632" s="3" t="str">
        <f>IFERROR(__xludf.DUMMYFUNCTION("""COMPUTED_VALUE"""),"")</f>
        <v/>
      </c>
      <c r="B632" s="3"/>
      <c r="C632" s="3"/>
      <c r="D632" s="3"/>
      <c r="E632" s="3"/>
      <c r="F632" s="3"/>
      <c r="G632" s="3"/>
    </row>
    <row r="633">
      <c r="A633" s="3" t="str">
        <f>IFERROR(__xludf.DUMMYFUNCTION("""COMPUTED_VALUE"""),"")</f>
        <v/>
      </c>
      <c r="B633" s="3"/>
      <c r="C633" s="3"/>
      <c r="D633" s="3"/>
      <c r="E633" s="3"/>
      <c r="F633" s="3"/>
      <c r="G633" s="3"/>
    </row>
    <row r="634">
      <c r="A634" s="3" t="str">
        <f>IFERROR(__xludf.DUMMYFUNCTION("""COMPUTED_VALUE"""),"")</f>
        <v/>
      </c>
      <c r="B634" s="3"/>
      <c r="C634" s="3"/>
      <c r="D634" s="3"/>
      <c r="E634" s="3"/>
      <c r="F634" s="3"/>
      <c r="G634" s="3"/>
    </row>
    <row r="635">
      <c r="A635" s="3" t="str">
        <f>IFERROR(__xludf.DUMMYFUNCTION("""COMPUTED_VALUE"""),"")</f>
        <v/>
      </c>
      <c r="B635" s="3"/>
      <c r="C635" s="3"/>
      <c r="D635" s="3"/>
      <c r="E635" s="3"/>
      <c r="F635" s="3"/>
      <c r="G635" s="3"/>
    </row>
    <row r="636">
      <c r="A636" s="3" t="str">
        <f>IFERROR(__xludf.DUMMYFUNCTION("""COMPUTED_VALUE"""),"")</f>
        <v/>
      </c>
      <c r="B636" s="3"/>
      <c r="C636" s="3"/>
      <c r="D636" s="3"/>
      <c r="E636" s="3"/>
      <c r="F636" s="3"/>
      <c r="G636" s="3"/>
    </row>
    <row r="637">
      <c r="A637" s="3" t="str">
        <f>IFERROR(__xludf.DUMMYFUNCTION("""COMPUTED_VALUE"""),"")</f>
        <v/>
      </c>
      <c r="B637" s="3"/>
      <c r="C637" s="3"/>
      <c r="D637" s="3"/>
      <c r="E637" s="3"/>
      <c r="F637" s="3"/>
      <c r="G637" s="3"/>
    </row>
    <row r="638">
      <c r="A638" s="3" t="str">
        <f>IFERROR(__xludf.DUMMYFUNCTION("""COMPUTED_VALUE"""),"")</f>
        <v/>
      </c>
      <c r="B638" s="3"/>
      <c r="C638" s="3"/>
      <c r="D638" s="3"/>
      <c r="E638" s="3"/>
      <c r="F638" s="3"/>
      <c r="G638" s="3"/>
    </row>
    <row r="639">
      <c r="A639" s="3" t="str">
        <f>IFERROR(__xludf.DUMMYFUNCTION("""COMPUTED_VALUE"""),"")</f>
        <v/>
      </c>
      <c r="B639" s="3"/>
      <c r="C639" s="3"/>
      <c r="D639" s="3"/>
      <c r="E639" s="3"/>
      <c r="F639" s="3"/>
      <c r="G639" s="3"/>
    </row>
    <row r="640">
      <c r="A640" s="3" t="str">
        <f>IFERROR(__xludf.DUMMYFUNCTION("""COMPUTED_VALUE"""),"")</f>
        <v/>
      </c>
      <c r="B640" s="3"/>
      <c r="C640" s="3"/>
      <c r="D640" s="3"/>
      <c r="E640" s="3"/>
      <c r="F640" s="3"/>
      <c r="G640" s="3"/>
    </row>
    <row r="641">
      <c r="A641" s="3" t="str">
        <f>IFERROR(__xludf.DUMMYFUNCTION("""COMPUTED_VALUE"""),"")</f>
        <v/>
      </c>
      <c r="B641" s="3"/>
      <c r="C641" s="3"/>
      <c r="D641" s="3"/>
      <c r="E641" s="3"/>
      <c r="F641" s="3"/>
      <c r="G641" s="3"/>
    </row>
    <row r="642">
      <c r="A642" s="3" t="str">
        <f>IFERROR(__xludf.DUMMYFUNCTION("""COMPUTED_VALUE"""),"")</f>
        <v/>
      </c>
      <c r="B642" s="3"/>
      <c r="C642" s="3"/>
      <c r="D642" s="3"/>
      <c r="E642" s="3"/>
      <c r="F642" s="3"/>
      <c r="G642" s="3"/>
    </row>
    <row r="643">
      <c r="A643" s="3" t="str">
        <f>IFERROR(__xludf.DUMMYFUNCTION("""COMPUTED_VALUE"""),"")</f>
        <v/>
      </c>
      <c r="B643" s="3"/>
      <c r="C643" s="3"/>
      <c r="D643" s="3"/>
      <c r="E643" s="3"/>
      <c r="F643" s="3"/>
      <c r="G643" s="3"/>
    </row>
    <row r="644">
      <c r="A644" s="3" t="str">
        <f>IFERROR(__xludf.DUMMYFUNCTION("""COMPUTED_VALUE"""),"")</f>
        <v/>
      </c>
      <c r="B644" s="3"/>
      <c r="C644" s="3"/>
      <c r="D644" s="3"/>
      <c r="E644" s="3"/>
      <c r="F644" s="3"/>
      <c r="G644" s="3"/>
    </row>
    <row r="645">
      <c r="A645" s="3" t="str">
        <f>IFERROR(__xludf.DUMMYFUNCTION("""COMPUTED_VALUE"""),"")</f>
        <v/>
      </c>
      <c r="B645" s="3"/>
      <c r="C645" s="3"/>
      <c r="D645" s="3"/>
      <c r="E645" s="3"/>
      <c r="F645" s="3"/>
      <c r="G645" s="3"/>
    </row>
    <row r="646">
      <c r="A646" s="3" t="str">
        <f>IFERROR(__xludf.DUMMYFUNCTION("""COMPUTED_VALUE"""),"")</f>
        <v/>
      </c>
      <c r="B646" s="3"/>
      <c r="C646" s="3"/>
      <c r="D646" s="3"/>
      <c r="E646" s="3"/>
      <c r="F646" s="3"/>
      <c r="G646" s="3"/>
    </row>
    <row r="647">
      <c r="A647" s="3" t="str">
        <f>IFERROR(__xludf.DUMMYFUNCTION("""COMPUTED_VALUE"""),"")</f>
        <v/>
      </c>
      <c r="B647" s="3"/>
      <c r="C647" s="3"/>
      <c r="D647" s="3"/>
      <c r="E647" s="3"/>
      <c r="F647" s="3"/>
      <c r="G647" s="3"/>
    </row>
    <row r="648">
      <c r="A648" s="3" t="str">
        <f>IFERROR(__xludf.DUMMYFUNCTION("""COMPUTED_VALUE"""),"")</f>
        <v/>
      </c>
      <c r="B648" s="3"/>
      <c r="C648" s="3"/>
      <c r="D648" s="3"/>
      <c r="E648" s="3"/>
      <c r="F648" s="3"/>
      <c r="G648" s="3"/>
    </row>
    <row r="649">
      <c r="A649" s="3" t="str">
        <f>IFERROR(__xludf.DUMMYFUNCTION("""COMPUTED_VALUE"""),"")</f>
        <v/>
      </c>
      <c r="B649" s="3"/>
      <c r="C649" s="3"/>
      <c r="D649" s="3"/>
      <c r="E649" s="3"/>
      <c r="F649" s="3"/>
      <c r="G649" s="3"/>
    </row>
    <row r="650">
      <c r="A650" s="3" t="str">
        <f>IFERROR(__xludf.DUMMYFUNCTION("""COMPUTED_VALUE"""),"")</f>
        <v/>
      </c>
      <c r="B650" s="3"/>
      <c r="C650" s="3"/>
      <c r="D650" s="3"/>
      <c r="E650" s="3"/>
      <c r="F650" s="3"/>
      <c r="G650" s="3"/>
    </row>
    <row r="651">
      <c r="A651" s="3" t="str">
        <f>IFERROR(__xludf.DUMMYFUNCTION("""COMPUTED_VALUE"""),"")</f>
        <v/>
      </c>
      <c r="B651" s="3"/>
      <c r="C651" s="3"/>
      <c r="D651" s="3"/>
      <c r="E651" s="3"/>
      <c r="F651" s="3"/>
      <c r="G651" s="3"/>
    </row>
    <row r="652">
      <c r="A652" s="3" t="str">
        <f>IFERROR(__xludf.DUMMYFUNCTION("""COMPUTED_VALUE"""),"")</f>
        <v/>
      </c>
      <c r="B652" s="3"/>
      <c r="C652" s="3"/>
      <c r="D652" s="3"/>
      <c r="E652" s="3"/>
      <c r="F652" s="3"/>
      <c r="G652" s="3"/>
    </row>
    <row r="653">
      <c r="A653" s="3" t="str">
        <f>IFERROR(__xludf.DUMMYFUNCTION("""COMPUTED_VALUE"""),"")</f>
        <v/>
      </c>
      <c r="B653" s="3"/>
      <c r="C653" s="3"/>
      <c r="D653" s="3"/>
      <c r="E653" s="3"/>
      <c r="F653" s="3"/>
      <c r="G653" s="3"/>
    </row>
    <row r="654">
      <c r="A654" s="3" t="str">
        <f>IFERROR(__xludf.DUMMYFUNCTION("""COMPUTED_VALUE"""),"")</f>
        <v/>
      </c>
      <c r="B654" s="3"/>
      <c r="C654" s="3"/>
      <c r="D654" s="3"/>
      <c r="E654" s="3"/>
      <c r="F654" s="3"/>
      <c r="G654" s="3"/>
    </row>
    <row r="655">
      <c r="A655" s="3" t="str">
        <f>IFERROR(__xludf.DUMMYFUNCTION("""COMPUTED_VALUE"""),"")</f>
        <v/>
      </c>
      <c r="B655" s="3"/>
      <c r="C655" s="3"/>
      <c r="D655" s="3"/>
      <c r="E655" s="3"/>
      <c r="F655" s="3"/>
      <c r="G655" s="3"/>
    </row>
    <row r="656">
      <c r="A656" s="3" t="str">
        <f>IFERROR(__xludf.DUMMYFUNCTION("""COMPUTED_VALUE"""),"")</f>
        <v/>
      </c>
      <c r="B656" s="3"/>
      <c r="C656" s="3"/>
      <c r="D656" s="3"/>
      <c r="E656" s="3"/>
      <c r="F656" s="3"/>
      <c r="G656" s="3"/>
    </row>
    <row r="657">
      <c r="A657" s="3" t="str">
        <f>IFERROR(__xludf.DUMMYFUNCTION("""COMPUTED_VALUE"""),"")</f>
        <v/>
      </c>
      <c r="B657" s="3"/>
      <c r="C657" s="3"/>
      <c r="D657" s="3"/>
      <c r="E657" s="3"/>
      <c r="F657" s="3"/>
      <c r="G657" s="3"/>
    </row>
    <row r="658">
      <c r="A658" s="3" t="str">
        <f>IFERROR(__xludf.DUMMYFUNCTION("""COMPUTED_VALUE"""),"")</f>
        <v/>
      </c>
      <c r="B658" s="3"/>
      <c r="C658" s="3"/>
      <c r="D658" s="3"/>
      <c r="E658" s="3"/>
      <c r="F658" s="3"/>
      <c r="G658" s="3"/>
    </row>
    <row r="659">
      <c r="A659" s="3" t="str">
        <f>IFERROR(__xludf.DUMMYFUNCTION("""COMPUTED_VALUE"""),"")</f>
        <v/>
      </c>
      <c r="B659" s="3"/>
      <c r="C659" s="3"/>
      <c r="D659" s="3"/>
      <c r="E659" s="3"/>
      <c r="F659" s="3"/>
      <c r="G659" s="3"/>
    </row>
    <row r="660">
      <c r="A660" s="3" t="str">
        <f>IFERROR(__xludf.DUMMYFUNCTION("""COMPUTED_VALUE"""),"")</f>
        <v/>
      </c>
      <c r="B660" s="3"/>
      <c r="C660" s="3"/>
      <c r="D660" s="3"/>
      <c r="E660" s="3"/>
      <c r="F660" s="3"/>
      <c r="G660" s="3"/>
    </row>
    <row r="661">
      <c r="A661" s="3" t="str">
        <f>IFERROR(__xludf.DUMMYFUNCTION("""COMPUTED_VALUE"""),"")</f>
        <v/>
      </c>
      <c r="B661" s="3"/>
      <c r="C661" s="3"/>
      <c r="D661" s="3"/>
      <c r="E661" s="3"/>
      <c r="F661" s="3"/>
      <c r="G661" s="3"/>
    </row>
    <row r="662">
      <c r="A662" s="3" t="str">
        <f>IFERROR(__xludf.DUMMYFUNCTION("""COMPUTED_VALUE"""),"")</f>
        <v/>
      </c>
      <c r="B662" s="3"/>
      <c r="C662" s="3"/>
      <c r="D662" s="3"/>
      <c r="E662" s="3"/>
      <c r="F662" s="3"/>
      <c r="G662" s="3"/>
    </row>
    <row r="663">
      <c r="A663" s="3" t="str">
        <f>IFERROR(__xludf.DUMMYFUNCTION("""COMPUTED_VALUE"""),"")</f>
        <v/>
      </c>
      <c r="B663" s="3"/>
      <c r="C663" s="3"/>
      <c r="D663" s="3"/>
      <c r="E663" s="3"/>
      <c r="F663" s="3"/>
      <c r="G663" s="3"/>
    </row>
    <row r="664">
      <c r="A664" s="3" t="str">
        <f>IFERROR(__xludf.DUMMYFUNCTION("""COMPUTED_VALUE"""),"")</f>
        <v/>
      </c>
      <c r="B664" s="3"/>
      <c r="C664" s="3"/>
      <c r="D664" s="3"/>
      <c r="E664" s="3"/>
      <c r="F664" s="3"/>
      <c r="G664" s="3"/>
    </row>
    <row r="665">
      <c r="A665" s="3" t="str">
        <f>IFERROR(__xludf.DUMMYFUNCTION("""COMPUTED_VALUE"""),"")</f>
        <v/>
      </c>
      <c r="B665" s="3"/>
      <c r="C665" s="3"/>
      <c r="D665" s="3"/>
      <c r="E665" s="3"/>
      <c r="F665" s="3"/>
      <c r="G665" s="3"/>
    </row>
    <row r="666">
      <c r="A666" s="3" t="str">
        <f>IFERROR(__xludf.DUMMYFUNCTION("""COMPUTED_VALUE"""),"")</f>
        <v/>
      </c>
      <c r="B666" s="3"/>
      <c r="C666" s="3"/>
      <c r="D666" s="3"/>
      <c r="E666" s="3"/>
      <c r="F666" s="3"/>
      <c r="G666" s="3"/>
    </row>
    <row r="667">
      <c r="A667" s="3" t="str">
        <f>IFERROR(__xludf.DUMMYFUNCTION("""COMPUTED_VALUE"""),"")</f>
        <v/>
      </c>
      <c r="B667" s="3"/>
      <c r="C667" s="3"/>
      <c r="D667" s="3"/>
      <c r="E667" s="3"/>
      <c r="F667" s="3"/>
      <c r="G667" s="3"/>
    </row>
    <row r="668">
      <c r="A668" s="3" t="str">
        <f>IFERROR(__xludf.DUMMYFUNCTION("""COMPUTED_VALUE"""),"")</f>
        <v/>
      </c>
      <c r="B668" s="3"/>
      <c r="C668" s="3"/>
      <c r="D668" s="3"/>
      <c r="E668" s="3"/>
      <c r="F668" s="3"/>
      <c r="G668" s="3"/>
    </row>
    <row r="669">
      <c r="A669" s="3" t="str">
        <f>IFERROR(__xludf.DUMMYFUNCTION("""COMPUTED_VALUE"""),"")</f>
        <v/>
      </c>
      <c r="B669" s="3"/>
      <c r="C669" s="3"/>
      <c r="D669" s="3"/>
      <c r="E669" s="3"/>
      <c r="F669" s="3"/>
      <c r="G669" s="3"/>
    </row>
    <row r="670">
      <c r="A670" s="3" t="str">
        <f>IFERROR(__xludf.DUMMYFUNCTION("""COMPUTED_VALUE"""),"")</f>
        <v/>
      </c>
      <c r="B670" s="3"/>
      <c r="C670" s="3"/>
      <c r="D670" s="3"/>
      <c r="E670" s="3"/>
      <c r="F670" s="3"/>
      <c r="G670" s="3"/>
    </row>
    <row r="671">
      <c r="A671" s="3" t="str">
        <f>IFERROR(__xludf.DUMMYFUNCTION("""COMPUTED_VALUE"""),"")</f>
        <v/>
      </c>
      <c r="B671" s="3"/>
      <c r="C671" s="3"/>
      <c r="D671" s="3"/>
      <c r="E671" s="3"/>
      <c r="F671" s="3"/>
      <c r="G671" s="3"/>
    </row>
    <row r="672">
      <c r="A672" s="3" t="str">
        <f>IFERROR(__xludf.DUMMYFUNCTION("""COMPUTED_VALUE"""),"")</f>
        <v/>
      </c>
      <c r="B672" s="3"/>
      <c r="C672" s="3"/>
      <c r="D672" s="3"/>
      <c r="E672" s="3"/>
      <c r="F672" s="3"/>
      <c r="G672" s="3"/>
    </row>
    <row r="673">
      <c r="A673" s="3" t="str">
        <f>IFERROR(__xludf.DUMMYFUNCTION("""COMPUTED_VALUE"""),"")</f>
        <v/>
      </c>
      <c r="B673" s="3"/>
      <c r="C673" s="3"/>
      <c r="D673" s="3"/>
      <c r="E673" s="3"/>
      <c r="F673" s="3"/>
      <c r="G673" s="3"/>
    </row>
    <row r="674">
      <c r="A674" s="3" t="str">
        <f>IFERROR(__xludf.DUMMYFUNCTION("""COMPUTED_VALUE"""),"")</f>
        <v/>
      </c>
      <c r="B674" s="3"/>
      <c r="C674" s="3"/>
      <c r="D674" s="3"/>
      <c r="E674" s="3"/>
      <c r="F674" s="3"/>
      <c r="G674" s="3"/>
    </row>
    <row r="675">
      <c r="A675" s="3" t="str">
        <f>IFERROR(__xludf.DUMMYFUNCTION("""COMPUTED_VALUE"""),"")</f>
        <v/>
      </c>
      <c r="B675" s="3"/>
      <c r="C675" s="3"/>
      <c r="D675" s="3"/>
      <c r="E675" s="3"/>
      <c r="F675" s="3"/>
      <c r="G675" s="3"/>
    </row>
    <row r="676">
      <c r="A676" s="3" t="str">
        <f>IFERROR(__xludf.DUMMYFUNCTION("""COMPUTED_VALUE"""),"")</f>
        <v/>
      </c>
      <c r="B676" s="3"/>
      <c r="C676" s="3"/>
      <c r="D676" s="3"/>
      <c r="E676" s="3"/>
      <c r="F676" s="3"/>
      <c r="G676" s="3"/>
    </row>
    <row r="677">
      <c r="A677" s="3" t="str">
        <f>IFERROR(__xludf.DUMMYFUNCTION("""COMPUTED_VALUE"""),"")</f>
        <v/>
      </c>
      <c r="B677" s="3"/>
      <c r="C677" s="3"/>
      <c r="D677" s="3"/>
      <c r="E677" s="3"/>
      <c r="F677" s="3"/>
      <c r="G677" s="3"/>
    </row>
    <row r="678">
      <c r="A678" s="3" t="str">
        <f>IFERROR(__xludf.DUMMYFUNCTION("""COMPUTED_VALUE"""),"")</f>
        <v/>
      </c>
      <c r="B678" s="3"/>
      <c r="C678" s="3"/>
      <c r="D678" s="3"/>
      <c r="E678" s="3"/>
      <c r="F678" s="3"/>
      <c r="G678" s="3"/>
    </row>
    <row r="679">
      <c r="A679" s="3" t="str">
        <f>IFERROR(__xludf.DUMMYFUNCTION("""COMPUTED_VALUE"""),"")</f>
        <v/>
      </c>
      <c r="B679" s="3"/>
      <c r="C679" s="3"/>
      <c r="D679" s="3"/>
      <c r="E679" s="3"/>
      <c r="F679" s="3"/>
      <c r="G679" s="3"/>
    </row>
    <row r="680">
      <c r="A680" s="3" t="str">
        <f>IFERROR(__xludf.DUMMYFUNCTION("""COMPUTED_VALUE"""),"")</f>
        <v/>
      </c>
      <c r="B680" s="3"/>
      <c r="C680" s="3"/>
      <c r="D680" s="3"/>
      <c r="E680" s="3"/>
      <c r="F680" s="3"/>
      <c r="G680" s="3"/>
    </row>
    <row r="681">
      <c r="A681" s="3" t="str">
        <f>IFERROR(__xludf.DUMMYFUNCTION("""COMPUTED_VALUE"""),"")</f>
        <v/>
      </c>
      <c r="B681" s="3"/>
      <c r="C681" s="3"/>
      <c r="D681" s="3"/>
      <c r="E681" s="3"/>
      <c r="F681" s="3"/>
      <c r="G681" s="3"/>
    </row>
    <row r="682">
      <c r="A682" s="3" t="str">
        <f>IFERROR(__xludf.DUMMYFUNCTION("""COMPUTED_VALUE"""),"")</f>
        <v/>
      </c>
      <c r="B682" s="3"/>
      <c r="C682" s="3"/>
      <c r="D682" s="3"/>
      <c r="E682" s="3"/>
      <c r="F682" s="3"/>
      <c r="G682" s="3"/>
    </row>
    <row r="683">
      <c r="A683" s="3" t="str">
        <f>IFERROR(__xludf.DUMMYFUNCTION("""COMPUTED_VALUE"""),"")</f>
        <v/>
      </c>
      <c r="B683" s="3"/>
      <c r="C683" s="3"/>
      <c r="D683" s="3"/>
      <c r="E683" s="3"/>
      <c r="F683" s="3"/>
      <c r="G683" s="3"/>
    </row>
    <row r="684">
      <c r="A684" s="3" t="str">
        <f>IFERROR(__xludf.DUMMYFUNCTION("""COMPUTED_VALUE"""),"")</f>
        <v/>
      </c>
      <c r="B684" s="3"/>
      <c r="C684" s="3"/>
      <c r="D684" s="3"/>
      <c r="E684" s="3"/>
      <c r="F684" s="3"/>
      <c r="G684" s="3"/>
    </row>
    <row r="685">
      <c r="A685" s="3" t="str">
        <f>IFERROR(__xludf.DUMMYFUNCTION("""COMPUTED_VALUE"""),"")</f>
        <v/>
      </c>
      <c r="B685" s="3"/>
      <c r="C685" s="3"/>
      <c r="D685" s="3"/>
      <c r="E685" s="3"/>
      <c r="F685" s="3"/>
      <c r="G685" s="3"/>
    </row>
    <row r="686">
      <c r="A686" s="3" t="str">
        <f>IFERROR(__xludf.DUMMYFUNCTION("""COMPUTED_VALUE"""),"")</f>
        <v/>
      </c>
      <c r="B686" s="3"/>
      <c r="C686" s="3"/>
      <c r="D686" s="3"/>
      <c r="E686" s="3"/>
      <c r="F686" s="3"/>
      <c r="G686" s="3"/>
    </row>
    <row r="687">
      <c r="A687" s="3" t="str">
        <f>IFERROR(__xludf.DUMMYFUNCTION("""COMPUTED_VALUE"""),"")</f>
        <v/>
      </c>
      <c r="B687" s="3"/>
      <c r="C687" s="3"/>
      <c r="D687" s="3"/>
      <c r="E687" s="3"/>
      <c r="F687" s="3"/>
      <c r="G687" s="3"/>
    </row>
    <row r="688">
      <c r="A688" s="3" t="str">
        <f>IFERROR(__xludf.DUMMYFUNCTION("""COMPUTED_VALUE"""),"")</f>
        <v/>
      </c>
      <c r="B688" s="3"/>
      <c r="C688" s="3"/>
      <c r="D688" s="3"/>
      <c r="E688" s="3"/>
      <c r="F688" s="3"/>
      <c r="G688" s="3"/>
    </row>
    <row r="689">
      <c r="A689" s="3" t="str">
        <f>IFERROR(__xludf.DUMMYFUNCTION("""COMPUTED_VALUE"""),"")</f>
        <v/>
      </c>
      <c r="B689" s="3"/>
      <c r="C689" s="3"/>
      <c r="D689" s="3"/>
      <c r="E689" s="3"/>
      <c r="F689" s="3"/>
      <c r="G689" s="3"/>
    </row>
    <row r="690">
      <c r="A690" s="3" t="str">
        <f>IFERROR(__xludf.DUMMYFUNCTION("""COMPUTED_VALUE"""),"")</f>
        <v/>
      </c>
      <c r="B690" s="3"/>
      <c r="C690" s="3"/>
      <c r="D690" s="3"/>
      <c r="E690" s="3"/>
      <c r="F690" s="3"/>
      <c r="G690" s="3"/>
    </row>
    <row r="691">
      <c r="A691" s="3" t="str">
        <f>IFERROR(__xludf.DUMMYFUNCTION("""COMPUTED_VALUE"""),"")</f>
        <v/>
      </c>
      <c r="B691" s="3"/>
      <c r="C691" s="3"/>
      <c r="D691" s="3"/>
      <c r="E691" s="3"/>
      <c r="F691" s="3"/>
      <c r="G691" s="3"/>
    </row>
    <row r="692">
      <c r="A692" s="3" t="str">
        <f>IFERROR(__xludf.DUMMYFUNCTION("""COMPUTED_VALUE"""),"")</f>
        <v/>
      </c>
      <c r="B692" s="3"/>
      <c r="C692" s="3"/>
      <c r="D692" s="3"/>
      <c r="E692" s="3"/>
      <c r="F692" s="3"/>
      <c r="G692" s="3"/>
    </row>
    <row r="693">
      <c r="A693" s="3" t="str">
        <f>IFERROR(__xludf.DUMMYFUNCTION("""COMPUTED_VALUE"""),"")</f>
        <v/>
      </c>
      <c r="B693" s="3"/>
      <c r="C693" s="3"/>
      <c r="D693" s="3"/>
      <c r="E693" s="3"/>
      <c r="F693" s="3"/>
      <c r="G693" s="3"/>
    </row>
    <row r="694">
      <c r="A694" s="3" t="str">
        <f>IFERROR(__xludf.DUMMYFUNCTION("""COMPUTED_VALUE"""),"")</f>
        <v/>
      </c>
      <c r="B694" s="3"/>
      <c r="C694" s="3"/>
      <c r="D694" s="3"/>
      <c r="E694" s="3"/>
      <c r="F694" s="3"/>
      <c r="G694" s="3"/>
    </row>
    <row r="695">
      <c r="A695" s="3" t="str">
        <f>IFERROR(__xludf.DUMMYFUNCTION("""COMPUTED_VALUE"""),"")</f>
        <v/>
      </c>
      <c r="B695" s="3"/>
      <c r="C695" s="3"/>
      <c r="D695" s="3"/>
      <c r="E695" s="3"/>
      <c r="F695" s="3"/>
      <c r="G695" s="3"/>
    </row>
    <row r="696">
      <c r="A696" s="3" t="str">
        <f>IFERROR(__xludf.DUMMYFUNCTION("""COMPUTED_VALUE"""),"")</f>
        <v/>
      </c>
      <c r="B696" s="3"/>
      <c r="C696" s="3"/>
      <c r="D696" s="3"/>
      <c r="E696" s="3"/>
      <c r="F696" s="3"/>
      <c r="G696" s="3"/>
    </row>
    <row r="697">
      <c r="A697" s="3" t="str">
        <f>IFERROR(__xludf.DUMMYFUNCTION("""COMPUTED_VALUE"""),"")</f>
        <v/>
      </c>
      <c r="B697" s="3"/>
      <c r="C697" s="3"/>
      <c r="D697" s="3"/>
      <c r="E697" s="3"/>
      <c r="F697" s="3"/>
      <c r="G697" s="3"/>
    </row>
    <row r="698">
      <c r="A698" s="3" t="str">
        <f>IFERROR(__xludf.DUMMYFUNCTION("""COMPUTED_VALUE"""),"")</f>
        <v/>
      </c>
      <c r="B698" s="3"/>
      <c r="C698" s="3"/>
      <c r="D698" s="3"/>
      <c r="E698" s="3"/>
      <c r="F698" s="3"/>
      <c r="G698" s="3"/>
    </row>
    <row r="699">
      <c r="A699" s="3" t="str">
        <f>IFERROR(__xludf.DUMMYFUNCTION("""COMPUTED_VALUE"""),"")</f>
        <v/>
      </c>
      <c r="B699" s="3"/>
      <c r="C699" s="3"/>
      <c r="D699" s="3"/>
      <c r="E699" s="3"/>
      <c r="F699" s="3"/>
      <c r="G699" s="3"/>
    </row>
    <row r="700">
      <c r="A700" s="3" t="str">
        <f>IFERROR(__xludf.DUMMYFUNCTION("""COMPUTED_VALUE"""),"")</f>
        <v/>
      </c>
      <c r="B700" s="3"/>
      <c r="C700" s="3"/>
      <c r="D700" s="3"/>
      <c r="E700" s="3"/>
      <c r="F700" s="3"/>
      <c r="G700" s="3"/>
    </row>
    <row r="701">
      <c r="A701" s="3" t="str">
        <f>IFERROR(__xludf.DUMMYFUNCTION("""COMPUTED_VALUE"""),"")</f>
        <v/>
      </c>
      <c r="B701" s="3"/>
      <c r="C701" s="3"/>
      <c r="D701" s="3"/>
      <c r="E701" s="3"/>
      <c r="F701" s="3"/>
      <c r="G701" s="3"/>
    </row>
    <row r="702">
      <c r="A702" s="3" t="str">
        <f>IFERROR(__xludf.DUMMYFUNCTION("""COMPUTED_VALUE"""),"")</f>
        <v/>
      </c>
      <c r="B702" s="3"/>
      <c r="C702" s="3"/>
      <c r="D702" s="3"/>
      <c r="E702" s="3"/>
      <c r="F702" s="3"/>
      <c r="G702" s="3"/>
    </row>
    <row r="703">
      <c r="A703" s="3" t="str">
        <f>IFERROR(__xludf.DUMMYFUNCTION("""COMPUTED_VALUE"""),"")</f>
        <v/>
      </c>
      <c r="B703" s="3"/>
      <c r="C703" s="3"/>
      <c r="D703" s="3"/>
      <c r="E703" s="3"/>
      <c r="F703" s="3"/>
      <c r="G703" s="3"/>
    </row>
    <row r="704">
      <c r="A704" s="3" t="str">
        <f>IFERROR(__xludf.DUMMYFUNCTION("""COMPUTED_VALUE"""),"")</f>
        <v/>
      </c>
      <c r="B704" s="3"/>
      <c r="C704" s="3"/>
      <c r="D704" s="3"/>
      <c r="E704" s="3"/>
      <c r="F704" s="3"/>
      <c r="G704" s="3"/>
    </row>
    <row r="705">
      <c r="A705" s="3" t="str">
        <f>IFERROR(__xludf.DUMMYFUNCTION("""COMPUTED_VALUE"""),"")</f>
        <v/>
      </c>
      <c r="B705" s="3"/>
      <c r="C705" s="3"/>
      <c r="D705" s="3"/>
      <c r="E705" s="3"/>
      <c r="F705" s="3"/>
      <c r="G705" s="3"/>
    </row>
    <row r="706">
      <c r="A706" s="3" t="str">
        <f>IFERROR(__xludf.DUMMYFUNCTION("""COMPUTED_VALUE"""),"")</f>
        <v/>
      </c>
      <c r="B706" s="3"/>
      <c r="C706" s="3"/>
      <c r="D706" s="3"/>
      <c r="E706" s="3"/>
      <c r="F706" s="3"/>
      <c r="G706" s="3"/>
    </row>
    <row r="707">
      <c r="A707" s="3" t="str">
        <f>IFERROR(__xludf.DUMMYFUNCTION("""COMPUTED_VALUE"""),"")</f>
        <v/>
      </c>
      <c r="B707" s="3"/>
      <c r="C707" s="3"/>
      <c r="D707" s="3"/>
      <c r="E707" s="3"/>
      <c r="F707" s="3"/>
      <c r="G707" s="3"/>
    </row>
    <row r="708">
      <c r="A708" s="3" t="str">
        <f>IFERROR(__xludf.DUMMYFUNCTION("""COMPUTED_VALUE"""),"")</f>
        <v/>
      </c>
      <c r="B708" s="3"/>
      <c r="C708" s="3"/>
      <c r="D708" s="3"/>
      <c r="E708" s="3"/>
      <c r="F708" s="3"/>
      <c r="G708" s="3"/>
    </row>
    <row r="709">
      <c r="A709" s="3" t="str">
        <f>IFERROR(__xludf.DUMMYFUNCTION("""COMPUTED_VALUE"""),"")</f>
        <v/>
      </c>
      <c r="B709" s="3"/>
      <c r="C709" s="3"/>
      <c r="D709" s="3"/>
      <c r="E709" s="3"/>
      <c r="F709" s="3"/>
      <c r="G709" s="3"/>
    </row>
    <row r="710">
      <c r="A710" s="3" t="str">
        <f>IFERROR(__xludf.DUMMYFUNCTION("""COMPUTED_VALUE"""),"")</f>
        <v/>
      </c>
      <c r="B710" s="3"/>
      <c r="C710" s="3"/>
      <c r="D710" s="3"/>
      <c r="E710" s="3"/>
      <c r="F710" s="3"/>
      <c r="G710" s="3"/>
    </row>
    <row r="711">
      <c r="A711" s="3" t="str">
        <f>IFERROR(__xludf.DUMMYFUNCTION("""COMPUTED_VALUE"""),"")</f>
        <v/>
      </c>
      <c r="B711" s="3"/>
      <c r="C711" s="3"/>
      <c r="D711" s="3"/>
      <c r="E711" s="3"/>
      <c r="F711" s="3"/>
      <c r="G711" s="3"/>
    </row>
    <row r="712">
      <c r="A712" s="3" t="str">
        <f>IFERROR(__xludf.DUMMYFUNCTION("""COMPUTED_VALUE"""),"")</f>
        <v/>
      </c>
      <c r="B712" s="3"/>
      <c r="C712" s="3"/>
      <c r="D712" s="3"/>
      <c r="E712" s="3"/>
      <c r="F712" s="3"/>
      <c r="G712" s="3"/>
    </row>
    <row r="713">
      <c r="A713" s="3" t="str">
        <f>IFERROR(__xludf.DUMMYFUNCTION("""COMPUTED_VALUE"""),"")</f>
        <v/>
      </c>
      <c r="B713" s="3"/>
      <c r="C713" s="3"/>
      <c r="D713" s="3"/>
      <c r="E713" s="3"/>
      <c r="F713" s="3"/>
      <c r="G713" s="3"/>
    </row>
    <row r="714">
      <c r="A714" s="3" t="str">
        <f>IFERROR(__xludf.DUMMYFUNCTION("""COMPUTED_VALUE"""),"")</f>
        <v/>
      </c>
      <c r="B714" s="3"/>
      <c r="C714" s="3"/>
      <c r="D714" s="3"/>
      <c r="E714" s="3"/>
      <c r="F714" s="3"/>
      <c r="G714" s="3"/>
    </row>
    <row r="715">
      <c r="A715" s="3" t="str">
        <f>IFERROR(__xludf.DUMMYFUNCTION("""COMPUTED_VALUE"""),"")</f>
        <v/>
      </c>
      <c r="B715" s="3"/>
      <c r="C715" s="3"/>
      <c r="D715" s="3"/>
      <c r="E715" s="3"/>
      <c r="F715" s="3"/>
      <c r="G715" s="3"/>
    </row>
    <row r="716">
      <c r="A716" s="3" t="str">
        <f>IFERROR(__xludf.DUMMYFUNCTION("""COMPUTED_VALUE"""),"")</f>
        <v/>
      </c>
      <c r="B716" s="3"/>
      <c r="C716" s="3"/>
      <c r="D716" s="3"/>
      <c r="E716" s="3"/>
      <c r="F716" s="3"/>
      <c r="G716" s="3"/>
    </row>
    <row r="717">
      <c r="A717" s="3" t="str">
        <f>IFERROR(__xludf.DUMMYFUNCTION("""COMPUTED_VALUE"""),"")</f>
        <v/>
      </c>
      <c r="B717" s="3"/>
      <c r="C717" s="3"/>
      <c r="D717" s="3"/>
      <c r="E717" s="3"/>
      <c r="F717" s="3"/>
      <c r="G717" s="3"/>
    </row>
    <row r="718">
      <c r="A718" s="3" t="str">
        <f>IFERROR(__xludf.DUMMYFUNCTION("""COMPUTED_VALUE"""),"")</f>
        <v/>
      </c>
      <c r="B718" s="3"/>
      <c r="C718" s="3"/>
      <c r="D718" s="3"/>
      <c r="E718" s="3"/>
      <c r="F718" s="3"/>
      <c r="G718" s="3"/>
    </row>
    <row r="719">
      <c r="A719" s="3" t="str">
        <f>IFERROR(__xludf.DUMMYFUNCTION("""COMPUTED_VALUE"""),"")</f>
        <v/>
      </c>
      <c r="B719" s="3"/>
      <c r="C719" s="3"/>
      <c r="D719" s="3"/>
      <c r="E719" s="3"/>
      <c r="F719" s="3"/>
      <c r="G719" s="3"/>
    </row>
    <row r="720">
      <c r="A720" s="3" t="str">
        <f>IFERROR(__xludf.DUMMYFUNCTION("""COMPUTED_VALUE"""),"")</f>
        <v/>
      </c>
      <c r="B720" s="3"/>
      <c r="C720" s="3"/>
      <c r="D720" s="3"/>
      <c r="E720" s="3"/>
      <c r="F720" s="3"/>
      <c r="G720" s="3"/>
    </row>
    <row r="721">
      <c r="A721" s="3" t="str">
        <f>IFERROR(__xludf.DUMMYFUNCTION("""COMPUTED_VALUE"""),"")</f>
        <v/>
      </c>
      <c r="B721" s="3"/>
      <c r="C721" s="3"/>
      <c r="D721" s="3"/>
      <c r="E721" s="3"/>
      <c r="F721" s="3"/>
      <c r="G721" s="3"/>
    </row>
    <row r="722">
      <c r="A722" s="3" t="str">
        <f>IFERROR(__xludf.DUMMYFUNCTION("""COMPUTED_VALUE"""),"")</f>
        <v/>
      </c>
      <c r="B722" s="3"/>
      <c r="C722" s="3"/>
      <c r="D722" s="3"/>
      <c r="E722" s="3"/>
      <c r="F722" s="3"/>
      <c r="G722" s="3"/>
    </row>
    <row r="723">
      <c r="A723" s="3" t="str">
        <f>IFERROR(__xludf.DUMMYFUNCTION("""COMPUTED_VALUE"""),"")</f>
        <v/>
      </c>
      <c r="B723" s="3"/>
      <c r="C723" s="3"/>
      <c r="D723" s="3"/>
      <c r="E723" s="3"/>
      <c r="F723" s="3"/>
      <c r="G723" s="3"/>
    </row>
    <row r="724">
      <c r="A724" s="3" t="str">
        <f>IFERROR(__xludf.DUMMYFUNCTION("""COMPUTED_VALUE"""),"")</f>
        <v/>
      </c>
      <c r="B724" s="3"/>
      <c r="C724" s="3"/>
      <c r="D724" s="3"/>
      <c r="E724" s="3"/>
      <c r="F724" s="3"/>
      <c r="G724" s="3"/>
    </row>
    <row r="725">
      <c r="A725" s="3" t="str">
        <f>IFERROR(__xludf.DUMMYFUNCTION("""COMPUTED_VALUE"""),"")</f>
        <v/>
      </c>
      <c r="B725" s="3"/>
      <c r="C725" s="3"/>
      <c r="D725" s="3"/>
      <c r="E725" s="3"/>
      <c r="F725" s="3"/>
      <c r="G725" s="3"/>
    </row>
    <row r="726">
      <c r="A726" s="3" t="str">
        <f>IFERROR(__xludf.DUMMYFUNCTION("""COMPUTED_VALUE"""),"")</f>
        <v/>
      </c>
      <c r="B726" s="3"/>
      <c r="C726" s="3"/>
      <c r="D726" s="3"/>
      <c r="E726" s="3"/>
      <c r="F726" s="3"/>
      <c r="G726" s="3"/>
    </row>
    <row r="727">
      <c r="A727" s="3" t="str">
        <f>IFERROR(__xludf.DUMMYFUNCTION("""COMPUTED_VALUE"""),"")</f>
        <v/>
      </c>
      <c r="B727" s="3"/>
      <c r="C727" s="3"/>
      <c r="D727" s="3"/>
      <c r="E727" s="3"/>
      <c r="F727" s="3"/>
      <c r="G727" s="3"/>
    </row>
    <row r="728">
      <c r="A728" s="3" t="str">
        <f>IFERROR(__xludf.DUMMYFUNCTION("""COMPUTED_VALUE"""),"")</f>
        <v/>
      </c>
      <c r="B728" s="3"/>
      <c r="C728" s="3"/>
      <c r="D728" s="3"/>
      <c r="E728" s="3"/>
      <c r="F728" s="3"/>
      <c r="G728" s="3"/>
    </row>
    <row r="729">
      <c r="A729" s="3" t="str">
        <f>IFERROR(__xludf.DUMMYFUNCTION("""COMPUTED_VALUE"""),"")</f>
        <v/>
      </c>
      <c r="B729" s="3"/>
      <c r="C729" s="3"/>
      <c r="D729" s="3"/>
      <c r="E729" s="3"/>
      <c r="F729" s="3"/>
      <c r="G729" s="3"/>
    </row>
    <row r="730">
      <c r="A730" s="3" t="str">
        <f>IFERROR(__xludf.DUMMYFUNCTION("""COMPUTED_VALUE"""),"")</f>
        <v/>
      </c>
      <c r="B730" s="3"/>
      <c r="C730" s="3"/>
      <c r="D730" s="3"/>
      <c r="E730" s="3"/>
      <c r="F730" s="3"/>
      <c r="G730" s="3"/>
    </row>
    <row r="731">
      <c r="A731" s="3" t="str">
        <f>IFERROR(__xludf.DUMMYFUNCTION("""COMPUTED_VALUE"""),"")</f>
        <v/>
      </c>
      <c r="B731" s="3"/>
      <c r="C731" s="3"/>
      <c r="D731" s="3"/>
      <c r="E731" s="3"/>
      <c r="F731" s="3"/>
      <c r="G731" s="3"/>
    </row>
    <row r="732">
      <c r="A732" s="3" t="str">
        <f>IFERROR(__xludf.DUMMYFUNCTION("""COMPUTED_VALUE"""),"")</f>
        <v/>
      </c>
      <c r="B732" s="3"/>
      <c r="C732" s="3"/>
      <c r="D732" s="3"/>
      <c r="E732" s="3"/>
      <c r="F732" s="3"/>
      <c r="G732" s="3"/>
    </row>
    <row r="733">
      <c r="A733" s="3" t="str">
        <f>IFERROR(__xludf.DUMMYFUNCTION("""COMPUTED_VALUE"""),"")</f>
        <v/>
      </c>
      <c r="B733" s="3"/>
      <c r="C733" s="3"/>
      <c r="D733" s="3"/>
      <c r="E733" s="3"/>
      <c r="F733" s="3"/>
      <c r="G733" s="3"/>
    </row>
    <row r="734">
      <c r="A734" s="3" t="str">
        <f>IFERROR(__xludf.DUMMYFUNCTION("""COMPUTED_VALUE"""),"")</f>
        <v/>
      </c>
      <c r="B734" s="3"/>
      <c r="C734" s="3"/>
      <c r="D734" s="3"/>
      <c r="E734" s="3"/>
      <c r="F734" s="3"/>
      <c r="G734" s="3"/>
    </row>
    <row r="735">
      <c r="A735" s="3" t="str">
        <f>IFERROR(__xludf.DUMMYFUNCTION("""COMPUTED_VALUE"""),"")</f>
        <v/>
      </c>
      <c r="B735" s="3"/>
      <c r="C735" s="3"/>
      <c r="D735" s="3"/>
      <c r="E735" s="3"/>
      <c r="F735" s="3"/>
      <c r="G735" s="3"/>
    </row>
    <row r="736">
      <c r="A736" s="3" t="str">
        <f>IFERROR(__xludf.DUMMYFUNCTION("""COMPUTED_VALUE"""),"")</f>
        <v/>
      </c>
      <c r="B736" s="3"/>
      <c r="C736" s="3"/>
      <c r="D736" s="3"/>
      <c r="E736" s="3"/>
      <c r="F736" s="3"/>
      <c r="G736" s="3"/>
    </row>
    <row r="737">
      <c r="A737" s="3" t="str">
        <f>IFERROR(__xludf.DUMMYFUNCTION("""COMPUTED_VALUE"""),"")</f>
        <v/>
      </c>
      <c r="B737" s="3"/>
      <c r="C737" s="3"/>
      <c r="D737" s="3"/>
      <c r="E737" s="3"/>
      <c r="F737" s="3"/>
      <c r="G737" s="3"/>
    </row>
    <row r="738">
      <c r="A738" s="3" t="str">
        <f>IFERROR(__xludf.DUMMYFUNCTION("""COMPUTED_VALUE"""),"")</f>
        <v/>
      </c>
      <c r="B738" s="3"/>
      <c r="C738" s="3"/>
      <c r="D738" s="3"/>
      <c r="E738" s="3"/>
      <c r="F738" s="3"/>
      <c r="G738" s="3"/>
    </row>
    <row r="739">
      <c r="A739" s="3" t="str">
        <f>IFERROR(__xludf.DUMMYFUNCTION("""COMPUTED_VALUE"""),"")</f>
        <v/>
      </c>
      <c r="B739" s="3"/>
      <c r="C739" s="3"/>
      <c r="D739" s="3"/>
      <c r="E739" s="3"/>
      <c r="F739" s="3"/>
      <c r="G739" s="3"/>
    </row>
    <row r="740">
      <c r="A740" s="3" t="str">
        <f>IFERROR(__xludf.DUMMYFUNCTION("""COMPUTED_VALUE"""),"")</f>
        <v/>
      </c>
      <c r="B740" s="3"/>
      <c r="C740" s="3"/>
      <c r="D740" s="3"/>
      <c r="E740" s="3"/>
      <c r="F740" s="3"/>
      <c r="G740" s="3"/>
    </row>
    <row r="741">
      <c r="A741" s="3" t="str">
        <f>IFERROR(__xludf.DUMMYFUNCTION("""COMPUTED_VALUE"""),"")</f>
        <v/>
      </c>
      <c r="B741" s="3"/>
      <c r="C741" s="3"/>
      <c r="D741" s="3"/>
      <c r="E741" s="3"/>
      <c r="F741" s="3"/>
      <c r="G741" s="3"/>
    </row>
    <row r="742">
      <c r="A742" s="3" t="str">
        <f>IFERROR(__xludf.DUMMYFUNCTION("""COMPUTED_VALUE"""),"")</f>
        <v/>
      </c>
      <c r="B742" s="3"/>
      <c r="C742" s="3"/>
      <c r="D742" s="3"/>
      <c r="E742" s="3"/>
      <c r="F742" s="3"/>
      <c r="G742" s="3"/>
    </row>
    <row r="743">
      <c r="A743" s="3" t="str">
        <f>IFERROR(__xludf.DUMMYFUNCTION("""COMPUTED_VALUE"""),"")</f>
        <v/>
      </c>
      <c r="B743" s="3"/>
      <c r="C743" s="3"/>
      <c r="D743" s="3"/>
      <c r="E743" s="3"/>
      <c r="F743" s="3"/>
      <c r="G743" s="3"/>
    </row>
    <row r="744">
      <c r="A744" s="3" t="str">
        <f>IFERROR(__xludf.DUMMYFUNCTION("""COMPUTED_VALUE"""),"")</f>
        <v/>
      </c>
      <c r="B744" s="3"/>
      <c r="C744" s="3"/>
      <c r="D744" s="3"/>
      <c r="E744" s="3"/>
      <c r="F744" s="3"/>
      <c r="G744" s="3"/>
    </row>
    <row r="745">
      <c r="A745" s="3" t="str">
        <f>IFERROR(__xludf.DUMMYFUNCTION("""COMPUTED_VALUE"""),"")</f>
        <v/>
      </c>
      <c r="B745" s="3"/>
      <c r="C745" s="3"/>
      <c r="D745" s="3"/>
      <c r="E745" s="3"/>
      <c r="F745" s="3"/>
      <c r="G745" s="3"/>
    </row>
    <row r="746">
      <c r="A746" s="3" t="str">
        <f>IFERROR(__xludf.DUMMYFUNCTION("""COMPUTED_VALUE"""),"")</f>
        <v/>
      </c>
      <c r="B746" s="3"/>
      <c r="C746" s="3"/>
      <c r="D746" s="3"/>
      <c r="E746" s="3"/>
      <c r="F746" s="3"/>
      <c r="G746" s="3"/>
    </row>
    <row r="747">
      <c r="A747" s="3" t="str">
        <f>IFERROR(__xludf.DUMMYFUNCTION("""COMPUTED_VALUE"""),"")</f>
        <v/>
      </c>
      <c r="B747" s="3"/>
      <c r="C747" s="3"/>
      <c r="D747" s="3"/>
      <c r="E747" s="3"/>
      <c r="F747" s="3"/>
      <c r="G747" s="3"/>
    </row>
    <row r="748">
      <c r="A748" s="3" t="str">
        <f>IFERROR(__xludf.DUMMYFUNCTION("""COMPUTED_VALUE"""),"")</f>
        <v/>
      </c>
      <c r="B748" s="3"/>
      <c r="C748" s="3"/>
      <c r="D748" s="3"/>
      <c r="E748" s="3"/>
      <c r="F748" s="3"/>
      <c r="G748" s="3"/>
    </row>
    <row r="749">
      <c r="A749" s="3" t="str">
        <f>IFERROR(__xludf.DUMMYFUNCTION("""COMPUTED_VALUE"""),"")</f>
        <v/>
      </c>
      <c r="B749" s="3"/>
      <c r="C749" s="3"/>
      <c r="D749" s="3"/>
      <c r="E749" s="3"/>
      <c r="F749" s="3"/>
      <c r="G749" s="3"/>
    </row>
    <row r="750">
      <c r="A750" s="3" t="str">
        <f>IFERROR(__xludf.DUMMYFUNCTION("""COMPUTED_VALUE"""),"")</f>
        <v/>
      </c>
      <c r="B750" s="3"/>
      <c r="C750" s="3"/>
      <c r="D750" s="3"/>
      <c r="E750" s="3"/>
      <c r="F750" s="3"/>
      <c r="G750" s="3"/>
    </row>
    <row r="751">
      <c r="A751" s="3" t="str">
        <f>IFERROR(__xludf.DUMMYFUNCTION("""COMPUTED_VALUE"""),"")</f>
        <v/>
      </c>
      <c r="B751" s="3"/>
      <c r="C751" s="3"/>
      <c r="D751" s="3"/>
      <c r="E751" s="3"/>
      <c r="F751" s="3"/>
      <c r="G751" s="3"/>
    </row>
    <row r="752">
      <c r="A752" s="3" t="str">
        <f>IFERROR(__xludf.DUMMYFUNCTION("""COMPUTED_VALUE"""),"")</f>
        <v/>
      </c>
      <c r="B752" s="3"/>
      <c r="C752" s="3"/>
      <c r="D752" s="3"/>
      <c r="E752" s="3"/>
      <c r="F752" s="3"/>
      <c r="G752" s="3"/>
    </row>
    <row r="753">
      <c r="A753" s="3" t="str">
        <f>IFERROR(__xludf.DUMMYFUNCTION("""COMPUTED_VALUE"""),"")</f>
        <v/>
      </c>
      <c r="B753" s="3"/>
      <c r="C753" s="3"/>
      <c r="D753" s="3"/>
      <c r="E753" s="3"/>
      <c r="F753" s="3"/>
      <c r="G753" s="3"/>
    </row>
    <row r="754">
      <c r="A754" s="3" t="str">
        <f>IFERROR(__xludf.DUMMYFUNCTION("""COMPUTED_VALUE"""),"")</f>
        <v/>
      </c>
      <c r="B754" s="3"/>
      <c r="C754" s="3"/>
      <c r="D754" s="3"/>
      <c r="E754" s="3"/>
      <c r="F754" s="3"/>
      <c r="G754" s="3"/>
    </row>
    <row r="755">
      <c r="A755" s="3" t="str">
        <f>IFERROR(__xludf.DUMMYFUNCTION("""COMPUTED_VALUE"""),"")</f>
        <v/>
      </c>
      <c r="B755" s="3"/>
      <c r="C755" s="3"/>
      <c r="D755" s="3"/>
      <c r="E755" s="3"/>
      <c r="F755" s="3"/>
      <c r="G755" s="3"/>
    </row>
    <row r="756">
      <c r="A756" s="3" t="str">
        <f>IFERROR(__xludf.DUMMYFUNCTION("""COMPUTED_VALUE"""),"")</f>
        <v/>
      </c>
      <c r="B756" s="3"/>
      <c r="C756" s="3"/>
      <c r="D756" s="3"/>
      <c r="E756" s="3"/>
      <c r="F756" s="3"/>
      <c r="G756" s="3"/>
    </row>
    <row r="757">
      <c r="A757" s="3" t="str">
        <f>IFERROR(__xludf.DUMMYFUNCTION("""COMPUTED_VALUE"""),"")</f>
        <v/>
      </c>
      <c r="B757" s="3"/>
      <c r="C757" s="3"/>
      <c r="D757" s="3"/>
      <c r="E757" s="3"/>
      <c r="F757" s="3"/>
      <c r="G757" s="3"/>
    </row>
    <row r="758">
      <c r="A758" s="3" t="str">
        <f>IFERROR(__xludf.DUMMYFUNCTION("""COMPUTED_VALUE"""),"")</f>
        <v/>
      </c>
      <c r="B758" s="3"/>
      <c r="C758" s="3"/>
      <c r="D758" s="3"/>
      <c r="E758" s="3"/>
      <c r="F758" s="3"/>
      <c r="G758" s="3"/>
    </row>
    <row r="759">
      <c r="A759" s="3" t="str">
        <f>IFERROR(__xludf.DUMMYFUNCTION("""COMPUTED_VALUE"""),"")</f>
        <v/>
      </c>
      <c r="B759" s="3"/>
      <c r="C759" s="3"/>
      <c r="D759" s="3"/>
      <c r="E759" s="3"/>
      <c r="F759" s="3"/>
      <c r="G759" s="3"/>
    </row>
    <row r="760">
      <c r="A760" s="3" t="str">
        <f>IFERROR(__xludf.DUMMYFUNCTION("""COMPUTED_VALUE"""),"")</f>
        <v/>
      </c>
      <c r="B760" s="3"/>
      <c r="C760" s="3"/>
      <c r="D760" s="3"/>
      <c r="E760" s="3"/>
      <c r="F760" s="3"/>
      <c r="G760" s="3"/>
    </row>
    <row r="761">
      <c r="A761" s="3" t="str">
        <f>IFERROR(__xludf.DUMMYFUNCTION("""COMPUTED_VALUE"""),"")</f>
        <v/>
      </c>
      <c r="B761" s="3"/>
      <c r="C761" s="3"/>
      <c r="D761" s="3"/>
      <c r="E761" s="3"/>
      <c r="F761" s="3"/>
      <c r="G761" s="3"/>
    </row>
    <row r="762">
      <c r="A762" s="3" t="str">
        <f>IFERROR(__xludf.DUMMYFUNCTION("""COMPUTED_VALUE"""),"")</f>
        <v/>
      </c>
      <c r="B762" s="3"/>
      <c r="C762" s="3"/>
      <c r="D762" s="3"/>
      <c r="E762" s="3"/>
      <c r="F762" s="3"/>
      <c r="G762" s="3"/>
    </row>
    <row r="763">
      <c r="A763" s="3" t="str">
        <f>IFERROR(__xludf.DUMMYFUNCTION("""COMPUTED_VALUE"""),"")</f>
        <v/>
      </c>
      <c r="B763" s="3"/>
      <c r="C763" s="3"/>
      <c r="D763" s="3"/>
      <c r="E763" s="3"/>
      <c r="F763" s="3"/>
      <c r="G763" s="3"/>
    </row>
    <row r="764">
      <c r="A764" s="3" t="str">
        <f>IFERROR(__xludf.DUMMYFUNCTION("""COMPUTED_VALUE"""),"")</f>
        <v/>
      </c>
      <c r="B764" s="3"/>
      <c r="C764" s="3"/>
      <c r="D764" s="3"/>
      <c r="E764" s="3"/>
      <c r="F764" s="3"/>
      <c r="G764" s="3"/>
    </row>
    <row r="765">
      <c r="A765" s="3" t="str">
        <f>IFERROR(__xludf.DUMMYFUNCTION("""COMPUTED_VALUE"""),"")</f>
        <v/>
      </c>
      <c r="B765" s="3"/>
      <c r="C765" s="3"/>
      <c r="D765" s="3"/>
      <c r="E765" s="3"/>
      <c r="F765" s="3"/>
      <c r="G765" s="3"/>
    </row>
    <row r="766">
      <c r="A766" s="3" t="str">
        <f>IFERROR(__xludf.DUMMYFUNCTION("""COMPUTED_VALUE"""),"")</f>
        <v/>
      </c>
      <c r="B766" s="3"/>
      <c r="C766" s="3"/>
      <c r="D766" s="3"/>
      <c r="E766" s="3"/>
      <c r="F766" s="3"/>
      <c r="G766" s="3"/>
    </row>
    <row r="767">
      <c r="A767" s="3" t="str">
        <f>IFERROR(__xludf.DUMMYFUNCTION("""COMPUTED_VALUE"""),"")</f>
        <v/>
      </c>
      <c r="B767" s="3"/>
      <c r="C767" s="3"/>
      <c r="D767" s="3"/>
      <c r="E767" s="3"/>
      <c r="F767" s="3"/>
      <c r="G767" s="3"/>
    </row>
    <row r="768">
      <c r="A768" s="3" t="str">
        <f>IFERROR(__xludf.DUMMYFUNCTION("""COMPUTED_VALUE"""),"")</f>
        <v/>
      </c>
      <c r="B768" s="3"/>
      <c r="C768" s="3"/>
      <c r="D768" s="3"/>
      <c r="E768" s="3"/>
      <c r="F768" s="3"/>
      <c r="G768" s="3"/>
    </row>
    <row r="769">
      <c r="A769" s="3" t="str">
        <f>IFERROR(__xludf.DUMMYFUNCTION("""COMPUTED_VALUE"""),"")</f>
        <v/>
      </c>
      <c r="B769" s="3"/>
      <c r="C769" s="3"/>
      <c r="D769" s="3"/>
      <c r="E769" s="3"/>
      <c r="F769" s="3"/>
      <c r="G769" s="3"/>
    </row>
    <row r="770">
      <c r="A770" s="3" t="str">
        <f>IFERROR(__xludf.DUMMYFUNCTION("""COMPUTED_VALUE"""),"")</f>
        <v/>
      </c>
      <c r="B770" s="3"/>
      <c r="C770" s="3"/>
      <c r="D770" s="3"/>
      <c r="E770" s="3"/>
      <c r="F770" s="3"/>
      <c r="G770" s="3"/>
    </row>
    <row r="771">
      <c r="A771" s="3" t="str">
        <f>IFERROR(__xludf.DUMMYFUNCTION("""COMPUTED_VALUE"""),"")</f>
        <v/>
      </c>
      <c r="B771" s="3"/>
      <c r="C771" s="3"/>
      <c r="D771" s="3"/>
      <c r="E771" s="3"/>
      <c r="F771" s="3"/>
      <c r="G771" s="3"/>
    </row>
    <row r="772">
      <c r="A772" s="3" t="str">
        <f>IFERROR(__xludf.DUMMYFUNCTION("""COMPUTED_VALUE"""),"")</f>
        <v/>
      </c>
      <c r="B772" s="3"/>
      <c r="C772" s="3"/>
      <c r="D772" s="3"/>
      <c r="E772" s="3"/>
      <c r="F772" s="3"/>
      <c r="G772" s="3"/>
    </row>
    <row r="773">
      <c r="A773" s="3" t="str">
        <f>IFERROR(__xludf.DUMMYFUNCTION("""COMPUTED_VALUE"""),"")</f>
        <v/>
      </c>
      <c r="B773" s="3"/>
      <c r="C773" s="3"/>
      <c r="D773" s="3"/>
      <c r="E773" s="3"/>
      <c r="F773" s="3"/>
      <c r="G773" s="3"/>
    </row>
    <row r="774">
      <c r="A774" s="3" t="str">
        <f>IFERROR(__xludf.DUMMYFUNCTION("""COMPUTED_VALUE"""),"")</f>
        <v/>
      </c>
      <c r="B774" s="3"/>
      <c r="C774" s="3"/>
      <c r="D774" s="3"/>
      <c r="E774" s="3"/>
      <c r="F774" s="3"/>
      <c r="G774" s="3"/>
    </row>
    <row r="775">
      <c r="A775" s="3" t="str">
        <f>IFERROR(__xludf.DUMMYFUNCTION("""COMPUTED_VALUE"""),"")</f>
        <v/>
      </c>
      <c r="B775" s="3"/>
      <c r="C775" s="3"/>
      <c r="D775" s="3"/>
      <c r="E775" s="3"/>
      <c r="F775" s="3"/>
      <c r="G775" s="3"/>
    </row>
    <row r="776">
      <c r="A776" s="3" t="str">
        <f>IFERROR(__xludf.DUMMYFUNCTION("""COMPUTED_VALUE"""),"")</f>
        <v/>
      </c>
      <c r="B776" s="3"/>
      <c r="C776" s="3"/>
      <c r="D776" s="3"/>
      <c r="E776" s="3"/>
      <c r="F776" s="3"/>
      <c r="G776" s="3"/>
    </row>
    <row r="777">
      <c r="A777" s="3" t="str">
        <f>IFERROR(__xludf.DUMMYFUNCTION("""COMPUTED_VALUE"""),"")</f>
        <v/>
      </c>
      <c r="B777" s="3"/>
      <c r="C777" s="3"/>
      <c r="D777" s="3"/>
      <c r="E777" s="3"/>
      <c r="F777" s="3"/>
      <c r="G777" s="3"/>
    </row>
    <row r="778">
      <c r="A778" s="3" t="str">
        <f>IFERROR(__xludf.DUMMYFUNCTION("""COMPUTED_VALUE"""),"")</f>
        <v/>
      </c>
      <c r="B778" s="3"/>
      <c r="C778" s="3"/>
      <c r="D778" s="3"/>
      <c r="E778" s="3"/>
      <c r="F778" s="3"/>
      <c r="G778" s="3"/>
    </row>
    <row r="779">
      <c r="A779" s="3" t="str">
        <f>IFERROR(__xludf.DUMMYFUNCTION("""COMPUTED_VALUE"""),"")</f>
        <v/>
      </c>
      <c r="B779" s="3"/>
      <c r="C779" s="3"/>
      <c r="D779" s="3"/>
      <c r="E779" s="3"/>
      <c r="F779" s="3"/>
      <c r="G779" s="3"/>
    </row>
    <row r="780">
      <c r="A780" s="3" t="str">
        <f>IFERROR(__xludf.DUMMYFUNCTION("""COMPUTED_VALUE"""),"")</f>
        <v/>
      </c>
      <c r="B780" s="3"/>
      <c r="C780" s="3"/>
      <c r="D780" s="3"/>
      <c r="E780" s="3"/>
      <c r="F780" s="3"/>
      <c r="G780" s="3"/>
    </row>
    <row r="781">
      <c r="A781" s="3" t="str">
        <f>IFERROR(__xludf.DUMMYFUNCTION("""COMPUTED_VALUE"""),"")</f>
        <v/>
      </c>
      <c r="B781" s="3"/>
      <c r="C781" s="3"/>
      <c r="D781" s="3"/>
      <c r="E781" s="3"/>
      <c r="F781" s="3"/>
      <c r="G781" s="3"/>
    </row>
    <row r="782">
      <c r="A782" s="3" t="str">
        <f>IFERROR(__xludf.DUMMYFUNCTION("""COMPUTED_VALUE"""),"")</f>
        <v/>
      </c>
      <c r="B782" s="3"/>
      <c r="C782" s="3"/>
      <c r="D782" s="3"/>
      <c r="E782" s="3"/>
      <c r="F782" s="3"/>
      <c r="G782" s="3"/>
    </row>
    <row r="783">
      <c r="A783" s="3" t="str">
        <f>IFERROR(__xludf.DUMMYFUNCTION("""COMPUTED_VALUE"""),"")</f>
        <v/>
      </c>
      <c r="B783" s="3"/>
      <c r="C783" s="3"/>
      <c r="D783" s="3"/>
      <c r="E783" s="3"/>
      <c r="F783" s="3"/>
      <c r="G783" s="3"/>
    </row>
    <row r="784">
      <c r="A784" s="3" t="str">
        <f>IFERROR(__xludf.DUMMYFUNCTION("""COMPUTED_VALUE"""),"")</f>
        <v/>
      </c>
      <c r="B784" s="3"/>
      <c r="C784" s="3"/>
      <c r="D784" s="3"/>
      <c r="E784" s="3"/>
      <c r="F784" s="3"/>
      <c r="G784" s="3"/>
    </row>
    <row r="785">
      <c r="A785" s="3" t="str">
        <f>IFERROR(__xludf.DUMMYFUNCTION("""COMPUTED_VALUE"""),"")</f>
        <v/>
      </c>
      <c r="B785" s="3"/>
      <c r="C785" s="3"/>
      <c r="D785" s="3"/>
      <c r="E785" s="3"/>
      <c r="F785" s="3"/>
      <c r="G785" s="3"/>
    </row>
    <row r="786">
      <c r="A786" s="3" t="str">
        <f>IFERROR(__xludf.DUMMYFUNCTION("""COMPUTED_VALUE"""),"")</f>
        <v/>
      </c>
      <c r="B786" s="3"/>
      <c r="C786" s="3"/>
      <c r="D786" s="3"/>
      <c r="E786" s="3"/>
      <c r="F786" s="3"/>
      <c r="G786" s="3"/>
    </row>
    <row r="787">
      <c r="A787" s="3" t="str">
        <f>IFERROR(__xludf.DUMMYFUNCTION("""COMPUTED_VALUE"""),"")</f>
        <v/>
      </c>
      <c r="B787" s="3"/>
      <c r="C787" s="3"/>
      <c r="D787" s="3"/>
      <c r="E787" s="3"/>
      <c r="F787" s="3"/>
      <c r="G787" s="3"/>
    </row>
    <row r="788">
      <c r="A788" s="3" t="str">
        <f>IFERROR(__xludf.DUMMYFUNCTION("""COMPUTED_VALUE"""),"")</f>
        <v/>
      </c>
      <c r="B788" s="3"/>
      <c r="C788" s="3"/>
      <c r="D788" s="3"/>
      <c r="E788" s="3"/>
      <c r="F788" s="3"/>
      <c r="G788" s="3"/>
    </row>
    <row r="789">
      <c r="A789" s="3" t="str">
        <f>IFERROR(__xludf.DUMMYFUNCTION("""COMPUTED_VALUE"""),"")</f>
        <v/>
      </c>
      <c r="B789" s="3"/>
      <c r="C789" s="3"/>
      <c r="D789" s="3"/>
      <c r="E789" s="3"/>
      <c r="F789" s="3"/>
      <c r="G789" s="3"/>
    </row>
    <row r="790">
      <c r="A790" s="3" t="str">
        <f>IFERROR(__xludf.DUMMYFUNCTION("""COMPUTED_VALUE"""),"")</f>
        <v/>
      </c>
      <c r="B790" s="3"/>
      <c r="C790" s="3"/>
      <c r="D790" s="3"/>
      <c r="E790" s="3"/>
      <c r="F790" s="3"/>
      <c r="G790" s="3"/>
    </row>
    <row r="791">
      <c r="A791" s="3" t="str">
        <f>IFERROR(__xludf.DUMMYFUNCTION("""COMPUTED_VALUE"""),"")</f>
        <v/>
      </c>
      <c r="B791" s="3"/>
      <c r="C791" s="3"/>
      <c r="D791" s="3"/>
      <c r="E791" s="3"/>
      <c r="F791" s="3"/>
      <c r="G791" s="3"/>
    </row>
    <row r="792">
      <c r="A792" s="3" t="str">
        <f>IFERROR(__xludf.DUMMYFUNCTION("""COMPUTED_VALUE"""),"")</f>
        <v/>
      </c>
      <c r="B792" s="3"/>
      <c r="C792" s="3"/>
      <c r="D792" s="3"/>
      <c r="E792" s="3"/>
      <c r="F792" s="3"/>
      <c r="G792" s="3"/>
    </row>
    <row r="793">
      <c r="A793" s="3" t="str">
        <f>IFERROR(__xludf.DUMMYFUNCTION("""COMPUTED_VALUE"""),"")</f>
        <v/>
      </c>
      <c r="B793" s="3"/>
      <c r="C793" s="3"/>
      <c r="D793" s="3"/>
      <c r="E793" s="3"/>
      <c r="F793" s="3"/>
      <c r="G793" s="3"/>
    </row>
    <row r="794">
      <c r="A794" s="3" t="str">
        <f>IFERROR(__xludf.DUMMYFUNCTION("""COMPUTED_VALUE"""),"")</f>
        <v/>
      </c>
      <c r="B794" s="3"/>
      <c r="C794" s="3"/>
      <c r="D794" s="3"/>
      <c r="E794" s="3"/>
      <c r="F794" s="3"/>
      <c r="G794" s="3"/>
    </row>
    <row r="795">
      <c r="A795" s="3" t="str">
        <f>IFERROR(__xludf.DUMMYFUNCTION("""COMPUTED_VALUE"""),"")</f>
        <v/>
      </c>
      <c r="B795" s="3"/>
      <c r="C795" s="3"/>
      <c r="D795" s="3"/>
      <c r="E795" s="3"/>
      <c r="F795" s="3"/>
      <c r="G795" s="3"/>
    </row>
    <row r="796">
      <c r="A796" s="3" t="str">
        <f>IFERROR(__xludf.DUMMYFUNCTION("""COMPUTED_VALUE"""),"")</f>
        <v/>
      </c>
      <c r="B796" s="3"/>
      <c r="C796" s="3"/>
      <c r="D796" s="3"/>
      <c r="E796" s="3"/>
      <c r="F796" s="3"/>
      <c r="G796" s="3"/>
    </row>
    <row r="797">
      <c r="A797" s="3" t="str">
        <f>IFERROR(__xludf.DUMMYFUNCTION("""COMPUTED_VALUE"""),"")</f>
        <v/>
      </c>
      <c r="B797" s="3"/>
      <c r="C797" s="3"/>
      <c r="D797" s="3"/>
      <c r="E797" s="3"/>
      <c r="F797" s="3"/>
      <c r="G797" s="3"/>
    </row>
    <row r="798">
      <c r="A798" s="3" t="str">
        <f>IFERROR(__xludf.DUMMYFUNCTION("""COMPUTED_VALUE"""),"")</f>
        <v/>
      </c>
      <c r="B798" s="3"/>
      <c r="C798" s="3"/>
      <c r="D798" s="3"/>
      <c r="E798" s="3"/>
      <c r="F798" s="3"/>
      <c r="G798" s="3"/>
    </row>
    <row r="799">
      <c r="A799" s="3" t="str">
        <f>IFERROR(__xludf.DUMMYFUNCTION("""COMPUTED_VALUE"""),"")</f>
        <v/>
      </c>
      <c r="B799" s="3"/>
      <c r="C799" s="3"/>
      <c r="D799" s="3"/>
      <c r="E799" s="3"/>
      <c r="F799" s="3"/>
      <c r="G799" s="3"/>
    </row>
    <row r="800">
      <c r="A800" s="3" t="str">
        <f>IFERROR(__xludf.DUMMYFUNCTION("""COMPUTED_VALUE"""),"")</f>
        <v/>
      </c>
      <c r="B800" s="3"/>
      <c r="C800" s="3"/>
      <c r="D800" s="3"/>
      <c r="E800" s="3"/>
      <c r="F800" s="3"/>
      <c r="G800" s="3"/>
    </row>
    <row r="801">
      <c r="A801" s="3" t="str">
        <f>IFERROR(__xludf.DUMMYFUNCTION("""COMPUTED_VALUE"""),"")</f>
        <v/>
      </c>
      <c r="B801" s="3"/>
      <c r="C801" s="3"/>
      <c r="D801" s="3"/>
      <c r="E801" s="3"/>
      <c r="F801" s="3"/>
      <c r="G801" s="3"/>
    </row>
    <row r="802">
      <c r="A802" s="3" t="str">
        <f>IFERROR(__xludf.DUMMYFUNCTION("""COMPUTED_VALUE"""),"")</f>
        <v/>
      </c>
      <c r="B802" s="3"/>
      <c r="C802" s="3"/>
      <c r="D802" s="3"/>
      <c r="E802" s="3"/>
      <c r="F802" s="3"/>
      <c r="G802" s="3"/>
    </row>
    <row r="803">
      <c r="A803" s="3" t="str">
        <f>IFERROR(__xludf.DUMMYFUNCTION("""COMPUTED_VALUE"""),"")</f>
        <v/>
      </c>
      <c r="B803" s="3"/>
      <c r="C803" s="3"/>
      <c r="D803" s="3"/>
      <c r="E803" s="3"/>
      <c r="F803" s="3"/>
      <c r="G803" s="3"/>
    </row>
    <row r="804">
      <c r="A804" s="3" t="str">
        <f>IFERROR(__xludf.DUMMYFUNCTION("""COMPUTED_VALUE"""),"")</f>
        <v/>
      </c>
      <c r="B804" s="3"/>
      <c r="C804" s="3"/>
      <c r="D804" s="3"/>
      <c r="E804" s="3"/>
      <c r="F804" s="3"/>
      <c r="G804" s="3"/>
    </row>
    <row r="805">
      <c r="A805" s="3" t="str">
        <f>IFERROR(__xludf.DUMMYFUNCTION("""COMPUTED_VALUE"""),"")</f>
        <v/>
      </c>
      <c r="B805" s="3"/>
      <c r="C805" s="3"/>
      <c r="D805" s="3"/>
      <c r="E805" s="3"/>
      <c r="F805" s="3"/>
      <c r="G805" s="3"/>
    </row>
    <row r="806">
      <c r="A806" s="3" t="str">
        <f>IFERROR(__xludf.DUMMYFUNCTION("""COMPUTED_VALUE"""),"")</f>
        <v/>
      </c>
      <c r="B806" s="3"/>
      <c r="C806" s="3"/>
      <c r="D806" s="3"/>
      <c r="E806" s="3"/>
      <c r="F806" s="3"/>
      <c r="G806" s="3"/>
    </row>
    <row r="807">
      <c r="A807" s="3" t="str">
        <f>IFERROR(__xludf.DUMMYFUNCTION("""COMPUTED_VALUE"""),"")</f>
        <v/>
      </c>
      <c r="B807" s="3"/>
      <c r="C807" s="3"/>
      <c r="D807" s="3"/>
      <c r="E807" s="3"/>
      <c r="F807" s="3"/>
      <c r="G807" s="3"/>
    </row>
    <row r="808">
      <c r="A808" s="3" t="str">
        <f>IFERROR(__xludf.DUMMYFUNCTION("""COMPUTED_VALUE"""),"")</f>
        <v/>
      </c>
      <c r="B808" s="3"/>
      <c r="C808" s="3"/>
      <c r="D808" s="3"/>
      <c r="E808" s="3"/>
      <c r="F808" s="3"/>
      <c r="G808" s="3"/>
    </row>
    <row r="809">
      <c r="A809" s="3" t="str">
        <f>IFERROR(__xludf.DUMMYFUNCTION("""COMPUTED_VALUE"""),"")</f>
        <v/>
      </c>
      <c r="B809" s="3"/>
      <c r="C809" s="3"/>
      <c r="D809" s="3"/>
      <c r="E809" s="3"/>
      <c r="F809" s="3"/>
      <c r="G809" s="3"/>
    </row>
    <row r="810">
      <c r="A810" s="3" t="str">
        <f>IFERROR(__xludf.DUMMYFUNCTION("""COMPUTED_VALUE"""),"")</f>
        <v/>
      </c>
      <c r="B810" s="3"/>
      <c r="C810" s="3"/>
      <c r="D810" s="3"/>
      <c r="E810" s="3"/>
      <c r="F810" s="3"/>
      <c r="G810" s="3"/>
    </row>
    <row r="811">
      <c r="A811" s="3" t="str">
        <f>IFERROR(__xludf.DUMMYFUNCTION("""COMPUTED_VALUE"""),"")</f>
        <v/>
      </c>
      <c r="B811" s="3"/>
      <c r="C811" s="3"/>
      <c r="D811" s="3"/>
      <c r="E811" s="3"/>
      <c r="F811" s="3"/>
      <c r="G811" s="3"/>
    </row>
    <row r="812">
      <c r="A812" s="3" t="str">
        <f>IFERROR(__xludf.DUMMYFUNCTION("""COMPUTED_VALUE"""),"")</f>
        <v/>
      </c>
      <c r="B812" s="3"/>
      <c r="C812" s="3"/>
      <c r="D812" s="3"/>
      <c r="E812" s="3"/>
      <c r="F812" s="3"/>
      <c r="G812" s="3"/>
    </row>
    <row r="813">
      <c r="A813" s="3" t="str">
        <f>IFERROR(__xludf.DUMMYFUNCTION("""COMPUTED_VALUE"""),"")</f>
        <v/>
      </c>
      <c r="B813" s="3"/>
      <c r="C813" s="3"/>
      <c r="D813" s="3"/>
      <c r="E813" s="3"/>
      <c r="F813" s="3"/>
      <c r="G813" s="3"/>
    </row>
    <row r="814">
      <c r="A814" s="3" t="str">
        <f>IFERROR(__xludf.DUMMYFUNCTION("""COMPUTED_VALUE"""),"")</f>
        <v/>
      </c>
      <c r="B814" s="3"/>
      <c r="C814" s="3"/>
      <c r="D814" s="3"/>
      <c r="E814" s="3"/>
      <c r="F814" s="3"/>
      <c r="G814" s="3"/>
    </row>
    <row r="815">
      <c r="A815" s="3" t="str">
        <f>IFERROR(__xludf.DUMMYFUNCTION("""COMPUTED_VALUE"""),"")</f>
        <v/>
      </c>
      <c r="B815" s="3"/>
      <c r="C815" s="3"/>
      <c r="D815" s="3"/>
      <c r="E815" s="3"/>
      <c r="F815" s="3"/>
      <c r="G815" s="3"/>
    </row>
    <row r="816">
      <c r="A816" s="3" t="str">
        <f>IFERROR(__xludf.DUMMYFUNCTION("""COMPUTED_VALUE"""),"")</f>
        <v/>
      </c>
      <c r="B816" s="3"/>
      <c r="C816" s="3"/>
      <c r="D816" s="3"/>
      <c r="E816" s="3"/>
      <c r="F816" s="3"/>
      <c r="G816" s="3"/>
    </row>
    <row r="817">
      <c r="A817" s="3" t="str">
        <f>IFERROR(__xludf.DUMMYFUNCTION("""COMPUTED_VALUE"""),"")</f>
        <v/>
      </c>
      <c r="B817" s="3"/>
      <c r="C817" s="3"/>
      <c r="D817" s="3"/>
      <c r="E817" s="3"/>
      <c r="F817" s="3"/>
      <c r="G817" s="3"/>
    </row>
    <row r="818">
      <c r="A818" s="3" t="str">
        <f>IFERROR(__xludf.DUMMYFUNCTION("""COMPUTED_VALUE"""),"")</f>
        <v/>
      </c>
      <c r="B818" s="3"/>
      <c r="C818" s="3"/>
      <c r="D818" s="3"/>
      <c r="E818" s="3"/>
      <c r="F818" s="3"/>
      <c r="G818" s="3"/>
    </row>
    <row r="819">
      <c r="A819" s="3" t="str">
        <f>IFERROR(__xludf.DUMMYFUNCTION("""COMPUTED_VALUE"""),"")</f>
        <v/>
      </c>
      <c r="B819" s="3"/>
      <c r="C819" s="3"/>
      <c r="D819" s="3"/>
      <c r="E819" s="3"/>
      <c r="F819" s="3"/>
      <c r="G819" s="3"/>
    </row>
    <row r="820">
      <c r="A820" s="3" t="str">
        <f>IFERROR(__xludf.DUMMYFUNCTION("""COMPUTED_VALUE"""),"")</f>
        <v/>
      </c>
      <c r="B820" s="3"/>
      <c r="C820" s="3"/>
      <c r="D820" s="3"/>
      <c r="E820" s="3"/>
      <c r="F820" s="3"/>
      <c r="G820" s="3"/>
    </row>
    <row r="821">
      <c r="A821" s="3" t="str">
        <f>IFERROR(__xludf.DUMMYFUNCTION("""COMPUTED_VALUE"""),"")</f>
        <v/>
      </c>
      <c r="B821" s="3"/>
      <c r="C821" s="3"/>
      <c r="D821" s="3"/>
      <c r="E821" s="3"/>
      <c r="F821" s="3"/>
      <c r="G821" s="3"/>
    </row>
    <row r="822">
      <c r="A822" s="3" t="str">
        <f>IFERROR(__xludf.DUMMYFUNCTION("""COMPUTED_VALUE"""),"")</f>
        <v/>
      </c>
      <c r="B822" s="3"/>
      <c r="C822" s="3"/>
      <c r="D822" s="3"/>
      <c r="E822" s="3"/>
      <c r="F822" s="3"/>
      <c r="G822" s="3"/>
    </row>
    <row r="823">
      <c r="A823" s="3" t="str">
        <f>IFERROR(__xludf.DUMMYFUNCTION("""COMPUTED_VALUE"""),"")</f>
        <v/>
      </c>
      <c r="B823" s="3"/>
      <c r="C823" s="3"/>
      <c r="D823" s="3"/>
      <c r="E823" s="3"/>
      <c r="F823" s="3"/>
      <c r="G823" s="3"/>
    </row>
    <row r="824">
      <c r="A824" s="3" t="str">
        <f>IFERROR(__xludf.DUMMYFUNCTION("""COMPUTED_VALUE"""),"")</f>
        <v/>
      </c>
      <c r="B824" s="3"/>
      <c r="C824" s="3"/>
      <c r="D824" s="3"/>
      <c r="E824" s="3"/>
      <c r="F824" s="3"/>
      <c r="G824" s="3"/>
    </row>
    <row r="825">
      <c r="A825" s="3" t="str">
        <f>IFERROR(__xludf.DUMMYFUNCTION("""COMPUTED_VALUE"""),"")</f>
        <v/>
      </c>
      <c r="B825" s="3"/>
      <c r="C825" s="3"/>
      <c r="D825" s="3"/>
      <c r="E825" s="3"/>
      <c r="F825" s="3"/>
      <c r="G825" s="3"/>
    </row>
    <row r="826">
      <c r="A826" s="3" t="str">
        <f>IFERROR(__xludf.DUMMYFUNCTION("""COMPUTED_VALUE"""),"")</f>
        <v/>
      </c>
      <c r="B826" s="3"/>
      <c r="C826" s="3"/>
      <c r="D826" s="3"/>
      <c r="E826" s="3"/>
      <c r="F826" s="3"/>
      <c r="G826" s="3"/>
    </row>
    <row r="827">
      <c r="A827" s="3" t="str">
        <f>IFERROR(__xludf.DUMMYFUNCTION("""COMPUTED_VALUE"""),"")</f>
        <v/>
      </c>
      <c r="B827" s="3"/>
      <c r="C827" s="3"/>
      <c r="D827" s="3"/>
      <c r="E827" s="3"/>
      <c r="F827" s="3"/>
      <c r="G827" s="3"/>
    </row>
    <row r="828">
      <c r="A828" s="3" t="str">
        <f>IFERROR(__xludf.DUMMYFUNCTION("""COMPUTED_VALUE"""),"")</f>
        <v/>
      </c>
      <c r="B828" s="3"/>
      <c r="C828" s="3"/>
      <c r="D828" s="3"/>
      <c r="E828" s="3"/>
      <c r="F828" s="3"/>
      <c r="G828" s="3"/>
    </row>
    <row r="829">
      <c r="A829" s="3" t="str">
        <f>IFERROR(__xludf.DUMMYFUNCTION("""COMPUTED_VALUE"""),"")</f>
        <v/>
      </c>
      <c r="B829" s="3"/>
      <c r="C829" s="3"/>
      <c r="D829" s="3"/>
      <c r="E829" s="3"/>
      <c r="F829" s="3"/>
      <c r="G829" s="3"/>
    </row>
    <row r="830">
      <c r="A830" s="3" t="str">
        <f>IFERROR(__xludf.DUMMYFUNCTION("""COMPUTED_VALUE"""),"")</f>
        <v/>
      </c>
      <c r="B830" s="3"/>
      <c r="C830" s="3"/>
      <c r="D830" s="3"/>
      <c r="E830" s="3"/>
      <c r="F830" s="3"/>
      <c r="G830" s="3"/>
    </row>
    <row r="831">
      <c r="A831" s="3" t="str">
        <f>IFERROR(__xludf.DUMMYFUNCTION("""COMPUTED_VALUE"""),"")</f>
        <v/>
      </c>
      <c r="B831" s="3"/>
      <c r="C831" s="3"/>
      <c r="D831" s="3"/>
      <c r="E831" s="3"/>
      <c r="F831" s="3"/>
      <c r="G831" s="3"/>
    </row>
    <row r="832">
      <c r="A832" s="3" t="str">
        <f>IFERROR(__xludf.DUMMYFUNCTION("""COMPUTED_VALUE"""),"")</f>
        <v/>
      </c>
      <c r="B832" s="3"/>
      <c r="C832" s="3"/>
      <c r="D832" s="3"/>
      <c r="E832" s="3"/>
      <c r="F832" s="3"/>
      <c r="G832" s="3"/>
    </row>
    <row r="833">
      <c r="A833" s="3" t="str">
        <f>IFERROR(__xludf.DUMMYFUNCTION("""COMPUTED_VALUE"""),"")</f>
        <v/>
      </c>
      <c r="B833" s="3"/>
      <c r="C833" s="3"/>
      <c r="D833" s="3"/>
      <c r="E833" s="3"/>
      <c r="F833" s="3"/>
      <c r="G833" s="3"/>
    </row>
    <row r="834">
      <c r="A834" s="3" t="str">
        <f>IFERROR(__xludf.DUMMYFUNCTION("""COMPUTED_VALUE"""),"")</f>
        <v/>
      </c>
      <c r="B834" s="3"/>
      <c r="C834" s="3"/>
      <c r="D834" s="3"/>
      <c r="E834" s="3"/>
      <c r="F834" s="3"/>
      <c r="G834" s="3"/>
    </row>
    <row r="835">
      <c r="A835" s="3" t="str">
        <f>IFERROR(__xludf.DUMMYFUNCTION("""COMPUTED_VALUE"""),"")</f>
        <v/>
      </c>
      <c r="B835" s="3"/>
      <c r="C835" s="3"/>
      <c r="D835" s="3"/>
      <c r="E835" s="3"/>
      <c r="F835" s="3"/>
      <c r="G835" s="3"/>
    </row>
    <row r="836">
      <c r="A836" s="3" t="str">
        <f>IFERROR(__xludf.DUMMYFUNCTION("""COMPUTED_VALUE"""),"")</f>
        <v/>
      </c>
      <c r="B836" s="3"/>
      <c r="C836" s="3"/>
      <c r="D836" s="3"/>
      <c r="E836" s="3"/>
      <c r="F836" s="3"/>
      <c r="G836" s="3"/>
    </row>
    <row r="837">
      <c r="A837" s="3" t="str">
        <f>IFERROR(__xludf.DUMMYFUNCTION("""COMPUTED_VALUE"""),"")</f>
        <v/>
      </c>
      <c r="B837" s="3"/>
      <c r="C837" s="3"/>
      <c r="D837" s="3"/>
      <c r="E837" s="3"/>
      <c r="F837" s="3"/>
      <c r="G837" s="3"/>
    </row>
    <row r="838">
      <c r="A838" s="3" t="str">
        <f>IFERROR(__xludf.DUMMYFUNCTION("""COMPUTED_VALUE"""),"")</f>
        <v/>
      </c>
      <c r="B838" s="3"/>
      <c r="C838" s="3"/>
      <c r="D838" s="3"/>
      <c r="E838" s="3"/>
      <c r="F838" s="3"/>
      <c r="G838" s="3"/>
    </row>
    <row r="839">
      <c r="A839" s="3" t="str">
        <f>IFERROR(__xludf.DUMMYFUNCTION("""COMPUTED_VALUE"""),"")</f>
        <v/>
      </c>
      <c r="B839" s="3"/>
      <c r="C839" s="3"/>
      <c r="D839" s="3"/>
      <c r="E839" s="3"/>
      <c r="F839" s="3"/>
      <c r="G839" s="3"/>
    </row>
    <row r="840">
      <c r="A840" s="3" t="str">
        <f>IFERROR(__xludf.DUMMYFUNCTION("""COMPUTED_VALUE"""),"")</f>
        <v/>
      </c>
      <c r="B840" s="3"/>
      <c r="C840" s="3"/>
      <c r="D840" s="3"/>
      <c r="E840" s="3"/>
      <c r="F840" s="3"/>
      <c r="G840" s="3"/>
    </row>
    <row r="841">
      <c r="A841" s="3" t="str">
        <f>IFERROR(__xludf.DUMMYFUNCTION("""COMPUTED_VALUE"""),"")</f>
        <v/>
      </c>
      <c r="B841" s="3"/>
      <c r="C841" s="3"/>
      <c r="D841" s="3"/>
      <c r="E841" s="3"/>
      <c r="F841" s="3"/>
      <c r="G841" s="3"/>
    </row>
    <row r="842">
      <c r="A842" s="3" t="str">
        <f>IFERROR(__xludf.DUMMYFUNCTION("""COMPUTED_VALUE"""),"")</f>
        <v/>
      </c>
      <c r="B842" s="3"/>
      <c r="C842" s="3"/>
      <c r="D842" s="3"/>
      <c r="E842" s="3"/>
      <c r="F842" s="3"/>
      <c r="G842" s="3"/>
    </row>
    <row r="843">
      <c r="A843" s="3" t="str">
        <f>IFERROR(__xludf.DUMMYFUNCTION("""COMPUTED_VALUE"""),"")</f>
        <v/>
      </c>
      <c r="B843" s="3"/>
      <c r="C843" s="3"/>
      <c r="D843" s="3"/>
      <c r="E843" s="3"/>
      <c r="F843" s="3"/>
      <c r="G843" s="3"/>
    </row>
    <row r="844">
      <c r="A844" s="3" t="str">
        <f>IFERROR(__xludf.DUMMYFUNCTION("""COMPUTED_VALUE"""),"")</f>
        <v/>
      </c>
      <c r="B844" s="3"/>
      <c r="C844" s="3"/>
      <c r="D844" s="3"/>
      <c r="E844" s="3"/>
      <c r="F844" s="3"/>
      <c r="G844" s="3"/>
    </row>
    <row r="845">
      <c r="A845" s="3" t="str">
        <f>IFERROR(__xludf.DUMMYFUNCTION("""COMPUTED_VALUE"""),"")</f>
        <v/>
      </c>
      <c r="B845" s="3"/>
      <c r="C845" s="3"/>
      <c r="D845" s="3"/>
      <c r="E845" s="3"/>
      <c r="F845" s="3"/>
      <c r="G845" s="3"/>
    </row>
    <row r="846">
      <c r="A846" s="3" t="str">
        <f>IFERROR(__xludf.DUMMYFUNCTION("""COMPUTED_VALUE"""),"")</f>
        <v/>
      </c>
      <c r="B846" s="3"/>
      <c r="C846" s="3"/>
      <c r="D846" s="3"/>
      <c r="E846" s="3"/>
      <c r="F846" s="3"/>
      <c r="G846" s="3"/>
    </row>
    <row r="847">
      <c r="A847" s="3" t="str">
        <f>IFERROR(__xludf.DUMMYFUNCTION("""COMPUTED_VALUE"""),"")</f>
        <v/>
      </c>
      <c r="B847" s="3"/>
      <c r="C847" s="3"/>
      <c r="D847" s="3"/>
      <c r="E847" s="3"/>
      <c r="F847" s="3"/>
      <c r="G847" s="3"/>
    </row>
    <row r="848">
      <c r="A848" s="3" t="str">
        <f>IFERROR(__xludf.DUMMYFUNCTION("""COMPUTED_VALUE"""),"")</f>
        <v/>
      </c>
      <c r="B848" s="3"/>
      <c r="C848" s="3"/>
      <c r="D848" s="3"/>
      <c r="E848" s="3"/>
      <c r="F848" s="3"/>
      <c r="G848" s="3"/>
    </row>
    <row r="849">
      <c r="A849" s="3" t="str">
        <f>IFERROR(__xludf.DUMMYFUNCTION("""COMPUTED_VALUE"""),"")</f>
        <v/>
      </c>
      <c r="B849" s="3"/>
      <c r="C849" s="3"/>
      <c r="D849" s="3"/>
      <c r="E849" s="3"/>
      <c r="F849" s="3"/>
      <c r="G849" s="3"/>
    </row>
    <row r="850">
      <c r="A850" s="3" t="str">
        <f>IFERROR(__xludf.DUMMYFUNCTION("""COMPUTED_VALUE"""),"")</f>
        <v/>
      </c>
      <c r="B850" s="3"/>
      <c r="C850" s="3"/>
      <c r="D850" s="3"/>
      <c r="E850" s="3"/>
      <c r="F850" s="3"/>
      <c r="G850" s="3"/>
    </row>
    <row r="851">
      <c r="A851" s="3" t="str">
        <f>IFERROR(__xludf.DUMMYFUNCTION("""COMPUTED_VALUE"""),"")</f>
        <v/>
      </c>
      <c r="B851" s="3"/>
      <c r="C851" s="3"/>
      <c r="D851" s="3"/>
      <c r="E851" s="3"/>
      <c r="F851" s="3"/>
      <c r="G851" s="3"/>
    </row>
    <row r="852">
      <c r="A852" s="3" t="str">
        <f>IFERROR(__xludf.DUMMYFUNCTION("""COMPUTED_VALUE"""),"")</f>
        <v/>
      </c>
      <c r="B852" s="3"/>
      <c r="C852" s="3"/>
      <c r="D852" s="3"/>
      <c r="E852" s="3"/>
      <c r="F852" s="3"/>
      <c r="G852" s="3"/>
    </row>
    <row r="853">
      <c r="A853" s="3" t="str">
        <f>IFERROR(__xludf.DUMMYFUNCTION("""COMPUTED_VALUE"""),"")</f>
        <v/>
      </c>
      <c r="B853" s="3"/>
      <c r="C853" s="3"/>
      <c r="D853" s="3"/>
      <c r="E853" s="3"/>
      <c r="F853" s="3"/>
      <c r="G853" s="3"/>
    </row>
    <row r="854">
      <c r="A854" s="3" t="str">
        <f>IFERROR(__xludf.DUMMYFUNCTION("""COMPUTED_VALUE"""),"")</f>
        <v/>
      </c>
      <c r="B854" s="3"/>
      <c r="C854" s="3"/>
      <c r="D854" s="3"/>
      <c r="E854" s="3"/>
      <c r="F854" s="3"/>
      <c r="G854" s="3"/>
    </row>
    <row r="855">
      <c r="A855" s="3" t="str">
        <f>IFERROR(__xludf.DUMMYFUNCTION("""COMPUTED_VALUE"""),"")</f>
        <v/>
      </c>
      <c r="B855" s="3"/>
      <c r="C855" s="3"/>
      <c r="D855" s="3"/>
      <c r="E855" s="3"/>
      <c r="F855" s="3"/>
      <c r="G855" s="3"/>
    </row>
    <row r="856">
      <c r="A856" s="3" t="str">
        <f>IFERROR(__xludf.DUMMYFUNCTION("""COMPUTED_VALUE"""),"")</f>
        <v/>
      </c>
      <c r="B856" s="3"/>
      <c r="C856" s="3"/>
      <c r="D856" s="3"/>
      <c r="E856" s="3"/>
      <c r="F856" s="3"/>
      <c r="G856" s="3"/>
    </row>
    <row r="857">
      <c r="A857" s="3" t="str">
        <f>IFERROR(__xludf.DUMMYFUNCTION("""COMPUTED_VALUE"""),"")</f>
        <v/>
      </c>
      <c r="B857" s="3"/>
      <c r="C857" s="3"/>
      <c r="D857" s="3"/>
      <c r="E857" s="3"/>
      <c r="F857" s="3"/>
      <c r="G857" s="3"/>
    </row>
    <row r="858">
      <c r="A858" s="3" t="str">
        <f>IFERROR(__xludf.DUMMYFUNCTION("""COMPUTED_VALUE"""),"")</f>
        <v/>
      </c>
      <c r="B858" s="3"/>
      <c r="C858" s="3"/>
      <c r="D858" s="3"/>
      <c r="E858" s="3"/>
      <c r="F858" s="3"/>
      <c r="G858" s="3"/>
    </row>
    <row r="859">
      <c r="A859" s="3" t="str">
        <f>IFERROR(__xludf.DUMMYFUNCTION("""COMPUTED_VALUE"""),"")</f>
        <v/>
      </c>
      <c r="B859" s="3"/>
      <c r="C859" s="3"/>
      <c r="D859" s="3"/>
      <c r="E859" s="3"/>
      <c r="F859" s="3"/>
      <c r="G859" s="3"/>
    </row>
    <row r="860">
      <c r="A860" s="3" t="str">
        <f>IFERROR(__xludf.DUMMYFUNCTION("""COMPUTED_VALUE"""),"")</f>
        <v/>
      </c>
      <c r="B860" s="3"/>
      <c r="C860" s="3"/>
      <c r="D860" s="3"/>
      <c r="E860" s="3"/>
      <c r="F860" s="3"/>
      <c r="G860" s="3"/>
    </row>
    <row r="861">
      <c r="A861" s="3" t="str">
        <f>IFERROR(__xludf.DUMMYFUNCTION("""COMPUTED_VALUE"""),"")</f>
        <v/>
      </c>
      <c r="B861" s="3"/>
      <c r="C861" s="3"/>
      <c r="D861" s="3"/>
      <c r="E861" s="3"/>
      <c r="F861" s="3"/>
      <c r="G861" s="3"/>
    </row>
    <row r="862">
      <c r="A862" s="3" t="str">
        <f>IFERROR(__xludf.DUMMYFUNCTION("""COMPUTED_VALUE"""),"")</f>
        <v/>
      </c>
      <c r="B862" s="3"/>
      <c r="C862" s="3"/>
      <c r="D862" s="3"/>
      <c r="E862" s="3"/>
      <c r="F862" s="3"/>
      <c r="G862" s="3"/>
    </row>
    <row r="863">
      <c r="A863" s="3" t="str">
        <f>IFERROR(__xludf.DUMMYFUNCTION("""COMPUTED_VALUE"""),"")</f>
        <v/>
      </c>
      <c r="B863" s="3"/>
      <c r="C863" s="3"/>
      <c r="D863" s="3"/>
      <c r="E863" s="3"/>
      <c r="F863" s="3"/>
      <c r="G863" s="3"/>
    </row>
    <row r="864">
      <c r="A864" s="3" t="str">
        <f>IFERROR(__xludf.DUMMYFUNCTION("""COMPUTED_VALUE"""),"")</f>
        <v/>
      </c>
      <c r="B864" s="3"/>
      <c r="C864" s="3"/>
      <c r="D864" s="3"/>
      <c r="E864" s="3"/>
      <c r="F864" s="3"/>
      <c r="G864" s="3"/>
    </row>
    <row r="865">
      <c r="A865" s="3" t="str">
        <f>IFERROR(__xludf.DUMMYFUNCTION("""COMPUTED_VALUE"""),"")</f>
        <v/>
      </c>
      <c r="B865" s="3"/>
      <c r="C865" s="3"/>
      <c r="D865" s="3"/>
      <c r="E865" s="3"/>
      <c r="F865" s="3"/>
      <c r="G865" s="3"/>
    </row>
    <row r="866">
      <c r="A866" s="3" t="str">
        <f>IFERROR(__xludf.DUMMYFUNCTION("""COMPUTED_VALUE"""),"")</f>
        <v/>
      </c>
      <c r="B866" s="3"/>
      <c r="C866" s="3"/>
      <c r="D866" s="3"/>
      <c r="E866" s="3"/>
      <c r="F866" s="3"/>
      <c r="G866" s="3"/>
    </row>
    <row r="867">
      <c r="A867" s="3" t="str">
        <f>IFERROR(__xludf.DUMMYFUNCTION("""COMPUTED_VALUE"""),"")</f>
        <v/>
      </c>
      <c r="B867" s="3"/>
      <c r="C867" s="3"/>
      <c r="D867" s="3"/>
      <c r="E867" s="3"/>
      <c r="F867" s="3"/>
      <c r="G867" s="3"/>
    </row>
    <row r="868">
      <c r="A868" s="3" t="str">
        <f>IFERROR(__xludf.DUMMYFUNCTION("""COMPUTED_VALUE"""),"")</f>
        <v/>
      </c>
      <c r="B868" s="3"/>
      <c r="C868" s="3"/>
      <c r="D868" s="3"/>
      <c r="E868" s="3"/>
      <c r="F868" s="3"/>
      <c r="G868" s="3"/>
    </row>
    <row r="869">
      <c r="A869" s="3" t="str">
        <f>IFERROR(__xludf.DUMMYFUNCTION("""COMPUTED_VALUE"""),"")</f>
        <v/>
      </c>
      <c r="B869" s="3"/>
      <c r="C869" s="3"/>
      <c r="D869" s="3"/>
      <c r="E869" s="3"/>
      <c r="F869" s="3"/>
      <c r="G869" s="3"/>
    </row>
    <row r="870">
      <c r="A870" s="3" t="str">
        <f>IFERROR(__xludf.DUMMYFUNCTION("""COMPUTED_VALUE"""),"")</f>
        <v/>
      </c>
      <c r="B870" s="3"/>
      <c r="C870" s="3"/>
      <c r="D870" s="3"/>
      <c r="E870" s="3"/>
      <c r="F870" s="3"/>
      <c r="G870" s="3"/>
    </row>
    <row r="871">
      <c r="A871" s="3" t="str">
        <f>IFERROR(__xludf.DUMMYFUNCTION("""COMPUTED_VALUE"""),"")</f>
        <v/>
      </c>
      <c r="B871" s="3"/>
      <c r="C871" s="3"/>
      <c r="D871" s="3"/>
      <c r="E871" s="3"/>
      <c r="F871" s="3"/>
      <c r="G871" s="3"/>
    </row>
    <row r="872">
      <c r="A872" s="3" t="str">
        <f>IFERROR(__xludf.DUMMYFUNCTION("""COMPUTED_VALUE"""),"")</f>
        <v/>
      </c>
      <c r="B872" s="3"/>
      <c r="C872" s="3"/>
      <c r="D872" s="3"/>
      <c r="E872" s="3"/>
      <c r="F872" s="3"/>
      <c r="G872" s="3"/>
    </row>
    <row r="873">
      <c r="A873" s="3" t="str">
        <f>IFERROR(__xludf.DUMMYFUNCTION("""COMPUTED_VALUE"""),"")</f>
        <v/>
      </c>
      <c r="B873" s="3"/>
      <c r="C873" s="3"/>
      <c r="D873" s="3"/>
      <c r="E873" s="3"/>
      <c r="F873" s="3"/>
      <c r="G873" s="3"/>
    </row>
    <row r="874">
      <c r="A874" s="3" t="str">
        <f>IFERROR(__xludf.DUMMYFUNCTION("""COMPUTED_VALUE"""),"")</f>
        <v/>
      </c>
      <c r="B874" s="3"/>
      <c r="C874" s="3"/>
      <c r="D874" s="3"/>
      <c r="E874" s="3"/>
      <c r="F874" s="3"/>
      <c r="G874" s="3"/>
    </row>
    <row r="875">
      <c r="A875" s="3" t="str">
        <f>IFERROR(__xludf.DUMMYFUNCTION("""COMPUTED_VALUE"""),"")</f>
        <v/>
      </c>
      <c r="B875" s="3"/>
      <c r="C875" s="3"/>
      <c r="D875" s="3"/>
      <c r="E875" s="3"/>
      <c r="F875" s="3"/>
      <c r="G875" s="3"/>
    </row>
    <row r="876">
      <c r="A876" s="3" t="str">
        <f>IFERROR(__xludf.DUMMYFUNCTION("""COMPUTED_VALUE"""),"")</f>
        <v/>
      </c>
      <c r="B876" s="3"/>
      <c r="C876" s="3"/>
      <c r="D876" s="3"/>
      <c r="E876" s="3"/>
      <c r="F876" s="3"/>
      <c r="G876" s="3"/>
    </row>
    <row r="877">
      <c r="A877" s="3" t="str">
        <f>IFERROR(__xludf.DUMMYFUNCTION("""COMPUTED_VALUE"""),"")</f>
        <v/>
      </c>
      <c r="B877" s="3"/>
      <c r="C877" s="3"/>
      <c r="D877" s="3"/>
      <c r="E877" s="3"/>
      <c r="F877" s="3"/>
      <c r="G877" s="3"/>
    </row>
    <row r="878">
      <c r="A878" s="3" t="str">
        <f>IFERROR(__xludf.DUMMYFUNCTION("""COMPUTED_VALUE"""),"")</f>
        <v/>
      </c>
      <c r="B878" s="3"/>
      <c r="C878" s="3"/>
      <c r="D878" s="3"/>
      <c r="E878" s="3"/>
      <c r="F878" s="3"/>
      <c r="G878" s="3"/>
    </row>
    <row r="879">
      <c r="A879" s="3" t="str">
        <f>IFERROR(__xludf.DUMMYFUNCTION("""COMPUTED_VALUE"""),"")</f>
        <v/>
      </c>
      <c r="B879" s="3"/>
      <c r="C879" s="3"/>
      <c r="D879" s="3"/>
      <c r="E879" s="3"/>
      <c r="F879" s="3"/>
      <c r="G879" s="3"/>
    </row>
    <row r="880">
      <c r="A880" s="3" t="str">
        <f>IFERROR(__xludf.DUMMYFUNCTION("""COMPUTED_VALUE"""),"")</f>
        <v/>
      </c>
      <c r="B880" s="3"/>
      <c r="C880" s="3"/>
      <c r="D880" s="3"/>
      <c r="E880" s="3"/>
      <c r="F880" s="3"/>
      <c r="G880" s="3"/>
    </row>
    <row r="881">
      <c r="A881" s="3" t="str">
        <f>IFERROR(__xludf.DUMMYFUNCTION("""COMPUTED_VALUE"""),"")</f>
        <v/>
      </c>
      <c r="B881" s="3"/>
      <c r="C881" s="3"/>
      <c r="D881" s="3"/>
      <c r="E881" s="3"/>
      <c r="F881" s="3"/>
      <c r="G881" s="3"/>
    </row>
    <row r="882">
      <c r="A882" s="3" t="str">
        <f>IFERROR(__xludf.DUMMYFUNCTION("""COMPUTED_VALUE"""),"")</f>
        <v/>
      </c>
      <c r="B882" s="3"/>
      <c r="C882" s="3"/>
      <c r="D882" s="3"/>
      <c r="E882" s="3"/>
      <c r="F882" s="3"/>
      <c r="G882" s="3"/>
    </row>
    <row r="883">
      <c r="A883" s="3" t="str">
        <f>IFERROR(__xludf.DUMMYFUNCTION("""COMPUTED_VALUE"""),"")</f>
        <v/>
      </c>
      <c r="B883" s="3"/>
      <c r="C883" s="3"/>
      <c r="D883" s="3"/>
      <c r="E883" s="3"/>
      <c r="F883" s="3"/>
      <c r="G883" s="3"/>
    </row>
    <row r="884">
      <c r="A884" s="3" t="str">
        <f>IFERROR(__xludf.DUMMYFUNCTION("""COMPUTED_VALUE"""),"")</f>
        <v/>
      </c>
      <c r="B884" s="3"/>
      <c r="C884" s="3"/>
      <c r="D884" s="3"/>
      <c r="E884" s="3"/>
      <c r="F884" s="3"/>
      <c r="G884" s="3"/>
    </row>
    <row r="885">
      <c r="A885" s="3" t="str">
        <f>IFERROR(__xludf.DUMMYFUNCTION("""COMPUTED_VALUE"""),"")</f>
        <v/>
      </c>
      <c r="B885" s="3"/>
      <c r="C885" s="3"/>
      <c r="D885" s="3"/>
      <c r="E885" s="3"/>
      <c r="F885" s="3"/>
      <c r="G885" s="3"/>
    </row>
    <row r="886">
      <c r="A886" s="3" t="str">
        <f>IFERROR(__xludf.DUMMYFUNCTION("""COMPUTED_VALUE"""),"")</f>
        <v/>
      </c>
      <c r="B886" s="3"/>
      <c r="C886" s="3"/>
      <c r="D886" s="3"/>
      <c r="E886" s="3"/>
      <c r="F886" s="3"/>
      <c r="G886" s="3"/>
    </row>
    <row r="887">
      <c r="A887" s="3" t="str">
        <f>IFERROR(__xludf.DUMMYFUNCTION("""COMPUTED_VALUE"""),"")</f>
        <v/>
      </c>
      <c r="B887" s="3"/>
      <c r="C887" s="3"/>
      <c r="D887" s="3"/>
      <c r="E887" s="3"/>
      <c r="F887" s="3"/>
      <c r="G887" s="3"/>
    </row>
    <row r="888">
      <c r="A888" s="3" t="str">
        <f>IFERROR(__xludf.DUMMYFUNCTION("""COMPUTED_VALUE"""),"")</f>
        <v/>
      </c>
      <c r="B888" s="3"/>
      <c r="C888" s="3"/>
      <c r="D888" s="3"/>
      <c r="E888" s="3"/>
      <c r="F888" s="3"/>
      <c r="G888" s="3"/>
    </row>
    <row r="889">
      <c r="A889" s="3" t="str">
        <f>IFERROR(__xludf.DUMMYFUNCTION("""COMPUTED_VALUE"""),"")</f>
        <v/>
      </c>
      <c r="B889" s="3"/>
      <c r="C889" s="3"/>
      <c r="D889" s="3"/>
      <c r="E889" s="3"/>
      <c r="F889" s="3"/>
      <c r="G889" s="3"/>
    </row>
    <row r="890">
      <c r="A890" s="3" t="str">
        <f>IFERROR(__xludf.DUMMYFUNCTION("""COMPUTED_VALUE"""),"")</f>
        <v/>
      </c>
      <c r="B890" s="3"/>
      <c r="C890" s="3"/>
      <c r="D890" s="3"/>
      <c r="E890" s="3"/>
      <c r="F890" s="3"/>
      <c r="G890" s="3"/>
    </row>
    <row r="891">
      <c r="A891" s="3" t="str">
        <f>IFERROR(__xludf.DUMMYFUNCTION("""COMPUTED_VALUE"""),"")</f>
        <v/>
      </c>
      <c r="B891" s="3"/>
      <c r="C891" s="3"/>
      <c r="D891" s="3"/>
      <c r="E891" s="3"/>
      <c r="F891" s="3"/>
      <c r="G891" s="3"/>
    </row>
    <row r="892">
      <c r="A892" s="3" t="str">
        <f>IFERROR(__xludf.DUMMYFUNCTION("""COMPUTED_VALUE"""),"")</f>
        <v/>
      </c>
      <c r="B892" s="3"/>
      <c r="C892" s="3"/>
      <c r="D892" s="3"/>
      <c r="E892" s="3"/>
      <c r="F892" s="3"/>
      <c r="G892" s="3"/>
    </row>
    <row r="893">
      <c r="A893" s="3" t="str">
        <f>IFERROR(__xludf.DUMMYFUNCTION("""COMPUTED_VALUE"""),"")</f>
        <v/>
      </c>
      <c r="B893" s="3"/>
      <c r="C893" s="3"/>
      <c r="D893" s="3"/>
      <c r="E893" s="3"/>
      <c r="F893" s="3"/>
      <c r="G893" s="3"/>
    </row>
    <row r="894">
      <c r="A894" s="3" t="str">
        <f>IFERROR(__xludf.DUMMYFUNCTION("""COMPUTED_VALUE"""),"")</f>
        <v/>
      </c>
      <c r="B894" s="3"/>
      <c r="C894" s="3"/>
      <c r="D894" s="3"/>
      <c r="E894" s="3"/>
      <c r="F894" s="3"/>
      <c r="G894" s="3"/>
    </row>
    <row r="895">
      <c r="A895" s="3" t="str">
        <f>IFERROR(__xludf.DUMMYFUNCTION("""COMPUTED_VALUE"""),"")</f>
        <v/>
      </c>
      <c r="B895" s="3"/>
      <c r="C895" s="3"/>
      <c r="D895" s="3"/>
      <c r="E895" s="3"/>
      <c r="F895" s="3"/>
      <c r="G895" s="3"/>
    </row>
    <row r="896">
      <c r="A896" s="3" t="str">
        <f>IFERROR(__xludf.DUMMYFUNCTION("""COMPUTED_VALUE"""),"")</f>
        <v/>
      </c>
      <c r="B896" s="3"/>
      <c r="C896" s="3"/>
      <c r="D896" s="3"/>
      <c r="E896" s="3"/>
      <c r="F896" s="3"/>
      <c r="G896" s="3"/>
    </row>
    <row r="897">
      <c r="A897" s="3" t="str">
        <f>IFERROR(__xludf.DUMMYFUNCTION("""COMPUTED_VALUE"""),"")</f>
        <v/>
      </c>
      <c r="B897" s="3"/>
      <c r="C897" s="3"/>
      <c r="D897" s="3"/>
      <c r="E897" s="3"/>
      <c r="F897" s="3"/>
      <c r="G897" s="3"/>
    </row>
    <row r="898">
      <c r="A898" s="3" t="str">
        <f>IFERROR(__xludf.DUMMYFUNCTION("""COMPUTED_VALUE"""),"")</f>
        <v/>
      </c>
      <c r="B898" s="3"/>
      <c r="C898" s="3"/>
      <c r="D898" s="3"/>
      <c r="E898" s="3"/>
      <c r="F898" s="3"/>
      <c r="G898" s="3"/>
    </row>
    <row r="899">
      <c r="A899" s="3" t="str">
        <f>IFERROR(__xludf.DUMMYFUNCTION("""COMPUTED_VALUE"""),"")</f>
        <v/>
      </c>
      <c r="B899" s="3"/>
      <c r="C899" s="3"/>
      <c r="D899" s="3"/>
      <c r="E899" s="3"/>
      <c r="F899" s="3"/>
      <c r="G899" s="3"/>
    </row>
    <row r="900">
      <c r="A900" s="3" t="str">
        <f>IFERROR(__xludf.DUMMYFUNCTION("""COMPUTED_VALUE"""),"")</f>
        <v/>
      </c>
      <c r="B900" s="3"/>
      <c r="C900" s="3"/>
      <c r="D900" s="3"/>
      <c r="E900" s="3"/>
      <c r="F900" s="3"/>
      <c r="G900" s="3"/>
    </row>
    <row r="901">
      <c r="A901" s="3" t="str">
        <f>IFERROR(__xludf.DUMMYFUNCTION("""COMPUTED_VALUE"""),"")</f>
        <v/>
      </c>
      <c r="B901" s="3"/>
      <c r="C901" s="3"/>
      <c r="D901" s="3"/>
      <c r="E901" s="3"/>
      <c r="F901" s="3"/>
      <c r="G901" s="3"/>
    </row>
    <row r="902">
      <c r="A902" s="3" t="str">
        <f>IFERROR(__xludf.DUMMYFUNCTION("""COMPUTED_VALUE"""),"")</f>
        <v/>
      </c>
      <c r="B902" s="3"/>
      <c r="C902" s="3"/>
      <c r="D902" s="3"/>
      <c r="E902" s="3"/>
      <c r="F902" s="3"/>
      <c r="G902" s="3"/>
    </row>
    <row r="903">
      <c r="A903" s="3" t="str">
        <f>IFERROR(__xludf.DUMMYFUNCTION("""COMPUTED_VALUE"""),"")</f>
        <v/>
      </c>
      <c r="B903" s="3"/>
      <c r="C903" s="3"/>
      <c r="D903" s="3"/>
      <c r="E903" s="3"/>
      <c r="F903" s="3"/>
      <c r="G903" s="3"/>
    </row>
    <row r="904">
      <c r="A904" s="3" t="str">
        <f>IFERROR(__xludf.DUMMYFUNCTION("""COMPUTED_VALUE"""),"")</f>
        <v/>
      </c>
      <c r="B904" s="3"/>
      <c r="C904" s="3"/>
      <c r="D904" s="3"/>
      <c r="E904" s="3"/>
      <c r="F904" s="3"/>
      <c r="G904" s="3"/>
    </row>
    <row r="905">
      <c r="A905" s="3" t="str">
        <f>IFERROR(__xludf.DUMMYFUNCTION("""COMPUTED_VALUE"""),"")</f>
        <v/>
      </c>
      <c r="B905" s="3"/>
      <c r="C905" s="3"/>
      <c r="D905" s="3"/>
      <c r="E905" s="3"/>
      <c r="F905" s="3"/>
      <c r="G905" s="3"/>
    </row>
    <row r="906">
      <c r="A906" s="3" t="str">
        <f>IFERROR(__xludf.DUMMYFUNCTION("""COMPUTED_VALUE"""),"")</f>
        <v/>
      </c>
      <c r="B906" s="3"/>
      <c r="C906" s="3"/>
      <c r="D906" s="3"/>
      <c r="E906" s="3"/>
      <c r="F906" s="3"/>
      <c r="G906" s="3"/>
    </row>
    <row r="907">
      <c r="A907" s="3" t="str">
        <f>IFERROR(__xludf.DUMMYFUNCTION("""COMPUTED_VALUE"""),"")</f>
        <v/>
      </c>
      <c r="B907" s="3"/>
      <c r="C907" s="3"/>
      <c r="D907" s="3"/>
      <c r="E907" s="3"/>
      <c r="F907" s="3"/>
      <c r="G907" s="3"/>
    </row>
    <row r="908">
      <c r="A908" s="3" t="str">
        <f>IFERROR(__xludf.DUMMYFUNCTION("""COMPUTED_VALUE"""),"")</f>
        <v/>
      </c>
      <c r="B908" s="3"/>
      <c r="C908" s="3"/>
      <c r="D908" s="3"/>
      <c r="E908" s="3"/>
      <c r="F908" s="3"/>
      <c r="G908" s="3"/>
    </row>
    <row r="909">
      <c r="A909" s="3" t="str">
        <f>IFERROR(__xludf.DUMMYFUNCTION("""COMPUTED_VALUE"""),"")</f>
        <v/>
      </c>
      <c r="B909" s="3"/>
      <c r="C909" s="3"/>
      <c r="D909" s="3"/>
      <c r="E909" s="3"/>
      <c r="F909" s="3"/>
      <c r="G909" s="3"/>
    </row>
    <row r="910">
      <c r="A910" s="3" t="str">
        <f>IFERROR(__xludf.DUMMYFUNCTION("""COMPUTED_VALUE"""),"")</f>
        <v/>
      </c>
      <c r="B910" s="3"/>
      <c r="C910" s="3"/>
      <c r="D910" s="3"/>
      <c r="E910" s="3"/>
      <c r="F910" s="3"/>
      <c r="G910" s="3"/>
    </row>
    <row r="911">
      <c r="A911" s="3" t="str">
        <f>IFERROR(__xludf.DUMMYFUNCTION("""COMPUTED_VALUE"""),"")</f>
        <v/>
      </c>
      <c r="B911" s="3"/>
      <c r="C911" s="3"/>
      <c r="D911" s="3"/>
      <c r="E911" s="3"/>
      <c r="F911" s="3"/>
      <c r="G911" s="3"/>
    </row>
    <row r="912">
      <c r="A912" s="3" t="str">
        <f>IFERROR(__xludf.DUMMYFUNCTION("""COMPUTED_VALUE"""),"")</f>
        <v/>
      </c>
      <c r="B912" s="3"/>
      <c r="C912" s="3"/>
      <c r="D912" s="3"/>
      <c r="E912" s="3"/>
      <c r="F912" s="3"/>
      <c r="G912" s="3"/>
    </row>
    <row r="913">
      <c r="A913" s="3" t="str">
        <f>IFERROR(__xludf.DUMMYFUNCTION("""COMPUTED_VALUE"""),"")</f>
        <v/>
      </c>
      <c r="B913" s="3"/>
      <c r="C913" s="3"/>
      <c r="D913" s="3"/>
      <c r="E913" s="3"/>
      <c r="F913" s="3"/>
      <c r="G913" s="3"/>
    </row>
    <row r="914">
      <c r="A914" s="3" t="str">
        <f>IFERROR(__xludf.DUMMYFUNCTION("""COMPUTED_VALUE"""),"")</f>
        <v/>
      </c>
      <c r="B914" s="3"/>
      <c r="C914" s="3"/>
      <c r="D914" s="3"/>
      <c r="E914" s="3"/>
      <c r="F914" s="3"/>
      <c r="G914" s="3"/>
    </row>
    <row r="915">
      <c r="A915" s="3" t="str">
        <f>IFERROR(__xludf.DUMMYFUNCTION("""COMPUTED_VALUE"""),"")</f>
        <v/>
      </c>
      <c r="B915" s="3"/>
      <c r="C915" s="3"/>
      <c r="D915" s="3"/>
      <c r="E915" s="3"/>
      <c r="F915" s="3"/>
      <c r="G915" s="3"/>
    </row>
    <row r="916">
      <c r="A916" s="3" t="str">
        <f>IFERROR(__xludf.DUMMYFUNCTION("""COMPUTED_VALUE"""),"")</f>
        <v/>
      </c>
      <c r="B916" s="3"/>
      <c r="C916" s="3"/>
      <c r="D916" s="3"/>
      <c r="E916" s="3"/>
      <c r="F916" s="3"/>
      <c r="G916" s="3"/>
    </row>
    <row r="917">
      <c r="A917" s="3" t="str">
        <f>IFERROR(__xludf.DUMMYFUNCTION("""COMPUTED_VALUE"""),"")</f>
        <v/>
      </c>
      <c r="B917" s="3"/>
      <c r="C917" s="3"/>
      <c r="D917" s="3"/>
      <c r="E917" s="3"/>
      <c r="F917" s="3"/>
      <c r="G917" s="3"/>
    </row>
    <row r="918">
      <c r="A918" s="3" t="str">
        <f>IFERROR(__xludf.DUMMYFUNCTION("""COMPUTED_VALUE"""),"")</f>
        <v/>
      </c>
      <c r="B918" s="3"/>
      <c r="C918" s="3"/>
      <c r="D918" s="3"/>
      <c r="E918" s="3"/>
      <c r="F918" s="3"/>
      <c r="G918" s="3"/>
    </row>
    <row r="919">
      <c r="A919" s="3" t="str">
        <f>IFERROR(__xludf.DUMMYFUNCTION("""COMPUTED_VALUE"""),"")</f>
        <v/>
      </c>
      <c r="B919" s="3"/>
      <c r="C919" s="3"/>
      <c r="D919" s="3"/>
      <c r="E919" s="3"/>
      <c r="F919" s="3"/>
      <c r="G919" s="3"/>
    </row>
    <row r="920">
      <c r="A920" s="3" t="str">
        <f>IFERROR(__xludf.DUMMYFUNCTION("""COMPUTED_VALUE"""),"")</f>
        <v/>
      </c>
      <c r="B920" s="3"/>
      <c r="C920" s="3"/>
      <c r="D920" s="3"/>
      <c r="E920" s="3"/>
      <c r="F920" s="3"/>
      <c r="G920" s="3"/>
    </row>
    <row r="921">
      <c r="A921" s="3" t="str">
        <f>IFERROR(__xludf.DUMMYFUNCTION("""COMPUTED_VALUE"""),"")</f>
        <v/>
      </c>
      <c r="B921" s="3"/>
      <c r="C921" s="3"/>
      <c r="D921" s="3"/>
      <c r="E921" s="3"/>
      <c r="F921" s="3"/>
      <c r="G921" s="3"/>
    </row>
    <row r="922">
      <c r="A922" s="3" t="str">
        <f>IFERROR(__xludf.DUMMYFUNCTION("""COMPUTED_VALUE"""),"")</f>
        <v/>
      </c>
      <c r="B922" s="3"/>
      <c r="C922" s="3"/>
      <c r="D922" s="3"/>
      <c r="E922" s="3"/>
      <c r="F922" s="3"/>
      <c r="G922" s="3"/>
    </row>
    <row r="923">
      <c r="A923" s="3" t="str">
        <f>IFERROR(__xludf.DUMMYFUNCTION("""COMPUTED_VALUE"""),"")</f>
        <v/>
      </c>
      <c r="B923" s="3"/>
      <c r="C923" s="3"/>
      <c r="D923" s="3"/>
      <c r="E923" s="3"/>
      <c r="F923" s="3"/>
      <c r="G923" s="3"/>
    </row>
    <row r="924">
      <c r="A924" s="3" t="str">
        <f>IFERROR(__xludf.DUMMYFUNCTION("""COMPUTED_VALUE"""),"")</f>
        <v/>
      </c>
      <c r="B924" s="3"/>
      <c r="C924" s="3"/>
      <c r="D924" s="3"/>
      <c r="E924" s="3"/>
      <c r="F924" s="3"/>
      <c r="G924" s="3"/>
    </row>
    <row r="925">
      <c r="A925" s="3" t="str">
        <f>IFERROR(__xludf.DUMMYFUNCTION("""COMPUTED_VALUE"""),"")</f>
        <v/>
      </c>
      <c r="B925" s="3"/>
      <c r="C925" s="3"/>
      <c r="D925" s="3"/>
      <c r="E925" s="3"/>
      <c r="F925" s="3"/>
      <c r="G925" s="3"/>
    </row>
    <row r="926">
      <c r="A926" s="3" t="str">
        <f>IFERROR(__xludf.DUMMYFUNCTION("""COMPUTED_VALUE"""),"")</f>
        <v/>
      </c>
      <c r="B926" s="3"/>
      <c r="C926" s="3"/>
      <c r="D926" s="3"/>
      <c r="E926" s="3"/>
      <c r="F926" s="3"/>
      <c r="G926" s="3"/>
    </row>
    <row r="927">
      <c r="A927" s="3" t="str">
        <f>IFERROR(__xludf.DUMMYFUNCTION("""COMPUTED_VALUE"""),"")</f>
        <v/>
      </c>
      <c r="B927" s="3"/>
      <c r="C927" s="3"/>
      <c r="D927" s="3"/>
      <c r="E927" s="3"/>
      <c r="F927" s="3"/>
      <c r="G927" s="3"/>
    </row>
    <row r="928">
      <c r="A928" s="3" t="str">
        <f>IFERROR(__xludf.DUMMYFUNCTION("""COMPUTED_VALUE"""),"")</f>
        <v/>
      </c>
      <c r="B928" s="3"/>
      <c r="C928" s="3"/>
      <c r="D928" s="3"/>
      <c r="E928" s="3"/>
      <c r="F928" s="3"/>
      <c r="G928" s="3"/>
    </row>
    <row r="929">
      <c r="A929" s="3" t="str">
        <f>IFERROR(__xludf.DUMMYFUNCTION("""COMPUTED_VALUE"""),"")</f>
        <v/>
      </c>
      <c r="B929" s="3"/>
      <c r="C929" s="3"/>
      <c r="D929" s="3"/>
      <c r="E929" s="3"/>
      <c r="F929" s="3"/>
      <c r="G929" s="3"/>
    </row>
    <row r="930">
      <c r="A930" s="3" t="str">
        <f>IFERROR(__xludf.DUMMYFUNCTION("""COMPUTED_VALUE"""),"")</f>
        <v/>
      </c>
      <c r="B930" s="3"/>
      <c r="C930" s="3"/>
      <c r="D930" s="3"/>
      <c r="E930" s="3"/>
      <c r="F930" s="3"/>
      <c r="G930" s="3"/>
    </row>
    <row r="931">
      <c r="A931" s="3" t="str">
        <f>IFERROR(__xludf.DUMMYFUNCTION("""COMPUTED_VALUE"""),"")</f>
        <v/>
      </c>
      <c r="B931" s="3"/>
      <c r="C931" s="3"/>
      <c r="D931" s="3"/>
      <c r="E931" s="3"/>
      <c r="F931" s="3"/>
      <c r="G931" s="3"/>
    </row>
    <row r="932">
      <c r="A932" s="3" t="str">
        <f>IFERROR(__xludf.DUMMYFUNCTION("""COMPUTED_VALUE"""),"")</f>
        <v/>
      </c>
      <c r="B932" s="3"/>
      <c r="C932" s="3"/>
      <c r="D932" s="3"/>
      <c r="E932" s="3"/>
      <c r="F932" s="3"/>
      <c r="G932" s="3"/>
    </row>
    <row r="933">
      <c r="A933" s="3" t="str">
        <f>IFERROR(__xludf.DUMMYFUNCTION("""COMPUTED_VALUE"""),"")</f>
        <v/>
      </c>
      <c r="B933" s="3"/>
      <c r="C933" s="3"/>
      <c r="D933" s="3"/>
      <c r="E933" s="3"/>
      <c r="F933" s="3"/>
      <c r="G933" s="3"/>
    </row>
    <row r="934">
      <c r="A934" s="3" t="str">
        <f>IFERROR(__xludf.DUMMYFUNCTION("""COMPUTED_VALUE"""),"")</f>
        <v/>
      </c>
      <c r="B934" s="3"/>
      <c r="C934" s="3"/>
      <c r="D934" s="3"/>
      <c r="E934" s="3"/>
      <c r="F934" s="3"/>
      <c r="G934" s="3"/>
    </row>
    <row r="935">
      <c r="A935" s="3" t="str">
        <f>IFERROR(__xludf.DUMMYFUNCTION("""COMPUTED_VALUE"""),"")</f>
        <v/>
      </c>
      <c r="B935" s="3"/>
      <c r="C935" s="3"/>
      <c r="D935" s="3"/>
      <c r="E935" s="3"/>
      <c r="F935" s="3"/>
      <c r="G935" s="3"/>
    </row>
    <row r="936">
      <c r="A936" s="3" t="str">
        <f>IFERROR(__xludf.DUMMYFUNCTION("""COMPUTED_VALUE"""),"")</f>
        <v/>
      </c>
      <c r="B936" s="3"/>
      <c r="C936" s="3"/>
      <c r="D936" s="3"/>
      <c r="E936" s="3"/>
      <c r="F936" s="3"/>
      <c r="G936" s="3"/>
    </row>
    <row r="937">
      <c r="A937" s="3" t="str">
        <f>IFERROR(__xludf.DUMMYFUNCTION("""COMPUTED_VALUE"""),"")</f>
        <v/>
      </c>
      <c r="B937" s="3"/>
      <c r="C937" s="3"/>
      <c r="D937" s="3"/>
      <c r="E937" s="3"/>
      <c r="F937" s="3"/>
      <c r="G937" s="3"/>
    </row>
    <row r="938">
      <c r="A938" s="3" t="str">
        <f>IFERROR(__xludf.DUMMYFUNCTION("""COMPUTED_VALUE"""),"")</f>
        <v/>
      </c>
      <c r="B938" s="3"/>
      <c r="C938" s="3"/>
      <c r="D938" s="3"/>
      <c r="E938" s="3"/>
      <c r="F938" s="3"/>
      <c r="G938" s="3"/>
    </row>
    <row r="939">
      <c r="A939" s="3" t="str">
        <f>IFERROR(__xludf.DUMMYFUNCTION("""COMPUTED_VALUE"""),"")</f>
        <v/>
      </c>
      <c r="B939" s="3"/>
      <c r="C939" s="3"/>
      <c r="D939" s="3"/>
      <c r="E939" s="3"/>
      <c r="F939" s="3"/>
      <c r="G939" s="3"/>
    </row>
    <row r="940">
      <c r="A940" s="3" t="str">
        <f>IFERROR(__xludf.DUMMYFUNCTION("""COMPUTED_VALUE"""),"")</f>
        <v/>
      </c>
      <c r="B940" s="3"/>
      <c r="C940" s="3"/>
      <c r="D940" s="3"/>
      <c r="E940" s="3"/>
      <c r="F940" s="3"/>
      <c r="G940" s="3"/>
    </row>
    <row r="941">
      <c r="A941" s="3" t="str">
        <f>IFERROR(__xludf.DUMMYFUNCTION("""COMPUTED_VALUE"""),"")</f>
        <v/>
      </c>
      <c r="B941" s="3"/>
      <c r="C941" s="3"/>
      <c r="D941" s="3"/>
      <c r="E941" s="3"/>
      <c r="F941" s="3"/>
      <c r="G941" s="3"/>
    </row>
    <row r="942">
      <c r="A942" s="3" t="str">
        <f>IFERROR(__xludf.DUMMYFUNCTION("""COMPUTED_VALUE"""),"")</f>
        <v/>
      </c>
      <c r="B942" s="3"/>
      <c r="C942" s="3"/>
      <c r="D942" s="3"/>
      <c r="E942" s="3"/>
      <c r="F942" s="3"/>
      <c r="G942" s="3"/>
    </row>
    <row r="943">
      <c r="A943" s="3" t="str">
        <f>IFERROR(__xludf.DUMMYFUNCTION("""COMPUTED_VALUE"""),"")</f>
        <v/>
      </c>
      <c r="B943" s="3"/>
      <c r="C943" s="3"/>
      <c r="D943" s="3"/>
      <c r="E943" s="3"/>
      <c r="F943" s="3"/>
      <c r="G943" s="3"/>
    </row>
    <row r="944">
      <c r="A944" s="3" t="str">
        <f>IFERROR(__xludf.DUMMYFUNCTION("""COMPUTED_VALUE"""),"")</f>
        <v/>
      </c>
      <c r="B944" s="3"/>
      <c r="C944" s="3"/>
      <c r="D944" s="3"/>
      <c r="E944" s="3"/>
      <c r="F944" s="3"/>
      <c r="G944" s="3"/>
    </row>
    <row r="945">
      <c r="A945" s="3" t="str">
        <f>IFERROR(__xludf.DUMMYFUNCTION("""COMPUTED_VALUE"""),"")</f>
        <v/>
      </c>
      <c r="B945" s="3"/>
      <c r="C945" s="3"/>
      <c r="D945" s="3"/>
      <c r="E945" s="3"/>
      <c r="F945" s="3"/>
      <c r="G945" s="3"/>
    </row>
    <row r="946">
      <c r="A946" s="3" t="str">
        <f>IFERROR(__xludf.DUMMYFUNCTION("""COMPUTED_VALUE"""),"")</f>
        <v/>
      </c>
      <c r="B946" s="3"/>
      <c r="C946" s="3"/>
      <c r="D946" s="3"/>
      <c r="E946" s="3"/>
      <c r="F946" s="3"/>
      <c r="G946" s="3"/>
    </row>
    <row r="947">
      <c r="A947" s="3" t="str">
        <f>IFERROR(__xludf.DUMMYFUNCTION("""COMPUTED_VALUE"""),"")</f>
        <v/>
      </c>
      <c r="B947" s="3"/>
      <c r="C947" s="3"/>
      <c r="D947" s="3"/>
      <c r="E947" s="3"/>
      <c r="F947" s="3"/>
      <c r="G947" s="3"/>
    </row>
    <row r="948">
      <c r="A948" s="3" t="str">
        <f>IFERROR(__xludf.DUMMYFUNCTION("""COMPUTED_VALUE"""),"")</f>
        <v/>
      </c>
      <c r="B948" s="3"/>
      <c r="C948" s="3"/>
      <c r="D948" s="3"/>
      <c r="E948" s="3"/>
      <c r="F948" s="3"/>
      <c r="G948" s="3"/>
    </row>
    <row r="949">
      <c r="A949" s="3" t="str">
        <f>IFERROR(__xludf.DUMMYFUNCTION("""COMPUTED_VALUE"""),"")</f>
        <v/>
      </c>
      <c r="B949" s="3"/>
      <c r="C949" s="3"/>
      <c r="D949" s="3"/>
      <c r="E949" s="3"/>
      <c r="F949" s="3"/>
      <c r="G949" s="3"/>
    </row>
    <row r="950">
      <c r="A950" s="3" t="str">
        <f>IFERROR(__xludf.DUMMYFUNCTION("""COMPUTED_VALUE"""),"")</f>
        <v/>
      </c>
      <c r="B950" s="3"/>
      <c r="C950" s="3"/>
      <c r="D950" s="3"/>
      <c r="E950" s="3"/>
      <c r="F950" s="3"/>
      <c r="G950" s="3"/>
    </row>
    <row r="951">
      <c r="A951" s="3" t="str">
        <f>IFERROR(__xludf.DUMMYFUNCTION("""COMPUTED_VALUE"""),"")</f>
        <v/>
      </c>
      <c r="B951" s="3"/>
      <c r="C951" s="3"/>
      <c r="D951" s="3"/>
      <c r="E951" s="3"/>
      <c r="F951" s="3"/>
      <c r="G951" s="3"/>
    </row>
    <row r="952">
      <c r="A952" s="3" t="str">
        <f>IFERROR(__xludf.DUMMYFUNCTION("""COMPUTED_VALUE"""),"")</f>
        <v/>
      </c>
      <c r="B952" s="3"/>
      <c r="C952" s="3"/>
      <c r="D952" s="3"/>
      <c r="E952" s="3"/>
      <c r="F952" s="3"/>
      <c r="G952" s="3"/>
    </row>
    <row r="953">
      <c r="A953" s="3" t="str">
        <f>IFERROR(__xludf.DUMMYFUNCTION("""COMPUTED_VALUE"""),"")</f>
        <v/>
      </c>
      <c r="B953" s="3"/>
      <c r="C953" s="3"/>
      <c r="D953" s="3"/>
      <c r="E953" s="3"/>
      <c r="F953" s="3"/>
      <c r="G953" s="3"/>
    </row>
    <row r="954">
      <c r="A954" s="3" t="str">
        <f>IFERROR(__xludf.DUMMYFUNCTION("""COMPUTED_VALUE"""),"")</f>
        <v/>
      </c>
      <c r="B954" s="3"/>
      <c r="C954" s="3"/>
      <c r="D954" s="3"/>
      <c r="E954" s="3"/>
      <c r="F954" s="3"/>
      <c r="G954" s="3"/>
    </row>
    <row r="955">
      <c r="A955" s="3" t="str">
        <f>IFERROR(__xludf.DUMMYFUNCTION("""COMPUTED_VALUE"""),"")</f>
        <v/>
      </c>
      <c r="B955" s="3"/>
      <c r="C955" s="3"/>
      <c r="D955" s="3"/>
      <c r="E955" s="3"/>
      <c r="F955" s="3"/>
      <c r="G955" s="3"/>
    </row>
    <row r="956">
      <c r="A956" s="3" t="str">
        <f>IFERROR(__xludf.DUMMYFUNCTION("""COMPUTED_VALUE"""),"")</f>
        <v/>
      </c>
      <c r="B956" s="3"/>
      <c r="C956" s="3"/>
      <c r="D956" s="3"/>
      <c r="E956" s="3"/>
      <c r="F956" s="3"/>
      <c r="G956" s="3"/>
    </row>
    <row r="957">
      <c r="A957" s="3" t="str">
        <f>IFERROR(__xludf.DUMMYFUNCTION("""COMPUTED_VALUE"""),"")</f>
        <v/>
      </c>
      <c r="B957" s="3"/>
      <c r="C957" s="3"/>
      <c r="D957" s="3"/>
      <c r="E957" s="3"/>
      <c r="F957" s="3"/>
      <c r="G957" s="3"/>
    </row>
    <row r="958">
      <c r="A958" s="3" t="str">
        <f>IFERROR(__xludf.DUMMYFUNCTION("""COMPUTED_VALUE"""),"")</f>
        <v/>
      </c>
      <c r="B958" s="3"/>
      <c r="C958" s="3"/>
      <c r="D958" s="3"/>
      <c r="E958" s="3"/>
      <c r="F958" s="3"/>
      <c r="G958" s="3"/>
    </row>
    <row r="959">
      <c r="A959" s="3" t="str">
        <f>IFERROR(__xludf.DUMMYFUNCTION("""COMPUTED_VALUE"""),"")</f>
        <v/>
      </c>
      <c r="B959" s="3"/>
      <c r="C959" s="3"/>
      <c r="D959" s="3"/>
      <c r="E959" s="3"/>
      <c r="F959" s="3"/>
      <c r="G959" s="3"/>
    </row>
    <row r="960">
      <c r="A960" s="3" t="str">
        <f>IFERROR(__xludf.DUMMYFUNCTION("""COMPUTED_VALUE"""),"")</f>
        <v/>
      </c>
      <c r="B960" s="3"/>
      <c r="C960" s="3"/>
      <c r="D960" s="3"/>
      <c r="E960" s="3"/>
      <c r="F960" s="3"/>
      <c r="G960" s="3"/>
    </row>
    <row r="961">
      <c r="A961" s="3" t="str">
        <f>IFERROR(__xludf.DUMMYFUNCTION("""COMPUTED_VALUE"""),"")</f>
        <v/>
      </c>
      <c r="B961" s="3"/>
      <c r="C961" s="3"/>
      <c r="D961" s="3"/>
      <c r="E961" s="3"/>
      <c r="F961" s="3"/>
      <c r="G961" s="3"/>
    </row>
    <row r="962">
      <c r="A962" s="3" t="str">
        <f>IFERROR(__xludf.DUMMYFUNCTION("""COMPUTED_VALUE"""),"")</f>
        <v/>
      </c>
      <c r="B962" s="3"/>
      <c r="C962" s="3"/>
      <c r="D962" s="3"/>
      <c r="E962" s="3"/>
      <c r="F962" s="3"/>
      <c r="G962" s="3"/>
    </row>
    <row r="963">
      <c r="A963" s="3" t="str">
        <f>IFERROR(__xludf.DUMMYFUNCTION("""COMPUTED_VALUE"""),"")</f>
        <v/>
      </c>
      <c r="B963" s="3"/>
      <c r="C963" s="3"/>
      <c r="D963" s="3"/>
      <c r="E963" s="3"/>
      <c r="F963" s="3"/>
      <c r="G963" s="3"/>
    </row>
    <row r="964">
      <c r="A964" s="3" t="str">
        <f>IFERROR(__xludf.DUMMYFUNCTION("""COMPUTED_VALUE"""),"")</f>
        <v/>
      </c>
      <c r="B964" s="3"/>
      <c r="C964" s="3"/>
      <c r="D964" s="3"/>
      <c r="E964" s="3"/>
      <c r="F964" s="3"/>
      <c r="G964" s="3"/>
    </row>
    <row r="965">
      <c r="A965" s="3" t="str">
        <f>IFERROR(__xludf.DUMMYFUNCTION("""COMPUTED_VALUE"""),"")</f>
        <v/>
      </c>
      <c r="B965" s="3"/>
      <c r="C965" s="3"/>
      <c r="D965" s="3"/>
      <c r="E965" s="3"/>
      <c r="F965" s="3"/>
      <c r="G965" s="3"/>
    </row>
    <row r="966">
      <c r="A966" s="3" t="str">
        <f>IFERROR(__xludf.DUMMYFUNCTION("""COMPUTED_VALUE"""),"")</f>
        <v/>
      </c>
      <c r="B966" s="3"/>
      <c r="C966" s="3"/>
      <c r="D966" s="3"/>
      <c r="E966" s="3"/>
      <c r="F966" s="3"/>
      <c r="G966" s="3"/>
    </row>
    <row r="967">
      <c r="A967" s="3" t="str">
        <f>IFERROR(__xludf.DUMMYFUNCTION("""COMPUTED_VALUE"""),"")</f>
        <v/>
      </c>
      <c r="B967" s="3"/>
      <c r="C967" s="3"/>
      <c r="D967" s="3"/>
      <c r="E967" s="3"/>
      <c r="F967" s="3"/>
      <c r="G967" s="3"/>
    </row>
    <row r="968">
      <c r="A968" s="3" t="str">
        <f>IFERROR(__xludf.DUMMYFUNCTION("""COMPUTED_VALUE"""),"")</f>
        <v/>
      </c>
      <c r="B968" s="3"/>
      <c r="C968" s="3"/>
      <c r="D968" s="3"/>
      <c r="E968" s="3"/>
      <c r="F968" s="3"/>
      <c r="G968" s="3"/>
    </row>
    <row r="969">
      <c r="A969" s="3" t="str">
        <f>IFERROR(__xludf.DUMMYFUNCTION("""COMPUTED_VALUE"""),"")</f>
        <v/>
      </c>
      <c r="B969" s="3"/>
      <c r="C969" s="3"/>
      <c r="D969" s="3"/>
      <c r="E969" s="3"/>
      <c r="F969" s="3"/>
      <c r="G969" s="3"/>
    </row>
    <row r="970">
      <c r="A970" s="3" t="str">
        <f>IFERROR(__xludf.DUMMYFUNCTION("""COMPUTED_VALUE"""),"")</f>
        <v/>
      </c>
      <c r="B970" s="3"/>
      <c r="C970" s="3"/>
      <c r="D970" s="3"/>
      <c r="E970" s="3"/>
      <c r="F970" s="3"/>
      <c r="G970" s="3"/>
    </row>
    <row r="971">
      <c r="A971" s="3" t="str">
        <f>IFERROR(__xludf.DUMMYFUNCTION("""COMPUTED_VALUE"""),"")</f>
        <v/>
      </c>
      <c r="B971" s="3"/>
      <c r="C971" s="3"/>
      <c r="D971" s="3"/>
      <c r="E971" s="3"/>
      <c r="F971" s="3"/>
      <c r="G971" s="3"/>
    </row>
    <row r="972">
      <c r="A972" s="3" t="str">
        <f>IFERROR(__xludf.DUMMYFUNCTION("""COMPUTED_VALUE"""),"")</f>
        <v/>
      </c>
      <c r="B972" s="3"/>
      <c r="C972" s="3"/>
      <c r="D972" s="3"/>
      <c r="E972" s="3"/>
      <c r="F972" s="3"/>
      <c r="G972" s="3"/>
    </row>
    <row r="973">
      <c r="A973" s="3" t="str">
        <f>IFERROR(__xludf.DUMMYFUNCTION("""COMPUTED_VALUE"""),"")</f>
        <v/>
      </c>
      <c r="B973" s="3"/>
      <c r="C973" s="3"/>
      <c r="D973" s="3"/>
      <c r="E973" s="3"/>
      <c r="F973" s="3"/>
      <c r="G973" s="3"/>
    </row>
    <row r="974">
      <c r="A974" s="3" t="str">
        <f>IFERROR(__xludf.DUMMYFUNCTION("""COMPUTED_VALUE"""),"")</f>
        <v/>
      </c>
      <c r="B974" s="3"/>
      <c r="C974" s="3"/>
      <c r="D974" s="3"/>
      <c r="E974" s="3"/>
      <c r="F974" s="3"/>
      <c r="G974" s="3"/>
    </row>
    <row r="975">
      <c r="A975" s="3" t="str">
        <f>IFERROR(__xludf.DUMMYFUNCTION("""COMPUTED_VALUE"""),"")</f>
        <v/>
      </c>
      <c r="B975" s="3"/>
      <c r="C975" s="3"/>
      <c r="D975" s="3"/>
      <c r="E975" s="3"/>
      <c r="F975" s="3"/>
      <c r="G975" s="3"/>
    </row>
    <row r="976">
      <c r="A976" s="3" t="str">
        <f>IFERROR(__xludf.DUMMYFUNCTION("""COMPUTED_VALUE"""),"")</f>
        <v/>
      </c>
      <c r="B976" s="3"/>
      <c r="C976" s="3"/>
      <c r="D976" s="3"/>
      <c r="E976" s="3"/>
      <c r="F976" s="3"/>
      <c r="G976" s="3"/>
    </row>
    <row r="977">
      <c r="A977" s="3" t="str">
        <f>IFERROR(__xludf.DUMMYFUNCTION("""COMPUTED_VALUE"""),"")</f>
        <v/>
      </c>
      <c r="B977" s="3"/>
      <c r="C977" s="3"/>
      <c r="D977" s="3"/>
      <c r="E977" s="3"/>
      <c r="F977" s="3"/>
      <c r="G977" s="3"/>
    </row>
    <row r="978">
      <c r="A978" s="3" t="str">
        <f>IFERROR(__xludf.DUMMYFUNCTION("""COMPUTED_VALUE"""),"")</f>
        <v/>
      </c>
      <c r="B978" s="3"/>
      <c r="C978" s="3"/>
      <c r="D978" s="3"/>
      <c r="E978" s="3"/>
      <c r="F978" s="3"/>
      <c r="G978" s="3"/>
    </row>
    <row r="979">
      <c r="A979" s="3" t="str">
        <f>IFERROR(__xludf.DUMMYFUNCTION("""COMPUTED_VALUE"""),"")</f>
        <v/>
      </c>
      <c r="B979" s="3"/>
      <c r="C979" s="3"/>
      <c r="D979" s="3"/>
      <c r="E979" s="3"/>
      <c r="F979" s="3"/>
      <c r="G979" s="3"/>
    </row>
    <row r="980">
      <c r="A980" s="3" t="str">
        <f>IFERROR(__xludf.DUMMYFUNCTION("""COMPUTED_VALUE"""),"")</f>
        <v/>
      </c>
      <c r="B980" s="3"/>
      <c r="C980" s="3"/>
      <c r="D980" s="3"/>
      <c r="E980" s="3"/>
      <c r="F980" s="3"/>
      <c r="G980" s="3"/>
    </row>
    <row r="981">
      <c r="A981" s="3" t="str">
        <f>IFERROR(__xludf.DUMMYFUNCTION("""COMPUTED_VALUE"""),"")</f>
        <v/>
      </c>
      <c r="B981" s="3"/>
      <c r="C981" s="3"/>
      <c r="D981" s="3"/>
      <c r="E981" s="3"/>
      <c r="F981" s="3"/>
      <c r="G981" s="3"/>
    </row>
    <row r="982">
      <c r="A982" s="3" t="str">
        <f>IFERROR(__xludf.DUMMYFUNCTION("""COMPUTED_VALUE"""),"")</f>
        <v/>
      </c>
      <c r="B982" s="3"/>
      <c r="C982" s="3"/>
      <c r="D982" s="3"/>
      <c r="E982" s="3"/>
      <c r="F982" s="3"/>
      <c r="G982" s="3"/>
    </row>
    <row r="983">
      <c r="A983" s="3" t="str">
        <f>IFERROR(__xludf.DUMMYFUNCTION("""COMPUTED_VALUE"""),"")</f>
        <v/>
      </c>
      <c r="B983" s="3"/>
      <c r="C983" s="3"/>
      <c r="D983" s="3"/>
      <c r="E983" s="3"/>
      <c r="F983" s="3"/>
      <c r="G983" s="3"/>
    </row>
    <row r="984">
      <c r="A984" s="3" t="str">
        <f>IFERROR(__xludf.DUMMYFUNCTION("""COMPUTED_VALUE"""),"")</f>
        <v/>
      </c>
      <c r="B984" s="3"/>
      <c r="C984" s="3"/>
      <c r="D984" s="3"/>
      <c r="E984" s="3"/>
      <c r="F984" s="3"/>
      <c r="G984" s="3"/>
    </row>
    <row r="985">
      <c r="A985" s="3" t="str">
        <f>IFERROR(__xludf.DUMMYFUNCTION("""COMPUTED_VALUE"""),"")</f>
        <v/>
      </c>
      <c r="B985" s="3"/>
      <c r="C985" s="3"/>
      <c r="D985" s="3"/>
      <c r="E985" s="3"/>
      <c r="F985" s="3"/>
      <c r="G985" s="3"/>
    </row>
    <row r="986">
      <c r="A986" s="3" t="str">
        <f>IFERROR(__xludf.DUMMYFUNCTION("""COMPUTED_VALUE"""),"")</f>
        <v/>
      </c>
      <c r="B986" s="3"/>
      <c r="C986" s="3"/>
      <c r="D986" s="3"/>
      <c r="E986" s="3"/>
      <c r="F986" s="3"/>
      <c r="G986" s="3"/>
    </row>
    <row r="987">
      <c r="A987" s="3" t="str">
        <f>IFERROR(__xludf.DUMMYFUNCTION("""COMPUTED_VALUE"""),"")</f>
        <v/>
      </c>
      <c r="B987" s="3"/>
      <c r="C987" s="3"/>
      <c r="D987" s="3"/>
      <c r="E987" s="3"/>
      <c r="F987" s="3"/>
      <c r="G987" s="3"/>
    </row>
    <row r="988">
      <c r="A988" s="3" t="str">
        <f>IFERROR(__xludf.DUMMYFUNCTION("""COMPUTED_VALUE"""),"")</f>
        <v/>
      </c>
      <c r="B988" s="3"/>
      <c r="C988" s="3"/>
      <c r="D988" s="3"/>
      <c r="E988" s="3"/>
      <c r="F988" s="3"/>
      <c r="G988" s="3"/>
    </row>
    <row r="989">
      <c r="A989" s="3" t="str">
        <f>IFERROR(__xludf.DUMMYFUNCTION("""COMPUTED_VALUE"""),"")</f>
        <v/>
      </c>
      <c r="B989" s="3"/>
      <c r="C989" s="3"/>
      <c r="D989" s="3"/>
      <c r="E989" s="3"/>
      <c r="F989" s="3"/>
      <c r="G989" s="3"/>
    </row>
    <row r="990">
      <c r="A990" s="3" t="str">
        <f>IFERROR(__xludf.DUMMYFUNCTION("""COMPUTED_VALUE"""),"")</f>
        <v/>
      </c>
      <c r="B990" s="3"/>
      <c r="C990" s="3"/>
      <c r="D990" s="3"/>
      <c r="E990" s="3"/>
      <c r="F990" s="3"/>
      <c r="G990" s="3"/>
    </row>
    <row r="991">
      <c r="A991" s="3" t="str">
        <f>IFERROR(__xludf.DUMMYFUNCTION("""COMPUTED_VALUE"""),"")</f>
        <v/>
      </c>
      <c r="B991" s="3"/>
      <c r="C991" s="3"/>
      <c r="D991" s="3"/>
      <c r="E991" s="3"/>
      <c r="F991" s="3"/>
      <c r="G991" s="3"/>
    </row>
    <row r="992">
      <c r="A992" s="3" t="str">
        <f>IFERROR(__xludf.DUMMYFUNCTION("""COMPUTED_VALUE"""),"")</f>
        <v/>
      </c>
      <c r="B992" s="3"/>
      <c r="C992" s="3"/>
      <c r="D992" s="3"/>
      <c r="E992" s="3"/>
      <c r="F992" s="3"/>
      <c r="G992" s="3"/>
    </row>
    <row r="993">
      <c r="A993" s="3" t="str">
        <f>IFERROR(__xludf.DUMMYFUNCTION("""COMPUTED_VALUE"""),"")</f>
        <v/>
      </c>
      <c r="B993" s="3"/>
      <c r="C993" s="3"/>
      <c r="D993" s="3"/>
      <c r="E993" s="3"/>
      <c r="F993" s="3"/>
      <c r="G993" s="3"/>
    </row>
    <row r="994">
      <c r="A994" s="3" t="str">
        <f>IFERROR(__xludf.DUMMYFUNCTION("""COMPUTED_VALUE"""),"")</f>
        <v/>
      </c>
      <c r="B994" s="3"/>
      <c r="C994" s="3"/>
      <c r="D994" s="3"/>
      <c r="E994" s="3"/>
      <c r="F994" s="3"/>
      <c r="G994" s="3"/>
    </row>
    <row r="995">
      <c r="A995" s="3" t="str">
        <f>IFERROR(__xludf.DUMMYFUNCTION("""COMPUTED_VALUE"""),"")</f>
        <v/>
      </c>
      <c r="B995" s="3"/>
      <c r="C995" s="3"/>
      <c r="D995" s="3"/>
      <c r="E995" s="3"/>
      <c r="F995" s="3"/>
      <c r="G995" s="3"/>
    </row>
    <row r="996">
      <c r="A996" s="3" t="str">
        <f>IFERROR(__xludf.DUMMYFUNCTION("""COMPUTED_VALUE"""),"")</f>
        <v/>
      </c>
      <c r="B996" s="3"/>
      <c r="C996" s="3"/>
      <c r="D996" s="3"/>
      <c r="E996" s="3"/>
      <c r="F996" s="3"/>
      <c r="G996" s="3"/>
    </row>
    <row r="997">
      <c r="A997" s="3" t="str">
        <f>IFERROR(__xludf.DUMMYFUNCTION("""COMPUTED_VALUE"""),"")</f>
        <v/>
      </c>
      <c r="B997" s="3"/>
      <c r="C997" s="3"/>
      <c r="D997" s="3"/>
      <c r="E997" s="3"/>
      <c r="F997" s="3"/>
      <c r="G997" s="3"/>
    </row>
    <row r="998">
      <c r="A998" s="3" t="str">
        <f>IFERROR(__xludf.DUMMYFUNCTION("""COMPUTED_VALUE"""),"")</f>
        <v/>
      </c>
      <c r="B998" s="3"/>
      <c r="C998" s="3"/>
      <c r="D998" s="3"/>
      <c r="E998" s="3"/>
      <c r="F998" s="3"/>
      <c r="G998" s="3"/>
    </row>
    <row r="999">
      <c r="A999" s="3" t="str">
        <f>IFERROR(__xludf.DUMMYFUNCTION("""COMPUTED_VALUE"""),"")</f>
        <v/>
      </c>
      <c r="B999" s="3"/>
      <c r="C999" s="3"/>
      <c r="D999" s="3"/>
      <c r="E999" s="3"/>
      <c r="F999" s="3"/>
      <c r="G99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608</v>
      </c>
    </row>
    <row r="2">
      <c r="A2" s="3" t="str">
        <f>IFERROR(__xludf.DUMMYFUNCTION("ARRAYFORMULA(IFERROR(Split('Womens Eventset'!W3:W1000,"",""),""""))"),"50 Free")</f>
        <v>50 Free</v>
      </c>
      <c r="B2" s="3" t="str">
        <f>IFERROR(__xludf.DUMMYFUNCTION("""COMPUTED_VALUE"""),"100 Free")</f>
        <v>100 Free</v>
      </c>
      <c r="C2" s="3" t="str">
        <f>IFERROR(__xludf.DUMMYFUNCTION("""COMPUTED_VALUE"""),"100 Back")</f>
        <v>100 Back</v>
      </c>
      <c r="D2" s="3" t="str">
        <f>IFERROR(__xludf.DUMMYFUNCTION("""COMPUTED_VALUE"""),"100 Fly")</f>
        <v>100 Fly</v>
      </c>
      <c r="E2" s="3" t="str">
        <f>IFERROR(__xludf.DUMMYFUNCTION("""COMPUTED_VALUE"""),"200 Fly")</f>
        <v>200 Fly</v>
      </c>
      <c r="F2" s="3"/>
    </row>
    <row r="3">
      <c r="A3" s="3" t="str">
        <f>IFERROR(__xludf.DUMMYFUNCTION("""COMPUTED_VALUE"""),"50 Free")</f>
        <v>50 Free</v>
      </c>
      <c r="B3" s="3" t="str">
        <f>IFERROR(__xludf.DUMMYFUNCTION("""COMPUTED_VALUE"""),"100 Back")</f>
        <v>100 Back</v>
      </c>
      <c r="C3" s="3" t="str">
        <f>IFERROR(__xludf.DUMMYFUNCTION("""COMPUTED_VALUE"""),"200 Back")</f>
        <v>200 Back</v>
      </c>
      <c r="D3" s="3" t="str">
        <f>IFERROR(__xludf.DUMMYFUNCTION("""COMPUTED_VALUE"""),"200 IM")</f>
        <v>200 IM</v>
      </c>
      <c r="E3" s="3"/>
      <c r="F3" s="3"/>
    </row>
    <row r="4">
      <c r="A4" s="3" t="str">
        <f>IFERROR(__xludf.DUMMYFUNCTION("""COMPUTED_VALUE"""),"50 Free")</f>
        <v>50 Free</v>
      </c>
      <c r="B4" s="3" t="str">
        <f>IFERROR(__xludf.DUMMYFUNCTION("""COMPUTED_VALUE"""),"100 Free")</f>
        <v>100 Free</v>
      </c>
      <c r="C4" s="3" t="str">
        <f>IFERROR(__xludf.DUMMYFUNCTION("""COMPUTED_VALUE"""),"1650 Free")</f>
        <v>1650 Free</v>
      </c>
      <c r="D4" s="3" t="str">
        <f>IFERROR(__xludf.DUMMYFUNCTION("""COMPUTED_VALUE"""),"200 Breast")</f>
        <v>200 Breast</v>
      </c>
      <c r="E4" s="3" t="str">
        <f>IFERROR(__xludf.DUMMYFUNCTION("""COMPUTED_VALUE"""),"400 IM")</f>
        <v>400 IM</v>
      </c>
      <c r="F4" s="3" t="str">
        <f>IFERROR(__xludf.DUMMYFUNCTION("""COMPUTED_VALUE"""),"1000 Free")</f>
        <v>1000 Free</v>
      </c>
    </row>
    <row r="5">
      <c r="A5" s="3" t="str">
        <f>IFERROR(__xludf.DUMMYFUNCTION("""COMPUTED_VALUE"""),"50 Free")</f>
        <v>50 Free</v>
      </c>
      <c r="B5" s="3" t="str">
        <f>IFERROR(__xludf.DUMMYFUNCTION("""COMPUTED_VALUE"""),"100 Free")</f>
        <v>100 Free</v>
      </c>
      <c r="C5" s="3" t="str">
        <f>IFERROR(__xludf.DUMMYFUNCTION("""COMPUTED_VALUE"""),"100 Back")</f>
        <v>100 Back</v>
      </c>
      <c r="D5" s="3" t="str">
        <f>IFERROR(__xludf.DUMMYFUNCTION("""COMPUTED_VALUE"""),"100 Breast")</f>
        <v>100 Breast</v>
      </c>
      <c r="E5" s="3" t="str">
        <f>IFERROR(__xludf.DUMMYFUNCTION("""COMPUTED_VALUE"""),"100 Fly")</f>
        <v>100 Fly</v>
      </c>
      <c r="F5" s="3" t="str">
        <f>IFERROR(__xludf.DUMMYFUNCTION("""COMPUTED_VALUE"""),"200 IM")</f>
        <v>200 IM</v>
      </c>
    </row>
    <row r="6">
      <c r="A6" s="3" t="str">
        <f>IFERROR(__xludf.DUMMYFUNCTION("""COMPUTED_VALUE"""),"50 Free")</f>
        <v>50 Free</v>
      </c>
      <c r="B6" s="3" t="str">
        <f>IFERROR(__xludf.DUMMYFUNCTION("""COMPUTED_VALUE"""),"100 Free")</f>
        <v>100 Free</v>
      </c>
      <c r="C6" s="3" t="str">
        <f>IFERROR(__xludf.DUMMYFUNCTION("""COMPUTED_VALUE"""),"200 Free")</f>
        <v>200 Free</v>
      </c>
      <c r="D6" s="3" t="str">
        <f>IFERROR(__xludf.DUMMYFUNCTION("""COMPUTED_VALUE"""),"500 Free")</f>
        <v>500 Free</v>
      </c>
      <c r="E6" s="3" t="str">
        <f>IFERROR(__xludf.DUMMYFUNCTION("""COMPUTED_VALUE"""),"100 Fly")</f>
        <v>100 Fly</v>
      </c>
      <c r="F6" s="3" t="str">
        <f>IFERROR(__xludf.DUMMYFUNCTION("""COMPUTED_VALUE"""),"200 IM")</f>
        <v>200 IM</v>
      </c>
    </row>
    <row r="7">
      <c r="A7" s="3" t="str">
        <f>IFERROR(__xludf.DUMMYFUNCTION("""COMPUTED_VALUE"""),"50 Free")</f>
        <v>50 Free</v>
      </c>
      <c r="B7" s="3" t="str">
        <f>IFERROR(__xludf.DUMMYFUNCTION("""COMPUTED_VALUE"""),"100 Free")</f>
        <v>100 Free</v>
      </c>
      <c r="C7" s="3" t="str">
        <f>IFERROR(__xludf.DUMMYFUNCTION("""COMPUTED_VALUE"""),"200 Free")</f>
        <v>200 Free</v>
      </c>
      <c r="D7" s="3" t="str">
        <f>IFERROR(__xludf.DUMMYFUNCTION("""COMPUTED_VALUE"""),"100 Fly")</f>
        <v>100 Fly</v>
      </c>
      <c r="E7" s="3" t="str">
        <f>IFERROR(__xludf.DUMMYFUNCTION("""COMPUTED_VALUE"""),"200 Fly")</f>
        <v>200 Fly</v>
      </c>
      <c r="F7" s="3" t="str">
        <f>IFERROR(__xludf.DUMMYFUNCTION("""COMPUTED_VALUE"""),"200 IM")</f>
        <v>200 IM</v>
      </c>
    </row>
    <row r="8">
      <c r="A8" s="3" t="str">
        <f>IFERROR(__xludf.DUMMYFUNCTION("""COMPUTED_VALUE"""),"50 Free")</f>
        <v>50 Free</v>
      </c>
      <c r="B8" s="3" t="str">
        <f>IFERROR(__xludf.DUMMYFUNCTION("""COMPUTED_VALUE"""),"100 Free")</f>
        <v>100 Free</v>
      </c>
      <c r="C8" s="3" t="str">
        <f>IFERROR(__xludf.DUMMYFUNCTION("""COMPUTED_VALUE"""),"200 Free")</f>
        <v>200 Free</v>
      </c>
      <c r="D8" s="3" t="str">
        <f>IFERROR(__xludf.DUMMYFUNCTION("""COMPUTED_VALUE"""),"500 Free")</f>
        <v>500 Free</v>
      </c>
      <c r="E8" s="3" t="str">
        <f>IFERROR(__xludf.DUMMYFUNCTION("""COMPUTED_VALUE"""),"100 Back")</f>
        <v>100 Back</v>
      </c>
      <c r="F8" s="3" t="str">
        <f>IFERROR(__xludf.DUMMYFUNCTION("""COMPUTED_VALUE"""),"200 Back")</f>
        <v>200 Back</v>
      </c>
    </row>
    <row r="9">
      <c r="A9" s="3" t="str">
        <f>IFERROR(__xludf.DUMMYFUNCTION("""COMPUTED_VALUE"""),"50 Free")</f>
        <v>50 Free</v>
      </c>
      <c r="B9" s="3" t="str">
        <f>IFERROR(__xludf.DUMMYFUNCTION("""COMPUTED_VALUE"""),"100 Free")</f>
        <v>100 Free</v>
      </c>
      <c r="C9" s="3" t="str">
        <f>IFERROR(__xludf.DUMMYFUNCTION("""COMPUTED_VALUE"""),"200 Free")</f>
        <v>200 Free</v>
      </c>
      <c r="D9" s="3" t="str">
        <f>IFERROR(__xludf.DUMMYFUNCTION("""COMPUTED_VALUE"""),"100 Breast")</f>
        <v>100 Breast</v>
      </c>
      <c r="E9" s="3" t="str">
        <f>IFERROR(__xludf.DUMMYFUNCTION("""COMPUTED_VALUE"""),"200 Breast")</f>
        <v>200 Breast</v>
      </c>
      <c r="F9" s="3" t="str">
        <f>IFERROR(__xludf.DUMMYFUNCTION("""COMPUTED_VALUE"""),"200 IM")</f>
        <v>200 IM</v>
      </c>
    </row>
    <row r="10">
      <c r="A10" s="3" t="str">
        <f>IFERROR(__xludf.DUMMYFUNCTION("""COMPUTED_VALUE"""),"50 Free")</f>
        <v>50 Free</v>
      </c>
      <c r="B10" s="3" t="str">
        <f>IFERROR(__xludf.DUMMYFUNCTION("""COMPUTED_VALUE"""),"100 Free")</f>
        <v>100 Free</v>
      </c>
      <c r="C10" s="3" t="str">
        <f>IFERROR(__xludf.DUMMYFUNCTION("""COMPUTED_VALUE"""),"200 Free")</f>
        <v>200 Free</v>
      </c>
      <c r="D10" s="3" t="str">
        <f>IFERROR(__xludf.DUMMYFUNCTION("""COMPUTED_VALUE"""),"500 Free")</f>
        <v>500 Free</v>
      </c>
      <c r="E10" s="3" t="str">
        <f>IFERROR(__xludf.DUMMYFUNCTION("""COMPUTED_VALUE"""),"200 Back")</f>
        <v>200 Back</v>
      </c>
      <c r="F10" s="3" t="str">
        <f>IFERROR(__xludf.DUMMYFUNCTION("""COMPUTED_VALUE"""),"100 Fly")</f>
        <v>100 Fly</v>
      </c>
    </row>
    <row r="11">
      <c r="A11" s="3" t="str">
        <f>IFERROR(__xludf.DUMMYFUNCTION("""COMPUTED_VALUE"""),"50 Free")</f>
        <v>50 Free</v>
      </c>
      <c r="B11" s="3" t="str">
        <f>IFERROR(__xludf.DUMMYFUNCTION("""COMPUTED_VALUE"""),"100 Free")</f>
        <v>100 Free</v>
      </c>
      <c r="C11" s="3" t="str">
        <f>IFERROR(__xludf.DUMMYFUNCTION("""COMPUTED_VALUE"""),"100 Back")</f>
        <v>100 Back</v>
      </c>
      <c r="D11" s="3" t="str">
        <f>IFERROR(__xludf.DUMMYFUNCTION("""COMPUTED_VALUE"""),"200 Back")</f>
        <v>200 Back</v>
      </c>
      <c r="E11" s="3" t="str">
        <f>IFERROR(__xludf.DUMMYFUNCTION("""COMPUTED_VALUE"""),"100 Breast")</f>
        <v>100 Breast</v>
      </c>
      <c r="F11" s="3" t="str">
        <f>IFERROR(__xludf.DUMMYFUNCTION("""COMPUTED_VALUE"""),"100 Fly")</f>
        <v>100 Fly</v>
      </c>
    </row>
    <row r="12">
      <c r="A12" s="3" t="str">
        <f>IFERROR(__xludf.DUMMYFUNCTION("""COMPUTED_VALUE"""),"50 Free")</f>
        <v>50 Free</v>
      </c>
      <c r="B12" s="3" t="str">
        <f>IFERROR(__xludf.DUMMYFUNCTION("""COMPUTED_VALUE"""),"100 Free")</f>
        <v>100 Free</v>
      </c>
      <c r="C12" s="3" t="str">
        <f>IFERROR(__xludf.DUMMYFUNCTION("""COMPUTED_VALUE"""),"200 Free")</f>
        <v>200 Free</v>
      </c>
      <c r="D12" s="3" t="str">
        <f>IFERROR(__xludf.DUMMYFUNCTION("""COMPUTED_VALUE"""),"100 Back")</f>
        <v>100 Back</v>
      </c>
      <c r="E12" s="3" t="str">
        <f>IFERROR(__xludf.DUMMYFUNCTION("""COMPUTED_VALUE"""),"200 Back")</f>
        <v>200 Back</v>
      </c>
      <c r="F12" s="3" t="str">
        <f>IFERROR(__xludf.DUMMYFUNCTION("""COMPUTED_VALUE"""),"100 Fly")</f>
        <v>100 Fly</v>
      </c>
    </row>
    <row r="13">
      <c r="A13" s="3" t="str">
        <f>IFERROR(__xludf.DUMMYFUNCTION("""COMPUTED_VALUE"""),"50 Free")</f>
        <v>50 Free</v>
      </c>
      <c r="B13" s="3" t="str">
        <f>IFERROR(__xludf.DUMMYFUNCTION("""COMPUTED_VALUE"""),"100 Back")</f>
        <v>100 Back</v>
      </c>
      <c r="C13" s="3" t="str">
        <f>IFERROR(__xludf.DUMMYFUNCTION("""COMPUTED_VALUE"""),"200 Back")</f>
        <v>200 Back</v>
      </c>
      <c r="D13" s="3" t="str">
        <f>IFERROR(__xludf.DUMMYFUNCTION("""COMPUTED_VALUE"""),"100 Breast")</f>
        <v>100 Breast</v>
      </c>
      <c r="E13" s="3" t="str">
        <f>IFERROR(__xludf.DUMMYFUNCTION("""COMPUTED_VALUE"""),"100 Fly")</f>
        <v>100 Fly</v>
      </c>
      <c r="F13" s="3" t="str">
        <f>IFERROR(__xludf.DUMMYFUNCTION("""COMPUTED_VALUE"""),"200 IM")</f>
        <v>200 IM</v>
      </c>
    </row>
    <row r="14">
      <c r="A14" s="3" t="str">
        <f>IFERROR(__xludf.DUMMYFUNCTION("""COMPUTED_VALUE"""),"50 Free")</f>
        <v>50 Free</v>
      </c>
      <c r="B14" s="3" t="str">
        <f>IFERROR(__xludf.DUMMYFUNCTION("""COMPUTED_VALUE"""),"100 Free")</f>
        <v>100 Free</v>
      </c>
      <c r="C14" s="3" t="str">
        <f>IFERROR(__xludf.DUMMYFUNCTION("""COMPUTED_VALUE"""),"100 Fly")</f>
        <v>100 Fly</v>
      </c>
      <c r="D14" s="3" t="str">
        <f>IFERROR(__xludf.DUMMYFUNCTION("""COMPUTED_VALUE"""),"200 Fly")</f>
        <v>200 Fly</v>
      </c>
      <c r="E14" s="3"/>
      <c r="F14" s="3"/>
    </row>
    <row r="15">
      <c r="A15" s="3" t="str">
        <f>IFERROR(__xludf.DUMMYFUNCTION("""COMPUTED_VALUE"""),"50 Free")</f>
        <v>50 Free</v>
      </c>
      <c r="B15" s="3" t="str">
        <f>IFERROR(__xludf.DUMMYFUNCTION("""COMPUTED_VALUE"""),"100 Free")</f>
        <v>100 Free</v>
      </c>
      <c r="C15" s="3" t="str">
        <f>IFERROR(__xludf.DUMMYFUNCTION("""COMPUTED_VALUE"""),"200 Free")</f>
        <v>200 Free</v>
      </c>
      <c r="D15" s="3" t="str">
        <f>IFERROR(__xludf.DUMMYFUNCTION("""COMPUTED_VALUE"""),"500 Free")</f>
        <v>500 Free</v>
      </c>
      <c r="E15" s="3" t="str">
        <f>IFERROR(__xludf.DUMMYFUNCTION("""COMPUTED_VALUE"""),"100 Fly")</f>
        <v>100 Fly</v>
      </c>
      <c r="F15" s="3" t="str">
        <f>IFERROR(__xludf.DUMMYFUNCTION("""COMPUTED_VALUE"""),"1000 Free")</f>
        <v>1000 Free</v>
      </c>
    </row>
    <row r="16">
      <c r="A16" s="3" t="str">
        <f>IFERROR(__xludf.DUMMYFUNCTION("""COMPUTED_VALUE"""),"50 Free")</f>
        <v>50 Free</v>
      </c>
      <c r="B16" s="3" t="str">
        <f>IFERROR(__xludf.DUMMYFUNCTION("""COMPUTED_VALUE"""),"100 Free")</f>
        <v>100 Free</v>
      </c>
      <c r="C16" s="3" t="str">
        <f>IFERROR(__xludf.DUMMYFUNCTION("""COMPUTED_VALUE"""),"200 Free")</f>
        <v>200 Free</v>
      </c>
      <c r="D16" s="3" t="str">
        <f>IFERROR(__xludf.DUMMYFUNCTION("""COMPUTED_VALUE"""),"100 Back")</f>
        <v>100 Back</v>
      </c>
      <c r="E16" s="3" t="str">
        <f>IFERROR(__xludf.DUMMYFUNCTION("""COMPUTED_VALUE"""),"100 Fly")</f>
        <v>100 Fly</v>
      </c>
      <c r="F16" s="3" t="str">
        <f>IFERROR(__xludf.DUMMYFUNCTION("""COMPUTED_VALUE"""),"200 Fly")</f>
        <v>200 Fly</v>
      </c>
    </row>
    <row r="17">
      <c r="A17" s="3" t="str">
        <f>IFERROR(__xludf.DUMMYFUNCTION("""COMPUTED_VALUE"""),"50 Free")</f>
        <v>50 Free</v>
      </c>
      <c r="B17" s="3" t="str">
        <f>IFERROR(__xludf.DUMMYFUNCTION("""COMPUTED_VALUE"""),"100 Free")</f>
        <v>100 Free</v>
      </c>
      <c r="C17" s="3" t="str">
        <f>IFERROR(__xludf.DUMMYFUNCTION("""COMPUTED_VALUE"""),"200 Free")</f>
        <v>200 Free</v>
      </c>
      <c r="D17" s="3" t="str">
        <f>IFERROR(__xludf.DUMMYFUNCTION("""COMPUTED_VALUE"""),"100 Breast")</f>
        <v>100 Breast</v>
      </c>
      <c r="E17" s="3" t="str">
        <f>IFERROR(__xludf.DUMMYFUNCTION("""COMPUTED_VALUE"""),"200 Breast")</f>
        <v>200 Breast</v>
      </c>
      <c r="F17" s="3" t="str">
        <f>IFERROR(__xludf.DUMMYFUNCTION("""COMPUTED_VALUE"""),"200 IM")</f>
        <v>200 IM</v>
      </c>
    </row>
    <row r="18">
      <c r="A18" s="3" t="str">
        <f>IFERROR(__xludf.DUMMYFUNCTION("""COMPUTED_VALUE"""),"50 Free")</f>
        <v>50 Free</v>
      </c>
      <c r="B18" s="3" t="str">
        <f>IFERROR(__xludf.DUMMYFUNCTION("""COMPUTED_VALUE"""),"100 Free")</f>
        <v>100 Free</v>
      </c>
      <c r="C18" s="3" t="str">
        <f>IFERROR(__xludf.DUMMYFUNCTION("""COMPUTED_VALUE"""),"100 Breast")</f>
        <v>100 Breast</v>
      </c>
      <c r="D18" s="3" t="str">
        <f>IFERROR(__xludf.DUMMYFUNCTION("""COMPUTED_VALUE"""),"200 Breast")</f>
        <v>200 Breast</v>
      </c>
      <c r="E18" s="3" t="str">
        <f>IFERROR(__xludf.DUMMYFUNCTION("""COMPUTED_VALUE"""),"200 IM")</f>
        <v>200 IM</v>
      </c>
      <c r="F18" s="3"/>
    </row>
    <row r="19">
      <c r="A19" s="3" t="str">
        <f>IFERROR(__xludf.DUMMYFUNCTION("""COMPUTED_VALUE"""),"50 Free")</f>
        <v>50 Free</v>
      </c>
      <c r="B19" s="3" t="str">
        <f>IFERROR(__xludf.DUMMYFUNCTION("""COMPUTED_VALUE"""),"100 Back")</f>
        <v>100 Back</v>
      </c>
      <c r="C19" s="3" t="str">
        <f>IFERROR(__xludf.DUMMYFUNCTION("""COMPUTED_VALUE"""),"200 Breast")</f>
        <v>200 Breast</v>
      </c>
      <c r="D19" s="3"/>
      <c r="E19" s="3"/>
      <c r="F19" s="3"/>
    </row>
    <row r="20">
      <c r="A20" s="3" t="str">
        <f>IFERROR(__xludf.DUMMYFUNCTION("""COMPUTED_VALUE"""),"50 Free")</f>
        <v>50 Free</v>
      </c>
      <c r="B20" s="3" t="str">
        <f>IFERROR(__xludf.DUMMYFUNCTION("""COMPUTED_VALUE"""),"100 Free")</f>
        <v>100 Free</v>
      </c>
      <c r="C20" s="3" t="str">
        <f>IFERROR(__xludf.DUMMYFUNCTION("""COMPUTED_VALUE"""),"200 Free")</f>
        <v>200 Free</v>
      </c>
      <c r="D20" s="3" t="str">
        <f>IFERROR(__xludf.DUMMYFUNCTION("""COMPUTED_VALUE"""),"100 Fly")</f>
        <v>100 Fly</v>
      </c>
      <c r="E20" s="3"/>
      <c r="F20" s="3"/>
    </row>
    <row r="21">
      <c r="A21" s="3" t="str">
        <f>IFERROR(__xludf.DUMMYFUNCTION("""COMPUTED_VALUE"""),"50 Free")</f>
        <v>50 Free</v>
      </c>
      <c r="B21" s="3" t="str">
        <f>IFERROR(__xludf.DUMMYFUNCTION("""COMPUTED_VALUE"""),"100 Free")</f>
        <v>100 Free</v>
      </c>
      <c r="C21" s="3" t="str">
        <f>IFERROR(__xludf.DUMMYFUNCTION("""COMPUTED_VALUE"""),"200 Free")</f>
        <v>200 Free</v>
      </c>
      <c r="D21" s="3" t="str">
        <f>IFERROR(__xludf.DUMMYFUNCTION("""COMPUTED_VALUE"""),"100 Breast")</f>
        <v>100 Breast</v>
      </c>
      <c r="E21" s="3" t="str">
        <f>IFERROR(__xludf.DUMMYFUNCTION("""COMPUTED_VALUE"""),"200 Breast")</f>
        <v>200 Breast</v>
      </c>
      <c r="F21" s="3" t="str">
        <f>IFERROR(__xludf.DUMMYFUNCTION("""COMPUTED_VALUE"""),"200 IM")</f>
        <v>200 IM</v>
      </c>
    </row>
    <row r="22">
      <c r="A22" s="3" t="str">
        <f>IFERROR(__xludf.DUMMYFUNCTION("""COMPUTED_VALUE"""),"50 Free")</f>
        <v>50 Free</v>
      </c>
      <c r="B22" s="3" t="str">
        <f>IFERROR(__xludf.DUMMYFUNCTION("""COMPUTED_VALUE"""),"500 Free")</f>
        <v>500 Free</v>
      </c>
      <c r="C22" s="3" t="str">
        <f>IFERROR(__xludf.DUMMYFUNCTION("""COMPUTED_VALUE"""),"200 Back")</f>
        <v>200 Back</v>
      </c>
      <c r="D22" s="3" t="str">
        <f>IFERROR(__xludf.DUMMYFUNCTION("""COMPUTED_VALUE"""),"100 Breast")</f>
        <v>100 Breast</v>
      </c>
      <c r="E22" s="3" t="str">
        <f>IFERROR(__xludf.DUMMYFUNCTION("""COMPUTED_VALUE"""),"200 IM")</f>
        <v>200 IM</v>
      </c>
      <c r="F22" s="3"/>
    </row>
    <row r="23">
      <c r="A23" s="3" t="str">
        <f>IFERROR(__xludf.DUMMYFUNCTION("""COMPUTED_VALUE"""),"50 Free")</f>
        <v>50 Free</v>
      </c>
      <c r="B23" s="3" t="str">
        <f>IFERROR(__xludf.DUMMYFUNCTION("""COMPUTED_VALUE"""),"100 Free")</f>
        <v>100 Free</v>
      </c>
      <c r="C23" s="3" t="str">
        <f>IFERROR(__xludf.DUMMYFUNCTION("""COMPUTED_VALUE"""),"200 Free")</f>
        <v>200 Free</v>
      </c>
      <c r="D23" s="3" t="str">
        <f>IFERROR(__xludf.DUMMYFUNCTION("""COMPUTED_VALUE"""),"100 Back")</f>
        <v>100 Back</v>
      </c>
      <c r="E23" s="3" t="str">
        <f>IFERROR(__xludf.DUMMYFUNCTION("""COMPUTED_VALUE"""),"100 Fly")</f>
        <v>100 Fly</v>
      </c>
      <c r="F23" s="3" t="str">
        <f>IFERROR(__xludf.DUMMYFUNCTION("""COMPUTED_VALUE"""),"200 IM")</f>
        <v>200 IM</v>
      </c>
    </row>
    <row r="24">
      <c r="A24" s="3" t="str">
        <f>IFERROR(__xludf.DUMMYFUNCTION("""COMPUTED_VALUE"""),"50 Free")</f>
        <v>50 Free</v>
      </c>
      <c r="B24" s="3" t="str">
        <f>IFERROR(__xludf.DUMMYFUNCTION("""COMPUTED_VALUE"""),"100 Free")</f>
        <v>100 Free</v>
      </c>
      <c r="C24" s="3" t="str">
        <f>IFERROR(__xludf.DUMMYFUNCTION("""COMPUTED_VALUE"""),"100 Back")</f>
        <v>100 Back</v>
      </c>
      <c r="D24" s="3" t="str">
        <f>IFERROR(__xludf.DUMMYFUNCTION("""COMPUTED_VALUE"""),"200 Back")</f>
        <v>200 Back</v>
      </c>
      <c r="E24" s="3" t="str">
        <f>IFERROR(__xludf.DUMMYFUNCTION("""COMPUTED_VALUE"""),"100 Breast")</f>
        <v>100 Breast</v>
      </c>
      <c r="F24" s="3" t="str">
        <f>IFERROR(__xludf.DUMMYFUNCTION("""COMPUTED_VALUE"""),"100 Fly")</f>
        <v>100 Fly</v>
      </c>
    </row>
    <row r="25">
      <c r="A25" s="3" t="str">
        <f>IFERROR(__xludf.DUMMYFUNCTION("""COMPUTED_VALUE"""),"50 Free")</f>
        <v>50 Free</v>
      </c>
      <c r="B25" s="3" t="str">
        <f>IFERROR(__xludf.DUMMYFUNCTION("""COMPUTED_VALUE"""),"100 Free")</f>
        <v>100 Free</v>
      </c>
      <c r="C25" s="3" t="str">
        <f>IFERROR(__xludf.DUMMYFUNCTION("""COMPUTED_VALUE"""),"200 Free")</f>
        <v>200 Free</v>
      </c>
      <c r="D25" s="3" t="str">
        <f>IFERROR(__xludf.DUMMYFUNCTION("""COMPUTED_VALUE"""),"100 Back")</f>
        <v>100 Back</v>
      </c>
      <c r="E25" s="3" t="str">
        <f>IFERROR(__xludf.DUMMYFUNCTION("""COMPUTED_VALUE"""),"100 Fly")</f>
        <v>100 Fly</v>
      </c>
      <c r="F25" s="3" t="str">
        <f>IFERROR(__xludf.DUMMYFUNCTION("""COMPUTED_VALUE"""),"200 IM")</f>
        <v>200 IM</v>
      </c>
    </row>
    <row r="26">
      <c r="A26" s="3" t="str">
        <f>IFERROR(__xludf.DUMMYFUNCTION("""COMPUTED_VALUE"""),"50 Free")</f>
        <v>50 Free</v>
      </c>
      <c r="B26" s="3" t="str">
        <f>IFERROR(__xludf.DUMMYFUNCTION("""COMPUTED_VALUE"""),"100 Free")</f>
        <v>100 Free</v>
      </c>
      <c r="C26" s="3" t="str">
        <f>IFERROR(__xludf.DUMMYFUNCTION("""COMPUTED_VALUE"""),"100 Breast")</f>
        <v>100 Breast</v>
      </c>
      <c r="D26" s="3" t="str">
        <f>IFERROR(__xludf.DUMMYFUNCTION("""COMPUTED_VALUE"""),"200 Breast")</f>
        <v>200 Breast</v>
      </c>
      <c r="E26" s="3" t="str">
        <f>IFERROR(__xludf.DUMMYFUNCTION("""COMPUTED_VALUE"""),"100 Fly")</f>
        <v>100 Fly</v>
      </c>
      <c r="F26" s="3" t="str">
        <f>IFERROR(__xludf.DUMMYFUNCTION("""COMPUTED_VALUE"""),"200 IM")</f>
        <v>200 IM</v>
      </c>
    </row>
    <row r="27">
      <c r="A27" s="3" t="str">
        <f>IFERROR(__xludf.DUMMYFUNCTION("""COMPUTED_VALUE"""),"50 Free")</f>
        <v>50 Free</v>
      </c>
      <c r="B27" s="3" t="str">
        <f>IFERROR(__xludf.DUMMYFUNCTION("""COMPUTED_VALUE"""),"100 Free")</f>
        <v>100 Free</v>
      </c>
      <c r="C27" s="3" t="str">
        <f>IFERROR(__xludf.DUMMYFUNCTION("""COMPUTED_VALUE"""),"200 Free")</f>
        <v>200 Free</v>
      </c>
      <c r="D27" s="3" t="str">
        <f>IFERROR(__xludf.DUMMYFUNCTION("""COMPUTED_VALUE"""),"200 Back")</f>
        <v>200 Back</v>
      </c>
      <c r="E27" s="3" t="str">
        <f>IFERROR(__xludf.DUMMYFUNCTION("""COMPUTED_VALUE"""),"100 Fly")</f>
        <v>100 Fly</v>
      </c>
      <c r="F27" s="3" t="str">
        <f>IFERROR(__xludf.DUMMYFUNCTION("""COMPUTED_VALUE"""),"200 Fly")</f>
        <v>200 Fly</v>
      </c>
    </row>
    <row r="28">
      <c r="A28" s="3" t="str">
        <f>IFERROR(__xludf.DUMMYFUNCTION("""COMPUTED_VALUE"""),"50 Free")</f>
        <v>50 Free</v>
      </c>
      <c r="B28" s="3" t="str">
        <f>IFERROR(__xludf.DUMMYFUNCTION("""COMPUTED_VALUE"""),"100 Free")</f>
        <v>100 Free</v>
      </c>
      <c r="C28" s="3" t="str">
        <f>IFERROR(__xludf.DUMMYFUNCTION("""COMPUTED_VALUE"""),"200 Free")</f>
        <v>200 Free</v>
      </c>
      <c r="D28" s="3" t="str">
        <f>IFERROR(__xludf.DUMMYFUNCTION("""COMPUTED_VALUE"""),"100 Back")</f>
        <v>100 Back</v>
      </c>
      <c r="E28" s="3" t="str">
        <f>IFERROR(__xludf.DUMMYFUNCTION("""COMPUTED_VALUE"""),"100 Breast")</f>
        <v>100 Breast</v>
      </c>
      <c r="F28" s="3" t="str">
        <f>IFERROR(__xludf.DUMMYFUNCTION("""COMPUTED_VALUE"""),"200 IM")</f>
        <v>200 IM</v>
      </c>
    </row>
    <row r="29">
      <c r="A29" s="3" t="str">
        <f>IFERROR(__xludf.DUMMYFUNCTION("""COMPUTED_VALUE"""),"50 Free")</f>
        <v>50 Free</v>
      </c>
      <c r="B29" s="3" t="str">
        <f>IFERROR(__xludf.DUMMYFUNCTION("""COMPUTED_VALUE"""),"100 Free")</f>
        <v>100 Free</v>
      </c>
      <c r="C29" s="3" t="str">
        <f>IFERROR(__xludf.DUMMYFUNCTION("""COMPUTED_VALUE"""),"200 Free")</f>
        <v>200 Free</v>
      </c>
      <c r="D29" s="3" t="str">
        <f>IFERROR(__xludf.DUMMYFUNCTION("""COMPUTED_VALUE"""),"100 Back")</f>
        <v>100 Back</v>
      </c>
      <c r="E29" s="3" t="str">
        <f>IFERROR(__xludf.DUMMYFUNCTION("""COMPUTED_VALUE"""),"100 Breast")</f>
        <v>100 Breast</v>
      </c>
      <c r="F29" s="3" t="str">
        <f>IFERROR(__xludf.DUMMYFUNCTION("""COMPUTED_VALUE"""),"200 IM")</f>
        <v>200 IM</v>
      </c>
    </row>
    <row r="30">
      <c r="A30" s="3" t="str">
        <f>IFERROR(__xludf.DUMMYFUNCTION("""COMPUTED_VALUE"""),"50 Free")</f>
        <v>50 Free</v>
      </c>
      <c r="B30" s="3" t="str">
        <f>IFERROR(__xludf.DUMMYFUNCTION("""COMPUTED_VALUE"""),"100 Free")</f>
        <v>100 Free</v>
      </c>
      <c r="C30" s="3" t="str">
        <f>IFERROR(__xludf.DUMMYFUNCTION("""COMPUTED_VALUE"""),"100 Back")</f>
        <v>100 Back</v>
      </c>
      <c r="D30" s="3" t="str">
        <f>IFERROR(__xludf.DUMMYFUNCTION("""COMPUTED_VALUE"""),"200 Back")</f>
        <v>200 Back</v>
      </c>
      <c r="E30" s="3" t="str">
        <f>IFERROR(__xludf.DUMMYFUNCTION("""COMPUTED_VALUE"""),"100 Breast")</f>
        <v>100 Breast</v>
      </c>
      <c r="F30" s="3" t="str">
        <f>IFERROR(__xludf.DUMMYFUNCTION("""COMPUTED_VALUE"""),"200 Breast")</f>
        <v>200 Breast</v>
      </c>
    </row>
    <row r="31">
      <c r="A31" s="3" t="str">
        <f>IFERROR(__xludf.DUMMYFUNCTION("""COMPUTED_VALUE"""),"50 Free")</f>
        <v>50 Free</v>
      </c>
      <c r="B31" s="3" t="str">
        <f>IFERROR(__xludf.DUMMYFUNCTION("""COMPUTED_VALUE"""),"100 Free")</f>
        <v>100 Free</v>
      </c>
      <c r="C31" s="3" t="str">
        <f>IFERROR(__xludf.DUMMYFUNCTION("""COMPUTED_VALUE"""),"100 Breast")</f>
        <v>100 Breast</v>
      </c>
      <c r="D31" s="3" t="str">
        <f>IFERROR(__xludf.DUMMYFUNCTION("""COMPUTED_VALUE"""),"200 Breast")</f>
        <v>200 Breast</v>
      </c>
      <c r="E31" s="3" t="str">
        <f>IFERROR(__xludf.DUMMYFUNCTION("""COMPUTED_VALUE"""),"200 IM")</f>
        <v>200 IM</v>
      </c>
      <c r="F31" s="3"/>
    </row>
    <row r="32">
      <c r="A32" s="3" t="str">
        <f>IFERROR(__xludf.DUMMYFUNCTION("""COMPUTED_VALUE"""),"50 Free")</f>
        <v>50 Free</v>
      </c>
      <c r="B32" s="3" t="str">
        <f>IFERROR(__xludf.DUMMYFUNCTION("""COMPUTED_VALUE"""),"100 Free")</f>
        <v>100 Free</v>
      </c>
      <c r="C32" s="3" t="str">
        <f>IFERROR(__xludf.DUMMYFUNCTION("""COMPUTED_VALUE"""),"200 Free")</f>
        <v>200 Free</v>
      </c>
      <c r="D32" s="3" t="str">
        <f>IFERROR(__xludf.DUMMYFUNCTION("""COMPUTED_VALUE"""),"100 Breast")</f>
        <v>100 Breast</v>
      </c>
      <c r="E32" s="3"/>
      <c r="F32" s="3"/>
    </row>
    <row r="33">
      <c r="A33" s="3" t="str">
        <f>IFERROR(__xludf.DUMMYFUNCTION("""COMPUTED_VALUE"""),"50 Free")</f>
        <v>50 Free</v>
      </c>
      <c r="B33" s="3" t="str">
        <f>IFERROR(__xludf.DUMMYFUNCTION("""COMPUTED_VALUE"""),"100 Free")</f>
        <v>100 Free</v>
      </c>
      <c r="C33" s="3" t="str">
        <f>IFERROR(__xludf.DUMMYFUNCTION("""COMPUTED_VALUE"""),"200 Free")</f>
        <v>200 Free</v>
      </c>
      <c r="D33" s="3" t="str">
        <f>IFERROR(__xludf.DUMMYFUNCTION("""COMPUTED_VALUE"""),"100 Back")</f>
        <v>100 Back</v>
      </c>
      <c r="E33" s="3" t="str">
        <f>IFERROR(__xludf.DUMMYFUNCTION("""COMPUTED_VALUE"""),"200 Back")</f>
        <v>200 Back</v>
      </c>
      <c r="F33" s="3" t="str">
        <f>IFERROR(__xludf.DUMMYFUNCTION("""COMPUTED_VALUE"""),"100 Fly")</f>
        <v>100 Fly</v>
      </c>
    </row>
    <row r="34">
      <c r="A34" s="3" t="str">
        <f>IFERROR(__xludf.DUMMYFUNCTION("""COMPUTED_VALUE"""),"50 Free")</f>
        <v>50 Free</v>
      </c>
      <c r="B34" s="3" t="str">
        <f>IFERROR(__xludf.DUMMYFUNCTION("""COMPUTED_VALUE"""),"100 Free")</f>
        <v>100 Free</v>
      </c>
      <c r="C34" s="3" t="str">
        <f>IFERROR(__xludf.DUMMYFUNCTION("""COMPUTED_VALUE"""),"200 Free")</f>
        <v>200 Free</v>
      </c>
      <c r="D34" s="3" t="str">
        <f>IFERROR(__xludf.DUMMYFUNCTION("""COMPUTED_VALUE"""),"100 Breast")</f>
        <v>100 Breast</v>
      </c>
      <c r="E34" s="3" t="str">
        <f>IFERROR(__xludf.DUMMYFUNCTION("""COMPUTED_VALUE"""),"200 Breast")</f>
        <v>200 Breast</v>
      </c>
      <c r="F34" s="3" t="str">
        <f>IFERROR(__xludf.DUMMYFUNCTION("""COMPUTED_VALUE"""),"200 IM")</f>
        <v>200 IM</v>
      </c>
    </row>
    <row r="35">
      <c r="A35" s="3" t="str">
        <f>IFERROR(__xludf.DUMMYFUNCTION("""COMPUTED_VALUE"""),"50 Free")</f>
        <v>50 Free</v>
      </c>
      <c r="B35" s="3" t="str">
        <f>IFERROR(__xludf.DUMMYFUNCTION("""COMPUTED_VALUE"""),"100 Free")</f>
        <v>100 Free</v>
      </c>
      <c r="C35" s="3" t="str">
        <f>IFERROR(__xludf.DUMMYFUNCTION("""COMPUTED_VALUE"""),"100 Breast")</f>
        <v>100 Breast</v>
      </c>
      <c r="D35" s="3" t="str">
        <f>IFERROR(__xludf.DUMMYFUNCTION("""COMPUTED_VALUE"""),"200 Breast")</f>
        <v>200 Breast</v>
      </c>
      <c r="E35" s="3" t="str">
        <f>IFERROR(__xludf.DUMMYFUNCTION("""COMPUTED_VALUE"""),"200 IM")</f>
        <v>200 IM</v>
      </c>
      <c r="F35" s="3" t="str">
        <f>IFERROR(__xludf.DUMMYFUNCTION("""COMPUTED_VALUE"""),"400 IM")</f>
        <v>400 IM</v>
      </c>
    </row>
    <row r="36">
      <c r="A36" s="3" t="str">
        <f>IFERROR(__xludf.DUMMYFUNCTION("""COMPUTED_VALUE"""),"50 Free")</f>
        <v>50 Free</v>
      </c>
      <c r="B36" s="3" t="str">
        <f>IFERROR(__xludf.DUMMYFUNCTION("""COMPUTED_VALUE"""),"100 Free")</f>
        <v>100 Free</v>
      </c>
      <c r="C36" s="3" t="str">
        <f>IFERROR(__xludf.DUMMYFUNCTION("""COMPUTED_VALUE"""),"200 Free")</f>
        <v>200 Free</v>
      </c>
      <c r="D36" s="3" t="str">
        <f>IFERROR(__xludf.DUMMYFUNCTION("""COMPUTED_VALUE"""),"200 Fly")</f>
        <v>200 Fly</v>
      </c>
      <c r="E36" s="3" t="str">
        <f>IFERROR(__xludf.DUMMYFUNCTION("""COMPUTED_VALUE"""),"200 IM")</f>
        <v>200 IM</v>
      </c>
      <c r="F36" s="3" t="str">
        <f>IFERROR(__xludf.DUMMYFUNCTION("""COMPUTED_VALUE"""),"400 IM")</f>
        <v>400 IM</v>
      </c>
    </row>
    <row r="37">
      <c r="A37" s="3" t="str">
        <f>IFERROR(__xludf.DUMMYFUNCTION("""COMPUTED_VALUE"""),"50 Free")</f>
        <v>50 Free</v>
      </c>
      <c r="B37" s="3" t="str">
        <f>IFERROR(__xludf.DUMMYFUNCTION("""COMPUTED_VALUE"""),"100 Free")</f>
        <v>100 Free</v>
      </c>
      <c r="C37" s="3" t="str">
        <f>IFERROR(__xludf.DUMMYFUNCTION("""COMPUTED_VALUE"""),"200 Free")</f>
        <v>200 Free</v>
      </c>
      <c r="D37" s="3" t="str">
        <f>IFERROR(__xludf.DUMMYFUNCTION("""COMPUTED_VALUE"""),"100 Back")</f>
        <v>100 Back</v>
      </c>
      <c r="E37" s="3" t="str">
        <f>IFERROR(__xludf.DUMMYFUNCTION("""COMPUTED_VALUE"""),"100 Fly")</f>
        <v>100 Fly</v>
      </c>
      <c r="F37" s="3" t="str">
        <f>IFERROR(__xludf.DUMMYFUNCTION("""COMPUTED_VALUE"""),"200 IM")</f>
        <v>200 IM</v>
      </c>
    </row>
    <row r="38">
      <c r="A38" s="3" t="str">
        <f>IFERROR(__xludf.DUMMYFUNCTION("""COMPUTED_VALUE"""),"50 Free")</f>
        <v>50 Free</v>
      </c>
      <c r="B38" s="3" t="str">
        <f>IFERROR(__xludf.DUMMYFUNCTION("""COMPUTED_VALUE"""),"100 Free")</f>
        <v>100 Free</v>
      </c>
      <c r="C38" s="3" t="str">
        <f>IFERROR(__xludf.DUMMYFUNCTION("""COMPUTED_VALUE"""),"200 Free")</f>
        <v>200 Free</v>
      </c>
      <c r="D38" s="3" t="str">
        <f>IFERROR(__xludf.DUMMYFUNCTION("""COMPUTED_VALUE"""),"200 Breast")</f>
        <v>200 Breast</v>
      </c>
      <c r="E38" s="3" t="str">
        <f>IFERROR(__xludf.DUMMYFUNCTION("""COMPUTED_VALUE"""),"400 IM")</f>
        <v>400 IM</v>
      </c>
      <c r="F38" s="3"/>
    </row>
    <row r="39">
      <c r="A39" s="3" t="str">
        <f>IFERROR(__xludf.DUMMYFUNCTION("""COMPUTED_VALUE"""),"50 Free")</f>
        <v>50 Free</v>
      </c>
      <c r="B39" s="3" t="str">
        <f>IFERROR(__xludf.DUMMYFUNCTION("""COMPUTED_VALUE"""),"200 Free")</f>
        <v>200 Free</v>
      </c>
      <c r="C39" s="3" t="str">
        <f>IFERROR(__xludf.DUMMYFUNCTION("""COMPUTED_VALUE"""),"100 Back")</f>
        <v>100 Back</v>
      </c>
      <c r="D39" s="3" t="str">
        <f>IFERROR(__xludf.DUMMYFUNCTION("""COMPUTED_VALUE"""),"200 Back")</f>
        <v>200 Back</v>
      </c>
      <c r="E39" s="3" t="str">
        <f>IFERROR(__xludf.DUMMYFUNCTION("""COMPUTED_VALUE"""),"100 Fly")</f>
        <v>100 Fly</v>
      </c>
      <c r="F39" s="3" t="str">
        <f>IFERROR(__xludf.DUMMYFUNCTION("""COMPUTED_VALUE"""),"200 IM")</f>
        <v>200 IM</v>
      </c>
    </row>
    <row r="40">
      <c r="A40" s="3" t="str">
        <f>IFERROR(__xludf.DUMMYFUNCTION("""COMPUTED_VALUE"""),"50 Free")</f>
        <v>50 Free</v>
      </c>
      <c r="B40" s="3" t="str">
        <f>IFERROR(__xludf.DUMMYFUNCTION("""COMPUTED_VALUE"""),"100 Breast")</f>
        <v>100 Breast</v>
      </c>
      <c r="C40" s="3"/>
      <c r="D40" s="3"/>
      <c r="E40" s="3"/>
      <c r="F40" s="3"/>
    </row>
    <row r="41">
      <c r="A41" s="3" t="str">
        <f>IFERROR(__xludf.DUMMYFUNCTION("""COMPUTED_VALUE"""),"50 Free")</f>
        <v>50 Free</v>
      </c>
      <c r="B41" s="3" t="str">
        <f>IFERROR(__xludf.DUMMYFUNCTION("""COMPUTED_VALUE"""),"100 Free")</f>
        <v>100 Free</v>
      </c>
      <c r="C41" s="3" t="str">
        <f>IFERROR(__xludf.DUMMYFUNCTION("""COMPUTED_VALUE"""),"200 Free")</f>
        <v>200 Free</v>
      </c>
      <c r="D41" s="3" t="str">
        <f>IFERROR(__xludf.DUMMYFUNCTION("""COMPUTED_VALUE"""),"100 Fly")</f>
        <v>100 Fly</v>
      </c>
      <c r="E41" s="3" t="str">
        <f>IFERROR(__xludf.DUMMYFUNCTION("""COMPUTED_VALUE"""),"200 Fly")</f>
        <v>200 Fly</v>
      </c>
      <c r="F41" s="3"/>
    </row>
    <row r="42">
      <c r="A42" s="3" t="str">
        <f>IFERROR(__xludf.DUMMYFUNCTION("""COMPUTED_VALUE"""),"50 Free")</f>
        <v>50 Free</v>
      </c>
      <c r="B42" s="3" t="str">
        <f>IFERROR(__xludf.DUMMYFUNCTION("""COMPUTED_VALUE"""),"200 Free")</f>
        <v>200 Free</v>
      </c>
      <c r="C42" s="3" t="str">
        <f>IFERROR(__xludf.DUMMYFUNCTION("""COMPUTED_VALUE"""),"100 Back")</f>
        <v>100 Back</v>
      </c>
      <c r="D42" s="3" t="str">
        <f>IFERROR(__xludf.DUMMYFUNCTION("""COMPUTED_VALUE"""),"200 Back")</f>
        <v>200 Back</v>
      </c>
      <c r="E42" s="3" t="str">
        <f>IFERROR(__xludf.DUMMYFUNCTION("""COMPUTED_VALUE"""),"100 Fly")</f>
        <v>100 Fly</v>
      </c>
      <c r="F42" s="3" t="str">
        <f>IFERROR(__xludf.DUMMYFUNCTION("""COMPUTED_VALUE"""),"200 Fly")</f>
        <v>200 Fly</v>
      </c>
    </row>
    <row r="43">
      <c r="A43" s="3" t="str">
        <f>IFERROR(__xludf.DUMMYFUNCTION("""COMPUTED_VALUE"""),"50 Free")</f>
        <v>50 Free</v>
      </c>
      <c r="B43" s="3" t="str">
        <f>IFERROR(__xludf.DUMMYFUNCTION("""COMPUTED_VALUE"""),"100 Free")</f>
        <v>100 Free</v>
      </c>
      <c r="C43" s="3" t="str">
        <f>IFERROR(__xludf.DUMMYFUNCTION("""COMPUTED_VALUE"""),"100 Back")</f>
        <v>100 Back</v>
      </c>
      <c r="D43" s="3" t="str">
        <f>IFERROR(__xludf.DUMMYFUNCTION("""COMPUTED_VALUE"""),"100 Fly")</f>
        <v>100 Fly</v>
      </c>
      <c r="E43" s="3" t="str">
        <f>IFERROR(__xludf.DUMMYFUNCTION("""COMPUTED_VALUE"""),"200 Fly")</f>
        <v>200 Fly</v>
      </c>
      <c r="F43" s="3" t="str">
        <f>IFERROR(__xludf.DUMMYFUNCTION("""COMPUTED_VALUE"""),"200 IM")</f>
        <v>200 IM</v>
      </c>
    </row>
    <row r="44">
      <c r="A44" s="3" t="str">
        <f>IFERROR(__xludf.DUMMYFUNCTION("""COMPUTED_VALUE"""),"50 Free")</f>
        <v>50 Free</v>
      </c>
      <c r="B44" s="3" t="str">
        <f>IFERROR(__xludf.DUMMYFUNCTION("""COMPUTED_VALUE"""),"100 Free")</f>
        <v>100 Free</v>
      </c>
      <c r="C44" s="3" t="str">
        <f>IFERROR(__xludf.DUMMYFUNCTION("""COMPUTED_VALUE"""),"100 Back")</f>
        <v>100 Back</v>
      </c>
      <c r="D44" s="3" t="str">
        <f>IFERROR(__xludf.DUMMYFUNCTION("""COMPUTED_VALUE"""),"100 Fly")</f>
        <v>100 Fly</v>
      </c>
      <c r="E44" s="3" t="str">
        <f>IFERROR(__xludf.DUMMYFUNCTION("""COMPUTED_VALUE"""),"200 IM")</f>
        <v>200 IM</v>
      </c>
      <c r="F44" s="3"/>
    </row>
    <row r="45">
      <c r="A45" s="3" t="str">
        <f>IFERROR(__xludf.DUMMYFUNCTION("""COMPUTED_VALUE"""),"50 Free")</f>
        <v>50 Free</v>
      </c>
      <c r="B45" s="3" t="str">
        <f>IFERROR(__xludf.DUMMYFUNCTION("""COMPUTED_VALUE"""),"100 Back")</f>
        <v>100 Back</v>
      </c>
      <c r="C45" s="3" t="str">
        <f>IFERROR(__xludf.DUMMYFUNCTION("""COMPUTED_VALUE"""),"100 Breast")</f>
        <v>100 Breast</v>
      </c>
      <c r="D45" s="3" t="str">
        <f>IFERROR(__xludf.DUMMYFUNCTION("""COMPUTED_VALUE"""),"200 Breast")</f>
        <v>200 Breast</v>
      </c>
      <c r="E45" s="3" t="str">
        <f>IFERROR(__xludf.DUMMYFUNCTION("""COMPUTED_VALUE"""),"200 IM")</f>
        <v>200 IM</v>
      </c>
      <c r="F45" s="3" t="str">
        <f>IFERROR(__xludf.DUMMYFUNCTION("""COMPUTED_VALUE"""),"400 IM")</f>
        <v>400 IM</v>
      </c>
    </row>
    <row r="46">
      <c r="A46" s="3" t="str">
        <f>IFERROR(__xludf.DUMMYFUNCTION("""COMPUTED_VALUE"""),"50 Free")</f>
        <v>50 Free</v>
      </c>
      <c r="B46" s="3" t="str">
        <f>IFERROR(__xludf.DUMMYFUNCTION("""COMPUTED_VALUE"""),"100 Free")</f>
        <v>100 Free</v>
      </c>
      <c r="C46" s="3" t="str">
        <f>IFERROR(__xludf.DUMMYFUNCTION("""COMPUTED_VALUE"""),"200 Free")</f>
        <v>200 Free</v>
      </c>
      <c r="D46" s="3" t="str">
        <f>IFERROR(__xludf.DUMMYFUNCTION("""COMPUTED_VALUE"""),"200 Breast")</f>
        <v>200 Breast</v>
      </c>
      <c r="E46" s="3" t="str">
        <f>IFERROR(__xludf.DUMMYFUNCTION("""COMPUTED_VALUE"""),"100 Fly")</f>
        <v>100 Fly</v>
      </c>
      <c r="F46" s="3" t="str">
        <f>IFERROR(__xludf.DUMMYFUNCTION("""COMPUTED_VALUE"""),"200 IM")</f>
        <v>200 IM</v>
      </c>
    </row>
    <row r="47">
      <c r="A47" s="3" t="str">
        <f>IFERROR(__xludf.DUMMYFUNCTION("""COMPUTED_VALUE"""),"50 Free")</f>
        <v>50 Free</v>
      </c>
      <c r="B47" s="3" t="str">
        <f>IFERROR(__xludf.DUMMYFUNCTION("""COMPUTED_VALUE"""),"100 Free")</f>
        <v>100 Free</v>
      </c>
      <c r="C47" s="3" t="str">
        <f>IFERROR(__xludf.DUMMYFUNCTION("""COMPUTED_VALUE"""),"100 Back")</f>
        <v>100 Back</v>
      </c>
      <c r="D47" s="3" t="str">
        <f>IFERROR(__xludf.DUMMYFUNCTION("""COMPUTED_VALUE"""),"200 Back")</f>
        <v>200 Back</v>
      </c>
      <c r="E47" s="3" t="str">
        <f>IFERROR(__xludf.DUMMYFUNCTION("""COMPUTED_VALUE"""),"100 Fly")</f>
        <v>100 Fly</v>
      </c>
      <c r="F47" s="3"/>
    </row>
    <row r="48">
      <c r="A48" s="3" t="str">
        <f>IFERROR(__xludf.DUMMYFUNCTION("""COMPUTED_VALUE"""),"50 Free")</f>
        <v>50 Free</v>
      </c>
      <c r="B48" s="3" t="str">
        <f>IFERROR(__xludf.DUMMYFUNCTION("""COMPUTED_VALUE"""),"100 Free")</f>
        <v>100 Free</v>
      </c>
      <c r="C48" s="3" t="str">
        <f>IFERROR(__xludf.DUMMYFUNCTION("""COMPUTED_VALUE"""),"100 Back")</f>
        <v>100 Back</v>
      </c>
      <c r="D48" s="3" t="str">
        <f>IFERROR(__xludf.DUMMYFUNCTION("""COMPUTED_VALUE"""),"200 Back")</f>
        <v>200 Back</v>
      </c>
      <c r="E48" s="3" t="str">
        <f>IFERROR(__xludf.DUMMYFUNCTION("""COMPUTED_VALUE"""),"200 IM")</f>
        <v>200 IM</v>
      </c>
      <c r="F48" s="3"/>
    </row>
    <row r="49">
      <c r="A49" s="3" t="str">
        <f>IFERROR(__xludf.DUMMYFUNCTION("""COMPUTED_VALUE"""),"50 Free")</f>
        <v>50 Free</v>
      </c>
      <c r="B49" s="3" t="str">
        <f>IFERROR(__xludf.DUMMYFUNCTION("""COMPUTED_VALUE"""),"100 Free")</f>
        <v>100 Free</v>
      </c>
      <c r="C49" s="3" t="str">
        <f>IFERROR(__xludf.DUMMYFUNCTION("""COMPUTED_VALUE"""),"100 Back")</f>
        <v>100 Back</v>
      </c>
      <c r="D49" s="3" t="str">
        <f>IFERROR(__xludf.DUMMYFUNCTION("""COMPUTED_VALUE"""),"200 Back")</f>
        <v>200 Back</v>
      </c>
      <c r="E49" s="3"/>
      <c r="F49" s="3"/>
    </row>
    <row r="50">
      <c r="A50" s="3" t="str">
        <f>IFERROR(__xludf.DUMMYFUNCTION("""COMPUTED_VALUE"""),"50 Free")</f>
        <v>50 Free</v>
      </c>
      <c r="B50" s="3" t="str">
        <f>IFERROR(__xludf.DUMMYFUNCTION("""COMPUTED_VALUE"""),"100 Back")</f>
        <v>100 Back</v>
      </c>
      <c r="C50" s="3" t="str">
        <f>IFERROR(__xludf.DUMMYFUNCTION("""COMPUTED_VALUE"""),"200 Back")</f>
        <v>200 Back</v>
      </c>
      <c r="D50" s="3" t="str">
        <f>IFERROR(__xludf.DUMMYFUNCTION("""COMPUTED_VALUE"""),"100 Breast")</f>
        <v>100 Breast</v>
      </c>
      <c r="E50" s="3" t="str">
        <f>IFERROR(__xludf.DUMMYFUNCTION("""COMPUTED_VALUE"""),"200 IM")</f>
        <v>200 IM</v>
      </c>
      <c r="F50" s="3" t="str">
        <f>IFERROR(__xludf.DUMMYFUNCTION("""COMPUTED_VALUE"""),"400 IM")</f>
        <v>400 IM</v>
      </c>
    </row>
    <row r="51">
      <c r="A51" s="3" t="str">
        <f>IFERROR(__xludf.DUMMYFUNCTION("""COMPUTED_VALUE"""),"50 Free")</f>
        <v>50 Free</v>
      </c>
      <c r="B51" s="3" t="str">
        <f>IFERROR(__xludf.DUMMYFUNCTION("""COMPUTED_VALUE"""),"100 Back")</f>
        <v>100 Back</v>
      </c>
      <c r="C51" s="3"/>
      <c r="D51" s="3"/>
      <c r="E51" s="3"/>
      <c r="F51" s="3"/>
    </row>
    <row r="52">
      <c r="A52" s="3" t="str">
        <f>IFERROR(__xludf.DUMMYFUNCTION("""COMPUTED_VALUE"""),"50 Free")</f>
        <v>50 Free</v>
      </c>
      <c r="B52" s="3" t="str">
        <f>IFERROR(__xludf.DUMMYFUNCTION("""COMPUTED_VALUE"""),"100 Free")</f>
        <v>100 Free</v>
      </c>
      <c r="C52" s="3" t="str">
        <f>IFERROR(__xludf.DUMMYFUNCTION("""COMPUTED_VALUE"""),"200 Free")</f>
        <v>200 Free</v>
      </c>
      <c r="D52" s="3" t="str">
        <f>IFERROR(__xludf.DUMMYFUNCTION("""COMPUTED_VALUE"""),"100 Back")</f>
        <v>100 Back</v>
      </c>
      <c r="E52" s="3" t="str">
        <f>IFERROR(__xludf.DUMMYFUNCTION("""COMPUTED_VALUE"""),"200 Back")</f>
        <v>200 Back</v>
      </c>
      <c r="F52" s="3" t="str">
        <f>IFERROR(__xludf.DUMMYFUNCTION("""COMPUTED_VALUE"""),"100 Fly")</f>
        <v>100 Fly</v>
      </c>
    </row>
    <row r="53">
      <c r="A53" s="3" t="str">
        <f>IFERROR(__xludf.DUMMYFUNCTION("""COMPUTED_VALUE"""),"50 Free")</f>
        <v>50 Free</v>
      </c>
      <c r="B53" s="3" t="str">
        <f>IFERROR(__xludf.DUMMYFUNCTION("""COMPUTED_VALUE"""),"100 Free")</f>
        <v>100 Free</v>
      </c>
      <c r="C53" s="3" t="str">
        <f>IFERROR(__xludf.DUMMYFUNCTION("""COMPUTED_VALUE"""),"200 Free")</f>
        <v>200 Free</v>
      </c>
      <c r="D53" s="3" t="str">
        <f>IFERROR(__xludf.DUMMYFUNCTION("""COMPUTED_VALUE"""),"100 Back")</f>
        <v>100 Back</v>
      </c>
      <c r="E53" s="3" t="str">
        <f>IFERROR(__xludf.DUMMYFUNCTION("""COMPUTED_VALUE"""),"200 Back")</f>
        <v>200 Back</v>
      </c>
      <c r="F53" s="3" t="str">
        <f>IFERROR(__xludf.DUMMYFUNCTION("""COMPUTED_VALUE"""),"100 Fly")</f>
        <v>100 Fly</v>
      </c>
    </row>
    <row r="54">
      <c r="A54" s="3" t="str">
        <f>IFERROR(__xludf.DUMMYFUNCTION("""COMPUTED_VALUE"""),"50 Free")</f>
        <v>50 Free</v>
      </c>
      <c r="B54" s="3" t="str">
        <f>IFERROR(__xludf.DUMMYFUNCTION("""COMPUTED_VALUE"""),"100 Free")</f>
        <v>100 Free</v>
      </c>
      <c r="C54" s="3" t="str">
        <f>IFERROR(__xludf.DUMMYFUNCTION("""COMPUTED_VALUE"""),"200 Free")</f>
        <v>200 Free</v>
      </c>
      <c r="D54" s="3" t="str">
        <f>IFERROR(__xludf.DUMMYFUNCTION("""COMPUTED_VALUE"""),"500 Free")</f>
        <v>500 Free</v>
      </c>
      <c r="E54" s="3" t="str">
        <f>IFERROR(__xludf.DUMMYFUNCTION("""COMPUTED_VALUE"""),"100 Back")</f>
        <v>100 Back</v>
      </c>
      <c r="F54" s="3" t="str">
        <f>IFERROR(__xludf.DUMMYFUNCTION("""COMPUTED_VALUE"""),"200 Back")</f>
        <v>200 Back</v>
      </c>
    </row>
    <row r="55">
      <c r="A55" s="3" t="str">
        <f>IFERROR(__xludf.DUMMYFUNCTION("""COMPUTED_VALUE"""),"50 Free")</f>
        <v>50 Free</v>
      </c>
      <c r="B55" s="3" t="str">
        <f>IFERROR(__xludf.DUMMYFUNCTION("""COMPUTED_VALUE"""),"100 Free")</f>
        <v>100 Free</v>
      </c>
      <c r="C55" s="3" t="str">
        <f>IFERROR(__xludf.DUMMYFUNCTION("""COMPUTED_VALUE"""),"200 Free")</f>
        <v>200 Free</v>
      </c>
      <c r="D55" s="3" t="str">
        <f>IFERROR(__xludf.DUMMYFUNCTION("""COMPUTED_VALUE"""),"100 Back")</f>
        <v>100 Back</v>
      </c>
      <c r="E55" s="3" t="str">
        <f>IFERROR(__xludf.DUMMYFUNCTION("""COMPUTED_VALUE"""),"200 Back")</f>
        <v>200 Back</v>
      </c>
      <c r="F55" s="3"/>
    </row>
    <row r="56">
      <c r="A56" s="3" t="str">
        <f>IFERROR(__xludf.DUMMYFUNCTION("""COMPUTED_VALUE"""),"50 Free")</f>
        <v>50 Free</v>
      </c>
      <c r="B56" s="3" t="str">
        <f>IFERROR(__xludf.DUMMYFUNCTION("""COMPUTED_VALUE"""),"100 Free")</f>
        <v>100 Free</v>
      </c>
      <c r="C56" s="3" t="str">
        <f>IFERROR(__xludf.DUMMYFUNCTION("""COMPUTED_VALUE"""),"200 Free")</f>
        <v>200 Free</v>
      </c>
      <c r="D56" s="3" t="str">
        <f>IFERROR(__xludf.DUMMYFUNCTION("""COMPUTED_VALUE"""),"100 Breast")</f>
        <v>100 Breast</v>
      </c>
      <c r="E56" s="3" t="str">
        <f>IFERROR(__xludf.DUMMYFUNCTION("""COMPUTED_VALUE"""),"200 Breast")</f>
        <v>200 Breast</v>
      </c>
      <c r="F56" s="3" t="str">
        <f>IFERROR(__xludf.DUMMYFUNCTION("""COMPUTED_VALUE"""),"200 IM")</f>
        <v>200 IM</v>
      </c>
    </row>
    <row r="57">
      <c r="A57" s="3" t="str">
        <f>IFERROR(__xludf.DUMMYFUNCTION("""COMPUTED_VALUE"""),"50 Free")</f>
        <v>50 Free</v>
      </c>
      <c r="B57" s="3" t="str">
        <f>IFERROR(__xludf.DUMMYFUNCTION("""COMPUTED_VALUE"""),"100 Free")</f>
        <v>100 Free</v>
      </c>
      <c r="C57" s="3" t="str">
        <f>IFERROR(__xludf.DUMMYFUNCTION("""COMPUTED_VALUE"""),"200 Free")</f>
        <v>200 Free</v>
      </c>
      <c r="D57" s="3" t="str">
        <f>IFERROR(__xludf.DUMMYFUNCTION("""COMPUTED_VALUE"""),"100 Back")</f>
        <v>100 Back</v>
      </c>
      <c r="E57" s="3" t="str">
        <f>IFERROR(__xludf.DUMMYFUNCTION("""COMPUTED_VALUE"""),"200 Back")</f>
        <v>200 Back</v>
      </c>
      <c r="F57" s="3" t="str">
        <f>IFERROR(__xludf.DUMMYFUNCTION("""COMPUTED_VALUE"""),"100 Fly")</f>
        <v>100 Fly</v>
      </c>
    </row>
    <row r="58">
      <c r="A58" s="3" t="str">
        <f>IFERROR(__xludf.DUMMYFUNCTION("""COMPUTED_VALUE"""),"50 Free")</f>
        <v>50 Free</v>
      </c>
      <c r="B58" s="3" t="str">
        <f>IFERROR(__xludf.DUMMYFUNCTION("""COMPUTED_VALUE"""),"100 Free")</f>
        <v>100 Free</v>
      </c>
      <c r="C58" s="3" t="str">
        <f>IFERROR(__xludf.DUMMYFUNCTION("""COMPUTED_VALUE"""),"200 Free")</f>
        <v>200 Free</v>
      </c>
      <c r="D58" s="3" t="str">
        <f>IFERROR(__xludf.DUMMYFUNCTION("""COMPUTED_VALUE"""),"100 Fly")</f>
        <v>100 Fly</v>
      </c>
      <c r="E58" s="3" t="str">
        <f>IFERROR(__xludf.DUMMYFUNCTION("""COMPUTED_VALUE"""),"200 Fly")</f>
        <v>200 Fly</v>
      </c>
      <c r="F58" s="3" t="str">
        <f>IFERROR(__xludf.DUMMYFUNCTION("""COMPUTED_VALUE"""),"200 IM")</f>
        <v>200 IM</v>
      </c>
    </row>
    <row r="59">
      <c r="A59" s="3" t="str">
        <f>IFERROR(__xludf.DUMMYFUNCTION("""COMPUTED_VALUE"""),"50 Free")</f>
        <v>50 Free</v>
      </c>
      <c r="B59" s="3" t="str">
        <f>IFERROR(__xludf.DUMMYFUNCTION("""COMPUTED_VALUE"""),"100 Free")</f>
        <v>100 Free</v>
      </c>
      <c r="C59" s="3" t="str">
        <f>IFERROR(__xludf.DUMMYFUNCTION("""COMPUTED_VALUE"""),"200 Free")</f>
        <v>200 Free</v>
      </c>
      <c r="D59" s="3" t="str">
        <f>IFERROR(__xludf.DUMMYFUNCTION("""COMPUTED_VALUE"""),"100 Back")</f>
        <v>100 Back</v>
      </c>
      <c r="E59" s="3" t="str">
        <f>IFERROR(__xludf.DUMMYFUNCTION("""COMPUTED_VALUE"""),"200 Back")</f>
        <v>200 Back</v>
      </c>
      <c r="F59" s="3" t="str">
        <f>IFERROR(__xludf.DUMMYFUNCTION("""COMPUTED_VALUE"""),"100 Fly")</f>
        <v>100 Fly</v>
      </c>
    </row>
    <row r="60">
      <c r="A60" s="3" t="str">
        <f>IFERROR(__xludf.DUMMYFUNCTION("""COMPUTED_VALUE"""),"50 Free")</f>
        <v>50 Free</v>
      </c>
      <c r="B60" s="3" t="str">
        <f>IFERROR(__xludf.DUMMYFUNCTION("""COMPUTED_VALUE"""),"100 Breast")</f>
        <v>100 Breast</v>
      </c>
      <c r="C60" s="3" t="str">
        <f>IFERROR(__xludf.DUMMYFUNCTION("""COMPUTED_VALUE"""),"200 Breast")</f>
        <v>200 Breast</v>
      </c>
      <c r="D60" s="3"/>
      <c r="E60" s="3"/>
      <c r="F60" s="3"/>
    </row>
    <row r="61">
      <c r="A61" s="3" t="str">
        <f>IFERROR(__xludf.DUMMYFUNCTION("""COMPUTED_VALUE"""),"50 Free")</f>
        <v>50 Free</v>
      </c>
      <c r="B61" s="3" t="str">
        <f>IFERROR(__xludf.DUMMYFUNCTION("""COMPUTED_VALUE"""),"100 Free")</f>
        <v>100 Free</v>
      </c>
      <c r="C61" s="3" t="str">
        <f>IFERROR(__xludf.DUMMYFUNCTION("""COMPUTED_VALUE"""),"100 Back")</f>
        <v>100 Back</v>
      </c>
      <c r="D61" s="3" t="str">
        <f>IFERROR(__xludf.DUMMYFUNCTION("""COMPUTED_VALUE"""),"200 Back")</f>
        <v>200 Back</v>
      </c>
      <c r="E61" s="3"/>
      <c r="F61" s="3"/>
    </row>
    <row r="62">
      <c r="A62" s="3" t="str">
        <f>IFERROR(__xludf.DUMMYFUNCTION("""COMPUTED_VALUE"""),"50 Free")</f>
        <v>50 Free</v>
      </c>
      <c r="B62" s="3" t="str">
        <f>IFERROR(__xludf.DUMMYFUNCTION("""COMPUTED_VALUE"""),"100 Free")</f>
        <v>100 Free</v>
      </c>
      <c r="C62" s="3" t="str">
        <f>IFERROR(__xludf.DUMMYFUNCTION("""COMPUTED_VALUE"""),"100 Back")</f>
        <v>100 Back</v>
      </c>
      <c r="D62" s="3" t="str">
        <f>IFERROR(__xludf.DUMMYFUNCTION("""COMPUTED_VALUE"""),"200 Back")</f>
        <v>200 Back</v>
      </c>
      <c r="E62" s="3"/>
      <c r="F62" s="3"/>
    </row>
    <row r="63">
      <c r="A63" s="3" t="str">
        <f>IFERROR(__xludf.DUMMYFUNCTION("""COMPUTED_VALUE"""),"50 Free")</f>
        <v>50 Free</v>
      </c>
      <c r="B63" s="3" t="str">
        <f>IFERROR(__xludf.DUMMYFUNCTION("""COMPUTED_VALUE"""),"100 Free")</f>
        <v>100 Free</v>
      </c>
      <c r="C63" s="3" t="str">
        <f>IFERROR(__xludf.DUMMYFUNCTION("""COMPUTED_VALUE"""),"200 Free")</f>
        <v>200 Free</v>
      </c>
      <c r="D63" s="3" t="str">
        <f>IFERROR(__xludf.DUMMYFUNCTION("""COMPUTED_VALUE"""),"100 Back")</f>
        <v>100 Back</v>
      </c>
      <c r="E63" s="3" t="str">
        <f>IFERROR(__xludf.DUMMYFUNCTION("""COMPUTED_VALUE"""),"200 Back")</f>
        <v>200 Back</v>
      </c>
      <c r="F63" s="3" t="str">
        <f>IFERROR(__xludf.DUMMYFUNCTION("""COMPUTED_VALUE"""),"100 Breast")</f>
        <v>100 Breast</v>
      </c>
    </row>
    <row r="64">
      <c r="A64" s="3" t="str">
        <f>IFERROR(__xludf.DUMMYFUNCTION("""COMPUTED_VALUE"""),"50 Free")</f>
        <v>50 Free</v>
      </c>
      <c r="B64" s="3" t="str">
        <f>IFERROR(__xludf.DUMMYFUNCTION("""COMPUTED_VALUE"""),"100 Free")</f>
        <v>100 Free</v>
      </c>
      <c r="C64" s="3" t="str">
        <f>IFERROR(__xludf.DUMMYFUNCTION("""COMPUTED_VALUE"""),"200 Free")</f>
        <v>200 Free</v>
      </c>
      <c r="D64" s="3" t="str">
        <f>IFERROR(__xludf.DUMMYFUNCTION("""COMPUTED_VALUE"""),"500 Free")</f>
        <v>500 Free</v>
      </c>
      <c r="E64" s="3" t="str">
        <f>IFERROR(__xludf.DUMMYFUNCTION("""COMPUTED_VALUE"""),"100 Back")</f>
        <v>100 Back</v>
      </c>
      <c r="F64" s="3" t="str">
        <f>IFERROR(__xludf.DUMMYFUNCTION("""COMPUTED_VALUE"""),"100 Fly")</f>
        <v>100 Fly</v>
      </c>
    </row>
    <row r="65">
      <c r="A65" s="3" t="str">
        <f>IFERROR(__xludf.DUMMYFUNCTION("""COMPUTED_VALUE"""),"50 Free")</f>
        <v>50 Free</v>
      </c>
      <c r="B65" s="3" t="str">
        <f>IFERROR(__xludf.DUMMYFUNCTION("""COMPUTED_VALUE"""),"200 Free")</f>
        <v>200 Free</v>
      </c>
      <c r="C65" s="3" t="str">
        <f>IFERROR(__xludf.DUMMYFUNCTION("""COMPUTED_VALUE"""),"500 Free")</f>
        <v>500 Free</v>
      </c>
      <c r="D65" s="3" t="str">
        <f>IFERROR(__xludf.DUMMYFUNCTION("""COMPUTED_VALUE"""),"100 Back")</f>
        <v>100 Back</v>
      </c>
      <c r="E65" s="3" t="str">
        <f>IFERROR(__xludf.DUMMYFUNCTION("""COMPUTED_VALUE"""),"200 IM")</f>
        <v>200 IM</v>
      </c>
      <c r="F65" s="3" t="str">
        <f>IFERROR(__xludf.DUMMYFUNCTION("""COMPUTED_VALUE"""),"400 IM")</f>
        <v>400 IM</v>
      </c>
    </row>
    <row r="66">
      <c r="A66" s="3" t="str">
        <f>IFERROR(__xludf.DUMMYFUNCTION("""COMPUTED_VALUE"""),"50 Free")</f>
        <v>50 Free</v>
      </c>
      <c r="B66" s="3" t="str">
        <f>IFERROR(__xludf.DUMMYFUNCTION("""COMPUTED_VALUE"""),"100 Free")</f>
        <v>100 Free</v>
      </c>
      <c r="C66" s="3" t="str">
        <f>IFERROR(__xludf.DUMMYFUNCTION("""COMPUTED_VALUE"""),"100 Breast")</f>
        <v>100 Breast</v>
      </c>
      <c r="D66" s="3" t="str">
        <f>IFERROR(__xludf.DUMMYFUNCTION("""COMPUTED_VALUE"""),"200 Breast")</f>
        <v>200 Breast</v>
      </c>
      <c r="E66" s="3"/>
      <c r="F66" s="3"/>
    </row>
    <row r="67">
      <c r="A67" s="3" t="str">
        <f>IFERROR(__xludf.DUMMYFUNCTION("""COMPUTED_VALUE"""),"50 Free")</f>
        <v>50 Free</v>
      </c>
      <c r="B67" s="3" t="str">
        <f>IFERROR(__xludf.DUMMYFUNCTION("""COMPUTED_VALUE"""),"100 Free")</f>
        <v>100 Free</v>
      </c>
      <c r="C67" s="3" t="str">
        <f>IFERROR(__xludf.DUMMYFUNCTION("""COMPUTED_VALUE"""),"200 Free")</f>
        <v>200 Free</v>
      </c>
      <c r="D67" s="3" t="str">
        <f>IFERROR(__xludf.DUMMYFUNCTION("""COMPUTED_VALUE"""),"100 Back")</f>
        <v>100 Back</v>
      </c>
      <c r="E67" s="3" t="str">
        <f>IFERROR(__xludf.DUMMYFUNCTION("""COMPUTED_VALUE"""),"200 Back")</f>
        <v>200 Back</v>
      </c>
      <c r="F67" s="3" t="str">
        <f>IFERROR(__xludf.DUMMYFUNCTION("""COMPUTED_VALUE"""),"100 Fly")</f>
        <v>100 Fly</v>
      </c>
    </row>
    <row r="68">
      <c r="A68" s="3" t="str">
        <f>IFERROR(__xludf.DUMMYFUNCTION("""COMPUTED_VALUE"""),"50 Free")</f>
        <v>50 Free</v>
      </c>
      <c r="B68" s="3" t="str">
        <f>IFERROR(__xludf.DUMMYFUNCTION("""COMPUTED_VALUE"""),"200 Free")</f>
        <v>200 Free</v>
      </c>
      <c r="C68" s="3" t="str">
        <f>IFERROR(__xludf.DUMMYFUNCTION("""COMPUTED_VALUE"""),"500 Free")</f>
        <v>500 Free</v>
      </c>
      <c r="D68" s="3" t="str">
        <f>IFERROR(__xludf.DUMMYFUNCTION("""COMPUTED_VALUE"""),"1650 Free")</f>
        <v>1650 Free</v>
      </c>
      <c r="E68" s="3" t="str">
        <f>IFERROR(__xludf.DUMMYFUNCTION("""COMPUTED_VALUE"""),"200 IM")</f>
        <v>200 IM</v>
      </c>
      <c r="F68" s="3" t="str">
        <f>IFERROR(__xludf.DUMMYFUNCTION("""COMPUTED_VALUE"""),"400 IM")</f>
        <v>400 IM</v>
      </c>
    </row>
    <row r="69">
      <c r="A69" s="3" t="str">
        <f>IFERROR(__xludf.DUMMYFUNCTION("""COMPUTED_VALUE"""),"50 Free")</f>
        <v>50 Free</v>
      </c>
      <c r="B69" s="3" t="str">
        <f>IFERROR(__xludf.DUMMYFUNCTION("""COMPUTED_VALUE"""),"100 Free")</f>
        <v>100 Free</v>
      </c>
      <c r="C69" s="3" t="str">
        <f>IFERROR(__xludf.DUMMYFUNCTION("""COMPUTED_VALUE"""),"200 Free")</f>
        <v>200 Free</v>
      </c>
      <c r="D69" s="3" t="str">
        <f>IFERROR(__xludf.DUMMYFUNCTION("""COMPUTED_VALUE"""),"100 Back")</f>
        <v>100 Back</v>
      </c>
      <c r="E69" s="3" t="str">
        <f>IFERROR(__xludf.DUMMYFUNCTION("""COMPUTED_VALUE"""),"200 Back")</f>
        <v>200 Back</v>
      </c>
      <c r="F69" s="3"/>
    </row>
    <row r="70">
      <c r="A70" s="3" t="str">
        <f>IFERROR(__xludf.DUMMYFUNCTION("""COMPUTED_VALUE"""),"50 Free")</f>
        <v>50 Free</v>
      </c>
      <c r="B70" s="3" t="str">
        <f>IFERROR(__xludf.DUMMYFUNCTION("""COMPUTED_VALUE"""),"100 Free")</f>
        <v>100 Free</v>
      </c>
      <c r="C70" s="3" t="str">
        <f>IFERROR(__xludf.DUMMYFUNCTION("""COMPUTED_VALUE"""),"200 Free")</f>
        <v>200 Free</v>
      </c>
      <c r="D70" s="3" t="str">
        <f>IFERROR(__xludf.DUMMYFUNCTION("""COMPUTED_VALUE"""),"1650 Free")</f>
        <v>1650 Free</v>
      </c>
      <c r="E70" s="3" t="str">
        <f>IFERROR(__xludf.DUMMYFUNCTION("""COMPUTED_VALUE"""),"100 Breast")</f>
        <v>100 Breast</v>
      </c>
      <c r="F70" s="3" t="str">
        <f>IFERROR(__xludf.DUMMYFUNCTION("""COMPUTED_VALUE"""),"200 Breast")</f>
        <v>200 Breast</v>
      </c>
    </row>
    <row r="71">
      <c r="A71" s="3" t="str">
        <f>IFERROR(__xludf.DUMMYFUNCTION("""COMPUTED_VALUE"""),"50 Free")</f>
        <v>50 Free</v>
      </c>
      <c r="B71" s="3" t="str">
        <f>IFERROR(__xludf.DUMMYFUNCTION("""COMPUTED_VALUE"""),"100 Free")</f>
        <v>100 Free</v>
      </c>
      <c r="C71" s="3" t="str">
        <f>IFERROR(__xludf.DUMMYFUNCTION("""COMPUTED_VALUE"""),"100 Fly")</f>
        <v>100 Fly</v>
      </c>
      <c r="D71" s="3" t="str">
        <f>IFERROR(__xludf.DUMMYFUNCTION("""COMPUTED_VALUE"""),"200 Fly")</f>
        <v>200 Fly</v>
      </c>
      <c r="E71" s="3"/>
      <c r="F71" s="3"/>
    </row>
    <row r="72">
      <c r="A72" s="3" t="str">
        <f>IFERROR(__xludf.DUMMYFUNCTION("""COMPUTED_VALUE"""),"50 Free")</f>
        <v>50 Free</v>
      </c>
      <c r="B72" s="3" t="str">
        <f>IFERROR(__xludf.DUMMYFUNCTION("""COMPUTED_VALUE"""),"100 Free")</f>
        <v>100 Free</v>
      </c>
      <c r="C72" s="3" t="str">
        <f>IFERROR(__xludf.DUMMYFUNCTION("""COMPUTED_VALUE"""),"100 Fly")</f>
        <v>100 Fly</v>
      </c>
      <c r="D72" s="3" t="str">
        <f>IFERROR(__xludf.DUMMYFUNCTION("""COMPUTED_VALUE"""),"200 Fly")</f>
        <v>200 Fly</v>
      </c>
      <c r="E72" s="3" t="str">
        <f>IFERROR(__xludf.DUMMYFUNCTION("""COMPUTED_VALUE"""),"200 IM")</f>
        <v>200 IM</v>
      </c>
      <c r="F72" s="3" t="str">
        <f>IFERROR(__xludf.DUMMYFUNCTION("""COMPUTED_VALUE"""),"400 IM")</f>
        <v>400 IM</v>
      </c>
    </row>
    <row r="73">
      <c r="A73" s="3" t="str">
        <f>IFERROR(__xludf.DUMMYFUNCTION("""COMPUTED_VALUE"""),"50 Free")</f>
        <v>50 Free</v>
      </c>
      <c r="B73" s="3" t="str">
        <f>IFERROR(__xludf.DUMMYFUNCTION("""COMPUTED_VALUE"""),"100 Free")</f>
        <v>100 Free</v>
      </c>
      <c r="C73" s="3" t="str">
        <f>IFERROR(__xludf.DUMMYFUNCTION("""COMPUTED_VALUE"""),"200 Free")</f>
        <v>200 Free</v>
      </c>
      <c r="D73" s="3" t="str">
        <f>IFERROR(__xludf.DUMMYFUNCTION("""COMPUTED_VALUE"""),"100 Back")</f>
        <v>100 Back</v>
      </c>
      <c r="E73" s="3" t="str">
        <f>IFERROR(__xludf.DUMMYFUNCTION("""COMPUTED_VALUE"""),"200 Back")</f>
        <v>200 Back</v>
      </c>
      <c r="F73" s="3" t="str">
        <f>IFERROR(__xludf.DUMMYFUNCTION("""COMPUTED_VALUE"""),"200 IM")</f>
        <v>200 IM</v>
      </c>
    </row>
    <row r="74">
      <c r="A74" s="3" t="str">
        <f>IFERROR(__xludf.DUMMYFUNCTION("""COMPUTED_VALUE"""),"50 Free")</f>
        <v>50 Free</v>
      </c>
      <c r="B74" s="3" t="str">
        <f>IFERROR(__xludf.DUMMYFUNCTION("""COMPUTED_VALUE"""),"100 Free")</f>
        <v>100 Free</v>
      </c>
      <c r="C74" s="3" t="str">
        <f>IFERROR(__xludf.DUMMYFUNCTION("""COMPUTED_VALUE"""),"200 Free")</f>
        <v>200 Free</v>
      </c>
      <c r="D74" s="3" t="str">
        <f>IFERROR(__xludf.DUMMYFUNCTION("""COMPUTED_VALUE"""),"100 Back")</f>
        <v>100 Back</v>
      </c>
      <c r="E74" s="3"/>
      <c r="F74" s="3"/>
    </row>
    <row r="75">
      <c r="A75" s="3" t="str">
        <f>IFERROR(__xludf.DUMMYFUNCTION("""COMPUTED_VALUE"""),"50 Free")</f>
        <v>50 Free</v>
      </c>
      <c r="B75" s="3" t="str">
        <f>IFERROR(__xludf.DUMMYFUNCTION("""COMPUTED_VALUE"""),"100 Free")</f>
        <v>100 Free</v>
      </c>
      <c r="C75" s="3" t="str">
        <f>IFERROR(__xludf.DUMMYFUNCTION("""COMPUTED_VALUE"""),"100 Breast")</f>
        <v>100 Breast</v>
      </c>
      <c r="D75" s="3" t="str">
        <f>IFERROR(__xludf.DUMMYFUNCTION("""COMPUTED_VALUE"""),"200 Breast")</f>
        <v>200 Breast</v>
      </c>
      <c r="E75" s="3" t="str">
        <f>IFERROR(__xludf.DUMMYFUNCTION("""COMPUTED_VALUE"""),"100 Fly")</f>
        <v>100 Fly</v>
      </c>
      <c r="F75" s="3" t="str">
        <f>IFERROR(__xludf.DUMMYFUNCTION("""COMPUTED_VALUE"""),"200 IM")</f>
        <v>200 IM</v>
      </c>
    </row>
    <row r="76">
      <c r="A76" s="3" t="str">
        <f>IFERROR(__xludf.DUMMYFUNCTION("""COMPUTED_VALUE"""),"50 Free")</f>
        <v>50 Free</v>
      </c>
      <c r="B76" s="3" t="str">
        <f>IFERROR(__xludf.DUMMYFUNCTION("""COMPUTED_VALUE"""),"100 Free")</f>
        <v>100 Free</v>
      </c>
      <c r="C76" s="3" t="str">
        <f>IFERROR(__xludf.DUMMYFUNCTION("""COMPUTED_VALUE"""),"200 Free")</f>
        <v>200 Free</v>
      </c>
      <c r="D76" s="3" t="str">
        <f>IFERROR(__xludf.DUMMYFUNCTION("""COMPUTED_VALUE"""),"500 Free")</f>
        <v>500 Free</v>
      </c>
      <c r="E76" s="3" t="str">
        <f>IFERROR(__xludf.DUMMYFUNCTION("""COMPUTED_VALUE"""),"200 Back")</f>
        <v>200 Back</v>
      </c>
      <c r="F76" s="3" t="str">
        <f>IFERROR(__xludf.DUMMYFUNCTION("""COMPUTED_VALUE"""),"1000 Free")</f>
        <v>1000 Free</v>
      </c>
    </row>
    <row r="77">
      <c r="A77" s="3" t="str">
        <f>IFERROR(__xludf.DUMMYFUNCTION("""COMPUTED_VALUE"""),"50 Free")</f>
        <v>50 Free</v>
      </c>
      <c r="B77" s="3" t="str">
        <f>IFERROR(__xludf.DUMMYFUNCTION("""COMPUTED_VALUE"""),"100 Free")</f>
        <v>100 Free</v>
      </c>
      <c r="C77" s="3"/>
      <c r="D77" s="3"/>
      <c r="E77" s="3"/>
      <c r="F77" s="3"/>
    </row>
    <row r="78">
      <c r="A78" s="3" t="str">
        <f>IFERROR(__xludf.DUMMYFUNCTION("""COMPUTED_VALUE"""),"50 Free")</f>
        <v>50 Free</v>
      </c>
      <c r="B78" s="3" t="str">
        <f>IFERROR(__xludf.DUMMYFUNCTION("""COMPUTED_VALUE"""),"100 Free")</f>
        <v>100 Free</v>
      </c>
      <c r="C78" s="3" t="str">
        <f>IFERROR(__xludf.DUMMYFUNCTION("""COMPUTED_VALUE"""),"100 Back")</f>
        <v>100 Back</v>
      </c>
      <c r="D78" s="3" t="str">
        <f>IFERROR(__xludf.DUMMYFUNCTION("""COMPUTED_VALUE"""),"200 Back")</f>
        <v>200 Back</v>
      </c>
      <c r="E78" s="3" t="str">
        <f>IFERROR(__xludf.DUMMYFUNCTION("""COMPUTED_VALUE"""),"100 Fly")</f>
        <v>100 Fly</v>
      </c>
      <c r="F78" s="3"/>
    </row>
    <row r="79">
      <c r="A79" s="3" t="str">
        <f>IFERROR(__xludf.DUMMYFUNCTION("""COMPUTED_VALUE"""),"50 Free")</f>
        <v>50 Free</v>
      </c>
      <c r="B79" s="3" t="str">
        <f>IFERROR(__xludf.DUMMYFUNCTION("""COMPUTED_VALUE"""),"100 Free")</f>
        <v>100 Free</v>
      </c>
      <c r="C79" s="3" t="str">
        <f>IFERROR(__xludf.DUMMYFUNCTION("""COMPUTED_VALUE"""),"100 Back")</f>
        <v>100 Back</v>
      </c>
      <c r="D79" s="3" t="str">
        <f>IFERROR(__xludf.DUMMYFUNCTION("""COMPUTED_VALUE"""),"200 Back")</f>
        <v>200 Back</v>
      </c>
      <c r="E79" s="3" t="str">
        <f>IFERROR(__xludf.DUMMYFUNCTION("""COMPUTED_VALUE"""),"100 Breast")</f>
        <v>100 Breast</v>
      </c>
      <c r="F79" s="3"/>
    </row>
    <row r="80">
      <c r="A80" s="3" t="str">
        <f>IFERROR(__xludf.DUMMYFUNCTION("""COMPUTED_VALUE"""),"50 Free")</f>
        <v>50 Free</v>
      </c>
      <c r="B80" s="3" t="str">
        <f>IFERROR(__xludf.DUMMYFUNCTION("""COMPUTED_VALUE"""),"100 Back")</f>
        <v>100 Back</v>
      </c>
      <c r="C80" s="3"/>
      <c r="D80" s="3"/>
      <c r="E80" s="3"/>
      <c r="F80" s="3"/>
    </row>
    <row r="81">
      <c r="A81" s="3" t="str">
        <f>IFERROR(__xludf.DUMMYFUNCTION("""COMPUTED_VALUE"""),"50 Free")</f>
        <v>50 Free</v>
      </c>
      <c r="B81" s="3" t="str">
        <f>IFERROR(__xludf.DUMMYFUNCTION("""COMPUTED_VALUE"""),"100 Free")</f>
        <v>100 Free</v>
      </c>
      <c r="C81" s="3" t="str">
        <f>IFERROR(__xludf.DUMMYFUNCTION("""COMPUTED_VALUE"""),"200 Free")</f>
        <v>200 Free</v>
      </c>
      <c r="D81" s="3" t="str">
        <f>IFERROR(__xludf.DUMMYFUNCTION("""COMPUTED_VALUE"""),"100 Back")</f>
        <v>100 Back</v>
      </c>
      <c r="E81" s="3" t="str">
        <f>IFERROR(__xludf.DUMMYFUNCTION("""COMPUTED_VALUE"""),"200 Back")</f>
        <v>200 Back</v>
      </c>
      <c r="F81" s="3"/>
    </row>
    <row r="82">
      <c r="A82" s="3" t="str">
        <f>IFERROR(__xludf.DUMMYFUNCTION("""COMPUTED_VALUE"""),"50 Free")</f>
        <v>50 Free</v>
      </c>
      <c r="B82" s="3" t="str">
        <f>IFERROR(__xludf.DUMMYFUNCTION("""COMPUTED_VALUE"""),"100 Back")</f>
        <v>100 Back</v>
      </c>
      <c r="C82" s="3" t="str">
        <f>IFERROR(__xludf.DUMMYFUNCTION("""COMPUTED_VALUE"""),"200 Back")</f>
        <v>200 Back</v>
      </c>
      <c r="D82" s="3"/>
      <c r="E82" s="3"/>
      <c r="F82" s="3"/>
    </row>
    <row r="83">
      <c r="A83" s="3" t="str">
        <f>IFERROR(__xludf.DUMMYFUNCTION("""COMPUTED_VALUE"""),"50 Free")</f>
        <v>50 Free</v>
      </c>
      <c r="B83" s="3" t="str">
        <f>IFERROR(__xludf.DUMMYFUNCTION("""COMPUTED_VALUE"""),"100 Back")</f>
        <v>100 Back</v>
      </c>
      <c r="C83" s="3" t="str">
        <f>IFERROR(__xludf.DUMMYFUNCTION("""COMPUTED_VALUE"""),"100 Fly")</f>
        <v>100 Fly</v>
      </c>
      <c r="D83" s="3"/>
      <c r="E83" s="3"/>
      <c r="F83" s="3"/>
    </row>
    <row r="84">
      <c r="A84" s="3" t="str">
        <f>IFERROR(__xludf.DUMMYFUNCTION("""COMPUTED_VALUE"""),"50 Free")</f>
        <v>50 Free</v>
      </c>
      <c r="B84" s="3" t="str">
        <f>IFERROR(__xludf.DUMMYFUNCTION("""COMPUTED_VALUE"""),"100 Free")</f>
        <v>100 Free</v>
      </c>
      <c r="C84" s="3" t="str">
        <f>IFERROR(__xludf.DUMMYFUNCTION("""COMPUTED_VALUE"""),"100 Back")</f>
        <v>100 Back</v>
      </c>
      <c r="D84" s="3"/>
      <c r="E84" s="3"/>
      <c r="F84" s="3"/>
    </row>
    <row r="85">
      <c r="A85" s="3" t="str">
        <f>IFERROR(__xludf.DUMMYFUNCTION("""COMPUTED_VALUE"""),"50 Free")</f>
        <v>50 Free</v>
      </c>
      <c r="B85" s="3" t="str">
        <f>IFERROR(__xludf.DUMMYFUNCTION("""COMPUTED_VALUE"""),"100 Free")</f>
        <v>100 Free</v>
      </c>
      <c r="C85" s="3" t="str">
        <f>IFERROR(__xludf.DUMMYFUNCTION("""COMPUTED_VALUE"""),"100 Breast")</f>
        <v>100 Breast</v>
      </c>
      <c r="D85" s="3" t="str">
        <f>IFERROR(__xludf.DUMMYFUNCTION("""COMPUTED_VALUE"""),"100 Fly")</f>
        <v>100 Fly</v>
      </c>
      <c r="E85" s="3"/>
      <c r="F85" s="3"/>
    </row>
    <row r="86">
      <c r="A86" s="3" t="str">
        <f>IFERROR(__xludf.DUMMYFUNCTION("""COMPUTED_VALUE"""),"50 Free")</f>
        <v>50 Free</v>
      </c>
      <c r="B86" s="3" t="str">
        <f>IFERROR(__xludf.DUMMYFUNCTION("""COMPUTED_VALUE"""),"100 Free")</f>
        <v>100 Free</v>
      </c>
      <c r="C86" s="3" t="str">
        <f>IFERROR(__xludf.DUMMYFUNCTION("""COMPUTED_VALUE"""),"100 Breast")</f>
        <v>100 Breast</v>
      </c>
      <c r="D86" s="3"/>
      <c r="E86" s="3"/>
      <c r="F86" s="3"/>
    </row>
    <row r="87">
      <c r="A87" s="3" t="str">
        <f>IFERROR(__xludf.DUMMYFUNCTION("""COMPUTED_VALUE"""),"50 Free")</f>
        <v>50 Free</v>
      </c>
      <c r="B87" s="3" t="str">
        <f>IFERROR(__xludf.DUMMYFUNCTION("""COMPUTED_VALUE"""),"100 Free")</f>
        <v>100 Free</v>
      </c>
      <c r="C87" s="3" t="str">
        <f>IFERROR(__xludf.DUMMYFUNCTION("""COMPUTED_VALUE"""),"200 Breast")</f>
        <v>200 Breast</v>
      </c>
      <c r="D87" s="3" t="str">
        <f>IFERROR(__xludf.DUMMYFUNCTION("""COMPUTED_VALUE"""),"100 Fly")</f>
        <v>100 Fly</v>
      </c>
      <c r="E87" s="3" t="str">
        <f>IFERROR(__xludf.DUMMYFUNCTION("""COMPUTED_VALUE"""),"200 Fly")</f>
        <v>200 Fly</v>
      </c>
      <c r="F87" s="3" t="str">
        <f>IFERROR(__xludf.DUMMYFUNCTION("""COMPUTED_VALUE"""),"200 IM")</f>
        <v>200 IM</v>
      </c>
    </row>
    <row r="88">
      <c r="A88" s="3" t="str">
        <f>IFERROR(__xludf.DUMMYFUNCTION("""COMPUTED_VALUE"""),"50 Free")</f>
        <v>50 Free</v>
      </c>
      <c r="B88" s="3" t="str">
        <f>IFERROR(__xludf.DUMMYFUNCTION("""COMPUTED_VALUE"""),"100 Free")</f>
        <v>100 Free</v>
      </c>
      <c r="C88" s="3" t="str">
        <f>IFERROR(__xludf.DUMMYFUNCTION("""COMPUTED_VALUE"""),"200 Free")</f>
        <v>200 Free</v>
      </c>
      <c r="D88" s="3" t="str">
        <f>IFERROR(__xludf.DUMMYFUNCTION("""COMPUTED_VALUE"""),"100 Fly")</f>
        <v>100 Fly</v>
      </c>
      <c r="E88" s="3"/>
      <c r="F88" s="3"/>
    </row>
    <row r="89">
      <c r="A89" s="3" t="str">
        <f>IFERROR(__xludf.DUMMYFUNCTION("""COMPUTED_VALUE"""),"50 Free")</f>
        <v>50 Free</v>
      </c>
      <c r="B89" s="3" t="str">
        <f>IFERROR(__xludf.DUMMYFUNCTION("""COMPUTED_VALUE"""),"200 Free")</f>
        <v>200 Free</v>
      </c>
      <c r="C89" s="3" t="str">
        <f>IFERROR(__xludf.DUMMYFUNCTION("""COMPUTED_VALUE"""),"500 Free")</f>
        <v>500 Free</v>
      </c>
      <c r="D89" s="3" t="str">
        <f>IFERROR(__xludf.DUMMYFUNCTION("""COMPUTED_VALUE"""),"1650 Free")</f>
        <v>1650 Free</v>
      </c>
      <c r="E89" s="3" t="str">
        <f>IFERROR(__xludf.DUMMYFUNCTION("""COMPUTED_VALUE"""),"100 Fly")</f>
        <v>100 Fly</v>
      </c>
      <c r="F89" s="3" t="str">
        <f>IFERROR(__xludf.DUMMYFUNCTION("""COMPUTED_VALUE"""),"1000 Free")</f>
        <v>1000 Free</v>
      </c>
    </row>
    <row r="90">
      <c r="A90" s="3" t="str">
        <f>IFERROR(__xludf.DUMMYFUNCTION("""COMPUTED_VALUE"""),"50 Free")</f>
        <v>50 Free</v>
      </c>
      <c r="B90" s="3" t="str">
        <f>IFERROR(__xludf.DUMMYFUNCTION("""COMPUTED_VALUE"""),"100 Free")</f>
        <v>100 Free</v>
      </c>
      <c r="C90" s="3" t="str">
        <f>IFERROR(__xludf.DUMMYFUNCTION("""COMPUTED_VALUE"""),"100 Back")</f>
        <v>100 Back</v>
      </c>
      <c r="D90" s="3" t="str">
        <f>IFERROR(__xludf.DUMMYFUNCTION("""COMPUTED_VALUE"""),"200 Back")</f>
        <v>200 Back</v>
      </c>
      <c r="E90" s="3" t="str">
        <f>IFERROR(__xludf.DUMMYFUNCTION("""COMPUTED_VALUE"""),"100 Breast")</f>
        <v>100 Breast</v>
      </c>
      <c r="F90" s="3"/>
    </row>
    <row r="91">
      <c r="A91" s="3" t="str">
        <f>IFERROR(__xludf.DUMMYFUNCTION("""COMPUTED_VALUE"""),"50 Free")</f>
        <v>50 Free</v>
      </c>
      <c r="B91" s="3" t="str">
        <f>IFERROR(__xludf.DUMMYFUNCTION("""COMPUTED_VALUE"""),"100 Free")</f>
        <v>100 Free</v>
      </c>
      <c r="C91" s="3"/>
      <c r="D91" s="3"/>
      <c r="E91" s="3"/>
      <c r="F91" s="3"/>
    </row>
    <row r="92">
      <c r="A92" s="3" t="str">
        <f>IFERROR(__xludf.DUMMYFUNCTION("""COMPUTED_VALUE"""),"50 Free")</f>
        <v>50 Free</v>
      </c>
      <c r="B92" s="3" t="str">
        <f>IFERROR(__xludf.DUMMYFUNCTION("""COMPUTED_VALUE"""),"100 Free")</f>
        <v>100 Free</v>
      </c>
      <c r="C92" s="3" t="str">
        <f>IFERROR(__xludf.DUMMYFUNCTION("""COMPUTED_VALUE"""),"100 Fly")</f>
        <v>100 Fly</v>
      </c>
      <c r="D92" s="3" t="str">
        <f>IFERROR(__xludf.DUMMYFUNCTION("""COMPUTED_VALUE"""),"200 Fly")</f>
        <v>200 Fly</v>
      </c>
      <c r="E92" s="3" t="str">
        <f>IFERROR(__xludf.DUMMYFUNCTION("""COMPUTED_VALUE"""),"200 IM")</f>
        <v>200 IM</v>
      </c>
      <c r="F92" s="3" t="str">
        <f>IFERROR(__xludf.DUMMYFUNCTION("""COMPUTED_VALUE"""),"400 IM")</f>
        <v>400 IM</v>
      </c>
    </row>
    <row r="93">
      <c r="A93" s="3" t="str">
        <f>IFERROR(__xludf.DUMMYFUNCTION("""COMPUTED_VALUE"""),"50 Free")</f>
        <v>50 Free</v>
      </c>
      <c r="B93" s="3" t="str">
        <f>IFERROR(__xludf.DUMMYFUNCTION("""COMPUTED_VALUE"""),"100 Free")</f>
        <v>100 Free</v>
      </c>
      <c r="C93" s="3" t="str">
        <f>IFERROR(__xludf.DUMMYFUNCTION("""COMPUTED_VALUE"""),"200 Free")</f>
        <v>200 Free</v>
      </c>
      <c r="D93" s="3" t="str">
        <f>IFERROR(__xludf.DUMMYFUNCTION("""COMPUTED_VALUE"""),"100 Back")</f>
        <v>100 Back</v>
      </c>
      <c r="E93" s="3" t="str">
        <f>IFERROR(__xludf.DUMMYFUNCTION("""COMPUTED_VALUE"""),"200 Back")</f>
        <v>200 Back</v>
      </c>
      <c r="F93" s="3" t="str">
        <f>IFERROR(__xludf.DUMMYFUNCTION("""COMPUTED_VALUE"""),"100 Fly")</f>
        <v>100 Fly</v>
      </c>
    </row>
    <row r="94">
      <c r="A94" s="3" t="str">
        <f>IFERROR(__xludf.DUMMYFUNCTION("""COMPUTED_VALUE"""),"50 Free")</f>
        <v>50 Free</v>
      </c>
      <c r="B94" s="3" t="str">
        <f>IFERROR(__xludf.DUMMYFUNCTION("""COMPUTED_VALUE"""),"100 Free")</f>
        <v>100 Free</v>
      </c>
      <c r="C94" s="3" t="str">
        <f>IFERROR(__xludf.DUMMYFUNCTION("""COMPUTED_VALUE"""),"200 Breast")</f>
        <v>200 Breast</v>
      </c>
      <c r="D94" s="3"/>
      <c r="E94" s="3"/>
      <c r="F94" s="3"/>
    </row>
    <row r="95">
      <c r="A95" s="3" t="str">
        <f>IFERROR(__xludf.DUMMYFUNCTION("""COMPUTED_VALUE"""),"50 Free")</f>
        <v>50 Free</v>
      </c>
      <c r="B95" s="3" t="str">
        <f>IFERROR(__xludf.DUMMYFUNCTION("""COMPUTED_VALUE"""),"100 Free")</f>
        <v>100 Free</v>
      </c>
      <c r="C95" s="3" t="str">
        <f>IFERROR(__xludf.DUMMYFUNCTION("""COMPUTED_VALUE"""),"500 Free")</f>
        <v>500 Free</v>
      </c>
      <c r="D95" s="3" t="str">
        <f>IFERROR(__xludf.DUMMYFUNCTION("""COMPUTED_VALUE"""),"100 Breast")</f>
        <v>100 Breast</v>
      </c>
      <c r="E95" s="3" t="str">
        <f>IFERROR(__xludf.DUMMYFUNCTION("""COMPUTED_VALUE"""),"200 IM")</f>
        <v>200 IM</v>
      </c>
      <c r="F95" s="3" t="str">
        <f>IFERROR(__xludf.DUMMYFUNCTION("""COMPUTED_VALUE"""),"1000 Free")</f>
        <v>1000 Free</v>
      </c>
    </row>
    <row r="96">
      <c r="A96" s="3" t="str">
        <f>IFERROR(__xludf.DUMMYFUNCTION("""COMPUTED_VALUE"""),"50 Free")</f>
        <v>50 Free</v>
      </c>
      <c r="B96" s="3" t="str">
        <f>IFERROR(__xludf.DUMMYFUNCTION("""COMPUTED_VALUE"""),"100 Breast")</f>
        <v>100 Breast</v>
      </c>
      <c r="C96" s="3" t="str">
        <f>IFERROR(__xludf.DUMMYFUNCTION("""COMPUTED_VALUE"""),"200 Breast")</f>
        <v>200 Breast</v>
      </c>
      <c r="D96" s="3" t="str">
        <f>IFERROR(__xludf.DUMMYFUNCTION("""COMPUTED_VALUE"""),"200 IM")</f>
        <v>200 IM</v>
      </c>
      <c r="E96" s="3"/>
      <c r="F96" s="3"/>
    </row>
    <row r="97">
      <c r="A97" s="3" t="str">
        <f>IFERROR(__xludf.DUMMYFUNCTION("""COMPUTED_VALUE"""),"50 Free")</f>
        <v>50 Free</v>
      </c>
      <c r="B97" s="3" t="str">
        <f>IFERROR(__xludf.DUMMYFUNCTION("""COMPUTED_VALUE"""),"100 Free")</f>
        <v>100 Free</v>
      </c>
      <c r="C97" s="3" t="str">
        <f>IFERROR(__xludf.DUMMYFUNCTION("""COMPUTED_VALUE"""),"100 Breast")</f>
        <v>100 Breast</v>
      </c>
      <c r="D97" s="3" t="str">
        <f>IFERROR(__xludf.DUMMYFUNCTION("""COMPUTED_VALUE"""),"200 Breast")</f>
        <v>200 Breast</v>
      </c>
      <c r="E97" s="3" t="str">
        <f>IFERROR(__xludf.DUMMYFUNCTION("""COMPUTED_VALUE"""),"100 Fly")</f>
        <v>100 Fly</v>
      </c>
      <c r="F97" s="3"/>
    </row>
    <row r="98">
      <c r="A98" s="3" t="str">
        <f>IFERROR(__xludf.DUMMYFUNCTION("""COMPUTED_VALUE"""),"50 Free")</f>
        <v>50 Free</v>
      </c>
      <c r="B98" s="3" t="str">
        <f>IFERROR(__xludf.DUMMYFUNCTION("""COMPUTED_VALUE"""),"100 Free")</f>
        <v>100 Free</v>
      </c>
      <c r="C98" s="3" t="str">
        <f>IFERROR(__xludf.DUMMYFUNCTION("""COMPUTED_VALUE"""),"100 Breast")</f>
        <v>100 Breast</v>
      </c>
      <c r="D98" s="3" t="str">
        <f>IFERROR(__xludf.DUMMYFUNCTION("""COMPUTED_VALUE"""),"200 Breast")</f>
        <v>200 Breast</v>
      </c>
      <c r="E98" s="3" t="str">
        <f>IFERROR(__xludf.DUMMYFUNCTION("""COMPUTED_VALUE"""),"200 IM")</f>
        <v>200 IM</v>
      </c>
      <c r="F98" s="3" t="str">
        <f>IFERROR(__xludf.DUMMYFUNCTION("""COMPUTED_VALUE"""),"400 IM")</f>
        <v>400 IM</v>
      </c>
    </row>
    <row r="99">
      <c r="A99" s="3" t="str">
        <f>IFERROR(__xludf.DUMMYFUNCTION("""COMPUTED_VALUE"""),"50 Free")</f>
        <v>50 Free</v>
      </c>
      <c r="B99" s="3" t="str">
        <f>IFERROR(__xludf.DUMMYFUNCTION("""COMPUTED_VALUE"""),"100 Free")</f>
        <v>100 Free</v>
      </c>
      <c r="C99" s="3"/>
      <c r="D99" s="3"/>
      <c r="E99" s="3"/>
      <c r="F99" s="3"/>
    </row>
    <row r="100">
      <c r="A100" s="3" t="str">
        <f>IFERROR(__xludf.DUMMYFUNCTION("""COMPUTED_VALUE"""),"50 Free")</f>
        <v>50 Free</v>
      </c>
      <c r="B100" s="3" t="str">
        <f>IFERROR(__xludf.DUMMYFUNCTION("""COMPUTED_VALUE"""),"100 Free")</f>
        <v>100 Free</v>
      </c>
      <c r="C100" s="3" t="str">
        <f>IFERROR(__xludf.DUMMYFUNCTION("""COMPUTED_VALUE"""),"200 Free")</f>
        <v>200 Free</v>
      </c>
      <c r="D100" s="3" t="str">
        <f>IFERROR(__xludf.DUMMYFUNCTION("""COMPUTED_VALUE"""),"500 Free")</f>
        <v>500 Free</v>
      </c>
      <c r="E100" s="3" t="str">
        <f>IFERROR(__xludf.DUMMYFUNCTION("""COMPUTED_VALUE"""),"100 Back")</f>
        <v>100 Back</v>
      </c>
      <c r="F100" s="3" t="str">
        <f>IFERROR(__xludf.DUMMYFUNCTION("""COMPUTED_VALUE"""),"200 Back")</f>
        <v>200 Back</v>
      </c>
    </row>
    <row r="101">
      <c r="A101" s="3" t="str">
        <f>IFERROR(__xludf.DUMMYFUNCTION("""COMPUTED_VALUE"""),"50 Free")</f>
        <v>50 Free</v>
      </c>
      <c r="B101" s="3" t="str">
        <f>IFERROR(__xludf.DUMMYFUNCTION("""COMPUTED_VALUE"""),"100 Back")</f>
        <v>100 Back</v>
      </c>
      <c r="C101" s="3"/>
      <c r="D101" s="3"/>
      <c r="E101" s="3"/>
      <c r="F101" s="3"/>
    </row>
    <row r="102">
      <c r="A102" s="3" t="str">
        <f>IFERROR(__xludf.DUMMYFUNCTION("""COMPUTED_VALUE"""),"50 Free")</f>
        <v>50 Free</v>
      </c>
      <c r="B102" s="3" t="str">
        <f>IFERROR(__xludf.DUMMYFUNCTION("""COMPUTED_VALUE"""),"100 Free")</f>
        <v>100 Free</v>
      </c>
      <c r="C102" s="3" t="str">
        <f>IFERROR(__xludf.DUMMYFUNCTION("""COMPUTED_VALUE"""),"100 Back")</f>
        <v>100 Back</v>
      </c>
      <c r="D102" s="3" t="str">
        <f>IFERROR(__xludf.DUMMYFUNCTION("""COMPUTED_VALUE"""),"100 Breast")</f>
        <v>100 Breast</v>
      </c>
      <c r="E102" s="3" t="str">
        <f>IFERROR(__xludf.DUMMYFUNCTION("""COMPUTED_VALUE"""),"200 Breast")</f>
        <v>200 Breast</v>
      </c>
      <c r="F102" s="3"/>
    </row>
    <row r="103">
      <c r="A103" s="3" t="str">
        <f>IFERROR(__xludf.DUMMYFUNCTION("""COMPUTED_VALUE"""),"50 Free")</f>
        <v>50 Free</v>
      </c>
      <c r="B103" s="3" t="str">
        <f>IFERROR(__xludf.DUMMYFUNCTION("""COMPUTED_VALUE"""),"100 Free")</f>
        <v>100 Free</v>
      </c>
      <c r="C103" s="3" t="str">
        <f>IFERROR(__xludf.DUMMYFUNCTION("""COMPUTED_VALUE"""),"100 Back")</f>
        <v>100 Back</v>
      </c>
      <c r="D103" s="3" t="str">
        <f>IFERROR(__xludf.DUMMYFUNCTION("""COMPUTED_VALUE"""),"200 Back")</f>
        <v>200 Back</v>
      </c>
      <c r="E103" s="3" t="str">
        <f>IFERROR(__xludf.DUMMYFUNCTION("""COMPUTED_VALUE"""),"100 Breast")</f>
        <v>100 Breast</v>
      </c>
      <c r="F103" s="3" t="str">
        <f>IFERROR(__xludf.DUMMYFUNCTION("""COMPUTED_VALUE"""),"100 Fly")</f>
        <v>100 Fly</v>
      </c>
    </row>
    <row r="104">
      <c r="A104" s="3" t="str">
        <f>IFERROR(__xludf.DUMMYFUNCTION("""COMPUTED_VALUE"""),"50 Free")</f>
        <v>50 Free</v>
      </c>
      <c r="B104" s="3" t="str">
        <f>IFERROR(__xludf.DUMMYFUNCTION("""COMPUTED_VALUE"""),"200 Back")</f>
        <v>200 Back</v>
      </c>
      <c r="C104" s="3" t="str">
        <f>IFERROR(__xludf.DUMMYFUNCTION("""COMPUTED_VALUE"""),"100 Breast")</f>
        <v>100 Breast</v>
      </c>
      <c r="D104" s="3" t="str">
        <f>IFERROR(__xludf.DUMMYFUNCTION("""COMPUTED_VALUE"""),"200 Breast")</f>
        <v>200 Breast</v>
      </c>
      <c r="E104" s="3" t="str">
        <f>IFERROR(__xludf.DUMMYFUNCTION("""COMPUTED_VALUE"""),"100 Fly")</f>
        <v>100 Fly</v>
      </c>
      <c r="F104" s="3" t="str">
        <f>IFERROR(__xludf.DUMMYFUNCTION("""COMPUTED_VALUE"""),"200 IM")</f>
        <v>200 IM</v>
      </c>
    </row>
    <row r="105">
      <c r="A105" s="3" t="str">
        <f>IFERROR(__xludf.DUMMYFUNCTION("""COMPUTED_VALUE"""),"50 Free")</f>
        <v>50 Free</v>
      </c>
      <c r="B105" s="3" t="str">
        <f>IFERROR(__xludf.DUMMYFUNCTION("""COMPUTED_VALUE"""),"200 Breast")</f>
        <v>200 Breast</v>
      </c>
      <c r="C105" s="3"/>
      <c r="D105" s="3"/>
      <c r="E105" s="3"/>
      <c r="F105" s="3"/>
    </row>
    <row r="106">
      <c r="A106" s="3" t="str">
        <f>IFERROR(__xludf.DUMMYFUNCTION("""COMPUTED_VALUE"""),"50 Free")</f>
        <v>50 Free</v>
      </c>
      <c r="B106" s="3" t="str">
        <f>IFERROR(__xludf.DUMMYFUNCTION("""COMPUTED_VALUE"""),"100 Free")</f>
        <v>100 Free</v>
      </c>
      <c r="C106" s="3" t="str">
        <f>IFERROR(__xludf.DUMMYFUNCTION("""COMPUTED_VALUE"""),"100 Fly")</f>
        <v>100 Fly</v>
      </c>
      <c r="D106" s="3" t="str">
        <f>IFERROR(__xludf.DUMMYFUNCTION("""COMPUTED_VALUE"""),"200 Fly")</f>
        <v>200 Fly</v>
      </c>
      <c r="E106" s="3" t="str">
        <f>IFERROR(__xludf.DUMMYFUNCTION("""COMPUTED_VALUE"""),"200 IM")</f>
        <v>200 IM</v>
      </c>
      <c r="F106" s="3" t="str">
        <f>IFERROR(__xludf.DUMMYFUNCTION("""COMPUTED_VALUE"""),"400 IM")</f>
        <v>400 IM</v>
      </c>
    </row>
    <row r="107">
      <c r="A107" s="3" t="str">
        <f>IFERROR(__xludf.DUMMYFUNCTION("""COMPUTED_VALUE"""),"50 Free")</f>
        <v>50 Free</v>
      </c>
      <c r="B107" s="3" t="str">
        <f>IFERROR(__xludf.DUMMYFUNCTION("""COMPUTED_VALUE"""),"200 Free")</f>
        <v>200 Free</v>
      </c>
      <c r="C107" s="3"/>
      <c r="D107" s="3"/>
      <c r="E107" s="3"/>
      <c r="F107" s="3"/>
    </row>
    <row r="108">
      <c r="A108" s="3" t="str">
        <f>IFERROR(__xludf.DUMMYFUNCTION("""COMPUTED_VALUE"""),"50 Free")</f>
        <v>50 Free</v>
      </c>
      <c r="B108" s="3" t="str">
        <f>IFERROR(__xludf.DUMMYFUNCTION("""COMPUTED_VALUE"""),"100 Free")</f>
        <v>100 Free</v>
      </c>
      <c r="C108" s="3"/>
      <c r="D108" s="3"/>
      <c r="E108" s="3"/>
      <c r="F108" s="3"/>
    </row>
    <row r="109">
      <c r="A109" s="3" t="str">
        <f>IFERROR(__xludf.DUMMYFUNCTION("""COMPUTED_VALUE"""),"50 Free")</f>
        <v>50 Free</v>
      </c>
      <c r="B109" s="3" t="str">
        <f>IFERROR(__xludf.DUMMYFUNCTION("""COMPUTED_VALUE"""),"100 Free")</f>
        <v>100 Free</v>
      </c>
      <c r="C109" s="3"/>
      <c r="D109" s="3"/>
      <c r="E109" s="3"/>
      <c r="F109" s="3"/>
    </row>
    <row r="110">
      <c r="A110" s="3" t="str">
        <f>IFERROR(__xludf.DUMMYFUNCTION("""COMPUTED_VALUE"""),"50 Free")</f>
        <v>50 Free</v>
      </c>
      <c r="B110" s="3" t="str">
        <f>IFERROR(__xludf.DUMMYFUNCTION("""COMPUTED_VALUE"""),"100 Free")</f>
        <v>100 Free</v>
      </c>
      <c r="C110" s="3" t="str">
        <f>IFERROR(__xludf.DUMMYFUNCTION("""COMPUTED_VALUE"""),"200 Free")</f>
        <v>200 Free</v>
      </c>
      <c r="D110" s="3" t="str">
        <f>IFERROR(__xludf.DUMMYFUNCTION("""COMPUTED_VALUE"""),"500 Free")</f>
        <v>500 Free</v>
      </c>
      <c r="E110" s="3" t="str">
        <f>IFERROR(__xludf.DUMMYFUNCTION("""COMPUTED_VALUE"""),"1650 Free")</f>
        <v>1650 Free</v>
      </c>
      <c r="F110" s="3" t="str">
        <f>IFERROR(__xludf.DUMMYFUNCTION("""COMPUTED_VALUE"""),"1000 Free")</f>
        <v>1000 Free</v>
      </c>
    </row>
    <row r="111">
      <c r="A111" s="3" t="str">
        <f>IFERROR(__xludf.DUMMYFUNCTION("""COMPUTED_VALUE"""),"50 Free")</f>
        <v>50 Free</v>
      </c>
      <c r="B111" s="3" t="str">
        <f>IFERROR(__xludf.DUMMYFUNCTION("""COMPUTED_VALUE"""),"200 Free")</f>
        <v>200 Free</v>
      </c>
      <c r="C111" s="3" t="str">
        <f>IFERROR(__xludf.DUMMYFUNCTION("""COMPUTED_VALUE"""),"100 Back")</f>
        <v>100 Back</v>
      </c>
      <c r="D111" s="3" t="str">
        <f>IFERROR(__xludf.DUMMYFUNCTION("""COMPUTED_VALUE"""),"200 Back")</f>
        <v>200 Back</v>
      </c>
      <c r="E111" s="3" t="str">
        <f>IFERROR(__xludf.DUMMYFUNCTION("""COMPUTED_VALUE"""),"100 Fly")</f>
        <v>100 Fly</v>
      </c>
      <c r="F111" s="3" t="str">
        <f>IFERROR(__xludf.DUMMYFUNCTION("""COMPUTED_VALUE"""),"200 IM")</f>
        <v>200 IM</v>
      </c>
    </row>
    <row r="112">
      <c r="A112" s="3" t="str">
        <f>IFERROR(__xludf.DUMMYFUNCTION("""COMPUTED_VALUE"""),"50 Free")</f>
        <v>50 Free</v>
      </c>
      <c r="B112" s="3"/>
      <c r="C112" s="3"/>
      <c r="D112" s="3"/>
      <c r="E112" s="3"/>
      <c r="F112" s="3"/>
    </row>
    <row r="113">
      <c r="A113" s="3" t="str">
        <f>IFERROR(__xludf.DUMMYFUNCTION("""COMPUTED_VALUE"""),"50 Free")</f>
        <v>50 Free</v>
      </c>
      <c r="B113" s="3" t="str">
        <f>IFERROR(__xludf.DUMMYFUNCTION("""COMPUTED_VALUE"""),"100 Free")</f>
        <v>100 Free</v>
      </c>
      <c r="C113" s="3" t="str">
        <f>IFERROR(__xludf.DUMMYFUNCTION("""COMPUTED_VALUE"""),"100 Breast")</f>
        <v>100 Breast</v>
      </c>
      <c r="D113" s="3" t="str">
        <f>IFERROR(__xludf.DUMMYFUNCTION("""COMPUTED_VALUE"""),"200 Breast")</f>
        <v>200 Breast</v>
      </c>
      <c r="E113" s="3" t="str">
        <f>IFERROR(__xludf.DUMMYFUNCTION("""COMPUTED_VALUE"""),"100 Fly")</f>
        <v>100 Fly</v>
      </c>
      <c r="F113" s="3" t="str">
        <f>IFERROR(__xludf.DUMMYFUNCTION("""COMPUTED_VALUE"""),"200 IM")</f>
        <v>200 IM</v>
      </c>
    </row>
    <row r="114">
      <c r="A114" s="3" t="str">
        <f>IFERROR(__xludf.DUMMYFUNCTION("""COMPUTED_VALUE"""),"50 Free")</f>
        <v>50 Free</v>
      </c>
      <c r="B114" s="3" t="str">
        <f>IFERROR(__xludf.DUMMYFUNCTION("""COMPUTED_VALUE"""),"100 Breast")</f>
        <v>100 Breast</v>
      </c>
      <c r="C114" s="3" t="str">
        <f>IFERROR(__xludf.DUMMYFUNCTION("""COMPUTED_VALUE"""),"200 Breast")</f>
        <v>200 Breast</v>
      </c>
      <c r="D114" s="3" t="str">
        <f>IFERROR(__xludf.DUMMYFUNCTION("""COMPUTED_VALUE"""),"200 IM")</f>
        <v>200 IM</v>
      </c>
      <c r="E114" s="3"/>
      <c r="F114" s="3"/>
    </row>
    <row r="115">
      <c r="A115" s="3" t="str">
        <f>IFERROR(__xludf.DUMMYFUNCTION("""COMPUTED_VALUE"""),"50 Free")</f>
        <v>50 Free</v>
      </c>
      <c r="B115" s="3" t="str">
        <f>IFERROR(__xludf.DUMMYFUNCTION("""COMPUTED_VALUE"""),"100 Breast")</f>
        <v>100 Breast</v>
      </c>
      <c r="C115" s="3" t="str">
        <f>IFERROR(__xludf.DUMMYFUNCTION("""COMPUTED_VALUE"""),"200 Breast")</f>
        <v>200 Breast</v>
      </c>
      <c r="D115" s="3" t="str">
        <f>IFERROR(__xludf.DUMMYFUNCTION("""COMPUTED_VALUE"""),"100 Fly")</f>
        <v>100 Fly</v>
      </c>
      <c r="E115" s="3" t="str">
        <f>IFERROR(__xludf.DUMMYFUNCTION("""COMPUTED_VALUE"""),"200 IM")</f>
        <v>200 IM</v>
      </c>
      <c r="F115" s="3"/>
    </row>
    <row r="116">
      <c r="A116" s="3" t="str">
        <f>IFERROR(__xludf.DUMMYFUNCTION("""COMPUTED_VALUE"""),"50 Free")</f>
        <v>50 Free</v>
      </c>
      <c r="B116" s="3" t="str">
        <f>IFERROR(__xludf.DUMMYFUNCTION("""COMPUTED_VALUE"""),"100 Free")</f>
        <v>100 Free</v>
      </c>
      <c r="C116" s="3" t="str">
        <f>IFERROR(__xludf.DUMMYFUNCTION("""COMPUTED_VALUE"""),"200 Free")</f>
        <v>200 Free</v>
      </c>
      <c r="D116" s="3" t="str">
        <f>IFERROR(__xludf.DUMMYFUNCTION("""COMPUTED_VALUE"""),"100 Back")</f>
        <v>100 Back</v>
      </c>
      <c r="E116" s="3" t="str">
        <f>IFERROR(__xludf.DUMMYFUNCTION("""COMPUTED_VALUE"""),"200 Back")</f>
        <v>200 Back</v>
      </c>
      <c r="F116" s="3"/>
    </row>
    <row r="117">
      <c r="A117" s="3" t="str">
        <f>IFERROR(__xludf.DUMMYFUNCTION("""COMPUTED_VALUE"""),"50 Free")</f>
        <v>50 Free</v>
      </c>
      <c r="B117" s="3" t="str">
        <f>IFERROR(__xludf.DUMMYFUNCTION("""COMPUTED_VALUE"""),"100 Free")</f>
        <v>100 Free</v>
      </c>
      <c r="C117" s="3" t="str">
        <f>IFERROR(__xludf.DUMMYFUNCTION("""COMPUTED_VALUE"""),"200 Free")</f>
        <v>200 Free</v>
      </c>
      <c r="D117" s="3" t="str">
        <f>IFERROR(__xludf.DUMMYFUNCTION("""COMPUTED_VALUE"""),"100 Fly")</f>
        <v>100 Fly</v>
      </c>
      <c r="E117" s="3" t="str">
        <f>IFERROR(__xludf.DUMMYFUNCTION("""COMPUTED_VALUE"""),"200 Fly")</f>
        <v>200 Fly</v>
      </c>
      <c r="F117" s="3"/>
    </row>
    <row r="118">
      <c r="A118" s="3" t="str">
        <f>IFERROR(__xludf.DUMMYFUNCTION("""COMPUTED_VALUE"""),"50 Free")</f>
        <v>50 Free</v>
      </c>
      <c r="B118" s="3" t="str">
        <f>IFERROR(__xludf.DUMMYFUNCTION("""COMPUTED_VALUE"""),"100 Free")</f>
        <v>100 Free</v>
      </c>
      <c r="C118" s="3" t="str">
        <f>IFERROR(__xludf.DUMMYFUNCTION("""COMPUTED_VALUE"""),"200 Back")</f>
        <v>200 Back</v>
      </c>
      <c r="D118" s="3"/>
      <c r="E118" s="3"/>
      <c r="F118" s="3"/>
    </row>
    <row r="119">
      <c r="A119" s="3" t="str">
        <f>IFERROR(__xludf.DUMMYFUNCTION("""COMPUTED_VALUE"""),"50 Free")</f>
        <v>50 Free</v>
      </c>
      <c r="B119" s="3" t="str">
        <f>IFERROR(__xludf.DUMMYFUNCTION("""COMPUTED_VALUE"""),"100 Breast")</f>
        <v>100 Breast</v>
      </c>
      <c r="C119" s="3" t="str">
        <f>IFERROR(__xludf.DUMMYFUNCTION("""COMPUTED_VALUE"""),"200 Breast")</f>
        <v>200 Breast</v>
      </c>
      <c r="D119" s="3" t="str">
        <f>IFERROR(__xludf.DUMMYFUNCTION("""COMPUTED_VALUE"""),"200 Fly")</f>
        <v>200 Fly</v>
      </c>
      <c r="E119" s="3" t="str">
        <f>IFERROR(__xludf.DUMMYFUNCTION("""COMPUTED_VALUE"""),"200 IM")</f>
        <v>200 IM</v>
      </c>
      <c r="F119" s="3" t="str">
        <f>IFERROR(__xludf.DUMMYFUNCTION("""COMPUTED_VALUE"""),"400 IM")</f>
        <v>400 IM</v>
      </c>
    </row>
    <row r="120">
      <c r="A120" s="3" t="str">
        <f>IFERROR(__xludf.DUMMYFUNCTION("""COMPUTED_VALUE"""),"50 Free")</f>
        <v>50 Free</v>
      </c>
      <c r="B120" s="3" t="str">
        <f>IFERROR(__xludf.DUMMYFUNCTION("""COMPUTED_VALUE"""),"100 Back")</f>
        <v>100 Back</v>
      </c>
      <c r="C120" s="3" t="str">
        <f>IFERROR(__xludf.DUMMYFUNCTION("""COMPUTED_VALUE"""),"200 Back")</f>
        <v>200 Back</v>
      </c>
      <c r="D120" s="3" t="str">
        <f>IFERROR(__xludf.DUMMYFUNCTION("""COMPUTED_VALUE"""),"100 Fly")</f>
        <v>100 Fly</v>
      </c>
      <c r="E120" s="3" t="str">
        <f>IFERROR(__xludf.DUMMYFUNCTION("""COMPUTED_VALUE"""),"200 IM")</f>
        <v>200 IM</v>
      </c>
      <c r="F120" s="3" t="str">
        <f>IFERROR(__xludf.DUMMYFUNCTION("""COMPUTED_VALUE"""),"400 IM")</f>
        <v>400 IM</v>
      </c>
    </row>
    <row r="121">
      <c r="A121" s="3" t="str">
        <f>IFERROR(__xludf.DUMMYFUNCTION("""COMPUTED_VALUE"""),"50 Free")</f>
        <v>50 Free</v>
      </c>
      <c r="B121" s="3" t="str">
        <f>IFERROR(__xludf.DUMMYFUNCTION("""COMPUTED_VALUE"""),"100 Free")</f>
        <v>100 Free</v>
      </c>
      <c r="C121" s="3"/>
      <c r="D121" s="3"/>
      <c r="E121" s="3"/>
      <c r="F121" s="3"/>
    </row>
    <row r="122">
      <c r="A122" s="3" t="str">
        <f>IFERROR(__xludf.DUMMYFUNCTION("""COMPUTED_VALUE"""),"50 Free")</f>
        <v>50 Free</v>
      </c>
      <c r="B122" s="3" t="str">
        <f>IFERROR(__xludf.DUMMYFUNCTION("""COMPUTED_VALUE"""),"100 Breast")</f>
        <v>100 Breast</v>
      </c>
      <c r="C122" s="3"/>
      <c r="D122" s="3"/>
      <c r="E122" s="3"/>
      <c r="F122" s="3"/>
    </row>
    <row r="123">
      <c r="A123" s="3" t="str">
        <f>IFERROR(__xludf.DUMMYFUNCTION("""COMPUTED_VALUE"""),"50 Free")</f>
        <v>50 Free</v>
      </c>
      <c r="B123" s="3" t="str">
        <f>IFERROR(__xludf.DUMMYFUNCTION("""COMPUTED_VALUE"""),"100 Free")</f>
        <v>100 Free</v>
      </c>
      <c r="C123" s="3" t="str">
        <f>IFERROR(__xludf.DUMMYFUNCTION("""COMPUTED_VALUE"""),"200 Free")</f>
        <v>200 Free</v>
      </c>
      <c r="D123" s="3" t="str">
        <f>IFERROR(__xludf.DUMMYFUNCTION("""COMPUTED_VALUE"""),"100 Back")</f>
        <v>100 Back</v>
      </c>
      <c r="E123" s="3" t="str">
        <f>IFERROR(__xludf.DUMMYFUNCTION("""COMPUTED_VALUE"""),"200 Back")</f>
        <v>200 Back</v>
      </c>
      <c r="F123" s="3"/>
    </row>
    <row r="124">
      <c r="A124" s="3" t="str">
        <f>IFERROR(__xludf.DUMMYFUNCTION("""COMPUTED_VALUE"""),"50 Free")</f>
        <v>50 Free</v>
      </c>
      <c r="B124" s="3" t="str">
        <f>IFERROR(__xludf.DUMMYFUNCTION("""COMPUTED_VALUE"""),"100 Free")</f>
        <v>100 Free</v>
      </c>
      <c r="C124" s="3" t="str">
        <f>IFERROR(__xludf.DUMMYFUNCTION("""COMPUTED_VALUE"""),"200 Free")</f>
        <v>200 Free</v>
      </c>
      <c r="D124" s="3" t="str">
        <f>IFERROR(__xludf.DUMMYFUNCTION("""COMPUTED_VALUE"""),"100 Back")</f>
        <v>100 Back</v>
      </c>
      <c r="E124" s="3" t="str">
        <f>IFERROR(__xludf.DUMMYFUNCTION("""COMPUTED_VALUE"""),"200 Back")</f>
        <v>200 Back</v>
      </c>
      <c r="F124" s="3" t="str">
        <f>IFERROR(__xludf.DUMMYFUNCTION("""COMPUTED_VALUE"""),"100 Fly")</f>
        <v>100 Fly</v>
      </c>
    </row>
    <row r="125">
      <c r="A125" s="3" t="str">
        <f>IFERROR(__xludf.DUMMYFUNCTION("""COMPUTED_VALUE"""),"50 Free")</f>
        <v>50 Free</v>
      </c>
      <c r="B125" s="3" t="str">
        <f>IFERROR(__xludf.DUMMYFUNCTION("""COMPUTED_VALUE"""),"100 Back")</f>
        <v>100 Back</v>
      </c>
      <c r="C125" s="3" t="str">
        <f>IFERROR(__xludf.DUMMYFUNCTION("""COMPUTED_VALUE"""),"200 Back")</f>
        <v>200 Back</v>
      </c>
      <c r="D125" s="3" t="str">
        <f>IFERROR(__xludf.DUMMYFUNCTION("""COMPUTED_VALUE"""),"100 Fly")</f>
        <v>100 Fly</v>
      </c>
      <c r="E125" s="3" t="str">
        <f>IFERROR(__xludf.DUMMYFUNCTION("""COMPUTED_VALUE"""),"400 IM")</f>
        <v>400 IM</v>
      </c>
      <c r="F125" s="3"/>
    </row>
    <row r="126">
      <c r="A126" s="3" t="str">
        <f>IFERROR(__xludf.DUMMYFUNCTION("""COMPUTED_VALUE"""),"50 Free")</f>
        <v>50 Free</v>
      </c>
      <c r="B126" s="3"/>
      <c r="C126" s="3"/>
      <c r="D126" s="3"/>
      <c r="E126" s="3"/>
      <c r="F126" s="3"/>
    </row>
    <row r="127">
      <c r="A127" s="3" t="str">
        <f>IFERROR(__xludf.DUMMYFUNCTION("""COMPUTED_VALUE"""),"50 Free")</f>
        <v>50 Free</v>
      </c>
      <c r="B127" s="3" t="str">
        <f>IFERROR(__xludf.DUMMYFUNCTION("""COMPUTED_VALUE"""),"1650 Free")</f>
        <v>1650 Free</v>
      </c>
      <c r="C127" s="3" t="str">
        <f>IFERROR(__xludf.DUMMYFUNCTION("""COMPUTED_VALUE"""),"200 Back")</f>
        <v>200 Back</v>
      </c>
      <c r="D127" s="3" t="str">
        <f>IFERROR(__xludf.DUMMYFUNCTION("""COMPUTED_VALUE"""),"100 Fly")</f>
        <v>100 Fly</v>
      </c>
      <c r="E127" s="3" t="str">
        <f>IFERROR(__xludf.DUMMYFUNCTION("""COMPUTED_VALUE"""),"1000 Free")</f>
        <v>1000 Free</v>
      </c>
      <c r="F127" s="3"/>
    </row>
    <row r="128">
      <c r="A128" s="3" t="str">
        <f>IFERROR(__xludf.DUMMYFUNCTION("""COMPUTED_VALUE"""),"50 Free")</f>
        <v>50 Free</v>
      </c>
      <c r="B128" s="3" t="str">
        <f>IFERROR(__xludf.DUMMYFUNCTION("""COMPUTED_VALUE"""),"100 Free")</f>
        <v>100 Free</v>
      </c>
      <c r="C128" s="3"/>
      <c r="D128" s="3"/>
      <c r="E128" s="3"/>
      <c r="F128" s="3"/>
    </row>
    <row r="129">
      <c r="A129" s="3" t="str">
        <f>IFERROR(__xludf.DUMMYFUNCTION("""COMPUTED_VALUE"""),"50 Free")</f>
        <v>50 Free</v>
      </c>
      <c r="B129" s="3" t="str">
        <f>IFERROR(__xludf.DUMMYFUNCTION("""COMPUTED_VALUE"""),"100 Breast")</f>
        <v>100 Breast</v>
      </c>
      <c r="C129" s="3" t="str">
        <f>IFERROR(__xludf.DUMMYFUNCTION("""COMPUTED_VALUE"""),"200 Breast")</f>
        <v>200 Breast</v>
      </c>
      <c r="D129" s="3" t="str">
        <f>IFERROR(__xludf.DUMMYFUNCTION("""COMPUTED_VALUE"""),"200 IM")</f>
        <v>200 IM</v>
      </c>
      <c r="E129" s="3" t="str">
        <f>IFERROR(__xludf.DUMMYFUNCTION("""COMPUTED_VALUE"""),"400 IM")</f>
        <v>400 IM</v>
      </c>
      <c r="F129" s="3"/>
    </row>
    <row r="130">
      <c r="A130" s="3" t="str">
        <f>IFERROR(__xludf.DUMMYFUNCTION("""COMPUTED_VALUE"""),"50 Free")</f>
        <v>50 Free</v>
      </c>
      <c r="B130" s="3" t="str">
        <f>IFERROR(__xludf.DUMMYFUNCTION("""COMPUTED_VALUE"""),"100 Fly")</f>
        <v>100 Fly</v>
      </c>
      <c r="C130" s="3"/>
      <c r="D130" s="3"/>
      <c r="E130" s="3"/>
      <c r="F130" s="3"/>
    </row>
    <row r="131">
      <c r="A131" s="3" t="str">
        <f>IFERROR(__xludf.DUMMYFUNCTION("""COMPUTED_VALUE"""),"50 Free")</f>
        <v>50 Free</v>
      </c>
      <c r="B131" s="3" t="str">
        <f>IFERROR(__xludf.DUMMYFUNCTION("""COMPUTED_VALUE"""),"100 Back")</f>
        <v>100 Back</v>
      </c>
      <c r="C131" s="3" t="str">
        <f>IFERROR(__xludf.DUMMYFUNCTION("""COMPUTED_VALUE"""),"100 Breast")</f>
        <v>100 Breast</v>
      </c>
      <c r="D131" s="3" t="str">
        <f>IFERROR(__xludf.DUMMYFUNCTION("""COMPUTED_VALUE"""),"200 Breast")</f>
        <v>200 Breast</v>
      </c>
      <c r="E131" s="3"/>
      <c r="F131" s="3"/>
    </row>
    <row r="132">
      <c r="A132" s="3" t="str">
        <f>IFERROR(__xludf.DUMMYFUNCTION("""COMPUTED_VALUE"""),"50 Free")</f>
        <v>50 Free</v>
      </c>
      <c r="B132" s="3" t="str">
        <f>IFERROR(__xludf.DUMMYFUNCTION("""COMPUTED_VALUE"""),"100 Breast")</f>
        <v>100 Breast</v>
      </c>
      <c r="C132" s="3" t="str">
        <f>IFERROR(__xludf.DUMMYFUNCTION("""COMPUTED_VALUE"""),"200 IM")</f>
        <v>200 IM</v>
      </c>
      <c r="D132" s="3"/>
      <c r="E132" s="3"/>
      <c r="F132" s="3"/>
    </row>
    <row r="133">
      <c r="A133" s="3" t="str">
        <f>IFERROR(__xludf.DUMMYFUNCTION("""COMPUTED_VALUE"""),"50 Free")</f>
        <v>50 Free</v>
      </c>
      <c r="B133" s="3" t="str">
        <f>IFERROR(__xludf.DUMMYFUNCTION("""COMPUTED_VALUE"""),"100 Back")</f>
        <v>100 Back</v>
      </c>
      <c r="C133" s="3" t="str">
        <f>IFERROR(__xludf.DUMMYFUNCTION("""COMPUTED_VALUE"""),"200 Back")</f>
        <v>200 Back</v>
      </c>
      <c r="D133" s="3" t="str">
        <f>IFERROR(__xludf.DUMMYFUNCTION("""COMPUTED_VALUE"""),"100 Breast")</f>
        <v>100 Breast</v>
      </c>
      <c r="E133" s="3"/>
      <c r="F133" s="3"/>
    </row>
    <row r="134">
      <c r="A134" s="3" t="str">
        <f>IFERROR(__xludf.DUMMYFUNCTION("""COMPUTED_VALUE"""),"50 Free")</f>
        <v>50 Free</v>
      </c>
      <c r="B134" s="3" t="str">
        <f>IFERROR(__xludf.DUMMYFUNCTION("""COMPUTED_VALUE"""),"100 Free")</f>
        <v>100 Free</v>
      </c>
      <c r="C134" s="3" t="str">
        <f>IFERROR(__xludf.DUMMYFUNCTION("""COMPUTED_VALUE"""),"100 Back")</f>
        <v>100 Back</v>
      </c>
      <c r="D134" s="3" t="str">
        <f>IFERROR(__xludf.DUMMYFUNCTION("""COMPUTED_VALUE"""),"200 Back")</f>
        <v>200 Back</v>
      </c>
      <c r="E134" s="3" t="str">
        <f>IFERROR(__xludf.DUMMYFUNCTION("""COMPUTED_VALUE"""),"200 IM")</f>
        <v>200 IM</v>
      </c>
      <c r="F134" s="3"/>
    </row>
    <row r="135">
      <c r="A135" s="3" t="str">
        <f>IFERROR(__xludf.DUMMYFUNCTION("""COMPUTED_VALUE"""),"50 Free")</f>
        <v>50 Free</v>
      </c>
      <c r="B135" s="3" t="str">
        <f>IFERROR(__xludf.DUMMYFUNCTION("""COMPUTED_VALUE"""),"100 Breast")</f>
        <v>100 Breast</v>
      </c>
      <c r="C135" s="3"/>
      <c r="D135" s="3"/>
      <c r="E135" s="3"/>
      <c r="F135" s="3"/>
    </row>
    <row r="136">
      <c r="A136" s="3" t="str">
        <f>IFERROR(__xludf.DUMMYFUNCTION("""COMPUTED_VALUE"""),"50 Free")</f>
        <v>50 Free</v>
      </c>
      <c r="B136" s="3" t="str">
        <f>IFERROR(__xludf.DUMMYFUNCTION("""COMPUTED_VALUE"""),"100 Free")</f>
        <v>100 Free</v>
      </c>
      <c r="C136" s="3" t="str">
        <f>IFERROR(__xludf.DUMMYFUNCTION("""COMPUTED_VALUE"""),"100 Back")</f>
        <v>100 Back</v>
      </c>
      <c r="D136" s="3" t="str">
        <f>IFERROR(__xludf.DUMMYFUNCTION("""COMPUTED_VALUE"""),"100 Fly")</f>
        <v>100 Fly</v>
      </c>
      <c r="E136" s="3" t="str">
        <f>IFERROR(__xludf.DUMMYFUNCTION("""COMPUTED_VALUE"""),"200 IM")</f>
        <v>200 IM</v>
      </c>
      <c r="F136" s="3"/>
    </row>
    <row r="137">
      <c r="A137" s="3" t="str">
        <f>IFERROR(__xludf.DUMMYFUNCTION("""COMPUTED_VALUE"""),"50 Free")</f>
        <v>50 Free</v>
      </c>
      <c r="B137" s="3" t="str">
        <f>IFERROR(__xludf.DUMMYFUNCTION("""COMPUTED_VALUE"""),"100 Free")</f>
        <v>100 Free</v>
      </c>
      <c r="C137" s="3" t="str">
        <f>IFERROR(__xludf.DUMMYFUNCTION("""COMPUTED_VALUE"""),"100 Breast")</f>
        <v>100 Breast</v>
      </c>
      <c r="D137" s="3" t="str">
        <f>IFERROR(__xludf.DUMMYFUNCTION("""COMPUTED_VALUE"""),"100 Fly")</f>
        <v>100 Fly</v>
      </c>
      <c r="E137" s="3" t="str">
        <f>IFERROR(__xludf.DUMMYFUNCTION("""COMPUTED_VALUE"""),"200 Fly")</f>
        <v>200 Fly</v>
      </c>
      <c r="F137" s="3" t="str">
        <f>IFERROR(__xludf.DUMMYFUNCTION("""COMPUTED_VALUE"""),"200 IM")</f>
        <v>200 IM</v>
      </c>
    </row>
    <row r="138">
      <c r="A138" s="3" t="str">
        <f>IFERROR(__xludf.DUMMYFUNCTION("""COMPUTED_VALUE"""),"50 Free")</f>
        <v>50 Free</v>
      </c>
      <c r="B138" s="3" t="str">
        <f>IFERROR(__xludf.DUMMYFUNCTION("""COMPUTED_VALUE"""),"200 Free")</f>
        <v>200 Free</v>
      </c>
      <c r="C138" s="3" t="str">
        <f>IFERROR(__xludf.DUMMYFUNCTION("""COMPUTED_VALUE"""),"500 Free")</f>
        <v>500 Free</v>
      </c>
      <c r="D138" s="3" t="str">
        <f>IFERROR(__xludf.DUMMYFUNCTION("""COMPUTED_VALUE"""),"1650 Free")</f>
        <v>1650 Free</v>
      </c>
      <c r="E138" s="3" t="str">
        <f>IFERROR(__xludf.DUMMYFUNCTION("""COMPUTED_VALUE"""),"1000 Free")</f>
        <v>1000 Free</v>
      </c>
      <c r="F138" s="3"/>
    </row>
    <row r="139">
      <c r="A139" s="3" t="str">
        <f>IFERROR(__xludf.DUMMYFUNCTION("""COMPUTED_VALUE"""),"50 Free")</f>
        <v>50 Free</v>
      </c>
      <c r="B139" s="3" t="str">
        <f>IFERROR(__xludf.DUMMYFUNCTION("""COMPUTED_VALUE"""),"100 Free")</f>
        <v>100 Free</v>
      </c>
      <c r="C139" s="3"/>
      <c r="D139" s="3"/>
      <c r="E139" s="3"/>
      <c r="F139" s="3"/>
    </row>
    <row r="140">
      <c r="A140" s="3" t="str">
        <f>IFERROR(__xludf.DUMMYFUNCTION("""COMPUTED_VALUE"""),"50 Free")</f>
        <v>50 Free</v>
      </c>
      <c r="B140" s="3" t="str">
        <f>IFERROR(__xludf.DUMMYFUNCTION("""COMPUTED_VALUE"""),"100 Free")</f>
        <v>100 Free</v>
      </c>
      <c r="C140" s="3" t="str">
        <f>IFERROR(__xludf.DUMMYFUNCTION("""COMPUTED_VALUE"""),"200 Free")</f>
        <v>200 Free</v>
      </c>
      <c r="D140" s="3" t="str">
        <f>IFERROR(__xludf.DUMMYFUNCTION("""COMPUTED_VALUE"""),"100 Breast")</f>
        <v>100 Breast</v>
      </c>
      <c r="E140" s="3" t="str">
        <f>IFERROR(__xludf.DUMMYFUNCTION("""COMPUTED_VALUE"""),"100 Fly")</f>
        <v>100 Fly</v>
      </c>
      <c r="F140" s="3" t="str">
        <f>IFERROR(__xludf.DUMMYFUNCTION("""COMPUTED_VALUE"""),"200 IM")</f>
        <v>200 IM</v>
      </c>
    </row>
    <row r="141">
      <c r="A141" s="3" t="str">
        <f>IFERROR(__xludf.DUMMYFUNCTION("""COMPUTED_VALUE"""),"50 Free")</f>
        <v>50 Free</v>
      </c>
      <c r="B141" s="3" t="str">
        <f>IFERROR(__xludf.DUMMYFUNCTION("""COMPUTED_VALUE"""),"100 Free")</f>
        <v>100 Free</v>
      </c>
      <c r="C141" s="3" t="str">
        <f>IFERROR(__xludf.DUMMYFUNCTION("""COMPUTED_VALUE"""),"100 Breast")</f>
        <v>100 Breast</v>
      </c>
      <c r="D141" s="3" t="str">
        <f>IFERROR(__xludf.DUMMYFUNCTION("""COMPUTED_VALUE"""),"200 Breast")</f>
        <v>200 Breast</v>
      </c>
      <c r="E141" s="3"/>
      <c r="F141" s="3"/>
    </row>
    <row r="142">
      <c r="A142" s="3" t="str">
        <f>IFERROR(__xludf.DUMMYFUNCTION("""COMPUTED_VALUE"""),"50 Free")</f>
        <v>50 Free</v>
      </c>
      <c r="B142" s="3" t="str">
        <f>IFERROR(__xludf.DUMMYFUNCTION("""COMPUTED_VALUE"""),"100 Back")</f>
        <v>100 Back</v>
      </c>
      <c r="C142" s="3" t="str">
        <f>IFERROR(__xludf.DUMMYFUNCTION("""COMPUTED_VALUE"""),"200 Back")</f>
        <v>200 Back</v>
      </c>
      <c r="D142" s="3"/>
      <c r="E142" s="3"/>
      <c r="F142" s="3"/>
    </row>
    <row r="143">
      <c r="A143" s="3" t="str">
        <f>IFERROR(__xludf.DUMMYFUNCTION("""COMPUTED_VALUE"""),"50 Free")</f>
        <v>50 Free</v>
      </c>
      <c r="B143" s="3" t="str">
        <f>IFERROR(__xludf.DUMMYFUNCTION("""COMPUTED_VALUE"""),"100 Back")</f>
        <v>100 Back</v>
      </c>
      <c r="C143" s="3" t="str">
        <f>IFERROR(__xludf.DUMMYFUNCTION("""COMPUTED_VALUE"""),"200 Back")</f>
        <v>200 Back</v>
      </c>
      <c r="D143" s="3" t="str">
        <f>IFERROR(__xludf.DUMMYFUNCTION("""COMPUTED_VALUE"""),"100 Breast")</f>
        <v>100 Breast</v>
      </c>
      <c r="E143" s="3" t="str">
        <f>IFERROR(__xludf.DUMMYFUNCTION("""COMPUTED_VALUE"""),"200 Breast")</f>
        <v>200 Breast</v>
      </c>
      <c r="F143" s="3" t="str">
        <f>IFERROR(__xludf.DUMMYFUNCTION("""COMPUTED_VALUE"""),"200 IM")</f>
        <v>200 IM</v>
      </c>
    </row>
    <row r="144">
      <c r="A144" s="3" t="str">
        <f>IFERROR(__xludf.DUMMYFUNCTION("""COMPUTED_VALUE"""),"50 Free")</f>
        <v>50 Free</v>
      </c>
      <c r="B144" s="3" t="str">
        <f>IFERROR(__xludf.DUMMYFUNCTION("""COMPUTED_VALUE"""),"200 Free")</f>
        <v>200 Free</v>
      </c>
      <c r="C144" s="3" t="str">
        <f>IFERROR(__xludf.DUMMYFUNCTION("""COMPUTED_VALUE"""),"500 Free")</f>
        <v>500 Free</v>
      </c>
      <c r="D144" s="3" t="str">
        <f>IFERROR(__xludf.DUMMYFUNCTION("""COMPUTED_VALUE"""),"100 Back")</f>
        <v>100 Back</v>
      </c>
      <c r="E144" s="3"/>
      <c r="F144" s="3"/>
    </row>
    <row r="145">
      <c r="A145" s="3" t="str">
        <f>IFERROR(__xludf.DUMMYFUNCTION("""COMPUTED_VALUE"""),"50 Free")</f>
        <v>50 Free</v>
      </c>
      <c r="B145" s="3"/>
      <c r="C145" s="3"/>
      <c r="D145" s="3"/>
      <c r="E145" s="3"/>
      <c r="F145" s="3"/>
    </row>
    <row r="146">
      <c r="A146" s="3" t="str">
        <f>IFERROR(__xludf.DUMMYFUNCTION("""COMPUTED_VALUE"""),"50 Free")</f>
        <v>50 Free</v>
      </c>
      <c r="B146" s="3"/>
      <c r="C146" s="3"/>
      <c r="D146" s="3"/>
      <c r="E146" s="3"/>
      <c r="F146" s="3"/>
    </row>
    <row r="147">
      <c r="A147" s="3" t="str">
        <f>IFERROR(__xludf.DUMMYFUNCTION("""COMPUTED_VALUE"""),"50 Free")</f>
        <v>50 Free</v>
      </c>
      <c r="B147" s="3" t="str">
        <f>IFERROR(__xludf.DUMMYFUNCTION("""COMPUTED_VALUE"""),"100 Free")</f>
        <v>100 Free</v>
      </c>
      <c r="C147" s="3" t="str">
        <f>IFERROR(__xludf.DUMMYFUNCTION("""COMPUTED_VALUE"""),"100 Back")</f>
        <v>100 Back</v>
      </c>
      <c r="D147" s="3" t="str">
        <f>IFERROR(__xludf.DUMMYFUNCTION("""COMPUTED_VALUE"""),"200 Back")</f>
        <v>200 Back</v>
      </c>
      <c r="E147" s="3"/>
      <c r="F147" s="3"/>
    </row>
    <row r="148">
      <c r="A148" s="3" t="str">
        <f>IFERROR(__xludf.DUMMYFUNCTION("""COMPUTED_VALUE"""),"50 Free")</f>
        <v>50 Free</v>
      </c>
      <c r="B148" s="3" t="str">
        <f>IFERROR(__xludf.DUMMYFUNCTION("""COMPUTED_VALUE"""),"100 Free")</f>
        <v>100 Free</v>
      </c>
      <c r="C148" s="3" t="str">
        <f>IFERROR(__xludf.DUMMYFUNCTION("""COMPUTED_VALUE"""),"100 Back")</f>
        <v>100 Back</v>
      </c>
      <c r="D148" s="3" t="str">
        <f>IFERROR(__xludf.DUMMYFUNCTION("""COMPUTED_VALUE"""),"100 Fly")</f>
        <v>100 Fly</v>
      </c>
      <c r="E148" s="3"/>
      <c r="F148" s="3"/>
    </row>
    <row r="149">
      <c r="A149" s="3" t="str">
        <f>IFERROR(__xludf.DUMMYFUNCTION("""COMPUTED_VALUE"""),"")</f>
        <v/>
      </c>
      <c r="B149" s="3"/>
      <c r="C149" s="3"/>
      <c r="D149" s="3"/>
      <c r="E149" s="3"/>
      <c r="F149" s="3"/>
    </row>
    <row r="150">
      <c r="A150" s="3" t="str">
        <f>IFERROR(__xludf.DUMMYFUNCTION("""COMPUTED_VALUE"""),"100 Free")</f>
        <v>100 Free</v>
      </c>
      <c r="B150" s="3" t="str">
        <f>IFERROR(__xludf.DUMMYFUNCTION("""COMPUTED_VALUE"""),"200 Free")</f>
        <v>200 Free</v>
      </c>
      <c r="C150" s="3" t="str">
        <f>IFERROR(__xludf.DUMMYFUNCTION("""COMPUTED_VALUE"""),"500 Free")</f>
        <v>500 Free</v>
      </c>
      <c r="D150" s="3" t="str">
        <f>IFERROR(__xludf.DUMMYFUNCTION("""COMPUTED_VALUE"""),"100 Fly")</f>
        <v>100 Fly</v>
      </c>
      <c r="E150" s="3" t="str">
        <f>IFERROR(__xludf.DUMMYFUNCTION("""COMPUTED_VALUE"""),"200 Fly")</f>
        <v>200 Fly</v>
      </c>
      <c r="F150" s="3" t="str">
        <f>IFERROR(__xludf.DUMMYFUNCTION("""COMPUTED_VALUE"""),"200 IM")</f>
        <v>200 IM</v>
      </c>
    </row>
    <row r="151">
      <c r="A151" s="3" t="str">
        <f>IFERROR(__xludf.DUMMYFUNCTION("""COMPUTED_VALUE"""),"100 Free")</f>
        <v>100 Free</v>
      </c>
      <c r="B151" s="3" t="str">
        <f>IFERROR(__xludf.DUMMYFUNCTION("""COMPUTED_VALUE"""),"100 Back")</f>
        <v>100 Back</v>
      </c>
      <c r="C151" s="3" t="str">
        <f>IFERROR(__xludf.DUMMYFUNCTION("""COMPUTED_VALUE"""),"100 Fly")</f>
        <v>100 Fly</v>
      </c>
      <c r="D151" s="3" t="str">
        <f>IFERROR(__xludf.DUMMYFUNCTION("""COMPUTED_VALUE"""),"200 Fly")</f>
        <v>200 Fly</v>
      </c>
      <c r="E151" s="3" t="str">
        <f>IFERROR(__xludf.DUMMYFUNCTION("""COMPUTED_VALUE"""),"200 IM")</f>
        <v>200 IM</v>
      </c>
      <c r="F151" s="3" t="str">
        <f>IFERROR(__xludf.DUMMYFUNCTION("""COMPUTED_VALUE"""),"400 IM")</f>
        <v>400 IM</v>
      </c>
    </row>
    <row r="152">
      <c r="A152" s="3" t="str">
        <f>IFERROR(__xludf.DUMMYFUNCTION("""COMPUTED_VALUE"""),"100 Free")</f>
        <v>100 Free</v>
      </c>
      <c r="B152" s="3" t="str">
        <f>IFERROR(__xludf.DUMMYFUNCTION("""COMPUTED_VALUE"""),"200 Free")</f>
        <v>200 Free</v>
      </c>
      <c r="C152" s="3" t="str">
        <f>IFERROR(__xludf.DUMMYFUNCTION("""COMPUTED_VALUE"""),"500 Free")</f>
        <v>500 Free</v>
      </c>
      <c r="D152" s="3" t="str">
        <f>IFERROR(__xludf.DUMMYFUNCTION("""COMPUTED_VALUE"""),"100 Fly")</f>
        <v>100 Fly</v>
      </c>
      <c r="E152" s="3" t="str">
        <f>IFERROR(__xludf.DUMMYFUNCTION("""COMPUTED_VALUE"""),"200 Fly")</f>
        <v>200 Fly</v>
      </c>
      <c r="F152" s="3" t="str">
        <f>IFERROR(__xludf.DUMMYFUNCTION("""COMPUTED_VALUE"""),"1000 Free")</f>
        <v>1000 Free</v>
      </c>
    </row>
    <row r="153">
      <c r="A153" s="3" t="str">
        <f>IFERROR(__xludf.DUMMYFUNCTION("""COMPUTED_VALUE"""),"100 Free")</f>
        <v>100 Free</v>
      </c>
      <c r="B153" s="3" t="str">
        <f>IFERROR(__xludf.DUMMYFUNCTION("""COMPUTED_VALUE"""),"200 Free")</f>
        <v>200 Free</v>
      </c>
      <c r="C153" s="3" t="str">
        <f>IFERROR(__xludf.DUMMYFUNCTION("""COMPUTED_VALUE"""),"100 Back")</f>
        <v>100 Back</v>
      </c>
      <c r="D153" s="3" t="str">
        <f>IFERROR(__xludf.DUMMYFUNCTION("""COMPUTED_VALUE"""),"100 Breast")</f>
        <v>100 Breast</v>
      </c>
      <c r="E153" s="3" t="str">
        <f>IFERROR(__xludf.DUMMYFUNCTION("""COMPUTED_VALUE"""),"200 Breast")</f>
        <v>200 Breast</v>
      </c>
      <c r="F153" s="3" t="str">
        <f>IFERROR(__xludf.DUMMYFUNCTION("""COMPUTED_VALUE"""),"200 IM")</f>
        <v>200 IM</v>
      </c>
    </row>
    <row r="154">
      <c r="A154" s="3" t="str">
        <f>IFERROR(__xludf.DUMMYFUNCTION("""COMPUTED_VALUE"""),"100 Free")</f>
        <v>100 Free</v>
      </c>
      <c r="B154" s="3" t="str">
        <f>IFERROR(__xludf.DUMMYFUNCTION("""COMPUTED_VALUE"""),"200 Breast")</f>
        <v>200 Breast</v>
      </c>
      <c r="C154" s="3" t="str">
        <f>IFERROR(__xludf.DUMMYFUNCTION("""COMPUTED_VALUE"""),"100 Fly")</f>
        <v>100 Fly</v>
      </c>
      <c r="D154" s="3" t="str">
        <f>IFERROR(__xludf.DUMMYFUNCTION("""COMPUTED_VALUE"""),"200 Fly")</f>
        <v>200 Fly</v>
      </c>
      <c r="E154" s="3" t="str">
        <f>IFERROR(__xludf.DUMMYFUNCTION("""COMPUTED_VALUE"""),"200 IM")</f>
        <v>200 IM</v>
      </c>
      <c r="F154" s="3" t="str">
        <f>IFERROR(__xludf.DUMMYFUNCTION("""COMPUTED_VALUE"""),"400 IM")</f>
        <v>400 IM</v>
      </c>
    </row>
    <row r="155">
      <c r="A155" s="3" t="str">
        <f>IFERROR(__xludf.DUMMYFUNCTION("""COMPUTED_VALUE"""),"100 Free")</f>
        <v>100 Free</v>
      </c>
      <c r="B155" s="3" t="str">
        <f>IFERROR(__xludf.DUMMYFUNCTION("""COMPUTED_VALUE"""),"200 IM")</f>
        <v>200 IM</v>
      </c>
      <c r="C155" s="3"/>
      <c r="D155" s="3"/>
      <c r="E155" s="3"/>
      <c r="F155" s="3"/>
    </row>
    <row r="156">
      <c r="A156" s="3" t="str">
        <f>IFERROR(__xludf.DUMMYFUNCTION("""COMPUTED_VALUE"""),"100 Free")</f>
        <v>100 Free</v>
      </c>
      <c r="B156" s="3" t="str">
        <f>IFERROR(__xludf.DUMMYFUNCTION("""COMPUTED_VALUE"""),"200 Free")</f>
        <v>200 Free</v>
      </c>
      <c r="C156" s="3" t="str">
        <f>IFERROR(__xludf.DUMMYFUNCTION("""COMPUTED_VALUE"""),"500 Free")</f>
        <v>500 Free</v>
      </c>
      <c r="D156" s="3" t="str">
        <f>IFERROR(__xludf.DUMMYFUNCTION("""COMPUTED_VALUE"""),"100 Back")</f>
        <v>100 Back</v>
      </c>
      <c r="E156" s="3" t="str">
        <f>IFERROR(__xludf.DUMMYFUNCTION("""COMPUTED_VALUE"""),"200 Back")</f>
        <v>200 Back</v>
      </c>
      <c r="F156" s="3" t="str">
        <f>IFERROR(__xludf.DUMMYFUNCTION("""COMPUTED_VALUE"""),"1000 Free")</f>
        <v>1000 Free</v>
      </c>
    </row>
    <row r="157">
      <c r="A157" s="3" t="str">
        <f>IFERROR(__xludf.DUMMYFUNCTION("""COMPUTED_VALUE"""),"100 Free")</f>
        <v>100 Free</v>
      </c>
      <c r="B157" s="3" t="str">
        <f>IFERROR(__xludf.DUMMYFUNCTION("""COMPUTED_VALUE"""),"200 Free")</f>
        <v>200 Free</v>
      </c>
      <c r="C157" s="3" t="str">
        <f>IFERROR(__xludf.DUMMYFUNCTION("""COMPUTED_VALUE"""),"500 Free")</f>
        <v>500 Free</v>
      </c>
      <c r="D157" s="3" t="str">
        <f>IFERROR(__xludf.DUMMYFUNCTION("""COMPUTED_VALUE"""),"200 Back")</f>
        <v>200 Back</v>
      </c>
      <c r="E157" s="3" t="str">
        <f>IFERROR(__xludf.DUMMYFUNCTION("""COMPUTED_VALUE"""),"100 Fly")</f>
        <v>100 Fly</v>
      </c>
      <c r="F157" s="3" t="str">
        <f>IFERROR(__xludf.DUMMYFUNCTION("""COMPUTED_VALUE"""),"200 Fly")</f>
        <v>200 Fly</v>
      </c>
    </row>
    <row r="158">
      <c r="A158" s="3" t="str">
        <f>IFERROR(__xludf.DUMMYFUNCTION("""COMPUTED_VALUE"""),"100 Free")</f>
        <v>100 Free</v>
      </c>
      <c r="B158" s="3" t="str">
        <f>IFERROR(__xludf.DUMMYFUNCTION("""COMPUTED_VALUE"""),"100 Back")</f>
        <v>100 Back</v>
      </c>
      <c r="C158" s="3" t="str">
        <f>IFERROR(__xludf.DUMMYFUNCTION("""COMPUTED_VALUE"""),"200 Back")</f>
        <v>200 Back</v>
      </c>
      <c r="D158" s="3" t="str">
        <f>IFERROR(__xludf.DUMMYFUNCTION("""COMPUTED_VALUE"""),"200 Fly")</f>
        <v>200 Fly</v>
      </c>
      <c r="E158" s="3"/>
      <c r="F158" s="3"/>
    </row>
    <row r="159">
      <c r="A159" s="3" t="str">
        <f>IFERROR(__xludf.DUMMYFUNCTION("""COMPUTED_VALUE"""),"100 Free")</f>
        <v>100 Free</v>
      </c>
      <c r="B159" s="3" t="str">
        <f>IFERROR(__xludf.DUMMYFUNCTION("""COMPUTED_VALUE"""),"100 Back")</f>
        <v>100 Back</v>
      </c>
      <c r="C159" s="3" t="str">
        <f>IFERROR(__xludf.DUMMYFUNCTION("""COMPUTED_VALUE"""),"200 Back")</f>
        <v>200 Back</v>
      </c>
      <c r="D159" s="3" t="str">
        <f>IFERROR(__xludf.DUMMYFUNCTION("""COMPUTED_VALUE"""),"100 Breast")</f>
        <v>100 Breast</v>
      </c>
      <c r="E159" s="3" t="str">
        <f>IFERROR(__xludf.DUMMYFUNCTION("""COMPUTED_VALUE"""),"200 Breast")</f>
        <v>200 Breast</v>
      </c>
      <c r="F159" s="3" t="str">
        <f>IFERROR(__xludf.DUMMYFUNCTION("""COMPUTED_VALUE"""),"100 Fly")</f>
        <v>100 Fly</v>
      </c>
    </row>
    <row r="160">
      <c r="A160" s="3" t="str">
        <f>IFERROR(__xludf.DUMMYFUNCTION("""COMPUTED_VALUE"""),"100 Free")</f>
        <v>100 Free</v>
      </c>
      <c r="B160" s="3" t="str">
        <f>IFERROR(__xludf.DUMMYFUNCTION("""COMPUTED_VALUE"""),"100 Fly")</f>
        <v>100 Fly</v>
      </c>
      <c r="C160" s="3" t="str">
        <f>IFERROR(__xludf.DUMMYFUNCTION("""COMPUTED_VALUE"""),"200 Fly")</f>
        <v>200 Fly</v>
      </c>
      <c r="D160" s="3" t="str">
        <f>IFERROR(__xludf.DUMMYFUNCTION("""COMPUTED_VALUE"""),"200 IM")</f>
        <v>200 IM</v>
      </c>
      <c r="E160" s="3" t="str">
        <f>IFERROR(__xludf.DUMMYFUNCTION("""COMPUTED_VALUE"""),"400 IM")</f>
        <v>400 IM</v>
      </c>
      <c r="F160" s="3"/>
    </row>
    <row r="161">
      <c r="A161" s="3" t="str">
        <f>IFERROR(__xludf.DUMMYFUNCTION("""COMPUTED_VALUE"""),"100 Free")</f>
        <v>100 Free</v>
      </c>
      <c r="B161" s="3" t="str">
        <f>IFERROR(__xludf.DUMMYFUNCTION("""COMPUTED_VALUE"""),"200 Free")</f>
        <v>200 Free</v>
      </c>
      <c r="C161" s="3" t="str">
        <f>IFERROR(__xludf.DUMMYFUNCTION("""COMPUTED_VALUE"""),"100 Back")</f>
        <v>100 Back</v>
      </c>
      <c r="D161" s="3" t="str">
        <f>IFERROR(__xludf.DUMMYFUNCTION("""COMPUTED_VALUE"""),"100 Breast")</f>
        <v>100 Breast</v>
      </c>
      <c r="E161" s="3" t="str">
        <f>IFERROR(__xludf.DUMMYFUNCTION("""COMPUTED_VALUE"""),"200 Breast")</f>
        <v>200 Breast</v>
      </c>
      <c r="F161" s="3" t="str">
        <f>IFERROR(__xludf.DUMMYFUNCTION("""COMPUTED_VALUE"""),"200 IM")</f>
        <v>200 IM</v>
      </c>
    </row>
    <row r="162">
      <c r="A162" s="3" t="str">
        <f>IFERROR(__xludf.DUMMYFUNCTION("""COMPUTED_VALUE"""),"100 Free")</f>
        <v>100 Free</v>
      </c>
      <c r="B162" s="3" t="str">
        <f>IFERROR(__xludf.DUMMYFUNCTION("""COMPUTED_VALUE"""),"200 Free")</f>
        <v>200 Free</v>
      </c>
      <c r="C162" s="3" t="str">
        <f>IFERROR(__xludf.DUMMYFUNCTION("""COMPUTED_VALUE"""),"500 Free")</f>
        <v>500 Free</v>
      </c>
      <c r="D162" s="3" t="str">
        <f>IFERROR(__xludf.DUMMYFUNCTION("""COMPUTED_VALUE"""),"1650 Free")</f>
        <v>1650 Free</v>
      </c>
      <c r="E162" s="3" t="str">
        <f>IFERROR(__xludf.DUMMYFUNCTION("""COMPUTED_VALUE"""),"100 Back")</f>
        <v>100 Back</v>
      </c>
      <c r="F162" s="3" t="str">
        <f>IFERROR(__xludf.DUMMYFUNCTION("""COMPUTED_VALUE"""),"200 Back")</f>
        <v>200 Back</v>
      </c>
    </row>
    <row r="163">
      <c r="A163" s="3" t="str">
        <f>IFERROR(__xludf.DUMMYFUNCTION("""COMPUTED_VALUE"""),"100 Free")</f>
        <v>100 Free</v>
      </c>
      <c r="B163" s="3" t="str">
        <f>IFERROR(__xludf.DUMMYFUNCTION("""COMPUTED_VALUE"""),"100 Back")</f>
        <v>100 Back</v>
      </c>
      <c r="C163" s="3" t="str">
        <f>IFERROR(__xludf.DUMMYFUNCTION("""COMPUTED_VALUE"""),"100 Breast")</f>
        <v>100 Breast</v>
      </c>
      <c r="D163" s="3" t="str">
        <f>IFERROR(__xludf.DUMMYFUNCTION("""COMPUTED_VALUE"""),"200 Breast")</f>
        <v>200 Breast</v>
      </c>
      <c r="E163" s="3" t="str">
        <f>IFERROR(__xludf.DUMMYFUNCTION("""COMPUTED_VALUE"""),"200 IM")</f>
        <v>200 IM</v>
      </c>
      <c r="F163" s="3" t="str">
        <f>IFERROR(__xludf.DUMMYFUNCTION("""COMPUTED_VALUE"""),"400 IM")</f>
        <v>400 IM</v>
      </c>
    </row>
    <row r="164">
      <c r="A164" s="3" t="str">
        <f>IFERROR(__xludf.DUMMYFUNCTION("""COMPUTED_VALUE"""),"100 Free")</f>
        <v>100 Free</v>
      </c>
      <c r="B164" s="3" t="str">
        <f>IFERROR(__xludf.DUMMYFUNCTION("""COMPUTED_VALUE"""),"100 Back")</f>
        <v>100 Back</v>
      </c>
      <c r="C164" s="3" t="str">
        <f>IFERROR(__xludf.DUMMYFUNCTION("""COMPUTED_VALUE"""),"200 Back")</f>
        <v>200 Back</v>
      </c>
      <c r="D164" s="3" t="str">
        <f>IFERROR(__xludf.DUMMYFUNCTION("""COMPUTED_VALUE"""),"100 Fly")</f>
        <v>100 Fly</v>
      </c>
      <c r="E164" s="3" t="str">
        <f>IFERROR(__xludf.DUMMYFUNCTION("""COMPUTED_VALUE"""),"200 Fly")</f>
        <v>200 Fly</v>
      </c>
      <c r="F164" s="3" t="str">
        <f>IFERROR(__xludf.DUMMYFUNCTION("""COMPUTED_VALUE"""),"400 IM")</f>
        <v>400 IM</v>
      </c>
    </row>
    <row r="165">
      <c r="A165" s="3" t="str">
        <f>IFERROR(__xludf.DUMMYFUNCTION("""COMPUTED_VALUE"""),"100 Free")</f>
        <v>100 Free</v>
      </c>
      <c r="B165" s="3" t="str">
        <f>IFERROR(__xludf.DUMMYFUNCTION("""COMPUTED_VALUE"""),"200 Back")</f>
        <v>200 Back</v>
      </c>
      <c r="C165" s="3" t="str">
        <f>IFERROR(__xludf.DUMMYFUNCTION("""COMPUTED_VALUE"""),"100 Breast")</f>
        <v>100 Breast</v>
      </c>
      <c r="D165" s="3" t="str">
        <f>IFERROR(__xludf.DUMMYFUNCTION("""COMPUTED_VALUE"""),"200 Breast")</f>
        <v>200 Breast</v>
      </c>
      <c r="E165" s="3" t="str">
        <f>IFERROR(__xludf.DUMMYFUNCTION("""COMPUTED_VALUE"""),"200 Fly")</f>
        <v>200 Fly</v>
      </c>
      <c r="F165" s="3" t="str">
        <f>IFERROR(__xludf.DUMMYFUNCTION("""COMPUTED_VALUE"""),"400 IM")</f>
        <v>400 IM</v>
      </c>
    </row>
    <row r="166">
      <c r="A166" s="3" t="str">
        <f>IFERROR(__xludf.DUMMYFUNCTION("""COMPUTED_VALUE"""),"100 Free")</f>
        <v>100 Free</v>
      </c>
      <c r="B166" s="3" t="str">
        <f>IFERROR(__xludf.DUMMYFUNCTION("""COMPUTED_VALUE"""),"100 Back")</f>
        <v>100 Back</v>
      </c>
      <c r="C166" s="3" t="str">
        <f>IFERROR(__xludf.DUMMYFUNCTION("""COMPUTED_VALUE"""),"100 Breast")</f>
        <v>100 Breast</v>
      </c>
      <c r="D166" s="3" t="str">
        <f>IFERROR(__xludf.DUMMYFUNCTION("""COMPUTED_VALUE"""),"200 Breast")</f>
        <v>200 Breast</v>
      </c>
      <c r="E166" s="3" t="str">
        <f>IFERROR(__xludf.DUMMYFUNCTION("""COMPUTED_VALUE"""),"100 Fly")</f>
        <v>100 Fly</v>
      </c>
      <c r="F166" s="3" t="str">
        <f>IFERROR(__xludf.DUMMYFUNCTION("""COMPUTED_VALUE"""),"200 IM")</f>
        <v>200 IM</v>
      </c>
    </row>
    <row r="167">
      <c r="A167" s="3" t="str">
        <f>IFERROR(__xludf.DUMMYFUNCTION("""COMPUTED_VALUE"""),"100 Free")</f>
        <v>100 Free</v>
      </c>
      <c r="B167" s="3" t="str">
        <f>IFERROR(__xludf.DUMMYFUNCTION("""COMPUTED_VALUE"""),"200 Free")</f>
        <v>200 Free</v>
      </c>
      <c r="C167" s="3" t="str">
        <f>IFERROR(__xludf.DUMMYFUNCTION("""COMPUTED_VALUE"""),"500 Free")</f>
        <v>500 Free</v>
      </c>
      <c r="D167" s="3" t="str">
        <f>IFERROR(__xludf.DUMMYFUNCTION("""COMPUTED_VALUE"""),"1650 Free")</f>
        <v>1650 Free</v>
      </c>
      <c r="E167" s="3" t="str">
        <f>IFERROR(__xludf.DUMMYFUNCTION("""COMPUTED_VALUE"""),"100 Breast")</f>
        <v>100 Breast</v>
      </c>
      <c r="F167" s="3" t="str">
        <f>IFERROR(__xludf.DUMMYFUNCTION("""COMPUTED_VALUE"""),"1000 Free")</f>
        <v>1000 Free</v>
      </c>
    </row>
    <row r="168">
      <c r="A168" s="3" t="str">
        <f>IFERROR(__xludf.DUMMYFUNCTION("""COMPUTED_VALUE"""),"100 Free")</f>
        <v>100 Free</v>
      </c>
      <c r="B168" s="3" t="str">
        <f>IFERROR(__xludf.DUMMYFUNCTION("""COMPUTED_VALUE"""),"500 Free")</f>
        <v>500 Free</v>
      </c>
      <c r="C168" s="3" t="str">
        <f>IFERROR(__xludf.DUMMYFUNCTION("""COMPUTED_VALUE"""),"100 Fly")</f>
        <v>100 Fly</v>
      </c>
      <c r="D168" s="3" t="str">
        <f>IFERROR(__xludf.DUMMYFUNCTION("""COMPUTED_VALUE"""),"200 Fly")</f>
        <v>200 Fly</v>
      </c>
      <c r="E168" s="3" t="str">
        <f>IFERROR(__xludf.DUMMYFUNCTION("""COMPUTED_VALUE"""),"200 IM")</f>
        <v>200 IM</v>
      </c>
      <c r="F168" s="3" t="str">
        <f>IFERROR(__xludf.DUMMYFUNCTION("""COMPUTED_VALUE"""),"400 IM")</f>
        <v>400 IM</v>
      </c>
    </row>
    <row r="169">
      <c r="A169" s="3" t="str">
        <f>IFERROR(__xludf.DUMMYFUNCTION("""COMPUTED_VALUE"""),"100 Free")</f>
        <v>100 Free</v>
      </c>
      <c r="B169" s="3" t="str">
        <f>IFERROR(__xludf.DUMMYFUNCTION("""COMPUTED_VALUE"""),"100 Breast")</f>
        <v>100 Breast</v>
      </c>
      <c r="C169" s="3" t="str">
        <f>IFERROR(__xludf.DUMMYFUNCTION("""COMPUTED_VALUE"""),"200 Breast")</f>
        <v>200 Breast</v>
      </c>
      <c r="D169" s="3" t="str">
        <f>IFERROR(__xludf.DUMMYFUNCTION("""COMPUTED_VALUE"""),"200 Fly")</f>
        <v>200 Fly</v>
      </c>
      <c r="E169" s="3" t="str">
        <f>IFERROR(__xludf.DUMMYFUNCTION("""COMPUTED_VALUE"""),"200 IM")</f>
        <v>200 IM</v>
      </c>
      <c r="F169" s="3" t="str">
        <f>IFERROR(__xludf.DUMMYFUNCTION("""COMPUTED_VALUE"""),"400 IM")</f>
        <v>400 IM</v>
      </c>
    </row>
    <row r="170">
      <c r="A170" s="3" t="str">
        <f>IFERROR(__xludf.DUMMYFUNCTION("""COMPUTED_VALUE"""),"100 Free")</f>
        <v>100 Free</v>
      </c>
      <c r="B170" s="3" t="str">
        <f>IFERROR(__xludf.DUMMYFUNCTION("""COMPUTED_VALUE"""),"200 Free")</f>
        <v>200 Free</v>
      </c>
      <c r="C170" s="3" t="str">
        <f>IFERROR(__xludf.DUMMYFUNCTION("""COMPUTED_VALUE"""),"100 Back")</f>
        <v>100 Back</v>
      </c>
      <c r="D170" s="3" t="str">
        <f>IFERROR(__xludf.DUMMYFUNCTION("""COMPUTED_VALUE"""),"100 Fly")</f>
        <v>100 Fly</v>
      </c>
      <c r="E170" s="3" t="str">
        <f>IFERROR(__xludf.DUMMYFUNCTION("""COMPUTED_VALUE"""),"200 Fly")</f>
        <v>200 Fly</v>
      </c>
      <c r="F170" s="3"/>
    </row>
    <row r="171">
      <c r="A171" s="3" t="str">
        <f>IFERROR(__xludf.DUMMYFUNCTION("""COMPUTED_VALUE"""),"100 Free")</f>
        <v>100 Free</v>
      </c>
      <c r="B171" s="3" t="str">
        <f>IFERROR(__xludf.DUMMYFUNCTION("""COMPUTED_VALUE"""),"200 Free")</f>
        <v>200 Free</v>
      </c>
      <c r="C171" s="3" t="str">
        <f>IFERROR(__xludf.DUMMYFUNCTION("""COMPUTED_VALUE"""),"1650 Free")</f>
        <v>1650 Free</v>
      </c>
      <c r="D171" s="3" t="str">
        <f>IFERROR(__xludf.DUMMYFUNCTION("""COMPUTED_VALUE"""),"1000 Free")</f>
        <v>1000 Free</v>
      </c>
      <c r="E171" s="3"/>
      <c r="F171" s="3"/>
    </row>
    <row r="172">
      <c r="A172" s="3" t="str">
        <f>IFERROR(__xludf.DUMMYFUNCTION("""COMPUTED_VALUE"""),"100 Free")</f>
        <v>100 Free</v>
      </c>
      <c r="B172" s="3" t="str">
        <f>IFERROR(__xludf.DUMMYFUNCTION("""COMPUTED_VALUE"""),"200 Free")</f>
        <v>200 Free</v>
      </c>
      <c r="C172" s="3" t="str">
        <f>IFERROR(__xludf.DUMMYFUNCTION("""COMPUTED_VALUE"""),"500 Free")</f>
        <v>500 Free</v>
      </c>
      <c r="D172" s="3" t="str">
        <f>IFERROR(__xludf.DUMMYFUNCTION("""COMPUTED_VALUE"""),"100 Breast")</f>
        <v>100 Breast</v>
      </c>
      <c r="E172" s="3" t="str">
        <f>IFERROR(__xludf.DUMMYFUNCTION("""COMPUTED_VALUE"""),"1000 Free")</f>
        <v>1000 Free</v>
      </c>
      <c r="F172" s="3"/>
    </row>
    <row r="173">
      <c r="A173" s="3" t="str">
        <f>IFERROR(__xludf.DUMMYFUNCTION("""COMPUTED_VALUE"""),"100 Free")</f>
        <v>100 Free</v>
      </c>
      <c r="B173" s="3" t="str">
        <f>IFERROR(__xludf.DUMMYFUNCTION("""COMPUTED_VALUE"""),"200 Free")</f>
        <v>200 Free</v>
      </c>
      <c r="C173" s="3" t="str">
        <f>IFERROR(__xludf.DUMMYFUNCTION("""COMPUTED_VALUE"""),"1650 Free")</f>
        <v>1650 Free</v>
      </c>
      <c r="D173" s="3" t="str">
        <f>IFERROR(__xludf.DUMMYFUNCTION("""COMPUTED_VALUE"""),"200 Back")</f>
        <v>200 Back</v>
      </c>
      <c r="E173" s="3" t="str">
        <f>IFERROR(__xludf.DUMMYFUNCTION("""COMPUTED_VALUE"""),"100 Breast")</f>
        <v>100 Breast</v>
      </c>
      <c r="F173" s="3" t="str">
        <f>IFERROR(__xludf.DUMMYFUNCTION("""COMPUTED_VALUE"""),"200 Breast")</f>
        <v>200 Breast</v>
      </c>
    </row>
    <row r="174">
      <c r="A174" s="3" t="str">
        <f>IFERROR(__xludf.DUMMYFUNCTION("""COMPUTED_VALUE"""),"100 Free")</f>
        <v>100 Free</v>
      </c>
      <c r="B174" s="3" t="str">
        <f>IFERROR(__xludf.DUMMYFUNCTION("""COMPUTED_VALUE"""),"500 Free")</f>
        <v>500 Free</v>
      </c>
      <c r="C174" s="3" t="str">
        <f>IFERROR(__xludf.DUMMYFUNCTION("""COMPUTED_VALUE"""),"100 Fly")</f>
        <v>100 Fly</v>
      </c>
      <c r="D174" s="3" t="str">
        <f>IFERROR(__xludf.DUMMYFUNCTION("""COMPUTED_VALUE"""),"200 Fly")</f>
        <v>200 Fly</v>
      </c>
      <c r="E174" s="3" t="str">
        <f>IFERROR(__xludf.DUMMYFUNCTION("""COMPUTED_VALUE"""),"200 IM")</f>
        <v>200 IM</v>
      </c>
      <c r="F174" s="3" t="str">
        <f>IFERROR(__xludf.DUMMYFUNCTION("""COMPUTED_VALUE"""),"400 IM")</f>
        <v>400 IM</v>
      </c>
    </row>
    <row r="175">
      <c r="A175" s="3" t="str">
        <f>IFERROR(__xludf.DUMMYFUNCTION("""COMPUTED_VALUE"""),"100 Free")</f>
        <v>100 Free</v>
      </c>
      <c r="B175" s="3"/>
      <c r="C175" s="3"/>
      <c r="D175" s="3"/>
      <c r="E175" s="3"/>
      <c r="F175" s="3"/>
    </row>
    <row r="176">
      <c r="A176" s="3" t="str">
        <f>IFERROR(__xludf.DUMMYFUNCTION("""COMPUTED_VALUE"""),"100 Free")</f>
        <v>100 Free</v>
      </c>
      <c r="B176" s="3"/>
      <c r="C176" s="3"/>
      <c r="D176" s="3"/>
      <c r="E176" s="3"/>
      <c r="F176" s="3"/>
    </row>
    <row r="177">
      <c r="A177" s="3" t="str">
        <f>IFERROR(__xludf.DUMMYFUNCTION("""COMPUTED_VALUE"""),"100 Free")</f>
        <v>100 Free</v>
      </c>
      <c r="B177" s="3" t="str">
        <f>IFERROR(__xludf.DUMMYFUNCTION("""COMPUTED_VALUE"""),"200 Free")</f>
        <v>200 Free</v>
      </c>
      <c r="C177" s="3" t="str">
        <f>IFERROR(__xludf.DUMMYFUNCTION("""COMPUTED_VALUE"""),"200 Breast")</f>
        <v>200 Breast</v>
      </c>
      <c r="D177" s="3" t="str">
        <f>IFERROR(__xludf.DUMMYFUNCTION("""COMPUTED_VALUE"""),"200 IM")</f>
        <v>200 IM</v>
      </c>
      <c r="E177" s="3"/>
      <c r="F177" s="3"/>
    </row>
    <row r="178">
      <c r="A178" s="3" t="str">
        <f>IFERROR(__xludf.DUMMYFUNCTION("""COMPUTED_VALUE"""),"100 Free")</f>
        <v>100 Free</v>
      </c>
      <c r="B178" s="3" t="str">
        <f>IFERROR(__xludf.DUMMYFUNCTION("""COMPUTED_VALUE"""),"200 Free")</f>
        <v>200 Free</v>
      </c>
      <c r="C178" s="3"/>
      <c r="D178" s="3"/>
      <c r="E178" s="3"/>
      <c r="F178" s="3"/>
    </row>
    <row r="179">
      <c r="A179" s="3" t="str">
        <f>IFERROR(__xludf.DUMMYFUNCTION("""COMPUTED_VALUE"""),"100 Free")</f>
        <v>100 Free</v>
      </c>
      <c r="B179" s="3" t="str">
        <f>IFERROR(__xludf.DUMMYFUNCTION("""COMPUTED_VALUE"""),"200 Free")</f>
        <v>200 Free</v>
      </c>
      <c r="C179" s="3" t="str">
        <f>IFERROR(__xludf.DUMMYFUNCTION("""COMPUTED_VALUE"""),"100 Fly")</f>
        <v>100 Fly</v>
      </c>
      <c r="D179" s="3" t="str">
        <f>IFERROR(__xludf.DUMMYFUNCTION("""COMPUTED_VALUE"""),"200 Fly")</f>
        <v>200 Fly</v>
      </c>
      <c r="E179" s="3"/>
      <c r="F179" s="3"/>
    </row>
    <row r="180">
      <c r="A180" s="3" t="str">
        <f>IFERROR(__xludf.DUMMYFUNCTION("""COMPUTED_VALUE"""),"100 Free")</f>
        <v>100 Free</v>
      </c>
      <c r="B180" s="3" t="str">
        <f>IFERROR(__xludf.DUMMYFUNCTION("""COMPUTED_VALUE"""),"200 Free")</f>
        <v>200 Free</v>
      </c>
      <c r="C180" s="3" t="str">
        <f>IFERROR(__xludf.DUMMYFUNCTION("""COMPUTED_VALUE"""),"100 Back")</f>
        <v>100 Back</v>
      </c>
      <c r="D180" s="3" t="str">
        <f>IFERROR(__xludf.DUMMYFUNCTION("""COMPUTED_VALUE"""),"100 Breast")</f>
        <v>100 Breast</v>
      </c>
      <c r="E180" s="3" t="str">
        <f>IFERROR(__xludf.DUMMYFUNCTION("""COMPUTED_VALUE"""),"200 Breast")</f>
        <v>200 Breast</v>
      </c>
      <c r="F180" s="3" t="str">
        <f>IFERROR(__xludf.DUMMYFUNCTION("""COMPUTED_VALUE"""),"200 IM")</f>
        <v>200 IM</v>
      </c>
    </row>
    <row r="181">
      <c r="A181" s="3" t="str">
        <f>IFERROR(__xludf.DUMMYFUNCTION("""COMPUTED_VALUE"""),"100 Free")</f>
        <v>100 Free</v>
      </c>
      <c r="B181" s="3" t="str">
        <f>IFERROR(__xludf.DUMMYFUNCTION("""COMPUTED_VALUE"""),"200 Free")</f>
        <v>200 Free</v>
      </c>
      <c r="C181" s="3" t="str">
        <f>IFERROR(__xludf.DUMMYFUNCTION("""COMPUTED_VALUE"""),"100 Back")</f>
        <v>100 Back</v>
      </c>
      <c r="D181" s="3" t="str">
        <f>IFERROR(__xludf.DUMMYFUNCTION("""COMPUTED_VALUE"""),"200 Back")</f>
        <v>200 Back</v>
      </c>
      <c r="E181" s="3" t="str">
        <f>IFERROR(__xludf.DUMMYFUNCTION("""COMPUTED_VALUE"""),"100 Fly")</f>
        <v>100 Fly</v>
      </c>
      <c r="F181" s="3" t="str">
        <f>IFERROR(__xludf.DUMMYFUNCTION("""COMPUTED_VALUE"""),"200 Fly")</f>
        <v>200 Fly</v>
      </c>
    </row>
    <row r="182">
      <c r="A182" s="3" t="str">
        <f>IFERROR(__xludf.DUMMYFUNCTION("""COMPUTED_VALUE"""),"100 Free")</f>
        <v>100 Free</v>
      </c>
      <c r="B182" s="3" t="str">
        <f>IFERROR(__xludf.DUMMYFUNCTION("""COMPUTED_VALUE"""),"100 Fly")</f>
        <v>100 Fly</v>
      </c>
      <c r="C182" s="3"/>
      <c r="D182" s="3"/>
      <c r="E182" s="3"/>
      <c r="F182" s="3"/>
    </row>
    <row r="183">
      <c r="A183" s="3" t="str">
        <f>IFERROR(__xludf.DUMMYFUNCTION("""COMPUTED_VALUE"""),"100 Free")</f>
        <v>100 Free</v>
      </c>
      <c r="B183" s="3" t="str">
        <f>IFERROR(__xludf.DUMMYFUNCTION("""COMPUTED_VALUE"""),"200 Breast")</f>
        <v>200 Breast</v>
      </c>
      <c r="C183" s="3"/>
      <c r="D183" s="3"/>
      <c r="E183" s="3"/>
      <c r="F183" s="3"/>
    </row>
    <row r="184">
      <c r="A184" s="3" t="str">
        <f>IFERROR(__xludf.DUMMYFUNCTION("""COMPUTED_VALUE"""),"100 Free")</f>
        <v>100 Free</v>
      </c>
      <c r="B184" s="3" t="str">
        <f>IFERROR(__xludf.DUMMYFUNCTION("""COMPUTED_VALUE"""),"100 Breast")</f>
        <v>100 Breast</v>
      </c>
      <c r="C184" s="3" t="str">
        <f>IFERROR(__xludf.DUMMYFUNCTION("""COMPUTED_VALUE"""),"200 Breast")</f>
        <v>200 Breast</v>
      </c>
      <c r="D184" s="3" t="str">
        <f>IFERROR(__xludf.DUMMYFUNCTION("""COMPUTED_VALUE"""),"100 Fly")</f>
        <v>100 Fly</v>
      </c>
      <c r="E184" s="3" t="str">
        <f>IFERROR(__xludf.DUMMYFUNCTION("""COMPUTED_VALUE"""),"200 Fly")</f>
        <v>200 Fly</v>
      </c>
      <c r="F184" s="3" t="str">
        <f>IFERROR(__xludf.DUMMYFUNCTION("""COMPUTED_VALUE"""),"200 IM")</f>
        <v>200 IM</v>
      </c>
    </row>
    <row r="185">
      <c r="A185" s="3" t="str">
        <f>IFERROR(__xludf.DUMMYFUNCTION("""COMPUTED_VALUE"""),"100 Free")</f>
        <v>100 Free</v>
      </c>
      <c r="B185" s="3" t="str">
        <f>IFERROR(__xludf.DUMMYFUNCTION("""COMPUTED_VALUE"""),"100 Back")</f>
        <v>100 Back</v>
      </c>
      <c r="C185" s="3" t="str">
        <f>IFERROR(__xludf.DUMMYFUNCTION("""COMPUTED_VALUE"""),"200 Back")</f>
        <v>200 Back</v>
      </c>
      <c r="D185" s="3"/>
      <c r="E185" s="3"/>
      <c r="F185" s="3"/>
    </row>
    <row r="186">
      <c r="A186" s="3" t="str">
        <f>IFERROR(__xludf.DUMMYFUNCTION("""COMPUTED_VALUE"""),"100 Free")</f>
        <v>100 Free</v>
      </c>
      <c r="B186" s="3" t="str">
        <f>IFERROR(__xludf.DUMMYFUNCTION("""COMPUTED_VALUE"""),"200 Free")</f>
        <v>200 Free</v>
      </c>
      <c r="C186" s="3" t="str">
        <f>IFERROR(__xludf.DUMMYFUNCTION("""COMPUTED_VALUE"""),"100 Breast")</f>
        <v>100 Breast</v>
      </c>
      <c r="D186" s="3" t="str">
        <f>IFERROR(__xludf.DUMMYFUNCTION("""COMPUTED_VALUE"""),"200 IM")</f>
        <v>200 IM</v>
      </c>
      <c r="E186" s="3"/>
      <c r="F186" s="3"/>
    </row>
    <row r="187">
      <c r="A187" s="3" t="str">
        <f>IFERROR(__xludf.DUMMYFUNCTION("""COMPUTED_VALUE"""),"200 Free")</f>
        <v>200 Free</v>
      </c>
      <c r="B187" s="3" t="str">
        <f>IFERROR(__xludf.DUMMYFUNCTION("""COMPUTED_VALUE"""),"100 Back")</f>
        <v>100 Back</v>
      </c>
      <c r="C187" s="3" t="str">
        <f>IFERROR(__xludf.DUMMYFUNCTION("""COMPUTED_VALUE"""),"200 Back")</f>
        <v>200 Back</v>
      </c>
      <c r="D187" s="3" t="str">
        <f>IFERROR(__xludf.DUMMYFUNCTION("""COMPUTED_VALUE"""),"100 Fly")</f>
        <v>100 Fly</v>
      </c>
      <c r="E187" s="3" t="str">
        <f>IFERROR(__xludf.DUMMYFUNCTION("""COMPUTED_VALUE"""),"200 Fly")</f>
        <v>200 Fly</v>
      </c>
      <c r="F187" s="3" t="str">
        <f>IFERROR(__xludf.DUMMYFUNCTION("""COMPUTED_VALUE"""),"200 IM")</f>
        <v>200 IM</v>
      </c>
    </row>
    <row r="188">
      <c r="A188" s="3" t="str">
        <f>IFERROR(__xludf.DUMMYFUNCTION("""COMPUTED_VALUE"""),"200 Free")</f>
        <v>200 Free</v>
      </c>
      <c r="B188" s="3" t="str">
        <f>IFERROR(__xludf.DUMMYFUNCTION("""COMPUTED_VALUE"""),"500 Free")</f>
        <v>500 Free</v>
      </c>
      <c r="C188" s="3" t="str">
        <f>IFERROR(__xludf.DUMMYFUNCTION("""COMPUTED_VALUE"""),"100 Back")</f>
        <v>100 Back</v>
      </c>
      <c r="D188" s="3" t="str">
        <f>IFERROR(__xludf.DUMMYFUNCTION("""COMPUTED_VALUE"""),"200 Back")</f>
        <v>200 Back</v>
      </c>
      <c r="E188" s="3" t="str">
        <f>IFERROR(__xludf.DUMMYFUNCTION("""COMPUTED_VALUE"""),"200 IM")</f>
        <v>200 IM</v>
      </c>
      <c r="F188" s="3" t="str">
        <f>IFERROR(__xludf.DUMMYFUNCTION("""COMPUTED_VALUE"""),"400 IM")</f>
        <v>400 IM</v>
      </c>
    </row>
    <row r="189">
      <c r="A189" s="3" t="str">
        <f>IFERROR(__xludf.DUMMYFUNCTION("""COMPUTED_VALUE"""),"200 Free")</f>
        <v>200 Free</v>
      </c>
      <c r="B189" s="3" t="str">
        <f>IFERROR(__xludf.DUMMYFUNCTION("""COMPUTED_VALUE"""),"500 Free")</f>
        <v>500 Free</v>
      </c>
      <c r="C189" s="3" t="str">
        <f>IFERROR(__xludf.DUMMYFUNCTION("""COMPUTED_VALUE"""),"200 Back")</f>
        <v>200 Back</v>
      </c>
      <c r="D189" s="3" t="str">
        <f>IFERROR(__xludf.DUMMYFUNCTION("""COMPUTED_VALUE"""),"200 Fly")</f>
        <v>200 Fly</v>
      </c>
      <c r="E189" s="3" t="str">
        <f>IFERROR(__xludf.DUMMYFUNCTION("""COMPUTED_VALUE"""),"200 IM")</f>
        <v>200 IM</v>
      </c>
      <c r="F189" s="3" t="str">
        <f>IFERROR(__xludf.DUMMYFUNCTION("""COMPUTED_VALUE"""),"400 IM")</f>
        <v>400 IM</v>
      </c>
    </row>
    <row r="190">
      <c r="A190" s="3" t="str">
        <f>IFERROR(__xludf.DUMMYFUNCTION("""COMPUTED_VALUE"""),"200 Free")</f>
        <v>200 Free</v>
      </c>
      <c r="B190" s="3" t="str">
        <f>IFERROR(__xludf.DUMMYFUNCTION("""COMPUTED_VALUE"""),"100 Back")</f>
        <v>100 Back</v>
      </c>
      <c r="C190" s="3" t="str">
        <f>IFERROR(__xludf.DUMMYFUNCTION("""COMPUTED_VALUE"""),"200 Back")</f>
        <v>200 Back</v>
      </c>
      <c r="D190" s="3" t="str">
        <f>IFERROR(__xludf.DUMMYFUNCTION("""COMPUTED_VALUE"""),"200 Fly")</f>
        <v>200 Fly</v>
      </c>
      <c r="E190" s="3" t="str">
        <f>IFERROR(__xludf.DUMMYFUNCTION("""COMPUTED_VALUE"""),"200 IM")</f>
        <v>200 IM</v>
      </c>
      <c r="F190" s="3" t="str">
        <f>IFERROR(__xludf.DUMMYFUNCTION("""COMPUTED_VALUE"""),"400 IM")</f>
        <v>400 IM</v>
      </c>
    </row>
    <row r="191">
      <c r="A191" s="3" t="str">
        <f>IFERROR(__xludf.DUMMYFUNCTION("""COMPUTED_VALUE"""),"200 Free")</f>
        <v>200 Free</v>
      </c>
      <c r="B191" s="3" t="str">
        <f>IFERROR(__xludf.DUMMYFUNCTION("""COMPUTED_VALUE"""),"500 Free")</f>
        <v>500 Free</v>
      </c>
      <c r="C191" s="3" t="str">
        <f>IFERROR(__xludf.DUMMYFUNCTION("""COMPUTED_VALUE"""),"1650 Free")</f>
        <v>1650 Free</v>
      </c>
      <c r="D191" s="3" t="str">
        <f>IFERROR(__xludf.DUMMYFUNCTION("""COMPUTED_VALUE"""),"200 Fly")</f>
        <v>200 Fly</v>
      </c>
      <c r="E191" s="3" t="str">
        <f>IFERROR(__xludf.DUMMYFUNCTION("""COMPUTED_VALUE"""),"200 IM")</f>
        <v>200 IM</v>
      </c>
      <c r="F191" s="3" t="str">
        <f>IFERROR(__xludf.DUMMYFUNCTION("""COMPUTED_VALUE"""),"1000 Free")</f>
        <v>1000 Free</v>
      </c>
    </row>
    <row r="192">
      <c r="A192" s="3" t="str">
        <f>IFERROR(__xludf.DUMMYFUNCTION("""COMPUTED_VALUE"""),"200 Free")</f>
        <v>200 Free</v>
      </c>
      <c r="B192" s="3" t="str">
        <f>IFERROR(__xludf.DUMMYFUNCTION("""COMPUTED_VALUE"""),"100 Back")</f>
        <v>100 Back</v>
      </c>
      <c r="C192" s="3" t="str">
        <f>IFERROR(__xludf.DUMMYFUNCTION("""COMPUTED_VALUE"""),"200 Back")</f>
        <v>200 Back</v>
      </c>
      <c r="D192" s="3" t="str">
        <f>IFERROR(__xludf.DUMMYFUNCTION("""COMPUTED_VALUE"""),"100 Fly")</f>
        <v>100 Fly</v>
      </c>
      <c r="E192" s="3" t="str">
        <f>IFERROR(__xludf.DUMMYFUNCTION("""COMPUTED_VALUE"""),"200 Fly")</f>
        <v>200 Fly</v>
      </c>
      <c r="F192" s="3" t="str">
        <f>IFERROR(__xludf.DUMMYFUNCTION("""COMPUTED_VALUE"""),"200 IM")</f>
        <v>200 IM</v>
      </c>
    </row>
    <row r="193">
      <c r="A193" s="3" t="str">
        <f>IFERROR(__xludf.DUMMYFUNCTION("""COMPUTED_VALUE"""),"200 Free")</f>
        <v>200 Free</v>
      </c>
      <c r="B193" s="3" t="str">
        <f>IFERROR(__xludf.DUMMYFUNCTION("""COMPUTED_VALUE"""),"500 Free")</f>
        <v>500 Free</v>
      </c>
      <c r="C193" s="3" t="str">
        <f>IFERROR(__xludf.DUMMYFUNCTION("""COMPUTED_VALUE"""),"1650 Free")</f>
        <v>1650 Free</v>
      </c>
      <c r="D193" s="3" t="str">
        <f>IFERROR(__xludf.DUMMYFUNCTION("""COMPUTED_VALUE"""),"100 Breast")</f>
        <v>100 Breast</v>
      </c>
      <c r="E193" s="3" t="str">
        <f>IFERROR(__xludf.DUMMYFUNCTION("""COMPUTED_VALUE"""),"200 Breast")</f>
        <v>200 Breast</v>
      </c>
      <c r="F193" s="3" t="str">
        <f>IFERROR(__xludf.DUMMYFUNCTION("""COMPUTED_VALUE"""),"1000 Free")</f>
        <v>1000 Free</v>
      </c>
    </row>
    <row r="194">
      <c r="A194" s="3" t="str">
        <f>IFERROR(__xludf.DUMMYFUNCTION("""COMPUTED_VALUE"""),"200 Free")</f>
        <v>200 Free</v>
      </c>
      <c r="B194" s="3" t="str">
        <f>IFERROR(__xludf.DUMMYFUNCTION("""COMPUTED_VALUE"""),"500 Free")</f>
        <v>500 Free</v>
      </c>
      <c r="C194" s="3" t="str">
        <f>IFERROR(__xludf.DUMMYFUNCTION("""COMPUTED_VALUE"""),"200 Back")</f>
        <v>200 Back</v>
      </c>
      <c r="D194" s="3" t="str">
        <f>IFERROR(__xludf.DUMMYFUNCTION("""COMPUTED_VALUE"""),"200 Fly")</f>
        <v>200 Fly</v>
      </c>
      <c r="E194" s="3" t="str">
        <f>IFERROR(__xludf.DUMMYFUNCTION("""COMPUTED_VALUE"""),"400 IM")</f>
        <v>400 IM</v>
      </c>
      <c r="F194" s="3" t="str">
        <f>IFERROR(__xludf.DUMMYFUNCTION("""COMPUTED_VALUE"""),"1000 Free")</f>
        <v>1000 Free</v>
      </c>
    </row>
    <row r="195">
      <c r="A195" s="3" t="str">
        <f>IFERROR(__xludf.DUMMYFUNCTION("""COMPUTED_VALUE"""),"200 Free")</f>
        <v>200 Free</v>
      </c>
      <c r="B195" s="3" t="str">
        <f>IFERROR(__xludf.DUMMYFUNCTION("""COMPUTED_VALUE"""),"500 Free")</f>
        <v>500 Free</v>
      </c>
      <c r="C195" s="3" t="str">
        <f>IFERROR(__xludf.DUMMYFUNCTION("""COMPUTED_VALUE"""),"1650 Free")</f>
        <v>1650 Free</v>
      </c>
      <c r="D195" s="3" t="str">
        <f>IFERROR(__xludf.DUMMYFUNCTION("""COMPUTED_VALUE"""),"200 Back")</f>
        <v>200 Back</v>
      </c>
      <c r="E195" s="3" t="str">
        <f>IFERROR(__xludf.DUMMYFUNCTION("""COMPUTED_VALUE"""),"400 IM")</f>
        <v>400 IM</v>
      </c>
      <c r="F195" s="3" t="str">
        <f>IFERROR(__xludf.DUMMYFUNCTION("""COMPUTED_VALUE"""),"1000 Free")</f>
        <v>1000 Free</v>
      </c>
    </row>
    <row r="196">
      <c r="A196" s="3" t="str">
        <f>IFERROR(__xludf.DUMMYFUNCTION("""COMPUTED_VALUE"""),"200 Free")</f>
        <v>200 Free</v>
      </c>
      <c r="B196" s="3" t="str">
        <f>IFERROR(__xludf.DUMMYFUNCTION("""COMPUTED_VALUE"""),"500 Free")</f>
        <v>500 Free</v>
      </c>
      <c r="C196" s="3" t="str">
        <f>IFERROR(__xludf.DUMMYFUNCTION("""COMPUTED_VALUE"""),"1650 Free")</f>
        <v>1650 Free</v>
      </c>
      <c r="D196" s="3" t="str">
        <f>IFERROR(__xludf.DUMMYFUNCTION("""COMPUTED_VALUE"""),"200 Back")</f>
        <v>200 Back</v>
      </c>
      <c r="E196" s="3" t="str">
        <f>IFERROR(__xludf.DUMMYFUNCTION("""COMPUTED_VALUE"""),"200 Fly")</f>
        <v>200 Fly</v>
      </c>
      <c r="F196" s="3" t="str">
        <f>IFERROR(__xludf.DUMMYFUNCTION("""COMPUTED_VALUE"""),"400 IM")</f>
        <v>400 IM</v>
      </c>
    </row>
    <row r="197">
      <c r="A197" s="3" t="str">
        <f>IFERROR(__xludf.DUMMYFUNCTION("""COMPUTED_VALUE"""),"200 Free")</f>
        <v>200 Free</v>
      </c>
      <c r="B197" s="3" t="str">
        <f>IFERROR(__xludf.DUMMYFUNCTION("""COMPUTED_VALUE"""),"100 Fly")</f>
        <v>100 Fly</v>
      </c>
      <c r="C197" s="3"/>
      <c r="D197" s="3"/>
      <c r="E197" s="3"/>
      <c r="F197" s="3"/>
    </row>
    <row r="198">
      <c r="A198" s="3" t="str">
        <f>IFERROR(__xludf.DUMMYFUNCTION("""COMPUTED_VALUE"""),"200 Free")</f>
        <v>200 Free</v>
      </c>
      <c r="B198" s="3" t="str">
        <f>IFERROR(__xludf.DUMMYFUNCTION("""COMPUTED_VALUE"""),"500 Free")</f>
        <v>500 Free</v>
      </c>
      <c r="C198" s="3" t="str">
        <f>IFERROR(__xludf.DUMMYFUNCTION("""COMPUTED_VALUE"""),"1650 Free")</f>
        <v>1650 Free</v>
      </c>
      <c r="D198" s="3" t="str">
        <f>IFERROR(__xludf.DUMMYFUNCTION("""COMPUTED_VALUE"""),"100 Back")</f>
        <v>100 Back</v>
      </c>
      <c r="E198" s="3" t="str">
        <f>IFERROR(__xludf.DUMMYFUNCTION("""COMPUTED_VALUE"""),"200 Back")</f>
        <v>200 Back</v>
      </c>
      <c r="F198" s="3" t="str">
        <f>IFERROR(__xludf.DUMMYFUNCTION("""COMPUTED_VALUE"""),"400 IM")</f>
        <v>400 IM</v>
      </c>
    </row>
    <row r="199">
      <c r="A199" s="3" t="str">
        <f>IFERROR(__xludf.DUMMYFUNCTION("""COMPUTED_VALUE"""),"200 Free")</f>
        <v>200 Free</v>
      </c>
      <c r="B199" s="3" t="str">
        <f>IFERROR(__xludf.DUMMYFUNCTION("""COMPUTED_VALUE"""),"100 Back")</f>
        <v>100 Back</v>
      </c>
      <c r="C199" s="3" t="str">
        <f>IFERROR(__xludf.DUMMYFUNCTION("""COMPUTED_VALUE"""),"200 Back")</f>
        <v>200 Back</v>
      </c>
      <c r="D199" s="3" t="str">
        <f>IFERROR(__xludf.DUMMYFUNCTION("""COMPUTED_VALUE"""),"100 Breast")</f>
        <v>100 Breast</v>
      </c>
      <c r="E199" s="3" t="str">
        <f>IFERROR(__xludf.DUMMYFUNCTION("""COMPUTED_VALUE"""),"200 Breast")</f>
        <v>200 Breast</v>
      </c>
      <c r="F199" s="3" t="str">
        <f>IFERROR(__xludf.DUMMYFUNCTION("""COMPUTED_VALUE"""),"200 IM")</f>
        <v>200 IM</v>
      </c>
    </row>
    <row r="200">
      <c r="A200" s="3" t="str">
        <f>IFERROR(__xludf.DUMMYFUNCTION("""COMPUTED_VALUE"""),"200 Free")</f>
        <v>200 Free</v>
      </c>
      <c r="B200" s="3" t="str">
        <f>IFERROR(__xludf.DUMMYFUNCTION("""COMPUTED_VALUE"""),"500 Free")</f>
        <v>500 Free</v>
      </c>
      <c r="C200" s="3" t="str">
        <f>IFERROR(__xludf.DUMMYFUNCTION("""COMPUTED_VALUE"""),"1650 Free")</f>
        <v>1650 Free</v>
      </c>
      <c r="D200" s="3" t="str">
        <f>IFERROR(__xludf.DUMMYFUNCTION("""COMPUTED_VALUE"""),"200 Back")</f>
        <v>200 Back</v>
      </c>
      <c r="E200" s="3" t="str">
        <f>IFERROR(__xludf.DUMMYFUNCTION("""COMPUTED_VALUE"""),"400 IM")</f>
        <v>400 IM</v>
      </c>
      <c r="F200" s="3" t="str">
        <f>IFERROR(__xludf.DUMMYFUNCTION("""COMPUTED_VALUE"""),"1000 Free")</f>
        <v>1000 Free</v>
      </c>
    </row>
    <row r="201">
      <c r="A201" s="3" t="str">
        <f>IFERROR(__xludf.DUMMYFUNCTION("""COMPUTED_VALUE"""),"200 Free")</f>
        <v>200 Free</v>
      </c>
      <c r="B201" s="3" t="str">
        <f>IFERROR(__xludf.DUMMYFUNCTION("""COMPUTED_VALUE"""),"100 Back")</f>
        <v>100 Back</v>
      </c>
      <c r="C201" s="3" t="str">
        <f>IFERROR(__xludf.DUMMYFUNCTION("""COMPUTED_VALUE"""),"200 Back")</f>
        <v>200 Back</v>
      </c>
      <c r="D201" s="3" t="str">
        <f>IFERROR(__xludf.DUMMYFUNCTION("""COMPUTED_VALUE"""),"100 Breast")</f>
        <v>100 Breast</v>
      </c>
      <c r="E201" s="3"/>
      <c r="F201" s="3"/>
    </row>
    <row r="202">
      <c r="A202" s="3" t="str">
        <f>IFERROR(__xludf.DUMMYFUNCTION("""COMPUTED_VALUE"""),"200 Free")</f>
        <v>200 Free</v>
      </c>
      <c r="B202" s="3" t="str">
        <f>IFERROR(__xludf.DUMMYFUNCTION("""COMPUTED_VALUE"""),"100 Back")</f>
        <v>100 Back</v>
      </c>
      <c r="C202" s="3" t="str">
        <f>IFERROR(__xludf.DUMMYFUNCTION("""COMPUTED_VALUE"""),"200 Back")</f>
        <v>200 Back</v>
      </c>
      <c r="D202" s="3" t="str">
        <f>IFERROR(__xludf.DUMMYFUNCTION("""COMPUTED_VALUE"""),"100 Fly")</f>
        <v>100 Fly</v>
      </c>
      <c r="E202" s="3" t="str">
        <f>IFERROR(__xludf.DUMMYFUNCTION("""COMPUTED_VALUE"""),"200 Fly")</f>
        <v>200 Fly</v>
      </c>
      <c r="F202" s="3" t="str">
        <f>IFERROR(__xludf.DUMMYFUNCTION("""COMPUTED_VALUE"""),"200 IM")</f>
        <v>200 IM</v>
      </c>
    </row>
    <row r="203">
      <c r="A203" s="3" t="str">
        <f>IFERROR(__xludf.DUMMYFUNCTION("""COMPUTED_VALUE"""),"200 Free")</f>
        <v>200 Free</v>
      </c>
      <c r="B203" s="3" t="str">
        <f>IFERROR(__xludf.DUMMYFUNCTION("""COMPUTED_VALUE"""),"100 Back")</f>
        <v>100 Back</v>
      </c>
      <c r="C203" s="3" t="str">
        <f>IFERROR(__xludf.DUMMYFUNCTION("""COMPUTED_VALUE"""),"200 Back")</f>
        <v>200 Back</v>
      </c>
      <c r="D203" s="3" t="str">
        <f>IFERROR(__xludf.DUMMYFUNCTION("""COMPUTED_VALUE"""),"100 Fly")</f>
        <v>100 Fly</v>
      </c>
      <c r="E203" s="3" t="str">
        <f>IFERROR(__xludf.DUMMYFUNCTION("""COMPUTED_VALUE"""),"200 Fly")</f>
        <v>200 Fly</v>
      </c>
      <c r="F203" s="3" t="str">
        <f>IFERROR(__xludf.DUMMYFUNCTION("""COMPUTED_VALUE"""),"200 IM")</f>
        <v>200 IM</v>
      </c>
    </row>
    <row r="204">
      <c r="A204" s="3" t="str">
        <f>IFERROR(__xludf.DUMMYFUNCTION("""COMPUTED_VALUE"""),"200 Free")</f>
        <v>200 Free</v>
      </c>
      <c r="B204" s="3" t="str">
        <f>IFERROR(__xludf.DUMMYFUNCTION("""COMPUTED_VALUE"""),"500 Free")</f>
        <v>500 Free</v>
      </c>
      <c r="C204" s="3" t="str">
        <f>IFERROR(__xludf.DUMMYFUNCTION("""COMPUTED_VALUE"""),"1650 Free")</f>
        <v>1650 Free</v>
      </c>
      <c r="D204" s="3" t="str">
        <f>IFERROR(__xludf.DUMMYFUNCTION("""COMPUTED_VALUE"""),"100 Back")</f>
        <v>100 Back</v>
      </c>
      <c r="E204" s="3" t="str">
        <f>IFERROR(__xludf.DUMMYFUNCTION("""COMPUTED_VALUE"""),"200 Back")</f>
        <v>200 Back</v>
      </c>
      <c r="F204" s="3" t="str">
        <f>IFERROR(__xludf.DUMMYFUNCTION("""COMPUTED_VALUE"""),"200 Fly")</f>
        <v>200 Fly</v>
      </c>
    </row>
    <row r="205">
      <c r="A205" s="3" t="str">
        <f>IFERROR(__xludf.DUMMYFUNCTION("""COMPUTED_VALUE"""),"200 Free")</f>
        <v>200 Free</v>
      </c>
      <c r="B205" s="3" t="str">
        <f>IFERROR(__xludf.DUMMYFUNCTION("""COMPUTED_VALUE"""),"500 Free")</f>
        <v>500 Free</v>
      </c>
      <c r="C205" s="3" t="str">
        <f>IFERROR(__xludf.DUMMYFUNCTION("""COMPUTED_VALUE"""),"1650 Free")</f>
        <v>1650 Free</v>
      </c>
      <c r="D205" s="3" t="str">
        <f>IFERROR(__xludf.DUMMYFUNCTION("""COMPUTED_VALUE"""),"200 Back")</f>
        <v>200 Back</v>
      </c>
      <c r="E205" s="3" t="str">
        <f>IFERROR(__xludf.DUMMYFUNCTION("""COMPUTED_VALUE"""),"400 IM")</f>
        <v>400 IM</v>
      </c>
      <c r="F205" s="3" t="str">
        <f>IFERROR(__xludf.DUMMYFUNCTION("""COMPUTED_VALUE"""),"1000 Free")</f>
        <v>1000 Free</v>
      </c>
    </row>
    <row r="206">
      <c r="A206" s="3" t="str">
        <f>IFERROR(__xludf.DUMMYFUNCTION("""COMPUTED_VALUE"""),"200 Free")</f>
        <v>200 Free</v>
      </c>
      <c r="B206" s="3" t="str">
        <f>IFERROR(__xludf.DUMMYFUNCTION("""COMPUTED_VALUE"""),"500 Free")</f>
        <v>500 Free</v>
      </c>
      <c r="C206" s="3" t="str">
        <f>IFERROR(__xludf.DUMMYFUNCTION("""COMPUTED_VALUE"""),"1650 Free")</f>
        <v>1650 Free</v>
      </c>
      <c r="D206" s="3" t="str">
        <f>IFERROR(__xludf.DUMMYFUNCTION("""COMPUTED_VALUE"""),"100 Back")</f>
        <v>100 Back</v>
      </c>
      <c r="E206" s="3" t="str">
        <f>IFERROR(__xludf.DUMMYFUNCTION("""COMPUTED_VALUE"""),"100 Fly")</f>
        <v>100 Fly</v>
      </c>
      <c r="F206" s="3" t="str">
        <f>IFERROR(__xludf.DUMMYFUNCTION("""COMPUTED_VALUE"""),"1000 Free")</f>
        <v>1000 Free</v>
      </c>
    </row>
    <row r="207">
      <c r="A207" s="3" t="str">
        <f>IFERROR(__xludf.DUMMYFUNCTION("""COMPUTED_VALUE"""),"200 Free")</f>
        <v>200 Free</v>
      </c>
      <c r="B207" s="3" t="str">
        <f>IFERROR(__xludf.DUMMYFUNCTION("""COMPUTED_VALUE"""),"500 Free")</f>
        <v>500 Free</v>
      </c>
      <c r="C207" s="3" t="str">
        <f>IFERROR(__xludf.DUMMYFUNCTION("""COMPUTED_VALUE"""),"1650 Free")</f>
        <v>1650 Free</v>
      </c>
      <c r="D207" s="3" t="str">
        <f>IFERROR(__xludf.DUMMYFUNCTION("""COMPUTED_VALUE"""),"200 Back")</f>
        <v>200 Back</v>
      </c>
      <c r="E207" s="3" t="str">
        <f>IFERROR(__xludf.DUMMYFUNCTION("""COMPUTED_VALUE"""),"400 IM")</f>
        <v>400 IM</v>
      </c>
      <c r="F207" s="3" t="str">
        <f>IFERROR(__xludf.DUMMYFUNCTION("""COMPUTED_VALUE"""),"1000 Free")</f>
        <v>1000 Free</v>
      </c>
    </row>
    <row r="208">
      <c r="A208" s="3" t="str">
        <f>IFERROR(__xludf.DUMMYFUNCTION("""COMPUTED_VALUE"""),"200 Free")</f>
        <v>200 Free</v>
      </c>
      <c r="B208" s="3" t="str">
        <f>IFERROR(__xludf.DUMMYFUNCTION("""COMPUTED_VALUE"""),"100 Breast")</f>
        <v>100 Breast</v>
      </c>
      <c r="C208" s="3" t="str">
        <f>IFERROR(__xludf.DUMMYFUNCTION("""COMPUTED_VALUE"""),"200 Breast")</f>
        <v>200 Breast</v>
      </c>
      <c r="D208" s="3" t="str">
        <f>IFERROR(__xludf.DUMMYFUNCTION("""COMPUTED_VALUE"""),"200 Fly")</f>
        <v>200 Fly</v>
      </c>
      <c r="E208" s="3" t="str">
        <f>IFERROR(__xludf.DUMMYFUNCTION("""COMPUTED_VALUE"""),"200 IM")</f>
        <v>200 IM</v>
      </c>
      <c r="F208" s="3" t="str">
        <f>IFERROR(__xludf.DUMMYFUNCTION("""COMPUTED_VALUE"""),"400 IM")</f>
        <v>400 IM</v>
      </c>
    </row>
    <row r="209">
      <c r="A209" s="3" t="str">
        <f>IFERROR(__xludf.DUMMYFUNCTION("""COMPUTED_VALUE"""),"200 Free")</f>
        <v>200 Free</v>
      </c>
      <c r="B209" s="3" t="str">
        <f>IFERROR(__xludf.DUMMYFUNCTION("""COMPUTED_VALUE"""),"1650 Free")</f>
        <v>1650 Free</v>
      </c>
      <c r="C209" s="3" t="str">
        <f>IFERROR(__xludf.DUMMYFUNCTION("""COMPUTED_VALUE"""),"200 Back")</f>
        <v>200 Back</v>
      </c>
      <c r="D209" s="3" t="str">
        <f>IFERROR(__xludf.DUMMYFUNCTION("""COMPUTED_VALUE"""),"100 Fly")</f>
        <v>100 Fly</v>
      </c>
      <c r="E209" s="3" t="str">
        <f>IFERROR(__xludf.DUMMYFUNCTION("""COMPUTED_VALUE"""),"200 Fly")</f>
        <v>200 Fly</v>
      </c>
      <c r="F209" s="3" t="str">
        <f>IFERROR(__xludf.DUMMYFUNCTION("""COMPUTED_VALUE"""),"1000 Free")</f>
        <v>1000 Free</v>
      </c>
    </row>
    <row r="210">
      <c r="A210" s="3" t="str">
        <f>IFERROR(__xludf.DUMMYFUNCTION("""COMPUTED_VALUE"""),"200 Free")</f>
        <v>200 Free</v>
      </c>
      <c r="B210" s="3" t="str">
        <f>IFERROR(__xludf.DUMMYFUNCTION("""COMPUTED_VALUE"""),"100 Back")</f>
        <v>100 Back</v>
      </c>
      <c r="C210" s="3" t="str">
        <f>IFERROR(__xludf.DUMMYFUNCTION("""COMPUTED_VALUE"""),"200 Back")</f>
        <v>200 Back</v>
      </c>
      <c r="D210" s="3"/>
      <c r="E210" s="3"/>
      <c r="F210" s="3"/>
    </row>
    <row r="211">
      <c r="A211" s="3" t="str">
        <f>IFERROR(__xludf.DUMMYFUNCTION("""COMPUTED_VALUE"""),"200 Free")</f>
        <v>200 Free</v>
      </c>
      <c r="B211" s="3" t="str">
        <f>IFERROR(__xludf.DUMMYFUNCTION("""COMPUTED_VALUE"""),"500 Free")</f>
        <v>500 Free</v>
      </c>
      <c r="C211" s="3" t="str">
        <f>IFERROR(__xludf.DUMMYFUNCTION("""COMPUTED_VALUE"""),"1650 Free")</f>
        <v>1650 Free</v>
      </c>
      <c r="D211" s="3" t="str">
        <f>IFERROR(__xludf.DUMMYFUNCTION("""COMPUTED_VALUE"""),"1000 Free")</f>
        <v>1000 Free</v>
      </c>
      <c r="E211" s="3"/>
      <c r="F211" s="3"/>
    </row>
    <row r="212">
      <c r="A212" s="3" t="str">
        <f>IFERROR(__xludf.DUMMYFUNCTION("""COMPUTED_VALUE"""),"200 Free")</f>
        <v>200 Free</v>
      </c>
      <c r="B212" s="3" t="str">
        <f>IFERROR(__xludf.DUMMYFUNCTION("""COMPUTED_VALUE"""),"500 Free")</f>
        <v>500 Free</v>
      </c>
      <c r="C212" s="3" t="str">
        <f>IFERROR(__xludf.DUMMYFUNCTION("""COMPUTED_VALUE"""),"1650 Free")</f>
        <v>1650 Free</v>
      </c>
      <c r="D212" s="3" t="str">
        <f>IFERROR(__xludf.DUMMYFUNCTION("""COMPUTED_VALUE"""),"100 Fly")</f>
        <v>100 Fly</v>
      </c>
      <c r="E212" s="3" t="str">
        <f>IFERROR(__xludf.DUMMYFUNCTION("""COMPUTED_VALUE"""),"200 Fly")</f>
        <v>200 Fly</v>
      </c>
      <c r="F212" s="3" t="str">
        <f>IFERROR(__xludf.DUMMYFUNCTION("""COMPUTED_VALUE"""),"1000 Free")</f>
        <v>1000 Free</v>
      </c>
    </row>
    <row r="213">
      <c r="A213" s="3" t="str">
        <f>IFERROR(__xludf.DUMMYFUNCTION("""COMPUTED_VALUE"""),"200 Free")</f>
        <v>200 Free</v>
      </c>
      <c r="B213" s="3" t="str">
        <f>IFERROR(__xludf.DUMMYFUNCTION("""COMPUTED_VALUE"""),"100 Back")</f>
        <v>100 Back</v>
      </c>
      <c r="C213" s="3" t="str">
        <f>IFERROR(__xludf.DUMMYFUNCTION("""COMPUTED_VALUE"""),"200 Back")</f>
        <v>200 Back</v>
      </c>
      <c r="D213" s="3" t="str">
        <f>IFERROR(__xludf.DUMMYFUNCTION("""COMPUTED_VALUE"""),"400 IM")</f>
        <v>400 IM</v>
      </c>
      <c r="E213" s="3"/>
      <c r="F213" s="3"/>
    </row>
    <row r="214">
      <c r="A214" s="3" t="str">
        <f>IFERROR(__xludf.DUMMYFUNCTION("""COMPUTED_VALUE"""),"200 Free")</f>
        <v>200 Free</v>
      </c>
      <c r="B214" s="3"/>
      <c r="C214" s="3"/>
      <c r="D214" s="3"/>
      <c r="E214" s="3"/>
      <c r="F214" s="3"/>
    </row>
    <row r="215">
      <c r="A215" s="3" t="str">
        <f>IFERROR(__xludf.DUMMYFUNCTION("""COMPUTED_VALUE"""),"500 Free")</f>
        <v>500 Free</v>
      </c>
      <c r="B215" s="3" t="str">
        <f>IFERROR(__xludf.DUMMYFUNCTION("""COMPUTED_VALUE"""),"200 Back")</f>
        <v>200 Back</v>
      </c>
      <c r="C215" s="3" t="str">
        <f>IFERROR(__xludf.DUMMYFUNCTION("""COMPUTED_VALUE"""),"100 Breast")</f>
        <v>100 Breast</v>
      </c>
      <c r="D215" s="3" t="str">
        <f>IFERROR(__xludf.DUMMYFUNCTION("""COMPUTED_VALUE"""),"200 Fly")</f>
        <v>200 Fly</v>
      </c>
      <c r="E215" s="3" t="str">
        <f>IFERROR(__xludf.DUMMYFUNCTION("""COMPUTED_VALUE"""),"200 IM")</f>
        <v>200 IM</v>
      </c>
      <c r="F215" s="3" t="str">
        <f>IFERROR(__xludf.DUMMYFUNCTION("""COMPUTED_VALUE"""),"400 IM")</f>
        <v>400 IM</v>
      </c>
    </row>
    <row r="216">
      <c r="A216" s="3" t="str">
        <f>IFERROR(__xludf.DUMMYFUNCTION("""COMPUTED_VALUE"""),"500 Free")</f>
        <v>500 Free</v>
      </c>
      <c r="B216" s="3" t="str">
        <f>IFERROR(__xludf.DUMMYFUNCTION("""COMPUTED_VALUE"""),"200 Back")</f>
        <v>200 Back</v>
      </c>
      <c r="C216" s="3" t="str">
        <f>IFERROR(__xludf.DUMMYFUNCTION("""COMPUTED_VALUE"""),"100 Fly")</f>
        <v>100 Fly</v>
      </c>
      <c r="D216" s="3" t="str">
        <f>IFERROR(__xludf.DUMMYFUNCTION("""COMPUTED_VALUE"""),"200 Fly")</f>
        <v>200 Fly</v>
      </c>
      <c r="E216" s="3" t="str">
        <f>IFERROR(__xludf.DUMMYFUNCTION("""COMPUTED_VALUE"""),"200 IM")</f>
        <v>200 IM</v>
      </c>
      <c r="F216" s="3" t="str">
        <f>IFERROR(__xludf.DUMMYFUNCTION("""COMPUTED_VALUE"""),"400 IM")</f>
        <v>400 IM</v>
      </c>
    </row>
    <row r="217">
      <c r="A217" s="3" t="str">
        <f>IFERROR(__xludf.DUMMYFUNCTION("""COMPUTED_VALUE"""),"500 Free")</f>
        <v>500 Free</v>
      </c>
      <c r="B217" s="3" t="str">
        <f>IFERROR(__xludf.DUMMYFUNCTION("""COMPUTED_VALUE"""),"100 Breast")</f>
        <v>100 Breast</v>
      </c>
      <c r="C217" s="3" t="str">
        <f>IFERROR(__xludf.DUMMYFUNCTION("""COMPUTED_VALUE"""),"200 Breast")</f>
        <v>200 Breast</v>
      </c>
      <c r="D217" s="3" t="str">
        <f>IFERROR(__xludf.DUMMYFUNCTION("""COMPUTED_VALUE"""),"200 IM")</f>
        <v>200 IM</v>
      </c>
      <c r="E217" s="3" t="str">
        <f>IFERROR(__xludf.DUMMYFUNCTION("""COMPUTED_VALUE"""),"400 IM")</f>
        <v>400 IM</v>
      </c>
      <c r="F217" s="3" t="str">
        <f>IFERROR(__xludf.DUMMYFUNCTION("""COMPUTED_VALUE"""),"1000 Free")</f>
        <v>1000 Free</v>
      </c>
    </row>
    <row r="218">
      <c r="A218" s="3" t="str">
        <f>IFERROR(__xludf.DUMMYFUNCTION("""COMPUTED_VALUE"""),"500 Free")</f>
        <v>500 Free</v>
      </c>
      <c r="B218" s="3" t="str">
        <f>IFERROR(__xludf.DUMMYFUNCTION("""COMPUTED_VALUE"""),"1650 Free")</f>
        <v>1650 Free</v>
      </c>
      <c r="C218" s="3" t="str">
        <f>IFERROR(__xludf.DUMMYFUNCTION("""COMPUTED_VALUE"""),"100 Back")</f>
        <v>100 Back</v>
      </c>
      <c r="D218" s="3" t="str">
        <f>IFERROR(__xludf.DUMMYFUNCTION("""COMPUTED_VALUE"""),"200 Back")</f>
        <v>200 Back</v>
      </c>
      <c r="E218" s="3" t="str">
        <f>IFERROR(__xludf.DUMMYFUNCTION("""COMPUTED_VALUE"""),"200 IM")</f>
        <v>200 IM</v>
      </c>
      <c r="F218" s="3" t="str">
        <f>IFERROR(__xludf.DUMMYFUNCTION("""COMPUTED_VALUE"""),"400 IM")</f>
        <v>400 IM</v>
      </c>
    </row>
    <row r="219">
      <c r="A219" s="3" t="str">
        <f>IFERROR(__xludf.DUMMYFUNCTION("""COMPUTED_VALUE"""),"500 Free")</f>
        <v>500 Free</v>
      </c>
      <c r="B219" s="3" t="str">
        <f>IFERROR(__xludf.DUMMYFUNCTION("""COMPUTED_VALUE"""),"100 Breast")</f>
        <v>100 Breast</v>
      </c>
      <c r="C219" s="3" t="str">
        <f>IFERROR(__xludf.DUMMYFUNCTION("""COMPUTED_VALUE"""),"200 Breast")</f>
        <v>200 Breast</v>
      </c>
      <c r="D219" s="3" t="str">
        <f>IFERROR(__xludf.DUMMYFUNCTION("""COMPUTED_VALUE"""),"200 IM")</f>
        <v>200 IM</v>
      </c>
      <c r="E219" s="3" t="str">
        <f>IFERROR(__xludf.DUMMYFUNCTION("""COMPUTED_VALUE"""),"400 IM")</f>
        <v>400 IM</v>
      </c>
      <c r="F219" s="3" t="str">
        <f>IFERROR(__xludf.DUMMYFUNCTION("""COMPUTED_VALUE"""),"1000 Free")</f>
        <v>1000 Free</v>
      </c>
    </row>
    <row r="220">
      <c r="A220" s="3" t="str">
        <f>IFERROR(__xludf.DUMMYFUNCTION("""COMPUTED_VALUE"""),"500 Free")</f>
        <v>500 Free</v>
      </c>
      <c r="B220" s="3" t="str">
        <f>IFERROR(__xludf.DUMMYFUNCTION("""COMPUTED_VALUE"""),"1650 Free")</f>
        <v>1650 Free</v>
      </c>
      <c r="C220" s="3" t="str">
        <f>IFERROR(__xludf.DUMMYFUNCTION("""COMPUTED_VALUE"""),"200 Back")</f>
        <v>200 Back</v>
      </c>
      <c r="D220" s="3" t="str">
        <f>IFERROR(__xludf.DUMMYFUNCTION("""COMPUTED_VALUE"""),"100 Fly")</f>
        <v>100 Fly</v>
      </c>
      <c r="E220" s="3" t="str">
        <f>IFERROR(__xludf.DUMMYFUNCTION("""COMPUTED_VALUE"""),"200 Fly")</f>
        <v>200 Fly</v>
      </c>
      <c r="F220" s="3" t="str">
        <f>IFERROR(__xludf.DUMMYFUNCTION("""COMPUTED_VALUE"""),"1000 Free")</f>
        <v>1000 Free</v>
      </c>
    </row>
    <row r="221">
      <c r="A221" s="3" t="str">
        <f>IFERROR(__xludf.DUMMYFUNCTION("""COMPUTED_VALUE"""),"500 Free")</f>
        <v>500 Free</v>
      </c>
      <c r="B221" s="3" t="str">
        <f>IFERROR(__xludf.DUMMYFUNCTION("""COMPUTED_VALUE"""),"1650 Free")</f>
        <v>1650 Free</v>
      </c>
      <c r="C221" s="3" t="str">
        <f>IFERROR(__xludf.DUMMYFUNCTION("""COMPUTED_VALUE"""),"200 Fly")</f>
        <v>200 Fly</v>
      </c>
      <c r="D221" s="3" t="str">
        <f>IFERROR(__xludf.DUMMYFUNCTION("""COMPUTED_VALUE"""),"200 IM")</f>
        <v>200 IM</v>
      </c>
      <c r="E221" s="3" t="str">
        <f>IFERROR(__xludf.DUMMYFUNCTION("""COMPUTED_VALUE"""),"400 IM")</f>
        <v>400 IM</v>
      </c>
      <c r="F221" s="3" t="str">
        <f>IFERROR(__xludf.DUMMYFUNCTION("""COMPUTED_VALUE"""),"1000 Free")</f>
        <v>1000 Free</v>
      </c>
    </row>
    <row r="222">
      <c r="A222" s="3" t="str">
        <f>IFERROR(__xludf.DUMMYFUNCTION("""COMPUTED_VALUE"""),"500 Free")</f>
        <v>500 Free</v>
      </c>
      <c r="B222" s="3" t="str">
        <f>IFERROR(__xludf.DUMMYFUNCTION("""COMPUTED_VALUE"""),"200 Back")</f>
        <v>200 Back</v>
      </c>
      <c r="C222" s="3" t="str">
        <f>IFERROR(__xludf.DUMMYFUNCTION("""COMPUTED_VALUE"""),"100 Fly")</f>
        <v>100 Fly</v>
      </c>
      <c r="D222" s="3" t="str">
        <f>IFERROR(__xludf.DUMMYFUNCTION("""COMPUTED_VALUE"""),"200 Fly")</f>
        <v>200 Fly</v>
      </c>
      <c r="E222" s="3" t="str">
        <f>IFERROR(__xludf.DUMMYFUNCTION("""COMPUTED_VALUE"""),"200 IM")</f>
        <v>200 IM</v>
      </c>
      <c r="F222" s="3" t="str">
        <f>IFERROR(__xludf.DUMMYFUNCTION("""COMPUTED_VALUE"""),"400 IM")</f>
        <v>400 IM</v>
      </c>
    </row>
    <row r="223">
      <c r="A223" s="3" t="str">
        <f>IFERROR(__xludf.DUMMYFUNCTION("""COMPUTED_VALUE"""),"500 Free")</f>
        <v>500 Free</v>
      </c>
      <c r="B223" s="3" t="str">
        <f>IFERROR(__xludf.DUMMYFUNCTION("""COMPUTED_VALUE"""),"1650 Free")</f>
        <v>1650 Free</v>
      </c>
      <c r="C223" s="3" t="str">
        <f>IFERROR(__xludf.DUMMYFUNCTION("""COMPUTED_VALUE"""),"1000 Free")</f>
        <v>1000 Free</v>
      </c>
      <c r="D223" s="3"/>
      <c r="E223" s="3"/>
      <c r="F223" s="3"/>
    </row>
    <row r="224">
      <c r="A224" s="3" t="str">
        <f>IFERROR(__xludf.DUMMYFUNCTION("""COMPUTED_VALUE"""),"500 Free")</f>
        <v>500 Free</v>
      </c>
      <c r="B224" s="3" t="str">
        <f>IFERROR(__xludf.DUMMYFUNCTION("""COMPUTED_VALUE"""),"100 Breast")</f>
        <v>100 Breast</v>
      </c>
      <c r="C224" s="3" t="str">
        <f>IFERROR(__xludf.DUMMYFUNCTION("""COMPUTED_VALUE"""),"200 Breast")</f>
        <v>200 Breast</v>
      </c>
      <c r="D224" s="3" t="str">
        <f>IFERROR(__xludf.DUMMYFUNCTION("""COMPUTED_VALUE"""),"200 IM")</f>
        <v>200 IM</v>
      </c>
      <c r="E224" s="3" t="str">
        <f>IFERROR(__xludf.DUMMYFUNCTION("""COMPUTED_VALUE"""),"400 IM")</f>
        <v>400 IM</v>
      </c>
      <c r="F224" s="3" t="str">
        <f>IFERROR(__xludf.DUMMYFUNCTION("""COMPUTED_VALUE"""),"1000 Free")</f>
        <v>1000 Free</v>
      </c>
    </row>
    <row r="225">
      <c r="A225" s="3" t="str">
        <f>IFERROR(__xludf.DUMMYFUNCTION("""COMPUTED_VALUE"""),"500 Free")</f>
        <v>500 Free</v>
      </c>
      <c r="B225" s="3" t="str">
        <f>IFERROR(__xludf.DUMMYFUNCTION("""COMPUTED_VALUE"""),"100 Back")</f>
        <v>100 Back</v>
      </c>
      <c r="C225" s="3" t="str">
        <f>IFERROR(__xludf.DUMMYFUNCTION("""COMPUTED_VALUE"""),"200 Back")</f>
        <v>200 Back</v>
      </c>
      <c r="D225" s="3" t="str">
        <f>IFERROR(__xludf.DUMMYFUNCTION("""COMPUTED_VALUE"""),"200 IM")</f>
        <v>200 IM</v>
      </c>
      <c r="E225" s="3" t="str">
        <f>IFERROR(__xludf.DUMMYFUNCTION("""COMPUTED_VALUE"""),"400 IM")</f>
        <v>400 IM</v>
      </c>
      <c r="F225" s="3"/>
    </row>
    <row r="226">
      <c r="A226" s="3" t="str">
        <f>IFERROR(__xludf.DUMMYFUNCTION("""COMPUTED_VALUE"""),"500 Free")</f>
        <v>500 Free</v>
      </c>
      <c r="B226" s="3" t="str">
        <f>IFERROR(__xludf.DUMMYFUNCTION("""COMPUTED_VALUE"""),"100 Back")</f>
        <v>100 Back</v>
      </c>
      <c r="C226" s="3" t="str">
        <f>IFERROR(__xludf.DUMMYFUNCTION("""COMPUTED_VALUE"""),"200 Back")</f>
        <v>200 Back</v>
      </c>
      <c r="D226" s="3" t="str">
        <f>IFERROR(__xludf.DUMMYFUNCTION("""COMPUTED_VALUE"""),"100 Fly")</f>
        <v>100 Fly</v>
      </c>
      <c r="E226" s="3" t="str">
        <f>IFERROR(__xludf.DUMMYFUNCTION("""COMPUTED_VALUE"""),"200 Fly")</f>
        <v>200 Fly</v>
      </c>
      <c r="F226" s="3"/>
    </row>
    <row r="227">
      <c r="A227" s="3" t="str">
        <f>IFERROR(__xludf.DUMMYFUNCTION("""COMPUTED_VALUE"""),"500 Free")</f>
        <v>500 Free</v>
      </c>
      <c r="B227" s="3" t="str">
        <f>IFERROR(__xludf.DUMMYFUNCTION("""COMPUTED_VALUE"""),"200 Back")</f>
        <v>200 Back</v>
      </c>
      <c r="C227" s="3" t="str">
        <f>IFERROR(__xludf.DUMMYFUNCTION("""COMPUTED_VALUE"""),"100 Breast")</f>
        <v>100 Breast</v>
      </c>
      <c r="D227" s="3" t="str">
        <f>IFERROR(__xludf.DUMMYFUNCTION("""COMPUTED_VALUE"""),"200 Breast")</f>
        <v>200 Breast</v>
      </c>
      <c r="E227" s="3" t="str">
        <f>IFERROR(__xludf.DUMMYFUNCTION("""COMPUTED_VALUE"""),"200 IM")</f>
        <v>200 IM</v>
      </c>
      <c r="F227" s="3" t="str">
        <f>IFERROR(__xludf.DUMMYFUNCTION("""COMPUTED_VALUE"""),"400 IM")</f>
        <v>400 IM</v>
      </c>
    </row>
    <row r="228">
      <c r="A228" s="3" t="str">
        <f>IFERROR(__xludf.DUMMYFUNCTION("""COMPUTED_VALUE"""),"1650 Free")</f>
        <v>1650 Free</v>
      </c>
      <c r="B228" s="3" t="str">
        <f>IFERROR(__xludf.DUMMYFUNCTION("""COMPUTED_VALUE"""),"200 Breast")</f>
        <v>200 Breast</v>
      </c>
      <c r="C228" s="3" t="str">
        <f>IFERROR(__xludf.DUMMYFUNCTION("""COMPUTED_VALUE"""),"200 Fly")</f>
        <v>200 Fly</v>
      </c>
      <c r="D228" s="3" t="str">
        <f>IFERROR(__xludf.DUMMYFUNCTION("""COMPUTED_VALUE"""),"200 IM")</f>
        <v>200 IM</v>
      </c>
      <c r="E228" s="3" t="str">
        <f>IFERROR(__xludf.DUMMYFUNCTION("""COMPUTED_VALUE"""),"400 IM")</f>
        <v>400 IM</v>
      </c>
      <c r="F228" s="3" t="str">
        <f>IFERROR(__xludf.DUMMYFUNCTION("""COMPUTED_VALUE"""),"1000 Free")</f>
        <v>1000 Free</v>
      </c>
    </row>
    <row r="229">
      <c r="A229" s="3" t="str">
        <f>IFERROR(__xludf.DUMMYFUNCTION("""COMPUTED_VALUE"""),"1650 Free")</f>
        <v>1650 Free</v>
      </c>
      <c r="B229" s="3" t="str">
        <f>IFERROR(__xludf.DUMMYFUNCTION("""COMPUTED_VALUE"""),"100 Breast")</f>
        <v>100 Breast</v>
      </c>
      <c r="C229" s="3" t="str">
        <f>IFERROR(__xludf.DUMMYFUNCTION("""COMPUTED_VALUE"""),"200 Breast")</f>
        <v>200 Breast</v>
      </c>
      <c r="D229" s="3" t="str">
        <f>IFERROR(__xludf.DUMMYFUNCTION("""COMPUTED_VALUE"""),"200 Fly")</f>
        <v>200 Fly</v>
      </c>
      <c r="E229" s="3" t="str">
        <f>IFERROR(__xludf.DUMMYFUNCTION("""COMPUTED_VALUE"""),"200 IM")</f>
        <v>200 IM</v>
      </c>
      <c r="F229" s="3" t="str">
        <f>IFERROR(__xludf.DUMMYFUNCTION("""COMPUTED_VALUE"""),"400 IM")</f>
        <v>400 IM</v>
      </c>
    </row>
    <row r="230">
      <c r="A230" s="3" t="str">
        <f>IFERROR(__xludf.DUMMYFUNCTION("""COMPUTED_VALUE"""),"1650 Free")</f>
        <v>1650 Free</v>
      </c>
      <c r="B230" s="3" t="str">
        <f>IFERROR(__xludf.DUMMYFUNCTION("""COMPUTED_VALUE"""),"100 Breast")</f>
        <v>100 Breast</v>
      </c>
      <c r="C230" s="3" t="str">
        <f>IFERROR(__xludf.DUMMYFUNCTION("""COMPUTED_VALUE"""),"200 Breast")</f>
        <v>200 Breast</v>
      </c>
      <c r="D230" s="3" t="str">
        <f>IFERROR(__xludf.DUMMYFUNCTION("""COMPUTED_VALUE"""),"100 Fly")</f>
        <v>100 Fly</v>
      </c>
      <c r="E230" s="3" t="str">
        <f>IFERROR(__xludf.DUMMYFUNCTION("""COMPUTED_VALUE"""),"200 Fly")</f>
        <v>200 Fly</v>
      </c>
      <c r="F230" s="3"/>
    </row>
    <row r="231">
      <c r="A231" s="3" t="str">
        <f>IFERROR(__xludf.DUMMYFUNCTION("""COMPUTED_VALUE"""),"1650 Free")</f>
        <v>1650 Free</v>
      </c>
      <c r="B231" s="3" t="str">
        <f>IFERROR(__xludf.DUMMYFUNCTION("""COMPUTED_VALUE"""),"1000 Free")</f>
        <v>1000 Free</v>
      </c>
      <c r="C231" s="3"/>
      <c r="D231" s="3"/>
      <c r="E231" s="3"/>
      <c r="F231" s="3"/>
    </row>
    <row r="232">
      <c r="A232" s="3" t="str">
        <f>IFERROR(__xludf.DUMMYFUNCTION("""COMPUTED_VALUE"""),"1650 Free")</f>
        <v>1650 Free</v>
      </c>
      <c r="B232" s="3" t="str">
        <f>IFERROR(__xludf.DUMMYFUNCTION("""COMPUTED_VALUE"""),"100 Fly")</f>
        <v>100 Fly</v>
      </c>
      <c r="C232" s="3" t="str">
        <f>IFERROR(__xludf.DUMMYFUNCTION("""COMPUTED_VALUE"""),"200 Fly")</f>
        <v>200 Fly</v>
      </c>
      <c r="D232" s="3" t="str">
        <f>IFERROR(__xludf.DUMMYFUNCTION("""COMPUTED_VALUE"""),"200 IM")</f>
        <v>200 IM</v>
      </c>
      <c r="E232" s="3" t="str">
        <f>IFERROR(__xludf.DUMMYFUNCTION("""COMPUTED_VALUE"""),"1000 Free")</f>
        <v>1000 Free</v>
      </c>
      <c r="F232" s="3"/>
    </row>
    <row r="233">
      <c r="A233" s="3" t="str">
        <f>IFERROR(__xludf.DUMMYFUNCTION("""COMPUTED_VALUE"""),"1650 Free")</f>
        <v>1650 Free</v>
      </c>
      <c r="B233" s="3" t="str">
        <f>IFERROR(__xludf.DUMMYFUNCTION("""COMPUTED_VALUE"""),"200 Back")</f>
        <v>200 Back</v>
      </c>
      <c r="C233" s="3" t="str">
        <f>IFERROR(__xludf.DUMMYFUNCTION("""COMPUTED_VALUE"""),"1000 Free")</f>
        <v>1000 Free</v>
      </c>
      <c r="D233" s="3"/>
      <c r="E233" s="3"/>
      <c r="F233" s="3"/>
    </row>
    <row r="234">
      <c r="A234" s="3" t="str">
        <f>IFERROR(__xludf.DUMMYFUNCTION("""COMPUTED_VALUE"""),"100 Back")</f>
        <v>100 Back</v>
      </c>
      <c r="B234" s="3" t="str">
        <f>IFERROR(__xludf.DUMMYFUNCTION("""COMPUTED_VALUE"""),"200 Back")</f>
        <v>200 Back</v>
      </c>
      <c r="C234" s="3" t="str">
        <f>IFERROR(__xludf.DUMMYFUNCTION("""COMPUTED_VALUE"""),"100 Fly")</f>
        <v>100 Fly</v>
      </c>
      <c r="D234" s="3" t="str">
        <f>IFERROR(__xludf.DUMMYFUNCTION("""COMPUTED_VALUE"""),"200 Fly")</f>
        <v>200 Fly</v>
      </c>
      <c r="E234" s="3" t="str">
        <f>IFERROR(__xludf.DUMMYFUNCTION("""COMPUTED_VALUE"""),"200 IM")</f>
        <v>200 IM</v>
      </c>
      <c r="F234" s="3" t="str">
        <f>IFERROR(__xludf.DUMMYFUNCTION("""COMPUTED_VALUE"""),"400 IM")</f>
        <v>400 IM</v>
      </c>
    </row>
    <row r="235">
      <c r="A235" s="3" t="str">
        <f>IFERROR(__xludf.DUMMYFUNCTION("""COMPUTED_VALUE"""),"100 Back")</f>
        <v>100 Back</v>
      </c>
      <c r="B235" s="3" t="str">
        <f>IFERROR(__xludf.DUMMYFUNCTION("""COMPUTED_VALUE"""),"200 Back")</f>
        <v>200 Back</v>
      </c>
      <c r="C235" s="3"/>
      <c r="D235" s="3"/>
      <c r="E235" s="3"/>
      <c r="F235" s="3"/>
    </row>
    <row r="236">
      <c r="A236" s="3" t="str">
        <f>IFERROR(__xludf.DUMMYFUNCTION("""COMPUTED_VALUE"""),"100 Back")</f>
        <v>100 Back</v>
      </c>
      <c r="B236" s="3" t="str">
        <f>IFERROR(__xludf.DUMMYFUNCTION("""COMPUTED_VALUE"""),"200 Back")</f>
        <v>200 Back</v>
      </c>
      <c r="C236" s="3"/>
      <c r="D236" s="3"/>
      <c r="E236" s="3"/>
      <c r="F236" s="3"/>
    </row>
    <row r="237">
      <c r="A237" s="3" t="str">
        <f>IFERROR(__xludf.DUMMYFUNCTION("""COMPUTED_VALUE"""),"100 Back")</f>
        <v>100 Back</v>
      </c>
      <c r="B237" s="3" t="str">
        <f>IFERROR(__xludf.DUMMYFUNCTION("""COMPUTED_VALUE"""),"200 Back")</f>
        <v>200 Back</v>
      </c>
      <c r="C237" s="3" t="str">
        <f>IFERROR(__xludf.DUMMYFUNCTION("""COMPUTED_VALUE"""),"100 Fly")</f>
        <v>100 Fly</v>
      </c>
      <c r="D237" s="3" t="str">
        <f>IFERROR(__xludf.DUMMYFUNCTION("""COMPUTED_VALUE"""),"200 Fly")</f>
        <v>200 Fly</v>
      </c>
      <c r="E237" s="3" t="str">
        <f>IFERROR(__xludf.DUMMYFUNCTION("""COMPUTED_VALUE"""),"400 IM")</f>
        <v>400 IM</v>
      </c>
      <c r="F237" s="3"/>
    </row>
    <row r="238">
      <c r="A238" s="3" t="str">
        <f>IFERROR(__xludf.DUMMYFUNCTION("""COMPUTED_VALUE"""),"100 Back")</f>
        <v>100 Back</v>
      </c>
      <c r="B238" s="3" t="str">
        <f>IFERROR(__xludf.DUMMYFUNCTION("""COMPUTED_VALUE"""),"200 Back")</f>
        <v>200 Back</v>
      </c>
      <c r="C238" s="3" t="str">
        <f>IFERROR(__xludf.DUMMYFUNCTION("""COMPUTED_VALUE"""),"100 Fly")</f>
        <v>100 Fly</v>
      </c>
      <c r="D238" s="3" t="str">
        <f>IFERROR(__xludf.DUMMYFUNCTION("""COMPUTED_VALUE"""),"200 Fly")</f>
        <v>200 Fly</v>
      </c>
      <c r="E238" s="3" t="str">
        <f>IFERROR(__xludf.DUMMYFUNCTION("""COMPUTED_VALUE"""),"200 IM")</f>
        <v>200 IM</v>
      </c>
      <c r="F238" s="3" t="str">
        <f>IFERROR(__xludf.DUMMYFUNCTION("""COMPUTED_VALUE"""),"400 IM")</f>
        <v>400 IM</v>
      </c>
    </row>
    <row r="239">
      <c r="A239" s="3" t="str">
        <f>IFERROR(__xludf.DUMMYFUNCTION("""COMPUTED_VALUE"""),"100 Back")</f>
        <v>100 Back</v>
      </c>
      <c r="B239" s="3" t="str">
        <f>IFERROR(__xludf.DUMMYFUNCTION("""COMPUTED_VALUE"""),"200 Back")</f>
        <v>200 Back</v>
      </c>
      <c r="C239" s="3" t="str">
        <f>IFERROR(__xludf.DUMMYFUNCTION("""COMPUTED_VALUE"""),"100 Breast")</f>
        <v>100 Breast</v>
      </c>
      <c r="D239" s="3" t="str">
        <f>IFERROR(__xludf.DUMMYFUNCTION("""COMPUTED_VALUE"""),"200 Breast")</f>
        <v>200 Breast</v>
      </c>
      <c r="E239" s="3" t="str">
        <f>IFERROR(__xludf.DUMMYFUNCTION("""COMPUTED_VALUE"""),"200 IM")</f>
        <v>200 IM</v>
      </c>
      <c r="F239" s="3" t="str">
        <f>IFERROR(__xludf.DUMMYFUNCTION("""COMPUTED_VALUE"""),"400 IM")</f>
        <v>400 IM</v>
      </c>
    </row>
    <row r="240">
      <c r="A240" s="3" t="str">
        <f>IFERROR(__xludf.DUMMYFUNCTION("""COMPUTED_VALUE"""),"100 Back")</f>
        <v>100 Back</v>
      </c>
      <c r="B240" s="3" t="str">
        <f>IFERROR(__xludf.DUMMYFUNCTION("""COMPUTED_VALUE"""),"200 Back")</f>
        <v>200 Back</v>
      </c>
      <c r="C240" s="3" t="str">
        <f>IFERROR(__xludf.DUMMYFUNCTION("""COMPUTED_VALUE"""),"100 Fly")</f>
        <v>100 Fly</v>
      </c>
      <c r="D240" s="3" t="str">
        <f>IFERROR(__xludf.DUMMYFUNCTION("""COMPUTED_VALUE"""),"200 Fly")</f>
        <v>200 Fly</v>
      </c>
      <c r="E240" s="3" t="str">
        <f>IFERROR(__xludf.DUMMYFUNCTION("""COMPUTED_VALUE"""),"200 IM")</f>
        <v>200 IM</v>
      </c>
      <c r="F240" s="3" t="str">
        <f>IFERROR(__xludf.DUMMYFUNCTION("""COMPUTED_VALUE"""),"400 IM")</f>
        <v>400 IM</v>
      </c>
    </row>
    <row r="241">
      <c r="A241" s="3" t="str">
        <f>IFERROR(__xludf.DUMMYFUNCTION("""COMPUTED_VALUE"""),"100 Back")</f>
        <v>100 Back</v>
      </c>
      <c r="B241" s="3" t="str">
        <f>IFERROR(__xludf.DUMMYFUNCTION("""COMPUTED_VALUE"""),"200 Back")</f>
        <v>200 Back</v>
      </c>
      <c r="C241" s="3"/>
      <c r="D241" s="3"/>
      <c r="E241" s="3"/>
      <c r="F241" s="3"/>
    </row>
    <row r="242">
      <c r="A242" s="3" t="str">
        <f>IFERROR(__xludf.DUMMYFUNCTION("""COMPUTED_VALUE"""),"100 Back")</f>
        <v>100 Back</v>
      </c>
      <c r="B242" s="3" t="str">
        <f>IFERROR(__xludf.DUMMYFUNCTION("""COMPUTED_VALUE"""),"200 Back")</f>
        <v>200 Back</v>
      </c>
      <c r="C242" s="3"/>
      <c r="D242" s="3"/>
      <c r="E242" s="3"/>
      <c r="F242" s="3"/>
    </row>
    <row r="243">
      <c r="A243" s="3" t="str">
        <f>IFERROR(__xludf.DUMMYFUNCTION("""COMPUTED_VALUE"""),"100 Back")</f>
        <v>100 Back</v>
      </c>
      <c r="B243" s="3" t="str">
        <f>IFERROR(__xludf.DUMMYFUNCTION("""COMPUTED_VALUE"""),"200 Back")</f>
        <v>200 Back</v>
      </c>
      <c r="C243" s="3" t="str">
        <f>IFERROR(__xludf.DUMMYFUNCTION("""COMPUTED_VALUE"""),"100 Breast")</f>
        <v>100 Breast</v>
      </c>
      <c r="D243" s="3" t="str">
        <f>IFERROR(__xludf.DUMMYFUNCTION("""COMPUTED_VALUE"""),"200 Breast")</f>
        <v>200 Breast</v>
      </c>
      <c r="E243" s="3" t="str">
        <f>IFERROR(__xludf.DUMMYFUNCTION("""COMPUTED_VALUE"""),"200 IM")</f>
        <v>200 IM</v>
      </c>
      <c r="F243" s="3" t="str">
        <f>IFERROR(__xludf.DUMMYFUNCTION("""COMPUTED_VALUE"""),"400 IM")</f>
        <v>400 IM</v>
      </c>
    </row>
    <row r="244">
      <c r="A244" s="3" t="str">
        <f>IFERROR(__xludf.DUMMYFUNCTION("""COMPUTED_VALUE"""),"100 Back")</f>
        <v>100 Back</v>
      </c>
      <c r="B244" s="3" t="str">
        <f>IFERROR(__xludf.DUMMYFUNCTION("""COMPUTED_VALUE"""),"200 Back")</f>
        <v>200 Back</v>
      </c>
      <c r="C244" s="3" t="str">
        <f>IFERROR(__xludf.DUMMYFUNCTION("""COMPUTED_VALUE"""),"100 Fly")</f>
        <v>100 Fly</v>
      </c>
      <c r="D244" s="3" t="str">
        <f>IFERROR(__xludf.DUMMYFUNCTION("""COMPUTED_VALUE"""),"200 Fly")</f>
        <v>200 Fly</v>
      </c>
      <c r="E244" s="3"/>
      <c r="F244" s="3"/>
    </row>
    <row r="245">
      <c r="A245" s="3" t="str">
        <f>IFERROR(__xludf.DUMMYFUNCTION("""COMPUTED_VALUE"""),"100 Back")</f>
        <v>100 Back</v>
      </c>
      <c r="B245" s="3" t="str">
        <f>IFERROR(__xludf.DUMMYFUNCTION("""COMPUTED_VALUE"""),"200 Back")</f>
        <v>200 Back</v>
      </c>
      <c r="C245" s="3" t="str">
        <f>IFERROR(__xludf.DUMMYFUNCTION("""COMPUTED_VALUE"""),"100 Breast")</f>
        <v>100 Breast</v>
      </c>
      <c r="D245" s="3" t="str">
        <f>IFERROR(__xludf.DUMMYFUNCTION("""COMPUTED_VALUE"""),"200 Breast")</f>
        <v>200 Breast</v>
      </c>
      <c r="E245" s="3" t="str">
        <f>IFERROR(__xludf.DUMMYFUNCTION("""COMPUTED_VALUE"""),"200 IM")</f>
        <v>200 IM</v>
      </c>
      <c r="F245" s="3" t="str">
        <f>IFERROR(__xludf.DUMMYFUNCTION("""COMPUTED_VALUE"""),"400 IM")</f>
        <v>400 IM</v>
      </c>
    </row>
    <row r="246">
      <c r="A246" s="3" t="str">
        <f>IFERROR(__xludf.DUMMYFUNCTION("""COMPUTED_VALUE"""),"100 Back")</f>
        <v>100 Back</v>
      </c>
      <c r="B246" s="3" t="str">
        <f>IFERROR(__xludf.DUMMYFUNCTION("""COMPUTED_VALUE"""),"200 Back")</f>
        <v>200 Back</v>
      </c>
      <c r="C246" s="3"/>
      <c r="D246" s="3"/>
      <c r="E246" s="3"/>
      <c r="F246" s="3"/>
    </row>
    <row r="247">
      <c r="A247" s="3" t="str">
        <f>IFERROR(__xludf.DUMMYFUNCTION("""COMPUTED_VALUE"""),"100 Back")</f>
        <v>100 Back</v>
      </c>
      <c r="B247" s="3" t="str">
        <f>IFERROR(__xludf.DUMMYFUNCTION("""COMPUTED_VALUE"""),"200 Back")</f>
        <v>200 Back</v>
      </c>
      <c r="C247" s="3" t="str">
        <f>IFERROR(__xludf.DUMMYFUNCTION("""COMPUTED_VALUE"""),"100 Breast")</f>
        <v>100 Breast</v>
      </c>
      <c r="D247" s="3" t="str">
        <f>IFERROR(__xludf.DUMMYFUNCTION("""COMPUTED_VALUE"""),"200 Breast")</f>
        <v>200 Breast</v>
      </c>
      <c r="E247" s="3" t="str">
        <f>IFERROR(__xludf.DUMMYFUNCTION("""COMPUTED_VALUE"""),"200 IM")</f>
        <v>200 IM</v>
      </c>
      <c r="F247" s="3" t="str">
        <f>IFERROR(__xludf.DUMMYFUNCTION("""COMPUTED_VALUE"""),"400 IM")</f>
        <v>400 IM</v>
      </c>
    </row>
    <row r="248">
      <c r="A248" s="3" t="str">
        <f>IFERROR(__xludf.DUMMYFUNCTION("""COMPUTED_VALUE"""),"100 Back")</f>
        <v>100 Back</v>
      </c>
      <c r="B248" s="3" t="str">
        <f>IFERROR(__xludf.DUMMYFUNCTION("""COMPUTED_VALUE"""),"200 Back")</f>
        <v>200 Back</v>
      </c>
      <c r="C248" s="3"/>
      <c r="D248" s="3"/>
      <c r="E248" s="3"/>
      <c r="F248" s="3"/>
    </row>
    <row r="249">
      <c r="A249" s="3" t="str">
        <f>IFERROR(__xludf.DUMMYFUNCTION("""COMPUTED_VALUE"""),"100 Back")</f>
        <v>100 Back</v>
      </c>
      <c r="B249" s="3" t="str">
        <f>IFERROR(__xludf.DUMMYFUNCTION("""COMPUTED_VALUE"""),"200 Back")</f>
        <v>200 Back</v>
      </c>
      <c r="C249" s="3"/>
      <c r="D249" s="3"/>
      <c r="E249" s="3"/>
      <c r="F249" s="3"/>
    </row>
    <row r="250">
      <c r="A250" s="3" t="str">
        <f>IFERROR(__xludf.DUMMYFUNCTION("""COMPUTED_VALUE"""),"100 Back")</f>
        <v>100 Back</v>
      </c>
      <c r="B250" s="3" t="str">
        <f>IFERROR(__xludf.DUMMYFUNCTION("""COMPUTED_VALUE"""),"200 Back")</f>
        <v>200 Back</v>
      </c>
      <c r="C250" s="3"/>
      <c r="D250" s="3"/>
      <c r="E250" s="3"/>
      <c r="F250" s="3"/>
    </row>
    <row r="251">
      <c r="A251" s="3" t="str">
        <f>IFERROR(__xludf.DUMMYFUNCTION("""COMPUTED_VALUE"""),"100 Back")</f>
        <v>100 Back</v>
      </c>
      <c r="B251" s="3" t="str">
        <f>IFERROR(__xludf.DUMMYFUNCTION("""COMPUTED_VALUE"""),"200 Back")</f>
        <v>200 Back</v>
      </c>
      <c r="C251" s="3" t="str">
        <f>IFERROR(__xludf.DUMMYFUNCTION("""COMPUTED_VALUE"""),"100 Breast")</f>
        <v>100 Breast</v>
      </c>
      <c r="D251" s="3" t="str">
        <f>IFERROR(__xludf.DUMMYFUNCTION("""COMPUTED_VALUE"""),"200 Breast")</f>
        <v>200 Breast</v>
      </c>
      <c r="E251" s="3" t="str">
        <f>IFERROR(__xludf.DUMMYFUNCTION("""COMPUTED_VALUE"""),"200 IM")</f>
        <v>200 IM</v>
      </c>
      <c r="F251" s="3"/>
    </row>
    <row r="252">
      <c r="A252" s="3" t="str">
        <f>IFERROR(__xludf.DUMMYFUNCTION("""COMPUTED_VALUE"""),"100 Back")</f>
        <v>100 Back</v>
      </c>
      <c r="B252" s="3" t="str">
        <f>IFERROR(__xludf.DUMMYFUNCTION("""COMPUTED_VALUE"""),"100 Breast")</f>
        <v>100 Breast</v>
      </c>
      <c r="C252" s="3"/>
      <c r="D252" s="3"/>
      <c r="E252" s="3"/>
      <c r="F252" s="3"/>
    </row>
    <row r="253">
      <c r="A253" s="3" t="str">
        <f>IFERROR(__xludf.DUMMYFUNCTION("""COMPUTED_VALUE"""),"100 Back")</f>
        <v>100 Back</v>
      </c>
      <c r="B253" s="3" t="str">
        <f>IFERROR(__xludf.DUMMYFUNCTION("""COMPUTED_VALUE"""),"100 Breast")</f>
        <v>100 Breast</v>
      </c>
      <c r="C253" s="3" t="str">
        <f>IFERROR(__xludf.DUMMYFUNCTION("""COMPUTED_VALUE"""),"200 Breast")</f>
        <v>200 Breast</v>
      </c>
      <c r="D253" s="3" t="str">
        <f>IFERROR(__xludf.DUMMYFUNCTION("""COMPUTED_VALUE"""),"100 Fly")</f>
        <v>100 Fly</v>
      </c>
      <c r="E253" s="3" t="str">
        <f>IFERROR(__xludf.DUMMYFUNCTION("""COMPUTED_VALUE"""),"200 Fly")</f>
        <v>200 Fly</v>
      </c>
      <c r="F253" s="3" t="str">
        <f>IFERROR(__xludf.DUMMYFUNCTION("""COMPUTED_VALUE"""),"200 IM")</f>
        <v>200 IM</v>
      </c>
    </row>
    <row r="254">
      <c r="A254" s="3" t="str">
        <f>IFERROR(__xludf.DUMMYFUNCTION("""COMPUTED_VALUE"""),"200 Back")</f>
        <v>200 Back</v>
      </c>
      <c r="B254" s="3" t="str">
        <f>IFERROR(__xludf.DUMMYFUNCTION("""COMPUTED_VALUE"""),"200 Breast")</f>
        <v>200 Breast</v>
      </c>
      <c r="C254" s="3" t="str">
        <f>IFERROR(__xludf.DUMMYFUNCTION("""COMPUTED_VALUE"""),"100 Fly")</f>
        <v>100 Fly</v>
      </c>
      <c r="D254" s="3" t="str">
        <f>IFERROR(__xludf.DUMMYFUNCTION("""COMPUTED_VALUE"""),"200 Fly")</f>
        <v>200 Fly</v>
      </c>
      <c r="E254" s="3" t="str">
        <f>IFERROR(__xludf.DUMMYFUNCTION("""COMPUTED_VALUE"""),"200 IM")</f>
        <v>200 IM</v>
      </c>
      <c r="F254" s="3" t="str">
        <f>IFERROR(__xludf.DUMMYFUNCTION("""COMPUTED_VALUE"""),"400 IM")</f>
        <v>400 IM</v>
      </c>
    </row>
    <row r="255">
      <c r="A255" s="3" t="str">
        <f>IFERROR(__xludf.DUMMYFUNCTION("""COMPUTED_VALUE"""),"200 Back")</f>
        <v>200 Back</v>
      </c>
      <c r="B255" s="3" t="str">
        <f>IFERROR(__xludf.DUMMYFUNCTION("""COMPUTED_VALUE"""),"100 Breast")</f>
        <v>100 Breast</v>
      </c>
      <c r="C255" s="3" t="str">
        <f>IFERROR(__xludf.DUMMYFUNCTION("""COMPUTED_VALUE"""),"200 Breast")</f>
        <v>200 Breast</v>
      </c>
      <c r="D255" s="3" t="str">
        <f>IFERROR(__xludf.DUMMYFUNCTION("""COMPUTED_VALUE"""),"200 Fly")</f>
        <v>200 Fly</v>
      </c>
      <c r="E255" s="3" t="str">
        <f>IFERROR(__xludf.DUMMYFUNCTION("""COMPUTED_VALUE"""),"200 IM")</f>
        <v>200 IM</v>
      </c>
      <c r="F255" s="3" t="str">
        <f>IFERROR(__xludf.DUMMYFUNCTION("""COMPUTED_VALUE"""),"400 IM")</f>
        <v>400 IM</v>
      </c>
    </row>
    <row r="256">
      <c r="A256" s="3" t="str">
        <f>IFERROR(__xludf.DUMMYFUNCTION("""COMPUTED_VALUE"""),"200 Back")</f>
        <v>200 Back</v>
      </c>
      <c r="B256" s="3" t="str">
        <f>IFERROR(__xludf.DUMMYFUNCTION("""COMPUTED_VALUE"""),"1000 Free")</f>
        <v>1000 Free</v>
      </c>
      <c r="C256" s="3"/>
      <c r="D256" s="3"/>
      <c r="E256" s="3"/>
      <c r="F256" s="3"/>
    </row>
    <row r="257">
      <c r="A257" s="3" t="str">
        <f>IFERROR(__xludf.DUMMYFUNCTION("""COMPUTED_VALUE"""),"200 Back")</f>
        <v>200 Back</v>
      </c>
      <c r="B257" s="3" t="str">
        <f>IFERROR(__xludf.DUMMYFUNCTION("""COMPUTED_VALUE"""),"200 Breast")</f>
        <v>200 Breast</v>
      </c>
      <c r="C257" s="3"/>
      <c r="D257" s="3"/>
      <c r="E257" s="3"/>
      <c r="F257" s="3"/>
    </row>
    <row r="258">
      <c r="A258" s="3" t="str">
        <f>IFERROR(__xludf.DUMMYFUNCTION("""COMPUTED_VALUE"""),"200 Back")</f>
        <v>200 Back</v>
      </c>
      <c r="B258" s="3"/>
      <c r="C258" s="3"/>
      <c r="D258" s="3"/>
      <c r="E258" s="3"/>
      <c r="F258" s="3"/>
    </row>
    <row r="259">
      <c r="A259" s="3" t="str">
        <f>IFERROR(__xludf.DUMMYFUNCTION("""COMPUTED_VALUE"""),"200 Back")</f>
        <v>200 Back</v>
      </c>
      <c r="B259" s="3" t="str">
        <f>IFERROR(__xludf.DUMMYFUNCTION("""COMPUTED_VALUE"""),"1000 Free")</f>
        <v>1000 Free</v>
      </c>
      <c r="C259" s="3"/>
      <c r="D259" s="3"/>
      <c r="E259" s="3"/>
      <c r="F259" s="3"/>
    </row>
    <row r="260">
      <c r="A260" s="3" t="str">
        <f>IFERROR(__xludf.DUMMYFUNCTION("""COMPUTED_VALUE"""),"100 Breast")</f>
        <v>100 Breast</v>
      </c>
      <c r="B260" s="3" t="str">
        <f>IFERROR(__xludf.DUMMYFUNCTION("""COMPUTED_VALUE"""),"200 Breast")</f>
        <v>200 Breast</v>
      </c>
      <c r="C260" s="3" t="str">
        <f>IFERROR(__xludf.DUMMYFUNCTION("""COMPUTED_VALUE"""),"100 Fly")</f>
        <v>100 Fly</v>
      </c>
      <c r="D260" s="3" t="str">
        <f>IFERROR(__xludf.DUMMYFUNCTION("""COMPUTED_VALUE"""),"200 Fly")</f>
        <v>200 Fly</v>
      </c>
      <c r="E260" s="3" t="str">
        <f>IFERROR(__xludf.DUMMYFUNCTION("""COMPUTED_VALUE"""),"200 IM")</f>
        <v>200 IM</v>
      </c>
      <c r="F260" s="3" t="str">
        <f>IFERROR(__xludf.DUMMYFUNCTION("""COMPUTED_VALUE"""),"400 IM")</f>
        <v>400 IM</v>
      </c>
    </row>
    <row r="261">
      <c r="A261" s="3" t="str">
        <f>IFERROR(__xludf.DUMMYFUNCTION("""COMPUTED_VALUE"""),"100 Breast")</f>
        <v>100 Breast</v>
      </c>
      <c r="B261" s="3" t="str">
        <f>IFERROR(__xludf.DUMMYFUNCTION("""COMPUTED_VALUE"""),"200 Breast")</f>
        <v>200 Breast</v>
      </c>
      <c r="C261" s="3" t="str">
        <f>IFERROR(__xludf.DUMMYFUNCTION("""COMPUTED_VALUE"""),"200 IM")</f>
        <v>200 IM</v>
      </c>
      <c r="D261" s="3" t="str">
        <f>IFERROR(__xludf.DUMMYFUNCTION("""COMPUTED_VALUE"""),"400 IM")</f>
        <v>400 IM</v>
      </c>
      <c r="E261" s="3"/>
      <c r="F261" s="3"/>
    </row>
    <row r="262">
      <c r="A262" s="3" t="str">
        <f>IFERROR(__xludf.DUMMYFUNCTION("""COMPUTED_VALUE"""),"100 Breast")</f>
        <v>100 Breast</v>
      </c>
      <c r="B262" s="3" t="str">
        <f>IFERROR(__xludf.DUMMYFUNCTION("""COMPUTED_VALUE"""),"200 Breast")</f>
        <v>200 Breast</v>
      </c>
      <c r="C262" s="3"/>
      <c r="D262" s="3"/>
      <c r="E262" s="3"/>
      <c r="F262" s="3"/>
    </row>
    <row r="263">
      <c r="A263" s="3" t="str">
        <f>IFERROR(__xludf.DUMMYFUNCTION("""COMPUTED_VALUE"""),"100 Breast")</f>
        <v>100 Breast</v>
      </c>
      <c r="B263" s="3" t="str">
        <f>IFERROR(__xludf.DUMMYFUNCTION("""COMPUTED_VALUE"""),"200 Breast")</f>
        <v>200 Breast</v>
      </c>
      <c r="C263" s="3" t="str">
        <f>IFERROR(__xludf.DUMMYFUNCTION("""COMPUTED_VALUE"""),"200 IM")</f>
        <v>200 IM</v>
      </c>
      <c r="D263" s="3" t="str">
        <f>IFERROR(__xludf.DUMMYFUNCTION("""COMPUTED_VALUE"""),"400 IM")</f>
        <v>400 IM</v>
      </c>
      <c r="E263" s="3"/>
      <c r="F263" s="3"/>
    </row>
    <row r="264">
      <c r="A264" s="3" t="str">
        <f>IFERROR(__xludf.DUMMYFUNCTION("""COMPUTED_VALUE"""),"100 Breast")</f>
        <v>100 Breast</v>
      </c>
      <c r="B264" s="3" t="str">
        <f>IFERROR(__xludf.DUMMYFUNCTION("""COMPUTED_VALUE"""),"200 Breast")</f>
        <v>200 Breast</v>
      </c>
      <c r="C264" s="3" t="str">
        <f>IFERROR(__xludf.DUMMYFUNCTION("""COMPUTED_VALUE"""),"100 Fly")</f>
        <v>100 Fly</v>
      </c>
      <c r="D264" s="3" t="str">
        <f>IFERROR(__xludf.DUMMYFUNCTION("""COMPUTED_VALUE"""),"200 IM")</f>
        <v>200 IM</v>
      </c>
      <c r="E264" s="3"/>
      <c r="F264" s="3"/>
    </row>
    <row r="265">
      <c r="A265" s="3" t="str">
        <f>IFERROR(__xludf.DUMMYFUNCTION("""COMPUTED_VALUE"""),"100 Breast")</f>
        <v>100 Breast</v>
      </c>
      <c r="B265" s="3" t="str">
        <f>IFERROR(__xludf.DUMMYFUNCTION("""COMPUTED_VALUE"""),"200 Breast")</f>
        <v>200 Breast</v>
      </c>
      <c r="C265" s="3" t="str">
        <f>IFERROR(__xludf.DUMMYFUNCTION("""COMPUTED_VALUE"""),"200 IM")</f>
        <v>200 IM</v>
      </c>
      <c r="D265" s="3"/>
      <c r="E265" s="3"/>
      <c r="F265" s="3"/>
    </row>
    <row r="266">
      <c r="A266" s="3" t="str">
        <f>IFERROR(__xludf.DUMMYFUNCTION("""COMPUTED_VALUE"""),"100 Breast")</f>
        <v>100 Breast</v>
      </c>
      <c r="B266" s="3" t="str">
        <f>IFERROR(__xludf.DUMMYFUNCTION("""COMPUTED_VALUE"""),"200 Breast")</f>
        <v>200 Breast</v>
      </c>
      <c r="C266" s="3" t="str">
        <f>IFERROR(__xludf.DUMMYFUNCTION("""COMPUTED_VALUE"""),"400 IM")</f>
        <v>400 IM</v>
      </c>
      <c r="D266" s="3"/>
      <c r="E266" s="3"/>
      <c r="F266" s="3"/>
    </row>
    <row r="267">
      <c r="A267" s="3" t="str">
        <f>IFERROR(__xludf.DUMMYFUNCTION("""COMPUTED_VALUE"""),"100 Breast")</f>
        <v>100 Breast</v>
      </c>
      <c r="B267" s="3" t="str">
        <f>IFERROR(__xludf.DUMMYFUNCTION("""COMPUTED_VALUE"""),"200 Breast")</f>
        <v>200 Breast</v>
      </c>
      <c r="C267" s="3"/>
      <c r="D267" s="3"/>
      <c r="E267" s="3"/>
      <c r="F267" s="3"/>
    </row>
    <row r="268">
      <c r="A268" s="3" t="str">
        <f>IFERROR(__xludf.DUMMYFUNCTION("""COMPUTED_VALUE"""),"100 Breast")</f>
        <v>100 Breast</v>
      </c>
      <c r="B268" s="3" t="str">
        <f>IFERROR(__xludf.DUMMYFUNCTION("""COMPUTED_VALUE"""),"200 Breast")</f>
        <v>200 Breast</v>
      </c>
      <c r="C268" s="3"/>
      <c r="D268" s="3"/>
      <c r="E268" s="3"/>
      <c r="F268" s="3"/>
    </row>
    <row r="269">
      <c r="A269" s="3" t="str">
        <f>IFERROR(__xludf.DUMMYFUNCTION("""COMPUTED_VALUE"""),"100 Breast")</f>
        <v>100 Breast</v>
      </c>
      <c r="B269" s="3" t="str">
        <f>IFERROR(__xludf.DUMMYFUNCTION("""COMPUTED_VALUE"""),"200 Breast")</f>
        <v>200 Breast</v>
      </c>
      <c r="C269" s="3"/>
      <c r="D269" s="3"/>
      <c r="E269" s="3"/>
      <c r="F269" s="3"/>
    </row>
    <row r="270">
      <c r="A270" s="3" t="str">
        <f>IFERROR(__xludf.DUMMYFUNCTION("""COMPUTED_VALUE"""),"100 Breast")</f>
        <v>100 Breast</v>
      </c>
      <c r="B270" s="3" t="str">
        <f>IFERROR(__xludf.DUMMYFUNCTION("""COMPUTED_VALUE"""),"200 Breast")</f>
        <v>200 Breast</v>
      </c>
      <c r="C270" s="3"/>
      <c r="D270" s="3"/>
      <c r="E270" s="3"/>
      <c r="F270" s="3"/>
    </row>
    <row r="271">
      <c r="A271" s="3" t="str">
        <f>IFERROR(__xludf.DUMMYFUNCTION("""COMPUTED_VALUE"""),"100 Breast")</f>
        <v>100 Breast</v>
      </c>
      <c r="B271" s="3" t="str">
        <f>IFERROR(__xludf.DUMMYFUNCTION("""COMPUTED_VALUE"""),"200 Breast")</f>
        <v>200 Breast</v>
      </c>
      <c r="C271" s="3" t="str">
        <f>IFERROR(__xludf.DUMMYFUNCTION("""COMPUTED_VALUE"""),"100 Fly")</f>
        <v>100 Fly</v>
      </c>
      <c r="D271" s="3" t="str">
        <f>IFERROR(__xludf.DUMMYFUNCTION("""COMPUTED_VALUE"""),"200 Fly")</f>
        <v>200 Fly</v>
      </c>
      <c r="E271" s="3"/>
      <c r="F271" s="3"/>
    </row>
    <row r="272">
      <c r="A272" s="3" t="str">
        <f>IFERROR(__xludf.DUMMYFUNCTION("""COMPUTED_VALUE"""),"100 Breast")</f>
        <v>100 Breast</v>
      </c>
      <c r="B272" s="3" t="str">
        <f>IFERROR(__xludf.DUMMYFUNCTION("""COMPUTED_VALUE"""),"200 Breast")</f>
        <v>200 Breast</v>
      </c>
      <c r="C272" s="3"/>
      <c r="D272" s="3"/>
      <c r="E272" s="3"/>
      <c r="F272" s="3"/>
    </row>
    <row r="273">
      <c r="A273" s="3" t="str">
        <f>IFERROR(__xludf.DUMMYFUNCTION("""COMPUTED_VALUE"""),"100 Breast")</f>
        <v>100 Breast</v>
      </c>
      <c r="B273" s="3" t="str">
        <f>IFERROR(__xludf.DUMMYFUNCTION("""COMPUTED_VALUE"""),"200 Breast")</f>
        <v>200 Breast</v>
      </c>
      <c r="C273" s="3"/>
      <c r="D273" s="3"/>
      <c r="E273" s="3"/>
      <c r="F273" s="3"/>
    </row>
    <row r="274">
      <c r="A274" s="3" t="str">
        <f>IFERROR(__xludf.DUMMYFUNCTION("""COMPUTED_VALUE"""),"100 Breast")</f>
        <v>100 Breast</v>
      </c>
      <c r="B274" s="3" t="str">
        <f>IFERROR(__xludf.DUMMYFUNCTION("""COMPUTED_VALUE"""),"200 Breast")</f>
        <v>200 Breast</v>
      </c>
      <c r="C274" s="3"/>
      <c r="D274" s="3"/>
      <c r="E274" s="3"/>
      <c r="F274" s="3"/>
    </row>
    <row r="275">
      <c r="A275" s="3" t="str">
        <f>IFERROR(__xludf.DUMMYFUNCTION("""COMPUTED_VALUE"""),"100 Breast")</f>
        <v>100 Breast</v>
      </c>
      <c r="B275" s="3" t="str">
        <f>IFERROR(__xludf.DUMMYFUNCTION("""COMPUTED_VALUE"""),"200 Breast")</f>
        <v>200 Breast</v>
      </c>
      <c r="C275" s="3" t="str">
        <f>IFERROR(__xludf.DUMMYFUNCTION("""COMPUTED_VALUE"""),"200 IM")</f>
        <v>200 IM</v>
      </c>
      <c r="D275" s="3" t="str">
        <f>IFERROR(__xludf.DUMMYFUNCTION("""COMPUTED_VALUE"""),"400 IM")</f>
        <v>400 IM</v>
      </c>
      <c r="E275" s="3"/>
      <c r="F275" s="3"/>
    </row>
    <row r="276">
      <c r="A276" s="3" t="str">
        <f>IFERROR(__xludf.DUMMYFUNCTION("""COMPUTED_VALUE"""),"100 Breast")</f>
        <v>100 Breast</v>
      </c>
      <c r="B276" s="3" t="str">
        <f>IFERROR(__xludf.DUMMYFUNCTION("""COMPUTED_VALUE"""),"200 Breast")</f>
        <v>200 Breast</v>
      </c>
      <c r="C276" s="3"/>
      <c r="D276" s="3"/>
      <c r="E276" s="3"/>
      <c r="F276" s="3"/>
    </row>
    <row r="277">
      <c r="A277" s="3" t="str">
        <f>IFERROR(__xludf.DUMMYFUNCTION("""COMPUTED_VALUE"""),"100 Breast")</f>
        <v>100 Breast</v>
      </c>
      <c r="B277" s="3" t="str">
        <f>IFERROR(__xludf.DUMMYFUNCTION("""COMPUTED_VALUE"""),"200 Breast")</f>
        <v>200 Breast</v>
      </c>
      <c r="C277" s="3" t="str">
        <f>IFERROR(__xludf.DUMMYFUNCTION("""COMPUTED_VALUE"""),"100 Fly")</f>
        <v>100 Fly</v>
      </c>
      <c r="D277" s="3" t="str">
        <f>IFERROR(__xludf.DUMMYFUNCTION("""COMPUTED_VALUE"""),"200 IM")</f>
        <v>200 IM</v>
      </c>
      <c r="E277" s="3" t="str">
        <f>IFERROR(__xludf.DUMMYFUNCTION("""COMPUTED_VALUE"""),"400 IM")</f>
        <v>400 IM</v>
      </c>
      <c r="F277" s="3"/>
    </row>
    <row r="278">
      <c r="A278" s="3" t="str">
        <f>IFERROR(__xludf.DUMMYFUNCTION("""COMPUTED_VALUE"""),"100 Breast")</f>
        <v>100 Breast</v>
      </c>
      <c r="B278" s="3" t="str">
        <f>IFERROR(__xludf.DUMMYFUNCTION("""COMPUTED_VALUE"""),"200 Breast")</f>
        <v>200 Breast</v>
      </c>
      <c r="C278" s="3"/>
      <c r="D278" s="3"/>
      <c r="E278" s="3"/>
      <c r="F278" s="3"/>
    </row>
    <row r="279">
      <c r="A279" s="3" t="str">
        <f>IFERROR(__xludf.DUMMYFUNCTION("""COMPUTED_VALUE"""),"100 Breast")</f>
        <v>100 Breast</v>
      </c>
      <c r="B279" s="3" t="str">
        <f>IFERROR(__xludf.DUMMYFUNCTION("""COMPUTED_VALUE"""),"200 Breast")</f>
        <v>200 Breast</v>
      </c>
      <c r="C279" s="3" t="str">
        <f>IFERROR(__xludf.DUMMYFUNCTION("""COMPUTED_VALUE"""),"100 Fly")</f>
        <v>100 Fly</v>
      </c>
      <c r="D279" s="3"/>
      <c r="E279" s="3"/>
      <c r="F279" s="3"/>
    </row>
    <row r="280">
      <c r="A280" s="3" t="str">
        <f>IFERROR(__xludf.DUMMYFUNCTION("""COMPUTED_VALUE"""),"200 Breast")</f>
        <v>200 Breast</v>
      </c>
      <c r="B280" s="3"/>
      <c r="C280" s="3"/>
      <c r="D280" s="3"/>
      <c r="E280" s="3"/>
      <c r="F280" s="3"/>
    </row>
    <row r="281">
      <c r="A281" s="3" t="str">
        <f>IFERROR(__xludf.DUMMYFUNCTION("""COMPUTED_VALUE"""),"200 Breast")</f>
        <v>200 Breast</v>
      </c>
      <c r="B281" s="3"/>
      <c r="C281" s="3"/>
      <c r="D281" s="3"/>
      <c r="E281" s="3"/>
      <c r="F281" s="3"/>
    </row>
    <row r="282">
      <c r="A282" s="3" t="str">
        <f>IFERROR(__xludf.DUMMYFUNCTION("""COMPUTED_VALUE"""),"200 Breast")</f>
        <v>200 Breast</v>
      </c>
      <c r="B282" s="3" t="str">
        <f>IFERROR(__xludf.DUMMYFUNCTION("""COMPUTED_VALUE"""),"200 IM")</f>
        <v>200 IM</v>
      </c>
      <c r="C282" s="3" t="str">
        <f>IFERROR(__xludf.DUMMYFUNCTION("""COMPUTED_VALUE"""),"1000 Free")</f>
        <v>1000 Free</v>
      </c>
      <c r="D282" s="3"/>
      <c r="E282" s="3"/>
      <c r="F282" s="3"/>
    </row>
    <row r="283">
      <c r="A283" s="3" t="str">
        <f>IFERROR(__xludf.DUMMYFUNCTION("""COMPUTED_VALUE"""),"100 Fly")</f>
        <v>100 Fly</v>
      </c>
      <c r="B283" s="3"/>
      <c r="C283" s="3"/>
      <c r="D283" s="3"/>
      <c r="E283" s="3"/>
      <c r="F283" s="3"/>
    </row>
    <row r="284">
      <c r="A284" s="3" t="str">
        <f>IFERROR(__xludf.DUMMYFUNCTION("""COMPUTED_VALUE"""),"100 Fly")</f>
        <v>100 Fly</v>
      </c>
      <c r="B284" s="3" t="str">
        <f>IFERROR(__xludf.DUMMYFUNCTION("""COMPUTED_VALUE"""),"200 Fly")</f>
        <v>200 Fly</v>
      </c>
      <c r="C284" s="3"/>
      <c r="D284" s="3"/>
      <c r="E284" s="3"/>
      <c r="F284" s="3"/>
    </row>
    <row r="285">
      <c r="A285" s="3" t="str">
        <f>IFERROR(__xludf.DUMMYFUNCTION("""COMPUTED_VALUE"""),"100 Fly")</f>
        <v>100 Fly</v>
      </c>
      <c r="B285" s="3" t="str">
        <f>IFERROR(__xludf.DUMMYFUNCTION("""COMPUTED_VALUE"""),"200 Fly")</f>
        <v>200 Fly</v>
      </c>
      <c r="C285" s="3"/>
      <c r="D285" s="3"/>
      <c r="E285" s="3"/>
      <c r="F285" s="3"/>
    </row>
    <row r="286">
      <c r="A286" s="3" t="str">
        <f>IFERROR(__xludf.DUMMYFUNCTION("""COMPUTED_VALUE"""),"100 Fly")</f>
        <v>100 Fly</v>
      </c>
      <c r="B286" s="3"/>
      <c r="C286" s="3"/>
      <c r="D286" s="3"/>
      <c r="E286" s="3"/>
      <c r="F286" s="3"/>
    </row>
    <row r="287">
      <c r="A287" s="3" t="str">
        <f>IFERROR(__xludf.DUMMYFUNCTION("""COMPUTED_VALUE"""),"100 Fly")</f>
        <v>100 Fly</v>
      </c>
      <c r="B287" s="3"/>
      <c r="C287" s="3"/>
      <c r="D287" s="3"/>
      <c r="E287" s="3"/>
      <c r="F287" s="3"/>
    </row>
    <row r="288">
      <c r="A288" s="3" t="str">
        <f>IFERROR(__xludf.DUMMYFUNCTION("""COMPUTED_VALUE"""),"100 Fly")</f>
        <v>100 Fly</v>
      </c>
      <c r="B288" s="3" t="str">
        <f>IFERROR(__xludf.DUMMYFUNCTION("""COMPUTED_VALUE"""),"200 Fly")</f>
        <v>200 Fly</v>
      </c>
      <c r="C288" s="3"/>
      <c r="D288" s="3"/>
      <c r="E288" s="3"/>
      <c r="F288" s="3"/>
    </row>
    <row r="289">
      <c r="A289" s="3" t="str">
        <f>IFERROR(__xludf.DUMMYFUNCTION("""COMPUTED_VALUE"""),"200 Fly")</f>
        <v>200 Fly</v>
      </c>
      <c r="B289" s="3"/>
      <c r="C289" s="3"/>
      <c r="D289" s="3"/>
      <c r="E289" s="3"/>
      <c r="F289" s="3"/>
    </row>
    <row r="290">
      <c r="A290" s="3" t="str">
        <f>IFERROR(__xludf.DUMMYFUNCTION("""COMPUTED_VALUE"""),"200 Fly")</f>
        <v>200 Fly</v>
      </c>
      <c r="B290" s="3" t="str">
        <f>IFERROR(__xludf.DUMMYFUNCTION("""COMPUTED_VALUE"""),"1000 Free")</f>
        <v>1000 Free</v>
      </c>
      <c r="C290" s="3"/>
      <c r="D290" s="3"/>
      <c r="E290" s="3"/>
      <c r="F290" s="3"/>
    </row>
    <row r="291">
      <c r="A291" s="3" t="str">
        <f>IFERROR(__xludf.DUMMYFUNCTION("""COMPUTED_VALUE"""),"200 Fly")</f>
        <v>200 Fly</v>
      </c>
      <c r="B291" s="3"/>
      <c r="C291" s="3"/>
      <c r="D291" s="3"/>
      <c r="E291" s="3"/>
      <c r="F291" s="3"/>
    </row>
    <row r="292">
      <c r="A292" s="3" t="str">
        <f>IFERROR(__xludf.DUMMYFUNCTION("""COMPUTED_VALUE"""),"200 Fly")</f>
        <v>200 Fly</v>
      </c>
      <c r="B292" s="3"/>
      <c r="C292" s="3"/>
      <c r="D292" s="3"/>
      <c r="E292" s="3"/>
      <c r="F292" s="3"/>
    </row>
    <row r="293">
      <c r="A293" s="3" t="str">
        <f>IFERROR(__xludf.DUMMYFUNCTION("""COMPUTED_VALUE"""),"")</f>
        <v/>
      </c>
      <c r="B293" s="3"/>
      <c r="C293" s="3"/>
      <c r="D293" s="3"/>
      <c r="E293" s="3"/>
      <c r="F293" s="3"/>
    </row>
    <row r="294">
      <c r="A294" s="3" t="str">
        <f>IFERROR(__xludf.DUMMYFUNCTION("""COMPUTED_VALUE"""),"")</f>
        <v/>
      </c>
      <c r="B294" s="3"/>
      <c r="C294" s="3"/>
      <c r="D294" s="3"/>
      <c r="E294" s="3"/>
      <c r="F294" s="3"/>
    </row>
    <row r="295">
      <c r="A295" s="3" t="str">
        <f>IFERROR(__xludf.DUMMYFUNCTION("""COMPUTED_VALUE"""),"")</f>
        <v/>
      </c>
      <c r="B295" s="3"/>
      <c r="C295" s="3"/>
      <c r="D295" s="3"/>
      <c r="E295" s="3"/>
      <c r="F295" s="3"/>
    </row>
    <row r="296">
      <c r="A296" s="3" t="str">
        <f>IFERROR(__xludf.DUMMYFUNCTION("""COMPUTED_VALUE"""),"")</f>
        <v/>
      </c>
      <c r="B296" s="3"/>
      <c r="C296" s="3"/>
      <c r="D296" s="3"/>
      <c r="E296" s="3"/>
      <c r="F296" s="3"/>
    </row>
    <row r="297">
      <c r="A297" s="3" t="str">
        <f>IFERROR(__xludf.DUMMYFUNCTION("""COMPUTED_VALUE"""),"")</f>
        <v/>
      </c>
      <c r="B297" s="3"/>
      <c r="C297" s="3"/>
      <c r="D297" s="3"/>
      <c r="E297" s="3"/>
      <c r="F297" s="3"/>
    </row>
    <row r="298">
      <c r="A298" s="3" t="str">
        <f>IFERROR(__xludf.DUMMYFUNCTION("""COMPUTED_VALUE"""),"")</f>
        <v/>
      </c>
      <c r="B298" s="3"/>
      <c r="C298" s="3"/>
      <c r="D298" s="3"/>
      <c r="E298" s="3"/>
      <c r="F298" s="3"/>
    </row>
    <row r="299">
      <c r="A299" s="3" t="str">
        <f>IFERROR(__xludf.DUMMYFUNCTION("""COMPUTED_VALUE"""),"")</f>
        <v/>
      </c>
      <c r="B299" s="3"/>
      <c r="C299" s="3"/>
      <c r="D299" s="3"/>
      <c r="E299" s="3"/>
      <c r="F299" s="3"/>
    </row>
    <row r="300">
      <c r="A300" s="3" t="str">
        <f>IFERROR(__xludf.DUMMYFUNCTION("""COMPUTED_VALUE"""),"")</f>
        <v/>
      </c>
      <c r="B300" s="3"/>
      <c r="C300" s="3"/>
      <c r="D300" s="3"/>
      <c r="E300" s="3"/>
      <c r="F300" s="3"/>
    </row>
    <row r="301">
      <c r="A301" s="3" t="str">
        <f>IFERROR(__xludf.DUMMYFUNCTION("""COMPUTED_VALUE"""),"")</f>
        <v/>
      </c>
      <c r="B301" s="3"/>
      <c r="C301" s="3"/>
      <c r="D301" s="3"/>
      <c r="E301" s="3"/>
      <c r="F301" s="3"/>
    </row>
    <row r="302">
      <c r="A302" s="3" t="str">
        <f>IFERROR(__xludf.DUMMYFUNCTION("""COMPUTED_VALUE"""),"")</f>
        <v/>
      </c>
      <c r="B302" s="3"/>
      <c r="C302" s="3"/>
      <c r="D302" s="3"/>
      <c r="E302" s="3"/>
      <c r="F302" s="3"/>
    </row>
    <row r="303">
      <c r="A303" s="3" t="str">
        <f>IFERROR(__xludf.DUMMYFUNCTION("""COMPUTED_VALUE"""),"")</f>
        <v/>
      </c>
      <c r="B303" s="3"/>
      <c r="C303" s="3"/>
      <c r="D303" s="3"/>
      <c r="E303" s="3"/>
      <c r="F303" s="3"/>
    </row>
    <row r="304">
      <c r="A304" s="3" t="str">
        <f>IFERROR(__xludf.DUMMYFUNCTION("""COMPUTED_VALUE"""),"")</f>
        <v/>
      </c>
      <c r="B304" s="3"/>
      <c r="C304" s="3"/>
      <c r="D304" s="3"/>
      <c r="E304" s="3"/>
      <c r="F304" s="3"/>
    </row>
    <row r="305">
      <c r="A305" s="3" t="str">
        <f>IFERROR(__xludf.DUMMYFUNCTION("""COMPUTED_VALUE"""),"")</f>
        <v/>
      </c>
      <c r="B305" s="3"/>
      <c r="C305" s="3"/>
      <c r="D305" s="3"/>
      <c r="E305" s="3"/>
      <c r="F305" s="3"/>
    </row>
    <row r="306">
      <c r="A306" s="3" t="str">
        <f>IFERROR(__xludf.DUMMYFUNCTION("""COMPUTED_VALUE"""),"")</f>
        <v/>
      </c>
      <c r="B306" s="3"/>
      <c r="C306" s="3"/>
      <c r="D306" s="3"/>
      <c r="E306" s="3"/>
      <c r="F306" s="3"/>
    </row>
    <row r="307">
      <c r="A307" s="3" t="str">
        <f>IFERROR(__xludf.DUMMYFUNCTION("""COMPUTED_VALUE"""),"")</f>
        <v/>
      </c>
      <c r="B307" s="3"/>
      <c r="C307" s="3"/>
      <c r="D307" s="3"/>
      <c r="E307" s="3"/>
      <c r="F307" s="3"/>
    </row>
    <row r="308">
      <c r="A308" s="3" t="str">
        <f>IFERROR(__xludf.DUMMYFUNCTION("""COMPUTED_VALUE"""),"")</f>
        <v/>
      </c>
      <c r="B308" s="3"/>
      <c r="C308" s="3"/>
      <c r="D308" s="3"/>
      <c r="E308" s="3"/>
      <c r="F308" s="3"/>
    </row>
    <row r="309">
      <c r="A309" s="3" t="str">
        <f>IFERROR(__xludf.DUMMYFUNCTION("""COMPUTED_VALUE"""),"")</f>
        <v/>
      </c>
      <c r="B309" s="3"/>
      <c r="C309" s="3"/>
      <c r="D309" s="3"/>
      <c r="E309" s="3"/>
      <c r="F309" s="3"/>
    </row>
    <row r="310">
      <c r="A310" s="3" t="str">
        <f>IFERROR(__xludf.DUMMYFUNCTION("""COMPUTED_VALUE"""),"")</f>
        <v/>
      </c>
      <c r="B310" s="3"/>
      <c r="C310" s="3"/>
      <c r="D310" s="3"/>
      <c r="E310" s="3"/>
      <c r="F310" s="3"/>
    </row>
    <row r="311">
      <c r="A311" s="3" t="str">
        <f>IFERROR(__xludf.DUMMYFUNCTION("""COMPUTED_VALUE"""),"")</f>
        <v/>
      </c>
      <c r="B311" s="3"/>
      <c r="C311" s="3"/>
      <c r="D311" s="3"/>
      <c r="E311" s="3"/>
      <c r="F311" s="3"/>
    </row>
    <row r="312">
      <c r="A312" s="3" t="str">
        <f>IFERROR(__xludf.DUMMYFUNCTION("""COMPUTED_VALUE"""),"")</f>
        <v/>
      </c>
      <c r="B312" s="3"/>
      <c r="C312" s="3"/>
      <c r="D312" s="3"/>
      <c r="E312" s="3"/>
      <c r="F312" s="3"/>
    </row>
    <row r="313">
      <c r="A313" s="3" t="str">
        <f>IFERROR(__xludf.DUMMYFUNCTION("""COMPUTED_VALUE"""),"")</f>
        <v/>
      </c>
      <c r="B313" s="3"/>
      <c r="C313" s="3"/>
      <c r="D313" s="3"/>
      <c r="E313" s="3"/>
      <c r="F313" s="3"/>
    </row>
    <row r="314">
      <c r="A314" s="3" t="str">
        <f>IFERROR(__xludf.DUMMYFUNCTION("""COMPUTED_VALUE"""),"")</f>
        <v/>
      </c>
      <c r="B314" s="3"/>
      <c r="C314" s="3"/>
      <c r="D314" s="3"/>
      <c r="E314" s="3"/>
      <c r="F314" s="3"/>
    </row>
    <row r="315">
      <c r="A315" s="3" t="str">
        <f>IFERROR(__xludf.DUMMYFUNCTION("""COMPUTED_VALUE"""),"")</f>
        <v/>
      </c>
      <c r="B315" s="3"/>
      <c r="C315" s="3"/>
      <c r="D315" s="3"/>
      <c r="E315" s="3"/>
      <c r="F315" s="3"/>
    </row>
    <row r="316">
      <c r="A316" s="3" t="str">
        <f>IFERROR(__xludf.DUMMYFUNCTION("""COMPUTED_VALUE"""),"")</f>
        <v/>
      </c>
      <c r="B316" s="3"/>
      <c r="C316" s="3"/>
      <c r="D316" s="3"/>
      <c r="E316" s="3"/>
      <c r="F316" s="3"/>
    </row>
    <row r="317">
      <c r="A317" s="3" t="str">
        <f>IFERROR(__xludf.DUMMYFUNCTION("""COMPUTED_VALUE"""),"")</f>
        <v/>
      </c>
      <c r="B317" s="3"/>
      <c r="C317" s="3"/>
      <c r="D317" s="3"/>
      <c r="E317" s="3"/>
      <c r="F317" s="3"/>
    </row>
    <row r="318">
      <c r="A318" s="3" t="str">
        <f>IFERROR(__xludf.DUMMYFUNCTION("""COMPUTED_VALUE"""),"")</f>
        <v/>
      </c>
      <c r="B318" s="3"/>
      <c r="C318" s="3"/>
      <c r="D318" s="3"/>
      <c r="E318" s="3"/>
      <c r="F318" s="3"/>
    </row>
    <row r="319">
      <c r="A319" s="3" t="str">
        <f>IFERROR(__xludf.DUMMYFUNCTION("""COMPUTED_VALUE"""),"")</f>
        <v/>
      </c>
      <c r="B319" s="3"/>
      <c r="C319" s="3"/>
      <c r="D319" s="3"/>
      <c r="E319" s="3"/>
      <c r="F319" s="3"/>
    </row>
    <row r="320">
      <c r="A320" s="3" t="str">
        <f>IFERROR(__xludf.DUMMYFUNCTION("""COMPUTED_VALUE"""),"")</f>
        <v/>
      </c>
      <c r="B320" s="3"/>
      <c r="C320" s="3"/>
      <c r="D320" s="3"/>
      <c r="E320" s="3"/>
      <c r="F320" s="3"/>
    </row>
    <row r="321">
      <c r="A321" s="3" t="str">
        <f>IFERROR(__xludf.DUMMYFUNCTION("""COMPUTED_VALUE"""),"")</f>
        <v/>
      </c>
      <c r="B321" s="3"/>
      <c r="C321" s="3"/>
      <c r="D321" s="3"/>
      <c r="E321" s="3"/>
      <c r="F321" s="3"/>
    </row>
    <row r="322">
      <c r="A322" s="3" t="str">
        <f>IFERROR(__xludf.DUMMYFUNCTION("""COMPUTED_VALUE"""),"")</f>
        <v/>
      </c>
      <c r="B322" s="3"/>
      <c r="C322" s="3"/>
      <c r="D322" s="3"/>
      <c r="E322" s="3"/>
      <c r="F322" s="3"/>
    </row>
    <row r="323">
      <c r="A323" s="3" t="str">
        <f>IFERROR(__xludf.DUMMYFUNCTION("""COMPUTED_VALUE"""),"")</f>
        <v/>
      </c>
      <c r="B323" s="3"/>
      <c r="C323" s="3"/>
      <c r="D323" s="3"/>
      <c r="E323" s="3"/>
      <c r="F323" s="3"/>
    </row>
    <row r="324">
      <c r="A324" s="3" t="str">
        <f>IFERROR(__xludf.DUMMYFUNCTION("""COMPUTED_VALUE"""),"")</f>
        <v/>
      </c>
      <c r="B324" s="3"/>
      <c r="C324" s="3"/>
      <c r="D324" s="3"/>
      <c r="E324" s="3"/>
      <c r="F324" s="3"/>
    </row>
    <row r="325">
      <c r="A325" s="3" t="str">
        <f>IFERROR(__xludf.DUMMYFUNCTION("""COMPUTED_VALUE"""),"")</f>
        <v/>
      </c>
      <c r="B325" s="3"/>
      <c r="C325" s="3"/>
      <c r="D325" s="3"/>
      <c r="E325" s="3"/>
      <c r="F325" s="3"/>
    </row>
    <row r="326">
      <c r="A326" s="3" t="str">
        <f>IFERROR(__xludf.DUMMYFUNCTION("""COMPUTED_VALUE"""),"")</f>
        <v/>
      </c>
      <c r="B326" s="3"/>
      <c r="C326" s="3"/>
      <c r="D326" s="3"/>
      <c r="E326" s="3"/>
      <c r="F326" s="3"/>
    </row>
    <row r="327">
      <c r="A327" s="3" t="str">
        <f>IFERROR(__xludf.DUMMYFUNCTION("""COMPUTED_VALUE"""),"")</f>
        <v/>
      </c>
      <c r="B327" s="3"/>
      <c r="C327" s="3"/>
      <c r="D327" s="3"/>
      <c r="E327" s="3"/>
      <c r="F327" s="3"/>
    </row>
    <row r="328">
      <c r="A328" s="3" t="str">
        <f>IFERROR(__xludf.DUMMYFUNCTION("""COMPUTED_VALUE"""),"")</f>
        <v/>
      </c>
      <c r="B328" s="3"/>
      <c r="C328" s="3"/>
      <c r="D328" s="3"/>
      <c r="E328" s="3"/>
      <c r="F328" s="3"/>
    </row>
    <row r="329">
      <c r="A329" s="3" t="str">
        <f>IFERROR(__xludf.DUMMYFUNCTION("""COMPUTED_VALUE"""),"")</f>
        <v/>
      </c>
      <c r="B329" s="3"/>
      <c r="C329" s="3"/>
      <c r="D329" s="3"/>
      <c r="E329" s="3"/>
      <c r="F329" s="3"/>
    </row>
    <row r="330">
      <c r="A330" s="3" t="str">
        <f>IFERROR(__xludf.DUMMYFUNCTION("""COMPUTED_VALUE"""),"")</f>
        <v/>
      </c>
      <c r="B330" s="3"/>
      <c r="C330" s="3"/>
      <c r="D330" s="3"/>
      <c r="E330" s="3"/>
      <c r="F330" s="3"/>
    </row>
    <row r="331">
      <c r="A331" s="3" t="str">
        <f>IFERROR(__xludf.DUMMYFUNCTION("""COMPUTED_VALUE"""),"")</f>
        <v/>
      </c>
      <c r="B331" s="3"/>
      <c r="C331" s="3"/>
      <c r="D331" s="3"/>
      <c r="E331" s="3"/>
      <c r="F331" s="3"/>
    </row>
    <row r="332">
      <c r="A332" s="3" t="str">
        <f>IFERROR(__xludf.DUMMYFUNCTION("""COMPUTED_VALUE"""),"")</f>
        <v/>
      </c>
      <c r="B332" s="3"/>
      <c r="C332" s="3"/>
      <c r="D332" s="3"/>
      <c r="E332" s="3"/>
      <c r="F332" s="3"/>
    </row>
    <row r="333">
      <c r="A333" s="3" t="str">
        <f>IFERROR(__xludf.DUMMYFUNCTION("""COMPUTED_VALUE"""),"")</f>
        <v/>
      </c>
      <c r="B333" s="3"/>
      <c r="C333" s="3"/>
      <c r="D333" s="3"/>
      <c r="E333" s="3"/>
      <c r="F333" s="3"/>
    </row>
    <row r="334">
      <c r="A334" s="3" t="str">
        <f>IFERROR(__xludf.DUMMYFUNCTION("""COMPUTED_VALUE"""),"")</f>
        <v/>
      </c>
      <c r="B334" s="3"/>
      <c r="C334" s="3"/>
      <c r="D334" s="3"/>
      <c r="E334" s="3"/>
      <c r="F334" s="3"/>
    </row>
    <row r="335">
      <c r="A335" s="3" t="str">
        <f>IFERROR(__xludf.DUMMYFUNCTION("""COMPUTED_VALUE"""),"")</f>
        <v/>
      </c>
      <c r="B335" s="3"/>
      <c r="C335" s="3"/>
      <c r="D335" s="3"/>
      <c r="E335" s="3"/>
      <c r="F335" s="3"/>
    </row>
    <row r="336">
      <c r="A336" s="3" t="str">
        <f>IFERROR(__xludf.DUMMYFUNCTION("""COMPUTED_VALUE"""),"")</f>
        <v/>
      </c>
      <c r="B336" s="3"/>
      <c r="C336" s="3"/>
      <c r="D336" s="3"/>
      <c r="E336" s="3"/>
      <c r="F336" s="3"/>
    </row>
    <row r="337">
      <c r="A337" s="3" t="str">
        <f>IFERROR(__xludf.DUMMYFUNCTION("""COMPUTED_VALUE"""),"")</f>
        <v/>
      </c>
      <c r="B337" s="3"/>
      <c r="C337" s="3"/>
      <c r="D337" s="3"/>
      <c r="E337" s="3"/>
      <c r="F337" s="3"/>
    </row>
    <row r="338">
      <c r="A338" s="3" t="str">
        <f>IFERROR(__xludf.DUMMYFUNCTION("""COMPUTED_VALUE"""),"")</f>
        <v/>
      </c>
      <c r="B338" s="3"/>
      <c r="C338" s="3"/>
      <c r="D338" s="3"/>
      <c r="E338" s="3"/>
      <c r="F338" s="3"/>
    </row>
    <row r="339">
      <c r="A339" s="3" t="str">
        <f>IFERROR(__xludf.DUMMYFUNCTION("""COMPUTED_VALUE"""),"")</f>
        <v/>
      </c>
      <c r="B339" s="3"/>
      <c r="C339" s="3"/>
      <c r="D339" s="3"/>
      <c r="E339" s="3"/>
      <c r="F339" s="3"/>
    </row>
    <row r="340">
      <c r="A340" s="3" t="str">
        <f>IFERROR(__xludf.DUMMYFUNCTION("""COMPUTED_VALUE"""),"")</f>
        <v/>
      </c>
      <c r="B340" s="3"/>
      <c r="C340" s="3"/>
      <c r="D340" s="3"/>
      <c r="E340" s="3"/>
      <c r="F340" s="3"/>
    </row>
    <row r="341">
      <c r="A341" s="3" t="str">
        <f>IFERROR(__xludf.DUMMYFUNCTION("""COMPUTED_VALUE"""),"")</f>
        <v/>
      </c>
      <c r="B341" s="3"/>
      <c r="C341" s="3"/>
      <c r="D341" s="3"/>
      <c r="E341" s="3"/>
      <c r="F341" s="3"/>
    </row>
    <row r="342">
      <c r="A342" s="3" t="str">
        <f>IFERROR(__xludf.DUMMYFUNCTION("""COMPUTED_VALUE"""),"")</f>
        <v/>
      </c>
      <c r="B342" s="3"/>
      <c r="C342" s="3"/>
      <c r="D342" s="3"/>
      <c r="E342" s="3"/>
      <c r="F342" s="3"/>
    </row>
    <row r="343">
      <c r="A343" s="3" t="str">
        <f>IFERROR(__xludf.DUMMYFUNCTION("""COMPUTED_VALUE"""),"")</f>
        <v/>
      </c>
      <c r="B343" s="3"/>
      <c r="C343" s="3"/>
      <c r="D343" s="3"/>
      <c r="E343" s="3"/>
      <c r="F343" s="3"/>
    </row>
    <row r="344">
      <c r="A344" s="3" t="str">
        <f>IFERROR(__xludf.DUMMYFUNCTION("""COMPUTED_VALUE"""),"")</f>
        <v/>
      </c>
      <c r="B344" s="3"/>
      <c r="C344" s="3"/>
      <c r="D344" s="3"/>
      <c r="E344" s="3"/>
      <c r="F344" s="3"/>
    </row>
    <row r="345">
      <c r="A345" s="3" t="str">
        <f>IFERROR(__xludf.DUMMYFUNCTION("""COMPUTED_VALUE"""),"")</f>
        <v/>
      </c>
      <c r="B345" s="3"/>
      <c r="C345" s="3"/>
      <c r="D345" s="3"/>
      <c r="E345" s="3"/>
      <c r="F345" s="3"/>
    </row>
    <row r="346">
      <c r="A346" s="3" t="str">
        <f>IFERROR(__xludf.DUMMYFUNCTION("""COMPUTED_VALUE"""),"")</f>
        <v/>
      </c>
      <c r="B346" s="3"/>
      <c r="C346" s="3"/>
      <c r="D346" s="3"/>
      <c r="E346" s="3"/>
      <c r="F346" s="3"/>
    </row>
    <row r="347">
      <c r="A347" s="3" t="str">
        <f>IFERROR(__xludf.DUMMYFUNCTION("""COMPUTED_VALUE"""),"")</f>
        <v/>
      </c>
      <c r="B347" s="3"/>
      <c r="C347" s="3"/>
      <c r="D347" s="3"/>
      <c r="E347" s="3"/>
      <c r="F347" s="3"/>
    </row>
    <row r="348">
      <c r="A348" s="3" t="str">
        <f>IFERROR(__xludf.DUMMYFUNCTION("""COMPUTED_VALUE"""),"")</f>
        <v/>
      </c>
      <c r="B348" s="3"/>
      <c r="C348" s="3"/>
      <c r="D348" s="3"/>
      <c r="E348" s="3"/>
      <c r="F348" s="3"/>
    </row>
    <row r="349">
      <c r="A349" s="3" t="str">
        <f>IFERROR(__xludf.DUMMYFUNCTION("""COMPUTED_VALUE"""),"")</f>
        <v/>
      </c>
      <c r="B349" s="3"/>
      <c r="C349" s="3"/>
      <c r="D349" s="3"/>
      <c r="E349" s="3"/>
      <c r="F349" s="3"/>
    </row>
    <row r="350">
      <c r="A350" s="3" t="str">
        <f>IFERROR(__xludf.DUMMYFUNCTION("""COMPUTED_VALUE"""),"")</f>
        <v/>
      </c>
      <c r="B350" s="3"/>
      <c r="C350" s="3"/>
      <c r="D350" s="3"/>
      <c r="E350" s="3"/>
      <c r="F350" s="3"/>
    </row>
    <row r="351">
      <c r="A351" s="3" t="str">
        <f>IFERROR(__xludf.DUMMYFUNCTION("""COMPUTED_VALUE"""),"")</f>
        <v/>
      </c>
      <c r="B351" s="3"/>
      <c r="C351" s="3"/>
      <c r="D351" s="3"/>
      <c r="E351" s="3"/>
      <c r="F351" s="3"/>
    </row>
    <row r="352">
      <c r="A352" s="3" t="str">
        <f>IFERROR(__xludf.DUMMYFUNCTION("""COMPUTED_VALUE"""),"")</f>
        <v/>
      </c>
      <c r="B352" s="3"/>
      <c r="C352" s="3"/>
      <c r="D352" s="3"/>
      <c r="E352" s="3"/>
      <c r="F352" s="3"/>
    </row>
    <row r="353">
      <c r="A353" s="3" t="str">
        <f>IFERROR(__xludf.DUMMYFUNCTION("""COMPUTED_VALUE"""),"")</f>
        <v/>
      </c>
      <c r="B353" s="3"/>
      <c r="C353" s="3"/>
      <c r="D353" s="3"/>
      <c r="E353" s="3"/>
      <c r="F353" s="3"/>
    </row>
    <row r="354">
      <c r="A354" s="3" t="str">
        <f>IFERROR(__xludf.DUMMYFUNCTION("""COMPUTED_VALUE"""),"")</f>
        <v/>
      </c>
      <c r="B354" s="3"/>
      <c r="C354" s="3"/>
      <c r="D354" s="3"/>
      <c r="E354" s="3"/>
      <c r="F354" s="3"/>
    </row>
    <row r="355">
      <c r="A355" s="3" t="str">
        <f>IFERROR(__xludf.DUMMYFUNCTION("""COMPUTED_VALUE"""),"")</f>
        <v/>
      </c>
      <c r="B355" s="3"/>
      <c r="C355" s="3"/>
      <c r="D355" s="3"/>
      <c r="E355" s="3"/>
      <c r="F355" s="3"/>
    </row>
    <row r="356">
      <c r="A356" s="3" t="str">
        <f>IFERROR(__xludf.DUMMYFUNCTION("""COMPUTED_VALUE"""),"")</f>
        <v/>
      </c>
      <c r="B356" s="3"/>
      <c r="C356" s="3"/>
      <c r="D356" s="3"/>
      <c r="E356" s="3"/>
      <c r="F356" s="3"/>
    </row>
    <row r="357">
      <c r="A357" s="3" t="str">
        <f>IFERROR(__xludf.DUMMYFUNCTION("""COMPUTED_VALUE"""),"")</f>
        <v/>
      </c>
      <c r="B357" s="3"/>
      <c r="C357" s="3"/>
      <c r="D357" s="3"/>
      <c r="E357" s="3"/>
      <c r="F357" s="3"/>
    </row>
    <row r="358">
      <c r="A358" s="3" t="str">
        <f>IFERROR(__xludf.DUMMYFUNCTION("""COMPUTED_VALUE"""),"")</f>
        <v/>
      </c>
      <c r="B358" s="3"/>
      <c r="C358" s="3"/>
      <c r="D358" s="3"/>
      <c r="E358" s="3"/>
      <c r="F358" s="3"/>
    </row>
    <row r="359">
      <c r="A359" s="3" t="str">
        <f>IFERROR(__xludf.DUMMYFUNCTION("""COMPUTED_VALUE"""),"")</f>
        <v/>
      </c>
      <c r="B359" s="3"/>
      <c r="C359" s="3"/>
      <c r="D359" s="3"/>
      <c r="E359" s="3"/>
      <c r="F359" s="3"/>
    </row>
    <row r="360">
      <c r="A360" s="3" t="str">
        <f>IFERROR(__xludf.DUMMYFUNCTION("""COMPUTED_VALUE"""),"")</f>
        <v/>
      </c>
      <c r="B360" s="3"/>
      <c r="C360" s="3"/>
      <c r="D360" s="3"/>
      <c r="E360" s="3"/>
      <c r="F360" s="3"/>
    </row>
    <row r="361">
      <c r="A361" s="3" t="str">
        <f>IFERROR(__xludf.DUMMYFUNCTION("""COMPUTED_VALUE"""),"")</f>
        <v/>
      </c>
      <c r="B361" s="3"/>
      <c r="C361" s="3"/>
      <c r="D361" s="3"/>
      <c r="E361" s="3"/>
      <c r="F361" s="3"/>
    </row>
    <row r="362">
      <c r="A362" s="3" t="str">
        <f>IFERROR(__xludf.DUMMYFUNCTION("""COMPUTED_VALUE"""),"")</f>
        <v/>
      </c>
      <c r="B362" s="3"/>
      <c r="C362" s="3"/>
      <c r="D362" s="3"/>
      <c r="E362" s="3"/>
      <c r="F362" s="3"/>
    </row>
    <row r="363">
      <c r="A363" s="3" t="str">
        <f>IFERROR(__xludf.DUMMYFUNCTION("""COMPUTED_VALUE"""),"")</f>
        <v/>
      </c>
      <c r="B363" s="3"/>
      <c r="C363" s="3"/>
      <c r="D363" s="3"/>
      <c r="E363" s="3"/>
      <c r="F363" s="3"/>
    </row>
    <row r="364">
      <c r="A364" s="3" t="str">
        <f>IFERROR(__xludf.DUMMYFUNCTION("""COMPUTED_VALUE"""),"")</f>
        <v/>
      </c>
      <c r="B364" s="3"/>
      <c r="C364" s="3"/>
      <c r="D364" s="3"/>
      <c r="E364" s="3"/>
      <c r="F364" s="3"/>
    </row>
    <row r="365">
      <c r="A365" s="3" t="str">
        <f>IFERROR(__xludf.DUMMYFUNCTION("""COMPUTED_VALUE"""),"")</f>
        <v/>
      </c>
      <c r="B365" s="3"/>
      <c r="C365" s="3"/>
      <c r="D365" s="3"/>
      <c r="E365" s="3"/>
      <c r="F365" s="3"/>
    </row>
    <row r="366">
      <c r="A366" s="3" t="str">
        <f>IFERROR(__xludf.DUMMYFUNCTION("""COMPUTED_VALUE"""),"")</f>
        <v/>
      </c>
      <c r="B366" s="3"/>
      <c r="C366" s="3"/>
      <c r="D366" s="3"/>
      <c r="E366" s="3"/>
      <c r="F366" s="3"/>
    </row>
    <row r="367">
      <c r="A367" s="3" t="str">
        <f>IFERROR(__xludf.DUMMYFUNCTION("""COMPUTED_VALUE"""),"")</f>
        <v/>
      </c>
      <c r="B367" s="3"/>
      <c r="C367" s="3"/>
      <c r="D367" s="3"/>
      <c r="E367" s="3"/>
      <c r="F367" s="3"/>
    </row>
    <row r="368">
      <c r="A368" s="3" t="str">
        <f>IFERROR(__xludf.DUMMYFUNCTION("""COMPUTED_VALUE"""),"")</f>
        <v/>
      </c>
      <c r="B368" s="3"/>
      <c r="C368" s="3"/>
      <c r="D368" s="3"/>
      <c r="E368" s="3"/>
      <c r="F368" s="3"/>
    </row>
    <row r="369">
      <c r="A369" s="3" t="str">
        <f>IFERROR(__xludf.DUMMYFUNCTION("""COMPUTED_VALUE"""),"")</f>
        <v/>
      </c>
      <c r="B369" s="3"/>
      <c r="C369" s="3"/>
      <c r="D369" s="3"/>
      <c r="E369" s="3"/>
      <c r="F369" s="3"/>
    </row>
    <row r="370">
      <c r="A370" s="3" t="str">
        <f>IFERROR(__xludf.DUMMYFUNCTION("""COMPUTED_VALUE"""),"")</f>
        <v/>
      </c>
      <c r="B370" s="3"/>
      <c r="C370" s="3"/>
      <c r="D370" s="3"/>
      <c r="E370" s="3"/>
      <c r="F370" s="3"/>
    </row>
    <row r="371">
      <c r="A371" s="3" t="str">
        <f>IFERROR(__xludf.DUMMYFUNCTION("""COMPUTED_VALUE"""),"")</f>
        <v/>
      </c>
      <c r="B371" s="3"/>
      <c r="C371" s="3"/>
      <c r="D371" s="3"/>
      <c r="E371" s="3"/>
      <c r="F371" s="3"/>
    </row>
    <row r="372">
      <c r="A372" s="3" t="str">
        <f>IFERROR(__xludf.DUMMYFUNCTION("""COMPUTED_VALUE"""),"")</f>
        <v/>
      </c>
      <c r="B372" s="3"/>
      <c r="C372" s="3"/>
      <c r="D372" s="3"/>
      <c r="E372" s="3"/>
      <c r="F372" s="3"/>
    </row>
    <row r="373">
      <c r="A373" s="3" t="str">
        <f>IFERROR(__xludf.DUMMYFUNCTION("""COMPUTED_VALUE"""),"")</f>
        <v/>
      </c>
      <c r="B373" s="3"/>
      <c r="C373" s="3"/>
      <c r="D373" s="3"/>
      <c r="E373" s="3"/>
      <c r="F373" s="3"/>
    </row>
    <row r="374">
      <c r="A374" s="3" t="str">
        <f>IFERROR(__xludf.DUMMYFUNCTION("""COMPUTED_VALUE"""),"")</f>
        <v/>
      </c>
      <c r="B374" s="3"/>
      <c r="C374" s="3"/>
      <c r="D374" s="3"/>
      <c r="E374" s="3"/>
      <c r="F374" s="3"/>
    </row>
    <row r="375">
      <c r="A375" s="3" t="str">
        <f>IFERROR(__xludf.DUMMYFUNCTION("""COMPUTED_VALUE"""),"")</f>
        <v/>
      </c>
      <c r="B375" s="3"/>
      <c r="C375" s="3"/>
      <c r="D375" s="3"/>
      <c r="E375" s="3"/>
      <c r="F375" s="3"/>
    </row>
    <row r="376">
      <c r="A376" s="3" t="str">
        <f>IFERROR(__xludf.DUMMYFUNCTION("""COMPUTED_VALUE"""),"")</f>
        <v/>
      </c>
      <c r="B376" s="3"/>
      <c r="C376" s="3"/>
      <c r="D376" s="3"/>
      <c r="E376" s="3"/>
      <c r="F376" s="3"/>
    </row>
    <row r="377">
      <c r="A377" s="3" t="str">
        <f>IFERROR(__xludf.DUMMYFUNCTION("""COMPUTED_VALUE"""),"")</f>
        <v/>
      </c>
      <c r="B377" s="3"/>
      <c r="C377" s="3"/>
      <c r="D377" s="3"/>
      <c r="E377" s="3"/>
      <c r="F377" s="3"/>
    </row>
    <row r="378">
      <c r="A378" s="3" t="str">
        <f>IFERROR(__xludf.DUMMYFUNCTION("""COMPUTED_VALUE"""),"")</f>
        <v/>
      </c>
      <c r="B378" s="3"/>
      <c r="C378" s="3"/>
      <c r="D378" s="3"/>
      <c r="E378" s="3"/>
      <c r="F378" s="3"/>
    </row>
    <row r="379">
      <c r="A379" s="3" t="str">
        <f>IFERROR(__xludf.DUMMYFUNCTION("""COMPUTED_VALUE"""),"")</f>
        <v/>
      </c>
      <c r="B379" s="3"/>
      <c r="C379" s="3"/>
      <c r="D379" s="3"/>
      <c r="E379" s="3"/>
      <c r="F379" s="3"/>
    </row>
    <row r="380">
      <c r="A380" s="3" t="str">
        <f>IFERROR(__xludf.DUMMYFUNCTION("""COMPUTED_VALUE"""),"")</f>
        <v/>
      </c>
      <c r="B380" s="3"/>
      <c r="C380" s="3"/>
      <c r="D380" s="3"/>
      <c r="E380" s="3"/>
      <c r="F380" s="3"/>
    </row>
    <row r="381">
      <c r="A381" s="3" t="str">
        <f>IFERROR(__xludf.DUMMYFUNCTION("""COMPUTED_VALUE"""),"")</f>
        <v/>
      </c>
      <c r="B381" s="3"/>
      <c r="C381" s="3"/>
      <c r="D381" s="3"/>
      <c r="E381" s="3"/>
      <c r="F381" s="3"/>
    </row>
    <row r="382">
      <c r="A382" s="3" t="str">
        <f>IFERROR(__xludf.DUMMYFUNCTION("""COMPUTED_VALUE"""),"")</f>
        <v/>
      </c>
      <c r="B382" s="3"/>
      <c r="C382" s="3"/>
      <c r="D382" s="3"/>
      <c r="E382" s="3"/>
      <c r="F382" s="3"/>
    </row>
    <row r="383">
      <c r="A383" s="3" t="str">
        <f>IFERROR(__xludf.DUMMYFUNCTION("""COMPUTED_VALUE"""),"")</f>
        <v/>
      </c>
      <c r="B383" s="3"/>
      <c r="C383" s="3"/>
      <c r="D383" s="3"/>
      <c r="E383" s="3"/>
      <c r="F383" s="3"/>
    </row>
    <row r="384">
      <c r="A384" s="3" t="str">
        <f>IFERROR(__xludf.DUMMYFUNCTION("""COMPUTED_VALUE"""),"")</f>
        <v/>
      </c>
      <c r="B384" s="3"/>
      <c r="C384" s="3"/>
      <c r="D384" s="3"/>
      <c r="E384" s="3"/>
      <c r="F384" s="3"/>
    </row>
    <row r="385">
      <c r="A385" s="3" t="str">
        <f>IFERROR(__xludf.DUMMYFUNCTION("""COMPUTED_VALUE"""),"")</f>
        <v/>
      </c>
      <c r="B385" s="3"/>
      <c r="C385" s="3"/>
      <c r="D385" s="3"/>
      <c r="E385" s="3"/>
      <c r="F385" s="3"/>
    </row>
    <row r="386">
      <c r="A386" s="3" t="str">
        <f>IFERROR(__xludf.DUMMYFUNCTION("""COMPUTED_VALUE"""),"")</f>
        <v/>
      </c>
      <c r="B386" s="3"/>
      <c r="C386" s="3"/>
      <c r="D386" s="3"/>
      <c r="E386" s="3"/>
      <c r="F386" s="3"/>
    </row>
    <row r="387">
      <c r="A387" s="3" t="str">
        <f>IFERROR(__xludf.DUMMYFUNCTION("""COMPUTED_VALUE"""),"")</f>
        <v/>
      </c>
      <c r="B387" s="3"/>
      <c r="C387" s="3"/>
      <c r="D387" s="3"/>
      <c r="E387" s="3"/>
      <c r="F387" s="3"/>
    </row>
    <row r="388">
      <c r="A388" s="3" t="str">
        <f>IFERROR(__xludf.DUMMYFUNCTION("""COMPUTED_VALUE"""),"")</f>
        <v/>
      </c>
      <c r="B388" s="3"/>
      <c r="C388" s="3"/>
      <c r="D388" s="3"/>
      <c r="E388" s="3"/>
      <c r="F388" s="3"/>
    </row>
    <row r="389">
      <c r="A389" s="3" t="str">
        <f>IFERROR(__xludf.DUMMYFUNCTION("""COMPUTED_VALUE"""),"")</f>
        <v/>
      </c>
      <c r="B389" s="3"/>
      <c r="C389" s="3"/>
      <c r="D389" s="3"/>
      <c r="E389" s="3"/>
      <c r="F389" s="3"/>
    </row>
    <row r="390">
      <c r="A390" s="3" t="str">
        <f>IFERROR(__xludf.DUMMYFUNCTION("""COMPUTED_VALUE"""),"")</f>
        <v/>
      </c>
      <c r="B390" s="3"/>
      <c r="C390" s="3"/>
      <c r="D390" s="3"/>
      <c r="E390" s="3"/>
      <c r="F390" s="3"/>
    </row>
    <row r="391">
      <c r="A391" s="3" t="str">
        <f>IFERROR(__xludf.DUMMYFUNCTION("""COMPUTED_VALUE"""),"")</f>
        <v/>
      </c>
      <c r="B391" s="3"/>
      <c r="C391" s="3"/>
      <c r="D391" s="3"/>
      <c r="E391" s="3"/>
      <c r="F391" s="3"/>
    </row>
    <row r="392">
      <c r="A392" s="3" t="str">
        <f>IFERROR(__xludf.DUMMYFUNCTION("""COMPUTED_VALUE"""),"")</f>
        <v/>
      </c>
      <c r="B392" s="3"/>
      <c r="C392" s="3"/>
      <c r="D392" s="3"/>
      <c r="E392" s="3"/>
      <c r="F392" s="3"/>
    </row>
    <row r="393">
      <c r="A393" s="3" t="str">
        <f>IFERROR(__xludf.DUMMYFUNCTION("""COMPUTED_VALUE"""),"")</f>
        <v/>
      </c>
      <c r="B393" s="3"/>
      <c r="C393" s="3"/>
      <c r="D393" s="3"/>
      <c r="E393" s="3"/>
      <c r="F393" s="3"/>
    </row>
    <row r="394">
      <c r="A394" s="3" t="str">
        <f>IFERROR(__xludf.DUMMYFUNCTION("""COMPUTED_VALUE"""),"")</f>
        <v/>
      </c>
      <c r="B394" s="3"/>
      <c r="C394" s="3"/>
      <c r="D394" s="3"/>
      <c r="E394" s="3"/>
      <c r="F394" s="3"/>
    </row>
    <row r="395">
      <c r="A395" s="3" t="str">
        <f>IFERROR(__xludf.DUMMYFUNCTION("""COMPUTED_VALUE"""),"")</f>
        <v/>
      </c>
      <c r="B395" s="3"/>
      <c r="C395" s="3"/>
      <c r="D395" s="3"/>
      <c r="E395" s="3"/>
      <c r="F395" s="3"/>
    </row>
    <row r="396">
      <c r="A396" s="3" t="str">
        <f>IFERROR(__xludf.DUMMYFUNCTION("""COMPUTED_VALUE"""),"")</f>
        <v/>
      </c>
      <c r="B396" s="3"/>
      <c r="C396" s="3"/>
      <c r="D396" s="3"/>
      <c r="E396" s="3"/>
      <c r="F396" s="3"/>
    </row>
    <row r="397">
      <c r="A397" s="3" t="str">
        <f>IFERROR(__xludf.DUMMYFUNCTION("""COMPUTED_VALUE"""),"")</f>
        <v/>
      </c>
      <c r="B397" s="3"/>
      <c r="C397" s="3"/>
      <c r="D397" s="3"/>
      <c r="E397" s="3"/>
      <c r="F397" s="3"/>
    </row>
    <row r="398">
      <c r="A398" s="3" t="str">
        <f>IFERROR(__xludf.DUMMYFUNCTION("""COMPUTED_VALUE"""),"")</f>
        <v/>
      </c>
      <c r="B398" s="3"/>
      <c r="C398" s="3"/>
      <c r="D398" s="3"/>
      <c r="E398" s="3"/>
      <c r="F398" s="3"/>
    </row>
    <row r="399">
      <c r="A399" s="3" t="str">
        <f>IFERROR(__xludf.DUMMYFUNCTION("""COMPUTED_VALUE"""),"")</f>
        <v/>
      </c>
      <c r="B399" s="3"/>
      <c r="C399" s="3"/>
      <c r="D399" s="3"/>
      <c r="E399" s="3"/>
      <c r="F399" s="3"/>
    </row>
    <row r="400">
      <c r="A400" s="3" t="str">
        <f>IFERROR(__xludf.DUMMYFUNCTION("""COMPUTED_VALUE"""),"")</f>
        <v/>
      </c>
      <c r="B400" s="3"/>
      <c r="C400" s="3"/>
      <c r="D400" s="3"/>
      <c r="E400" s="3"/>
      <c r="F400" s="3"/>
    </row>
    <row r="401">
      <c r="A401" s="3" t="str">
        <f>IFERROR(__xludf.DUMMYFUNCTION("""COMPUTED_VALUE"""),"")</f>
        <v/>
      </c>
      <c r="B401" s="3"/>
      <c r="C401" s="3"/>
      <c r="D401" s="3"/>
      <c r="E401" s="3"/>
      <c r="F401" s="3"/>
    </row>
    <row r="402">
      <c r="A402" s="3" t="str">
        <f>IFERROR(__xludf.DUMMYFUNCTION("""COMPUTED_VALUE"""),"")</f>
        <v/>
      </c>
      <c r="B402" s="3"/>
      <c r="C402" s="3"/>
      <c r="D402" s="3"/>
      <c r="E402" s="3"/>
      <c r="F402" s="3"/>
    </row>
    <row r="403">
      <c r="A403" s="3" t="str">
        <f>IFERROR(__xludf.DUMMYFUNCTION("""COMPUTED_VALUE"""),"")</f>
        <v/>
      </c>
      <c r="B403" s="3"/>
      <c r="C403" s="3"/>
      <c r="D403" s="3"/>
      <c r="E403" s="3"/>
      <c r="F403" s="3"/>
    </row>
    <row r="404">
      <c r="A404" s="3" t="str">
        <f>IFERROR(__xludf.DUMMYFUNCTION("""COMPUTED_VALUE"""),"")</f>
        <v/>
      </c>
      <c r="B404" s="3"/>
      <c r="C404" s="3"/>
      <c r="D404" s="3"/>
      <c r="E404" s="3"/>
      <c r="F404" s="3"/>
    </row>
    <row r="405">
      <c r="A405" s="3" t="str">
        <f>IFERROR(__xludf.DUMMYFUNCTION("""COMPUTED_VALUE"""),"")</f>
        <v/>
      </c>
      <c r="B405" s="3"/>
      <c r="C405" s="3"/>
      <c r="D405" s="3"/>
      <c r="E405" s="3"/>
      <c r="F405" s="3"/>
    </row>
    <row r="406">
      <c r="A406" s="3" t="str">
        <f>IFERROR(__xludf.DUMMYFUNCTION("""COMPUTED_VALUE"""),"")</f>
        <v/>
      </c>
      <c r="B406" s="3"/>
      <c r="C406" s="3"/>
      <c r="D406" s="3"/>
      <c r="E406" s="3"/>
      <c r="F406" s="3"/>
    </row>
    <row r="407">
      <c r="A407" s="3" t="str">
        <f>IFERROR(__xludf.DUMMYFUNCTION("""COMPUTED_VALUE"""),"")</f>
        <v/>
      </c>
      <c r="B407" s="3"/>
      <c r="C407" s="3"/>
      <c r="D407" s="3"/>
      <c r="E407" s="3"/>
      <c r="F407" s="3"/>
    </row>
    <row r="408">
      <c r="A408" s="3" t="str">
        <f>IFERROR(__xludf.DUMMYFUNCTION("""COMPUTED_VALUE"""),"")</f>
        <v/>
      </c>
      <c r="B408" s="3"/>
      <c r="C408" s="3"/>
      <c r="D408" s="3"/>
      <c r="E408" s="3"/>
      <c r="F408" s="3"/>
    </row>
    <row r="409">
      <c r="A409" s="3" t="str">
        <f>IFERROR(__xludf.DUMMYFUNCTION("""COMPUTED_VALUE"""),"")</f>
        <v/>
      </c>
      <c r="B409" s="3"/>
      <c r="C409" s="3"/>
      <c r="D409" s="3"/>
      <c r="E409" s="3"/>
      <c r="F409" s="3"/>
    </row>
    <row r="410">
      <c r="A410" s="3" t="str">
        <f>IFERROR(__xludf.DUMMYFUNCTION("""COMPUTED_VALUE"""),"")</f>
        <v/>
      </c>
      <c r="B410" s="3"/>
      <c r="C410" s="3"/>
      <c r="D410" s="3"/>
      <c r="E410" s="3"/>
      <c r="F410" s="3"/>
    </row>
    <row r="411">
      <c r="A411" s="3" t="str">
        <f>IFERROR(__xludf.DUMMYFUNCTION("""COMPUTED_VALUE"""),"")</f>
        <v/>
      </c>
      <c r="B411" s="3"/>
      <c r="C411" s="3"/>
      <c r="D411" s="3"/>
      <c r="E411" s="3"/>
      <c r="F411" s="3"/>
    </row>
    <row r="412">
      <c r="A412" s="3" t="str">
        <f>IFERROR(__xludf.DUMMYFUNCTION("""COMPUTED_VALUE"""),"")</f>
        <v/>
      </c>
      <c r="B412" s="3"/>
      <c r="C412" s="3"/>
      <c r="D412" s="3"/>
      <c r="E412" s="3"/>
      <c r="F412" s="3"/>
    </row>
    <row r="413">
      <c r="A413" s="3" t="str">
        <f>IFERROR(__xludf.DUMMYFUNCTION("""COMPUTED_VALUE"""),"")</f>
        <v/>
      </c>
      <c r="B413" s="3"/>
      <c r="C413" s="3"/>
      <c r="D413" s="3"/>
      <c r="E413" s="3"/>
      <c r="F413" s="3"/>
    </row>
    <row r="414">
      <c r="A414" s="3" t="str">
        <f>IFERROR(__xludf.DUMMYFUNCTION("""COMPUTED_VALUE"""),"")</f>
        <v/>
      </c>
      <c r="B414" s="3"/>
      <c r="C414" s="3"/>
      <c r="D414" s="3"/>
      <c r="E414" s="3"/>
      <c r="F414" s="3"/>
    </row>
    <row r="415">
      <c r="A415" s="3" t="str">
        <f>IFERROR(__xludf.DUMMYFUNCTION("""COMPUTED_VALUE"""),"")</f>
        <v/>
      </c>
      <c r="B415" s="3"/>
      <c r="C415" s="3"/>
      <c r="D415" s="3"/>
      <c r="E415" s="3"/>
      <c r="F415" s="3"/>
    </row>
    <row r="416">
      <c r="A416" s="3" t="str">
        <f>IFERROR(__xludf.DUMMYFUNCTION("""COMPUTED_VALUE"""),"")</f>
        <v/>
      </c>
      <c r="B416" s="3"/>
      <c r="C416" s="3"/>
      <c r="D416" s="3"/>
      <c r="E416" s="3"/>
      <c r="F416" s="3"/>
    </row>
    <row r="417">
      <c r="A417" s="3" t="str">
        <f>IFERROR(__xludf.DUMMYFUNCTION("""COMPUTED_VALUE"""),"")</f>
        <v/>
      </c>
      <c r="B417" s="3"/>
      <c r="C417" s="3"/>
      <c r="D417" s="3"/>
      <c r="E417" s="3"/>
      <c r="F417" s="3"/>
    </row>
    <row r="418">
      <c r="A418" s="3" t="str">
        <f>IFERROR(__xludf.DUMMYFUNCTION("""COMPUTED_VALUE"""),"")</f>
        <v/>
      </c>
      <c r="B418" s="3"/>
      <c r="C418" s="3"/>
      <c r="D418" s="3"/>
      <c r="E418" s="3"/>
      <c r="F418" s="3"/>
    </row>
    <row r="419">
      <c r="A419" s="3" t="str">
        <f>IFERROR(__xludf.DUMMYFUNCTION("""COMPUTED_VALUE"""),"")</f>
        <v/>
      </c>
      <c r="B419" s="3"/>
      <c r="C419" s="3"/>
      <c r="D419" s="3"/>
      <c r="E419" s="3"/>
      <c r="F419" s="3"/>
    </row>
    <row r="420">
      <c r="A420" s="3" t="str">
        <f>IFERROR(__xludf.DUMMYFUNCTION("""COMPUTED_VALUE"""),"")</f>
        <v/>
      </c>
      <c r="B420" s="3"/>
      <c r="C420" s="3"/>
      <c r="D420" s="3"/>
      <c r="E420" s="3"/>
      <c r="F420" s="3"/>
    </row>
    <row r="421">
      <c r="A421" s="3" t="str">
        <f>IFERROR(__xludf.DUMMYFUNCTION("""COMPUTED_VALUE"""),"")</f>
        <v/>
      </c>
      <c r="B421" s="3"/>
      <c r="C421" s="3"/>
      <c r="D421" s="3"/>
      <c r="E421" s="3"/>
      <c r="F421" s="3"/>
    </row>
    <row r="422">
      <c r="A422" s="3" t="str">
        <f>IFERROR(__xludf.DUMMYFUNCTION("""COMPUTED_VALUE"""),"")</f>
        <v/>
      </c>
      <c r="B422" s="3"/>
      <c r="C422" s="3"/>
      <c r="D422" s="3"/>
      <c r="E422" s="3"/>
      <c r="F422" s="3"/>
    </row>
    <row r="423">
      <c r="A423" s="3" t="str">
        <f>IFERROR(__xludf.DUMMYFUNCTION("""COMPUTED_VALUE"""),"")</f>
        <v/>
      </c>
      <c r="B423" s="3"/>
      <c r="C423" s="3"/>
      <c r="D423" s="3"/>
      <c r="E423" s="3"/>
      <c r="F423" s="3"/>
    </row>
    <row r="424">
      <c r="A424" s="3" t="str">
        <f>IFERROR(__xludf.DUMMYFUNCTION("""COMPUTED_VALUE"""),"")</f>
        <v/>
      </c>
      <c r="B424" s="3"/>
      <c r="C424" s="3"/>
      <c r="D424" s="3"/>
      <c r="E424" s="3"/>
      <c r="F424" s="3"/>
    </row>
    <row r="425">
      <c r="A425" s="3" t="str">
        <f>IFERROR(__xludf.DUMMYFUNCTION("""COMPUTED_VALUE"""),"")</f>
        <v/>
      </c>
      <c r="B425" s="3"/>
      <c r="C425" s="3"/>
      <c r="D425" s="3"/>
      <c r="E425" s="3"/>
      <c r="F425" s="3"/>
    </row>
    <row r="426">
      <c r="A426" s="3" t="str">
        <f>IFERROR(__xludf.DUMMYFUNCTION("""COMPUTED_VALUE"""),"")</f>
        <v/>
      </c>
      <c r="B426" s="3"/>
      <c r="C426" s="3"/>
      <c r="D426" s="3"/>
      <c r="E426" s="3"/>
      <c r="F426" s="3"/>
    </row>
    <row r="427">
      <c r="A427" s="3" t="str">
        <f>IFERROR(__xludf.DUMMYFUNCTION("""COMPUTED_VALUE"""),"")</f>
        <v/>
      </c>
      <c r="B427" s="3"/>
      <c r="C427" s="3"/>
      <c r="D427" s="3"/>
      <c r="E427" s="3"/>
      <c r="F427" s="3"/>
    </row>
    <row r="428">
      <c r="A428" s="3" t="str">
        <f>IFERROR(__xludf.DUMMYFUNCTION("""COMPUTED_VALUE"""),"")</f>
        <v/>
      </c>
      <c r="B428" s="3"/>
      <c r="C428" s="3"/>
      <c r="D428" s="3"/>
      <c r="E428" s="3"/>
      <c r="F428" s="3"/>
    </row>
    <row r="429">
      <c r="A429" s="3" t="str">
        <f>IFERROR(__xludf.DUMMYFUNCTION("""COMPUTED_VALUE"""),"")</f>
        <v/>
      </c>
      <c r="B429" s="3"/>
      <c r="C429" s="3"/>
      <c r="D429" s="3"/>
      <c r="E429" s="3"/>
      <c r="F429" s="3"/>
    </row>
    <row r="430">
      <c r="A430" s="3" t="str">
        <f>IFERROR(__xludf.DUMMYFUNCTION("""COMPUTED_VALUE"""),"")</f>
        <v/>
      </c>
      <c r="B430" s="3"/>
      <c r="C430" s="3"/>
      <c r="D430" s="3"/>
      <c r="E430" s="3"/>
      <c r="F430" s="3"/>
    </row>
    <row r="431">
      <c r="A431" s="3" t="str">
        <f>IFERROR(__xludf.DUMMYFUNCTION("""COMPUTED_VALUE"""),"")</f>
        <v/>
      </c>
      <c r="B431" s="3"/>
      <c r="C431" s="3"/>
      <c r="D431" s="3"/>
      <c r="E431" s="3"/>
      <c r="F431" s="3"/>
    </row>
    <row r="432">
      <c r="A432" s="3" t="str">
        <f>IFERROR(__xludf.DUMMYFUNCTION("""COMPUTED_VALUE"""),"")</f>
        <v/>
      </c>
      <c r="B432" s="3"/>
      <c r="C432" s="3"/>
      <c r="D432" s="3"/>
      <c r="E432" s="3"/>
      <c r="F432" s="3"/>
    </row>
    <row r="433">
      <c r="A433" s="3" t="str">
        <f>IFERROR(__xludf.DUMMYFUNCTION("""COMPUTED_VALUE"""),"")</f>
        <v/>
      </c>
      <c r="B433" s="3"/>
      <c r="C433" s="3"/>
      <c r="D433" s="3"/>
      <c r="E433" s="3"/>
      <c r="F433" s="3"/>
    </row>
    <row r="434">
      <c r="A434" s="3" t="str">
        <f>IFERROR(__xludf.DUMMYFUNCTION("""COMPUTED_VALUE"""),"")</f>
        <v/>
      </c>
      <c r="B434" s="3"/>
      <c r="C434" s="3"/>
      <c r="D434" s="3"/>
      <c r="E434" s="3"/>
      <c r="F434" s="3"/>
    </row>
    <row r="435">
      <c r="A435" s="3" t="str">
        <f>IFERROR(__xludf.DUMMYFUNCTION("""COMPUTED_VALUE"""),"")</f>
        <v/>
      </c>
      <c r="B435" s="3"/>
      <c r="C435" s="3"/>
      <c r="D435" s="3"/>
      <c r="E435" s="3"/>
      <c r="F435" s="3"/>
    </row>
    <row r="436">
      <c r="A436" s="3" t="str">
        <f>IFERROR(__xludf.DUMMYFUNCTION("""COMPUTED_VALUE"""),"")</f>
        <v/>
      </c>
      <c r="B436" s="3"/>
      <c r="C436" s="3"/>
      <c r="D436" s="3"/>
      <c r="E436" s="3"/>
      <c r="F436" s="3"/>
    </row>
    <row r="437">
      <c r="A437" s="3" t="str">
        <f>IFERROR(__xludf.DUMMYFUNCTION("""COMPUTED_VALUE"""),"")</f>
        <v/>
      </c>
      <c r="B437" s="3"/>
      <c r="C437" s="3"/>
      <c r="D437" s="3"/>
      <c r="E437" s="3"/>
      <c r="F437" s="3"/>
    </row>
    <row r="438">
      <c r="A438" s="3" t="str">
        <f>IFERROR(__xludf.DUMMYFUNCTION("""COMPUTED_VALUE"""),"")</f>
        <v/>
      </c>
      <c r="B438" s="3"/>
      <c r="C438" s="3"/>
      <c r="D438" s="3"/>
      <c r="E438" s="3"/>
      <c r="F438" s="3"/>
    </row>
    <row r="439">
      <c r="A439" s="3" t="str">
        <f>IFERROR(__xludf.DUMMYFUNCTION("""COMPUTED_VALUE"""),"")</f>
        <v/>
      </c>
      <c r="B439" s="3"/>
      <c r="C439" s="3"/>
      <c r="D439" s="3"/>
      <c r="E439" s="3"/>
      <c r="F439" s="3"/>
    </row>
    <row r="440">
      <c r="A440" s="3" t="str">
        <f>IFERROR(__xludf.DUMMYFUNCTION("""COMPUTED_VALUE"""),"")</f>
        <v/>
      </c>
      <c r="B440" s="3"/>
      <c r="C440" s="3"/>
      <c r="D440" s="3"/>
      <c r="E440" s="3"/>
      <c r="F440" s="3"/>
    </row>
    <row r="441">
      <c r="A441" s="3" t="str">
        <f>IFERROR(__xludf.DUMMYFUNCTION("""COMPUTED_VALUE"""),"")</f>
        <v/>
      </c>
      <c r="B441" s="3"/>
      <c r="C441" s="3"/>
      <c r="D441" s="3"/>
      <c r="E441" s="3"/>
      <c r="F441" s="3"/>
    </row>
    <row r="442">
      <c r="A442" s="3" t="str">
        <f>IFERROR(__xludf.DUMMYFUNCTION("""COMPUTED_VALUE"""),"")</f>
        <v/>
      </c>
      <c r="B442" s="3"/>
      <c r="C442" s="3"/>
      <c r="D442" s="3"/>
      <c r="E442" s="3"/>
      <c r="F442" s="3"/>
    </row>
    <row r="443">
      <c r="A443" s="3" t="str">
        <f>IFERROR(__xludf.DUMMYFUNCTION("""COMPUTED_VALUE"""),"")</f>
        <v/>
      </c>
      <c r="B443" s="3"/>
      <c r="C443" s="3"/>
      <c r="D443" s="3"/>
      <c r="E443" s="3"/>
      <c r="F443" s="3"/>
    </row>
    <row r="444">
      <c r="A444" s="3" t="str">
        <f>IFERROR(__xludf.DUMMYFUNCTION("""COMPUTED_VALUE"""),"")</f>
        <v/>
      </c>
      <c r="B444" s="3"/>
      <c r="C444" s="3"/>
      <c r="D444" s="3"/>
      <c r="E444" s="3"/>
      <c r="F444" s="3"/>
    </row>
    <row r="445">
      <c r="A445" s="3" t="str">
        <f>IFERROR(__xludf.DUMMYFUNCTION("""COMPUTED_VALUE"""),"")</f>
        <v/>
      </c>
      <c r="B445" s="3"/>
      <c r="C445" s="3"/>
      <c r="D445" s="3"/>
      <c r="E445" s="3"/>
      <c r="F445" s="3"/>
    </row>
    <row r="446">
      <c r="A446" s="3" t="str">
        <f>IFERROR(__xludf.DUMMYFUNCTION("""COMPUTED_VALUE"""),"")</f>
        <v/>
      </c>
      <c r="B446" s="3"/>
      <c r="C446" s="3"/>
      <c r="D446" s="3"/>
      <c r="E446" s="3"/>
      <c r="F446" s="3"/>
    </row>
    <row r="447">
      <c r="A447" s="3" t="str">
        <f>IFERROR(__xludf.DUMMYFUNCTION("""COMPUTED_VALUE"""),"")</f>
        <v/>
      </c>
      <c r="B447" s="3"/>
      <c r="C447" s="3"/>
      <c r="D447" s="3"/>
      <c r="E447" s="3"/>
      <c r="F447" s="3"/>
    </row>
    <row r="448">
      <c r="A448" s="3" t="str">
        <f>IFERROR(__xludf.DUMMYFUNCTION("""COMPUTED_VALUE"""),"")</f>
        <v/>
      </c>
      <c r="B448" s="3"/>
      <c r="C448" s="3"/>
      <c r="D448" s="3"/>
      <c r="E448" s="3"/>
      <c r="F448" s="3"/>
    </row>
    <row r="449">
      <c r="A449" s="3" t="str">
        <f>IFERROR(__xludf.DUMMYFUNCTION("""COMPUTED_VALUE"""),"")</f>
        <v/>
      </c>
      <c r="B449" s="3"/>
      <c r="C449" s="3"/>
      <c r="D449" s="3"/>
      <c r="E449" s="3"/>
      <c r="F449" s="3"/>
    </row>
    <row r="450">
      <c r="A450" s="3" t="str">
        <f>IFERROR(__xludf.DUMMYFUNCTION("""COMPUTED_VALUE"""),"")</f>
        <v/>
      </c>
      <c r="B450" s="3"/>
      <c r="C450" s="3"/>
      <c r="D450" s="3"/>
      <c r="E450" s="3"/>
      <c r="F450" s="3"/>
    </row>
    <row r="451">
      <c r="A451" s="3" t="str">
        <f>IFERROR(__xludf.DUMMYFUNCTION("""COMPUTED_VALUE"""),"")</f>
        <v/>
      </c>
      <c r="B451" s="3"/>
      <c r="C451" s="3"/>
      <c r="D451" s="3"/>
      <c r="E451" s="3"/>
      <c r="F451" s="3"/>
    </row>
    <row r="452">
      <c r="A452" s="3" t="str">
        <f>IFERROR(__xludf.DUMMYFUNCTION("""COMPUTED_VALUE"""),"")</f>
        <v/>
      </c>
      <c r="B452" s="3"/>
      <c r="C452" s="3"/>
      <c r="D452" s="3"/>
      <c r="E452" s="3"/>
      <c r="F452" s="3"/>
    </row>
    <row r="453">
      <c r="A453" s="3" t="str">
        <f>IFERROR(__xludf.DUMMYFUNCTION("""COMPUTED_VALUE"""),"")</f>
        <v/>
      </c>
      <c r="B453" s="3"/>
      <c r="C453" s="3"/>
      <c r="D453" s="3"/>
      <c r="E453" s="3"/>
      <c r="F453" s="3"/>
    </row>
    <row r="454">
      <c r="A454" s="3" t="str">
        <f>IFERROR(__xludf.DUMMYFUNCTION("""COMPUTED_VALUE"""),"")</f>
        <v/>
      </c>
      <c r="B454" s="3"/>
      <c r="C454" s="3"/>
      <c r="D454" s="3"/>
      <c r="E454" s="3"/>
      <c r="F454" s="3"/>
    </row>
    <row r="455">
      <c r="A455" s="3" t="str">
        <f>IFERROR(__xludf.DUMMYFUNCTION("""COMPUTED_VALUE"""),"")</f>
        <v/>
      </c>
      <c r="B455" s="3"/>
      <c r="C455" s="3"/>
      <c r="D455" s="3"/>
      <c r="E455" s="3"/>
      <c r="F455" s="3"/>
    </row>
    <row r="456">
      <c r="A456" s="3" t="str">
        <f>IFERROR(__xludf.DUMMYFUNCTION("""COMPUTED_VALUE"""),"")</f>
        <v/>
      </c>
      <c r="B456" s="3"/>
      <c r="C456" s="3"/>
      <c r="D456" s="3"/>
      <c r="E456" s="3"/>
      <c r="F456" s="3"/>
    </row>
    <row r="457">
      <c r="A457" s="3" t="str">
        <f>IFERROR(__xludf.DUMMYFUNCTION("""COMPUTED_VALUE"""),"")</f>
        <v/>
      </c>
      <c r="B457" s="3"/>
      <c r="C457" s="3"/>
      <c r="D457" s="3"/>
      <c r="E457" s="3"/>
      <c r="F457" s="3"/>
    </row>
    <row r="458">
      <c r="A458" s="3" t="str">
        <f>IFERROR(__xludf.DUMMYFUNCTION("""COMPUTED_VALUE"""),"")</f>
        <v/>
      </c>
      <c r="B458" s="3"/>
      <c r="C458" s="3"/>
      <c r="D458" s="3"/>
      <c r="E458" s="3"/>
      <c r="F458" s="3"/>
    </row>
    <row r="459">
      <c r="A459" s="3" t="str">
        <f>IFERROR(__xludf.DUMMYFUNCTION("""COMPUTED_VALUE"""),"")</f>
        <v/>
      </c>
      <c r="B459" s="3"/>
      <c r="C459" s="3"/>
      <c r="D459" s="3"/>
      <c r="E459" s="3"/>
      <c r="F459" s="3"/>
    </row>
    <row r="460">
      <c r="A460" s="3" t="str">
        <f>IFERROR(__xludf.DUMMYFUNCTION("""COMPUTED_VALUE"""),"")</f>
        <v/>
      </c>
      <c r="B460" s="3"/>
      <c r="C460" s="3"/>
      <c r="D460" s="3"/>
      <c r="E460" s="3"/>
      <c r="F460" s="3"/>
    </row>
    <row r="461">
      <c r="A461" s="3" t="str">
        <f>IFERROR(__xludf.DUMMYFUNCTION("""COMPUTED_VALUE"""),"")</f>
        <v/>
      </c>
      <c r="B461" s="3"/>
      <c r="C461" s="3"/>
      <c r="D461" s="3"/>
      <c r="E461" s="3"/>
      <c r="F461" s="3"/>
    </row>
    <row r="462">
      <c r="A462" s="3" t="str">
        <f>IFERROR(__xludf.DUMMYFUNCTION("""COMPUTED_VALUE"""),"")</f>
        <v/>
      </c>
      <c r="B462" s="3"/>
      <c r="C462" s="3"/>
      <c r="D462" s="3"/>
      <c r="E462" s="3"/>
      <c r="F462" s="3"/>
    </row>
    <row r="463">
      <c r="A463" s="3" t="str">
        <f>IFERROR(__xludf.DUMMYFUNCTION("""COMPUTED_VALUE"""),"")</f>
        <v/>
      </c>
      <c r="B463" s="3"/>
      <c r="C463" s="3"/>
      <c r="D463" s="3"/>
      <c r="E463" s="3"/>
      <c r="F463" s="3"/>
    </row>
    <row r="464">
      <c r="A464" s="3" t="str">
        <f>IFERROR(__xludf.DUMMYFUNCTION("""COMPUTED_VALUE"""),"")</f>
        <v/>
      </c>
      <c r="B464" s="3"/>
      <c r="C464" s="3"/>
      <c r="D464" s="3"/>
      <c r="E464" s="3"/>
      <c r="F464" s="3"/>
    </row>
    <row r="465">
      <c r="A465" s="3" t="str">
        <f>IFERROR(__xludf.DUMMYFUNCTION("""COMPUTED_VALUE"""),"")</f>
        <v/>
      </c>
      <c r="B465" s="3"/>
      <c r="C465" s="3"/>
      <c r="D465" s="3"/>
      <c r="E465" s="3"/>
      <c r="F465" s="3"/>
    </row>
    <row r="466">
      <c r="A466" s="3" t="str">
        <f>IFERROR(__xludf.DUMMYFUNCTION("""COMPUTED_VALUE"""),"")</f>
        <v/>
      </c>
      <c r="B466" s="3"/>
      <c r="C466" s="3"/>
      <c r="D466" s="3"/>
      <c r="E466" s="3"/>
      <c r="F466" s="3"/>
    </row>
    <row r="467">
      <c r="A467" s="3" t="str">
        <f>IFERROR(__xludf.DUMMYFUNCTION("""COMPUTED_VALUE"""),"")</f>
        <v/>
      </c>
      <c r="B467" s="3"/>
      <c r="C467" s="3"/>
      <c r="D467" s="3"/>
      <c r="E467" s="3"/>
      <c r="F467" s="3"/>
    </row>
    <row r="468">
      <c r="A468" s="3" t="str">
        <f>IFERROR(__xludf.DUMMYFUNCTION("""COMPUTED_VALUE"""),"")</f>
        <v/>
      </c>
      <c r="B468" s="3"/>
      <c r="C468" s="3"/>
      <c r="D468" s="3"/>
      <c r="E468" s="3"/>
      <c r="F468" s="3"/>
    </row>
    <row r="469">
      <c r="A469" s="3" t="str">
        <f>IFERROR(__xludf.DUMMYFUNCTION("""COMPUTED_VALUE"""),"")</f>
        <v/>
      </c>
      <c r="B469" s="3"/>
      <c r="C469" s="3"/>
      <c r="D469" s="3"/>
      <c r="E469" s="3"/>
      <c r="F469" s="3"/>
    </row>
    <row r="470">
      <c r="A470" s="3" t="str">
        <f>IFERROR(__xludf.DUMMYFUNCTION("""COMPUTED_VALUE"""),"")</f>
        <v/>
      </c>
      <c r="B470" s="3"/>
      <c r="C470" s="3"/>
      <c r="D470" s="3"/>
      <c r="E470" s="3"/>
      <c r="F470" s="3"/>
    </row>
    <row r="471">
      <c r="A471" s="3" t="str">
        <f>IFERROR(__xludf.DUMMYFUNCTION("""COMPUTED_VALUE"""),"")</f>
        <v/>
      </c>
      <c r="B471" s="3"/>
      <c r="C471" s="3"/>
      <c r="D471" s="3"/>
      <c r="E471" s="3"/>
      <c r="F471" s="3"/>
    </row>
    <row r="472">
      <c r="A472" s="3" t="str">
        <f>IFERROR(__xludf.DUMMYFUNCTION("""COMPUTED_VALUE"""),"")</f>
        <v/>
      </c>
      <c r="B472" s="3"/>
      <c r="C472" s="3"/>
      <c r="D472" s="3"/>
      <c r="E472" s="3"/>
      <c r="F472" s="3"/>
    </row>
    <row r="473">
      <c r="A473" s="3" t="str">
        <f>IFERROR(__xludf.DUMMYFUNCTION("""COMPUTED_VALUE"""),"")</f>
        <v/>
      </c>
      <c r="B473" s="3"/>
      <c r="C473" s="3"/>
      <c r="D473" s="3"/>
      <c r="E473" s="3"/>
      <c r="F473" s="3"/>
    </row>
    <row r="474">
      <c r="A474" s="3" t="str">
        <f>IFERROR(__xludf.DUMMYFUNCTION("""COMPUTED_VALUE"""),"")</f>
        <v/>
      </c>
      <c r="B474" s="3"/>
      <c r="C474" s="3"/>
      <c r="D474" s="3"/>
      <c r="E474" s="3"/>
      <c r="F474" s="3"/>
    </row>
    <row r="475">
      <c r="A475" s="3" t="str">
        <f>IFERROR(__xludf.DUMMYFUNCTION("""COMPUTED_VALUE"""),"")</f>
        <v/>
      </c>
      <c r="B475" s="3"/>
      <c r="C475" s="3"/>
      <c r="D475" s="3"/>
      <c r="E475" s="3"/>
      <c r="F475" s="3"/>
    </row>
    <row r="476">
      <c r="A476" s="3" t="str">
        <f>IFERROR(__xludf.DUMMYFUNCTION("""COMPUTED_VALUE"""),"")</f>
        <v/>
      </c>
      <c r="B476" s="3"/>
      <c r="C476" s="3"/>
      <c r="D476" s="3"/>
      <c r="E476" s="3"/>
      <c r="F476" s="3"/>
    </row>
    <row r="477">
      <c r="A477" s="3" t="str">
        <f>IFERROR(__xludf.DUMMYFUNCTION("""COMPUTED_VALUE"""),"")</f>
        <v/>
      </c>
      <c r="B477" s="3"/>
      <c r="C477" s="3"/>
      <c r="D477" s="3"/>
      <c r="E477" s="3"/>
      <c r="F477" s="3"/>
    </row>
    <row r="478">
      <c r="A478" s="3" t="str">
        <f>IFERROR(__xludf.DUMMYFUNCTION("""COMPUTED_VALUE"""),"")</f>
        <v/>
      </c>
      <c r="B478" s="3"/>
      <c r="C478" s="3"/>
      <c r="D478" s="3"/>
      <c r="E478" s="3"/>
      <c r="F478" s="3"/>
    </row>
    <row r="479">
      <c r="A479" s="3" t="str">
        <f>IFERROR(__xludf.DUMMYFUNCTION("""COMPUTED_VALUE"""),"")</f>
        <v/>
      </c>
      <c r="B479" s="3"/>
      <c r="C479" s="3"/>
      <c r="D479" s="3"/>
      <c r="E479" s="3"/>
      <c r="F479" s="3"/>
    </row>
    <row r="480">
      <c r="A480" s="3" t="str">
        <f>IFERROR(__xludf.DUMMYFUNCTION("""COMPUTED_VALUE"""),"")</f>
        <v/>
      </c>
      <c r="B480" s="3"/>
      <c r="C480" s="3"/>
      <c r="D480" s="3"/>
      <c r="E480" s="3"/>
      <c r="F480" s="3"/>
    </row>
    <row r="481">
      <c r="A481" s="3" t="str">
        <f>IFERROR(__xludf.DUMMYFUNCTION("""COMPUTED_VALUE"""),"")</f>
        <v/>
      </c>
      <c r="B481" s="3"/>
      <c r="C481" s="3"/>
      <c r="D481" s="3"/>
      <c r="E481" s="3"/>
      <c r="F481" s="3"/>
    </row>
    <row r="482">
      <c r="A482" s="3" t="str">
        <f>IFERROR(__xludf.DUMMYFUNCTION("""COMPUTED_VALUE"""),"")</f>
        <v/>
      </c>
      <c r="B482" s="3"/>
      <c r="C482" s="3"/>
      <c r="D482" s="3"/>
      <c r="E482" s="3"/>
      <c r="F482" s="3"/>
    </row>
    <row r="483">
      <c r="A483" s="3" t="str">
        <f>IFERROR(__xludf.DUMMYFUNCTION("""COMPUTED_VALUE"""),"")</f>
        <v/>
      </c>
      <c r="B483" s="3"/>
      <c r="C483" s="3"/>
      <c r="D483" s="3"/>
      <c r="E483" s="3"/>
      <c r="F483" s="3"/>
    </row>
    <row r="484">
      <c r="A484" s="3" t="str">
        <f>IFERROR(__xludf.DUMMYFUNCTION("""COMPUTED_VALUE"""),"")</f>
        <v/>
      </c>
      <c r="B484" s="3"/>
      <c r="C484" s="3"/>
      <c r="D484" s="3"/>
      <c r="E484" s="3"/>
      <c r="F484" s="3"/>
    </row>
    <row r="485">
      <c r="A485" s="3" t="str">
        <f>IFERROR(__xludf.DUMMYFUNCTION("""COMPUTED_VALUE"""),"")</f>
        <v/>
      </c>
      <c r="B485" s="3"/>
      <c r="C485" s="3"/>
      <c r="D485" s="3"/>
      <c r="E485" s="3"/>
      <c r="F485" s="3"/>
    </row>
    <row r="486">
      <c r="A486" s="3" t="str">
        <f>IFERROR(__xludf.DUMMYFUNCTION("""COMPUTED_VALUE"""),"")</f>
        <v/>
      </c>
      <c r="B486" s="3"/>
      <c r="C486" s="3"/>
      <c r="D486" s="3"/>
      <c r="E486" s="3"/>
      <c r="F486" s="3"/>
    </row>
    <row r="487">
      <c r="A487" s="3" t="str">
        <f>IFERROR(__xludf.DUMMYFUNCTION("""COMPUTED_VALUE"""),"")</f>
        <v/>
      </c>
      <c r="B487" s="3"/>
      <c r="C487" s="3"/>
      <c r="D487" s="3"/>
      <c r="E487" s="3"/>
      <c r="F487" s="3"/>
    </row>
    <row r="488">
      <c r="A488" s="3" t="str">
        <f>IFERROR(__xludf.DUMMYFUNCTION("""COMPUTED_VALUE"""),"")</f>
        <v/>
      </c>
      <c r="B488" s="3"/>
      <c r="C488" s="3"/>
      <c r="D488" s="3"/>
      <c r="E488" s="3"/>
      <c r="F488" s="3"/>
    </row>
    <row r="489">
      <c r="A489" s="3" t="str">
        <f>IFERROR(__xludf.DUMMYFUNCTION("""COMPUTED_VALUE"""),"")</f>
        <v/>
      </c>
      <c r="B489" s="3"/>
      <c r="C489" s="3"/>
      <c r="D489" s="3"/>
      <c r="E489" s="3"/>
      <c r="F489" s="3"/>
    </row>
    <row r="490">
      <c r="A490" s="3" t="str">
        <f>IFERROR(__xludf.DUMMYFUNCTION("""COMPUTED_VALUE"""),"")</f>
        <v/>
      </c>
      <c r="B490" s="3"/>
      <c r="C490" s="3"/>
      <c r="D490" s="3"/>
      <c r="E490" s="3"/>
      <c r="F490" s="3"/>
    </row>
    <row r="491">
      <c r="A491" s="3" t="str">
        <f>IFERROR(__xludf.DUMMYFUNCTION("""COMPUTED_VALUE"""),"")</f>
        <v/>
      </c>
      <c r="B491" s="3"/>
      <c r="C491" s="3"/>
      <c r="D491" s="3"/>
      <c r="E491" s="3"/>
      <c r="F491" s="3"/>
    </row>
    <row r="492">
      <c r="A492" s="3" t="str">
        <f>IFERROR(__xludf.DUMMYFUNCTION("""COMPUTED_VALUE"""),"")</f>
        <v/>
      </c>
      <c r="B492" s="3"/>
      <c r="C492" s="3"/>
      <c r="D492" s="3"/>
      <c r="E492" s="3"/>
      <c r="F492" s="3"/>
    </row>
    <row r="493">
      <c r="A493" s="3" t="str">
        <f>IFERROR(__xludf.DUMMYFUNCTION("""COMPUTED_VALUE"""),"")</f>
        <v/>
      </c>
      <c r="B493" s="3"/>
      <c r="C493" s="3"/>
      <c r="D493" s="3"/>
      <c r="E493" s="3"/>
      <c r="F493" s="3"/>
    </row>
    <row r="494">
      <c r="A494" s="3" t="str">
        <f>IFERROR(__xludf.DUMMYFUNCTION("""COMPUTED_VALUE"""),"")</f>
        <v/>
      </c>
      <c r="B494" s="3"/>
      <c r="C494" s="3"/>
      <c r="D494" s="3"/>
      <c r="E494" s="3"/>
      <c r="F494" s="3"/>
    </row>
    <row r="495">
      <c r="A495" s="3" t="str">
        <f>IFERROR(__xludf.DUMMYFUNCTION("""COMPUTED_VALUE"""),"")</f>
        <v/>
      </c>
      <c r="B495" s="3"/>
      <c r="C495" s="3"/>
      <c r="D495" s="3"/>
      <c r="E495" s="3"/>
      <c r="F495" s="3"/>
    </row>
    <row r="496">
      <c r="A496" s="3" t="str">
        <f>IFERROR(__xludf.DUMMYFUNCTION("""COMPUTED_VALUE"""),"")</f>
        <v/>
      </c>
      <c r="B496" s="3"/>
      <c r="C496" s="3"/>
      <c r="D496" s="3"/>
      <c r="E496" s="3"/>
      <c r="F496" s="3"/>
    </row>
    <row r="497">
      <c r="A497" s="3" t="str">
        <f>IFERROR(__xludf.DUMMYFUNCTION("""COMPUTED_VALUE"""),"")</f>
        <v/>
      </c>
      <c r="B497" s="3"/>
      <c r="C497" s="3"/>
      <c r="D497" s="3"/>
      <c r="E497" s="3"/>
      <c r="F497" s="3"/>
    </row>
    <row r="498">
      <c r="A498" s="3" t="str">
        <f>IFERROR(__xludf.DUMMYFUNCTION("""COMPUTED_VALUE"""),"")</f>
        <v/>
      </c>
      <c r="B498" s="3"/>
      <c r="C498" s="3"/>
      <c r="D498" s="3"/>
      <c r="E498" s="3"/>
      <c r="F498" s="3"/>
    </row>
    <row r="499">
      <c r="A499" s="3" t="str">
        <f>IFERROR(__xludf.DUMMYFUNCTION("""COMPUTED_VALUE"""),"")</f>
        <v/>
      </c>
      <c r="B499" s="3"/>
      <c r="C499" s="3"/>
      <c r="D499" s="3"/>
      <c r="E499" s="3"/>
      <c r="F499" s="3"/>
    </row>
    <row r="500">
      <c r="A500" s="3" t="str">
        <f>IFERROR(__xludf.DUMMYFUNCTION("""COMPUTED_VALUE"""),"")</f>
        <v/>
      </c>
      <c r="B500" s="3"/>
      <c r="C500" s="3"/>
      <c r="D500" s="3"/>
      <c r="E500" s="3"/>
      <c r="F500" s="3"/>
    </row>
    <row r="501">
      <c r="A501" s="3" t="str">
        <f>IFERROR(__xludf.DUMMYFUNCTION("""COMPUTED_VALUE"""),"")</f>
        <v/>
      </c>
      <c r="B501" s="3"/>
      <c r="C501" s="3"/>
      <c r="D501" s="3"/>
      <c r="E501" s="3"/>
      <c r="F501" s="3"/>
    </row>
    <row r="502">
      <c r="A502" s="3" t="str">
        <f>IFERROR(__xludf.DUMMYFUNCTION("""COMPUTED_VALUE"""),"")</f>
        <v/>
      </c>
      <c r="B502" s="3"/>
      <c r="C502" s="3"/>
      <c r="D502" s="3"/>
      <c r="E502" s="3"/>
      <c r="F502" s="3"/>
    </row>
    <row r="503">
      <c r="A503" s="3" t="str">
        <f>IFERROR(__xludf.DUMMYFUNCTION("""COMPUTED_VALUE"""),"")</f>
        <v/>
      </c>
      <c r="B503" s="3"/>
      <c r="C503" s="3"/>
      <c r="D503" s="3"/>
      <c r="E503" s="3"/>
      <c r="F503" s="3"/>
    </row>
    <row r="504">
      <c r="A504" s="3" t="str">
        <f>IFERROR(__xludf.DUMMYFUNCTION("""COMPUTED_VALUE"""),"")</f>
        <v/>
      </c>
      <c r="B504" s="3"/>
      <c r="C504" s="3"/>
      <c r="D504" s="3"/>
      <c r="E504" s="3"/>
      <c r="F504" s="3"/>
    </row>
    <row r="505">
      <c r="A505" s="3" t="str">
        <f>IFERROR(__xludf.DUMMYFUNCTION("""COMPUTED_VALUE"""),"")</f>
        <v/>
      </c>
      <c r="B505" s="3"/>
      <c r="C505" s="3"/>
      <c r="D505" s="3"/>
      <c r="E505" s="3"/>
      <c r="F505" s="3"/>
    </row>
    <row r="506">
      <c r="A506" s="3" t="str">
        <f>IFERROR(__xludf.DUMMYFUNCTION("""COMPUTED_VALUE"""),"")</f>
        <v/>
      </c>
      <c r="B506" s="3"/>
      <c r="C506" s="3"/>
      <c r="D506" s="3"/>
      <c r="E506" s="3"/>
      <c r="F506" s="3"/>
    </row>
    <row r="507">
      <c r="A507" s="3" t="str">
        <f>IFERROR(__xludf.DUMMYFUNCTION("""COMPUTED_VALUE"""),"")</f>
        <v/>
      </c>
      <c r="B507" s="3"/>
      <c r="C507" s="3"/>
      <c r="D507" s="3"/>
      <c r="E507" s="3"/>
      <c r="F507" s="3"/>
    </row>
    <row r="508">
      <c r="A508" s="3" t="str">
        <f>IFERROR(__xludf.DUMMYFUNCTION("""COMPUTED_VALUE"""),"")</f>
        <v/>
      </c>
      <c r="B508" s="3"/>
      <c r="C508" s="3"/>
      <c r="D508" s="3"/>
      <c r="E508" s="3"/>
      <c r="F508" s="3"/>
    </row>
    <row r="509">
      <c r="A509" s="3" t="str">
        <f>IFERROR(__xludf.DUMMYFUNCTION("""COMPUTED_VALUE"""),"")</f>
        <v/>
      </c>
      <c r="B509" s="3"/>
      <c r="C509" s="3"/>
      <c r="D509" s="3"/>
      <c r="E509" s="3"/>
      <c r="F509" s="3"/>
    </row>
    <row r="510">
      <c r="A510" s="3" t="str">
        <f>IFERROR(__xludf.DUMMYFUNCTION("""COMPUTED_VALUE"""),"")</f>
        <v/>
      </c>
      <c r="B510" s="3"/>
      <c r="C510" s="3"/>
      <c r="D510" s="3"/>
      <c r="E510" s="3"/>
      <c r="F510" s="3"/>
    </row>
    <row r="511">
      <c r="A511" s="3" t="str">
        <f>IFERROR(__xludf.DUMMYFUNCTION("""COMPUTED_VALUE"""),"")</f>
        <v/>
      </c>
      <c r="B511" s="3"/>
      <c r="C511" s="3"/>
      <c r="D511" s="3"/>
      <c r="E511" s="3"/>
      <c r="F511" s="3"/>
    </row>
    <row r="512">
      <c r="A512" s="3" t="str">
        <f>IFERROR(__xludf.DUMMYFUNCTION("""COMPUTED_VALUE"""),"")</f>
        <v/>
      </c>
      <c r="B512" s="3"/>
      <c r="C512" s="3"/>
      <c r="D512" s="3"/>
      <c r="E512" s="3"/>
      <c r="F512" s="3"/>
    </row>
    <row r="513">
      <c r="A513" s="3" t="str">
        <f>IFERROR(__xludf.DUMMYFUNCTION("""COMPUTED_VALUE"""),"")</f>
        <v/>
      </c>
      <c r="B513" s="3"/>
      <c r="C513" s="3"/>
      <c r="D513" s="3"/>
      <c r="E513" s="3"/>
      <c r="F513" s="3"/>
    </row>
    <row r="514">
      <c r="A514" s="3" t="str">
        <f>IFERROR(__xludf.DUMMYFUNCTION("""COMPUTED_VALUE"""),"")</f>
        <v/>
      </c>
      <c r="B514" s="3"/>
      <c r="C514" s="3"/>
      <c r="D514" s="3"/>
      <c r="E514" s="3"/>
      <c r="F514" s="3"/>
    </row>
    <row r="515">
      <c r="A515" s="3" t="str">
        <f>IFERROR(__xludf.DUMMYFUNCTION("""COMPUTED_VALUE"""),"")</f>
        <v/>
      </c>
      <c r="B515" s="3"/>
      <c r="C515" s="3"/>
      <c r="D515" s="3"/>
      <c r="E515" s="3"/>
      <c r="F515" s="3"/>
    </row>
    <row r="516">
      <c r="A516" s="3" t="str">
        <f>IFERROR(__xludf.DUMMYFUNCTION("""COMPUTED_VALUE"""),"")</f>
        <v/>
      </c>
      <c r="B516" s="3"/>
      <c r="C516" s="3"/>
      <c r="D516" s="3"/>
      <c r="E516" s="3"/>
      <c r="F516" s="3"/>
    </row>
    <row r="517">
      <c r="A517" s="3" t="str">
        <f>IFERROR(__xludf.DUMMYFUNCTION("""COMPUTED_VALUE"""),"")</f>
        <v/>
      </c>
      <c r="B517" s="3"/>
      <c r="C517" s="3"/>
      <c r="D517" s="3"/>
      <c r="E517" s="3"/>
      <c r="F517" s="3"/>
    </row>
    <row r="518">
      <c r="A518" s="3" t="str">
        <f>IFERROR(__xludf.DUMMYFUNCTION("""COMPUTED_VALUE"""),"")</f>
        <v/>
      </c>
      <c r="B518" s="3"/>
      <c r="C518" s="3"/>
      <c r="D518" s="3"/>
      <c r="E518" s="3"/>
      <c r="F518" s="3"/>
    </row>
    <row r="519">
      <c r="A519" s="3" t="str">
        <f>IFERROR(__xludf.DUMMYFUNCTION("""COMPUTED_VALUE"""),"")</f>
        <v/>
      </c>
      <c r="B519" s="3"/>
      <c r="C519" s="3"/>
      <c r="D519" s="3"/>
      <c r="E519" s="3"/>
      <c r="F519" s="3"/>
    </row>
    <row r="520">
      <c r="A520" s="3" t="str">
        <f>IFERROR(__xludf.DUMMYFUNCTION("""COMPUTED_VALUE"""),"")</f>
        <v/>
      </c>
      <c r="B520" s="3"/>
      <c r="C520" s="3"/>
      <c r="D520" s="3"/>
      <c r="E520" s="3"/>
      <c r="F520" s="3"/>
    </row>
    <row r="521">
      <c r="A521" s="3" t="str">
        <f>IFERROR(__xludf.DUMMYFUNCTION("""COMPUTED_VALUE"""),"")</f>
        <v/>
      </c>
      <c r="B521" s="3"/>
      <c r="C521" s="3"/>
      <c r="D521" s="3"/>
      <c r="E521" s="3"/>
      <c r="F521" s="3"/>
    </row>
    <row r="522">
      <c r="A522" s="3" t="str">
        <f>IFERROR(__xludf.DUMMYFUNCTION("""COMPUTED_VALUE"""),"")</f>
        <v/>
      </c>
      <c r="B522" s="3"/>
      <c r="C522" s="3"/>
      <c r="D522" s="3"/>
      <c r="E522" s="3"/>
      <c r="F522" s="3"/>
    </row>
    <row r="523">
      <c r="A523" s="3" t="str">
        <f>IFERROR(__xludf.DUMMYFUNCTION("""COMPUTED_VALUE"""),"")</f>
        <v/>
      </c>
      <c r="B523" s="3"/>
      <c r="C523" s="3"/>
      <c r="D523" s="3"/>
      <c r="E523" s="3"/>
      <c r="F523" s="3"/>
    </row>
    <row r="524">
      <c r="A524" s="3" t="str">
        <f>IFERROR(__xludf.DUMMYFUNCTION("""COMPUTED_VALUE"""),"")</f>
        <v/>
      </c>
      <c r="B524" s="3"/>
      <c r="C524" s="3"/>
      <c r="D524" s="3"/>
      <c r="E524" s="3"/>
      <c r="F524" s="3"/>
    </row>
    <row r="525">
      <c r="A525" s="3" t="str">
        <f>IFERROR(__xludf.DUMMYFUNCTION("""COMPUTED_VALUE"""),"")</f>
        <v/>
      </c>
      <c r="B525" s="3"/>
      <c r="C525" s="3"/>
      <c r="D525" s="3"/>
      <c r="E525" s="3"/>
      <c r="F525" s="3"/>
    </row>
    <row r="526">
      <c r="A526" s="3" t="str">
        <f>IFERROR(__xludf.DUMMYFUNCTION("""COMPUTED_VALUE"""),"")</f>
        <v/>
      </c>
      <c r="B526" s="3"/>
      <c r="C526" s="3"/>
      <c r="D526" s="3"/>
      <c r="E526" s="3"/>
      <c r="F526" s="3"/>
    </row>
    <row r="527">
      <c r="A527" s="3" t="str">
        <f>IFERROR(__xludf.DUMMYFUNCTION("""COMPUTED_VALUE"""),"")</f>
        <v/>
      </c>
      <c r="B527" s="3"/>
      <c r="C527" s="3"/>
      <c r="D527" s="3"/>
      <c r="E527" s="3"/>
      <c r="F527" s="3"/>
    </row>
    <row r="528">
      <c r="A528" s="3" t="str">
        <f>IFERROR(__xludf.DUMMYFUNCTION("""COMPUTED_VALUE"""),"")</f>
        <v/>
      </c>
      <c r="B528" s="3"/>
      <c r="C528" s="3"/>
      <c r="D528" s="3"/>
      <c r="E528" s="3"/>
      <c r="F528" s="3"/>
    </row>
    <row r="529">
      <c r="A529" s="3" t="str">
        <f>IFERROR(__xludf.DUMMYFUNCTION("""COMPUTED_VALUE"""),"")</f>
        <v/>
      </c>
      <c r="B529" s="3"/>
      <c r="C529" s="3"/>
      <c r="D529" s="3"/>
      <c r="E529" s="3"/>
      <c r="F529" s="3"/>
    </row>
    <row r="530">
      <c r="A530" s="3" t="str">
        <f>IFERROR(__xludf.DUMMYFUNCTION("""COMPUTED_VALUE"""),"")</f>
        <v/>
      </c>
      <c r="B530" s="3"/>
      <c r="C530" s="3"/>
      <c r="D530" s="3"/>
      <c r="E530" s="3"/>
      <c r="F530" s="3"/>
    </row>
    <row r="531">
      <c r="A531" s="3" t="str">
        <f>IFERROR(__xludf.DUMMYFUNCTION("""COMPUTED_VALUE"""),"")</f>
        <v/>
      </c>
      <c r="B531" s="3"/>
      <c r="C531" s="3"/>
      <c r="D531" s="3"/>
      <c r="E531" s="3"/>
      <c r="F531" s="3"/>
    </row>
    <row r="532">
      <c r="A532" s="3" t="str">
        <f>IFERROR(__xludf.DUMMYFUNCTION("""COMPUTED_VALUE"""),"")</f>
        <v/>
      </c>
      <c r="B532" s="3"/>
      <c r="C532" s="3"/>
      <c r="D532" s="3"/>
      <c r="E532" s="3"/>
      <c r="F532" s="3"/>
    </row>
    <row r="533">
      <c r="A533" s="3" t="str">
        <f>IFERROR(__xludf.DUMMYFUNCTION("""COMPUTED_VALUE"""),"")</f>
        <v/>
      </c>
      <c r="B533" s="3"/>
      <c r="C533" s="3"/>
      <c r="D533" s="3"/>
      <c r="E533" s="3"/>
      <c r="F533" s="3"/>
    </row>
    <row r="534">
      <c r="A534" s="3" t="str">
        <f>IFERROR(__xludf.DUMMYFUNCTION("""COMPUTED_VALUE"""),"")</f>
        <v/>
      </c>
      <c r="B534" s="3"/>
      <c r="C534" s="3"/>
      <c r="D534" s="3"/>
      <c r="E534" s="3"/>
      <c r="F534" s="3"/>
    </row>
    <row r="535">
      <c r="A535" s="3" t="str">
        <f>IFERROR(__xludf.DUMMYFUNCTION("""COMPUTED_VALUE"""),"")</f>
        <v/>
      </c>
      <c r="B535" s="3"/>
      <c r="C535" s="3"/>
      <c r="D535" s="3"/>
      <c r="E535" s="3"/>
      <c r="F535" s="3"/>
    </row>
    <row r="536">
      <c r="A536" s="3" t="str">
        <f>IFERROR(__xludf.DUMMYFUNCTION("""COMPUTED_VALUE"""),"")</f>
        <v/>
      </c>
      <c r="B536" s="3"/>
      <c r="C536" s="3"/>
      <c r="D536" s="3"/>
      <c r="E536" s="3"/>
      <c r="F536" s="3"/>
    </row>
    <row r="537">
      <c r="A537" s="3" t="str">
        <f>IFERROR(__xludf.DUMMYFUNCTION("""COMPUTED_VALUE"""),"")</f>
        <v/>
      </c>
      <c r="B537" s="3"/>
      <c r="C537" s="3"/>
      <c r="D537" s="3"/>
      <c r="E537" s="3"/>
      <c r="F537" s="3"/>
    </row>
    <row r="538">
      <c r="A538" s="3" t="str">
        <f>IFERROR(__xludf.DUMMYFUNCTION("""COMPUTED_VALUE"""),"")</f>
        <v/>
      </c>
      <c r="B538" s="3"/>
      <c r="C538" s="3"/>
      <c r="D538" s="3"/>
      <c r="E538" s="3"/>
      <c r="F538" s="3"/>
    </row>
    <row r="539">
      <c r="A539" s="3" t="str">
        <f>IFERROR(__xludf.DUMMYFUNCTION("""COMPUTED_VALUE"""),"")</f>
        <v/>
      </c>
      <c r="B539" s="3"/>
      <c r="C539" s="3"/>
      <c r="D539" s="3"/>
      <c r="E539" s="3"/>
      <c r="F539" s="3"/>
    </row>
    <row r="540">
      <c r="A540" s="3" t="str">
        <f>IFERROR(__xludf.DUMMYFUNCTION("""COMPUTED_VALUE"""),"")</f>
        <v/>
      </c>
      <c r="B540" s="3"/>
      <c r="C540" s="3"/>
      <c r="D540" s="3"/>
      <c r="E540" s="3"/>
      <c r="F540" s="3"/>
    </row>
    <row r="541">
      <c r="A541" s="3" t="str">
        <f>IFERROR(__xludf.DUMMYFUNCTION("""COMPUTED_VALUE"""),"")</f>
        <v/>
      </c>
      <c r="B541" s="3"/>
      <c r="C541" s="3"/>
      <c r="D541" s="3"/>
      <c r="E541" s="3"/>
      <c r="F541" s="3"/>
    </row>
    <row r="542">
      <c r="A542" s="3" t="str">
        <f>IFERROR(__xludf.DUMMYFUNCTION("""COMPUTED_VALUE"""),"")</f>
        <v/>
      </c>
      <c r="B542" s="3"/>
      <c r="C542" s="3"/>
      <c r="D542" s="3"/>
      <c r="E542" s="3"/>
      <c r="F542" s="3"/>
    </row>
    <row r="543">
      <c r="A543" s="3" t="str">
        <f>IFERROR(__xludf.DUMMYFUNCTION("""COMPUTED_VALUE"""),"")</f>
        <v/>
      </c>
      <c r="B543" s="3"/>
      <c r="C543" s="3"/>
      <c r="D543" s="3"/>
      <c r="E543" s="3"/>
      <c r="F543" s="3"/>
    </row>
    <row r="544">
      <c r="A544" s="3" t="str">
        <f>IFERROR(__xludf.DUMMYFUNCTION("""COMPUTED_VALUE"""),"")</f>
        <v/>
      </c>
      <c r="B544" s="3"/>
      <c r="C544" s="3"/>
      <c r="D544" s="3"/>
      <c r="E544" s="3"/>
      <c r="F544" s="3"/>
    </row>
    <row r="545">
      <c r="A545" s="3" t="str">
        <f>IFERROR(__xludf.DUMMYFUNCTION("""COMPUTED_VALUE"""),"")</f>
        <v/>
      </c>
      <c r="B545" s="3"/>
      <c r="C545" s="3"/>
      <c r="D545" s="3"/>
      <c r="E545" s="3"/>
      <c r="F545" s="3"/>
    </row>
    <row r="546">
      <c r="A546" s="3" t="str">
        <f>IFERROR(__xludf.DUMMYFUNCTION("""COMPUTED_VALUE"""),"")</f>
        <v/>
      </c>
      <c r="B546" s="3"/>
      <c r="C546" s="3"/>
      <c r="D546" s="3"/>
      <c r="E546" s="3"/>
      <c r="F546" s="3"/>
    </row>
    <row r="547">
      <c r="A547" s="3" t="str">
        <f>IFERROR(__xludf.DUMMYFUNCTION("""COMPUTED_VALUE"""),"")</f>
        <v/>
      </c>
      <c r="B547" s="3"/>
      <c r="C547" s="3"/>
      <c r="D547" s="3"/>
      <c r="E547" s="3"/>
      <c r="F547" s="3"/>
    </row>
    <row r="548">
      <c r="A548" s="3" t="str">
        <f>IFERROR(__xludf.DUMMYFUNCTION("""COMPUTED_VALUE"""),"")</f>
        <v/>
      </c>
      <c r="B548" s="3"/>
      <c r="C548" s="3"/>
      <c r="D548" s="3"/>
      <c r="E548" s="3"/>
      <c r="F548" s="3"/>
    </row>
    <row r="549">
      <c r="A549" s="3" t="str">
        <f>IFERROR(__xludf.DUMMYFUNCTION("""COMPUTED_VALUE"""),"")</f>
        <v/>
      </c>
      <c r="B549" s="3"/>
      <c r="C549" s="3"/>
      <c r="D549" s="3"/>
      <c r="E549" s="3"/>
      <c r="F549" s="3"/>
    </row>
    <row r="550">
      <c r="A550" s="3" t="str">
        <f>IFERROR(__xludf.DUMMYFUNCTION("""COMPUTED_VALUE"""),"")</f>
        <v/>
      </c>
      <c r="B550" s="3"/>
      <c r="C550" s="3"/>
      <c r="D550" s="3"/>
      <c r="E550" s="3"/>
      <c r="F550" s="3"/>
    </row>
    <row r="551">
      <c r="A551" s="3" t="str">
        <f>IFERROR(__xludf.DUMMYFUNCTION("""COMPUTED_VALUE"""),"")</f>
        <v/>
      </c>
      <c r="B551" s="3"/>
      <c r="C551" s="3"/>
      <c r="D551" s="3"/>
      <c r="E551" s="3"/>
      <c r="F551" s="3"/>
    </row>
    <row r="552">
      <c r="A552" s="3" t="str">
        <f>IFERROR(__xludf.DUMMYFUNCTION("""COMPUTED_VALUE"""),"")</f>
        <v/>
      </c>
      <c r="B552" s="3"/>
      <c r="C552" s="3"/>
      <c r="D552" s="3"/>
      <c r="E552" s="3"/>
      <c r="F552" s="3"/>
    </row>
    <row r="553">
      <c r="A553" s="3" t="str">
        <f>IFERROR(__xludf.DUMMYFUNCTION("""COMPUTED_VALUE"""),"")</f>
        <v/>
      </c>
      <c r="B553" s="3"/>
      <c r="C553" s="3"/>
      <c r="D553" s="3"/>
      <c r="E553" s="3"/>
      <c r="F553" s="3"/>
    </row>
    <row r="554">
      <c r="A554" s="3" t="str">
        <f>IFERROR(__xludf.DUMMYFUNCTION("""COMPUTED_VALUE"""),"")</f>
        <v/>
      </c>
      <c r="B554" s="3"/>
      <c r="C554" s="3"/>
      <c r="D554" s="3"/>
      <c r="E554" s="3"/>
      <c r="F554" s="3"/>
    </row>
    <row r="555">
      <c r="A555" s="3" t="str">
        <f>IFERROR(__xludf.DUMMYFUNCTION("""COMPUTED_VALUE"""),"")</f>
        <v/>
      </c>
      <c r="B555" s="3"/>
      <c r="C555" s="3"/>
      <c r="D555" s="3"/>
      <c r="E555" s="3"/>
      <c r="F555" s="3"/>
    </row>
    <row r="556">
      <c r="A556" s="3" t="str">
        <f>IFERROR(__xludf.DUMMYFUNCTION("""COMPUTED_VALUE"""),"")</f>
        <v/>
      </c>
      <c r="B556" s="3"/>
      <c r="C556" s="3"/>
      <c r="D556" s="3"/>
      <c r="E556" s="3"/>
      <c r="F556" s="3"/>
    </row>
    <row r="557">
      <c r="A557" s="3" t="str">
        <f>IFERROR(__xludf.DUMMYFUNCTION("""COMPUTED_VALUE"""),"")</f>
        <v/>
      </c>
      <c r="B557" s="3"/>
      <c r="C557" s="3"/>
      <c r="D557" s="3"/>
      <c r="E557" s="3"/>
      <c r="F557" s="3"/>
    </row>
    <row r="558">
      <c r="A558" s="3" t="str">
        <f>IFERROR(__xludf.DUMMYFUNCTION("""COMPUTED_VALUE"""),"")</f>
        <v/>
      </c>
      <c r="B558" s="3"/>
      <c r="C558" s="3"/>
      <c r="D558" s="3"/>
      <c r="E558" s="3"/>
      <c r="F558" s="3"/>
    </row>
    <row r="559">
      <c r="A559" s="3" t="str">
        <f>IFERROR(__xludf.DUMMYFUNCTION("""COMPUTED_VALUE"""),"")</f>
        <v/>
      </c>
      <c r="B559" s="3"/>
      <c r="C559" s="3"/>
      <c r="D559" s="3"/>
      <c r="E559" s="3"/>
      <c r="F559" s="3"/>
    </row>
    <row r="560">
      <c r="A560" s="3" t="str">
        <f>IFERROR(__xludf.DUMMYFUNCTION("""COMPUTED_VALUE"""),"")</f>
        <v/>
      </c>
      <c r="B560" s="3"/>
      <c r="C560" s="3"/>
      <c r="D560" s="3"/>
      <c r="E560" s="3"/>
      <c r="F560" s="3"/>
    </row>
    <row r="561">
      <c r="A561" s="3" t="str">
        <f>IFERROR(__xludf.DUMMYFUNCTION("""COMPUTED_VALUE"""),"")</f>
        <v/>
      </c>
      <c r="B561" s="3"/>
      <c r="C561" s="3"/>
      <c r="D561" s="3"/>
      <c r="E561" s="3"/>
      <c r="F561" s="3"/>
    </row>
    <row r="562">
      <c r="A562" s="3" t="str">
        <f>IFERROR(__xludf.DUMMYFUNCTION("""COMPUTED_VALUE"""),"")</f>
        <v/>
      </c>
      <c r="B562" s="3"/>
      <c r="C562" s="3"/>
      <c r="D562" s="3"/>
      <c r="E562" s="3"/>
      <c r="F562" s="3"/>
    </row>
    <row r="563">
      <c r="A563" s="3" t="str">
        <f>IFERROR(__xludf.DUMMYFUNCTION("""COMPUTED_VALUE"""),"")</f>
        <v/>
      </c>
      <c r="B563" s="3"/>
      <c r="C563" s="3"/>
      <c r="D563" s="3"/>
      <c r="E563" s="3"/>
      <c r="F563" s="3"/>
    </row>
    <row r="564">
      <c r="A564" s="3" t="str">
        <f>IFERROR(__xludf.DUMMYFUNCTION("""COMPUTED_VALUE"""),"")</f>
        <v/>
      </c>
      <c r="B564" s="3"/>
      <c r="C564" s="3"/>
      <c r="D564" s="3"/>
      <c r="E564" s="3"/>
      <c r="F564" s="3"/>
    </row>
    <row r="565">
      <c r="A565" s="3" t="str">
        <f>IFERROR(__xludf.DUMMYFUNCTION("""COMPUTED_VALUE"""),"")</f>
        <v/>
      </c>
      <c r="B565" s="3"/>
      <c r="C565" s="3"/>
      <c r="D565" s="3"/>
      <c r="E565" s="3"/>
      <c r="F565" s="3"/>
    </row>
    <row r="566">
      <c r="A566" s="3" t="str">
        <f>IFERROR(__xludf.DUMMYFUNCTION("""COMPUTED_VALUE"""),"")</f>
        <v/>
      </c>
      <c r="B566" s="3"/>
      <c r="C566" s="3"/>
      <c r="D566" s="3"/>
      <c r="E566" s="3"/>
      <c r="F566" s="3"/>
    </row>
    <row r="567">
      <c r="A567" s="3" t="str">
        <f>IFERROR(__xludf.DUMMYFUNCTION("""COMPUTED_VALUE"""),"")</f>
        <v/>
      </c>
      <c r="B567" s="3"/>
      <c r="C567" s="3"/>
      <c r="D567" s="3"/>
      <c r="E567" s="3"/>
      <c r="F567" s="3"/>
    </row>
    <row r="568">
      <c r="A568" s="3" t="str">
        <f>IFERROR(__xludf.DUMMYFUNCTION("""COMPUTED_VALUE"""),"")</f>
        <v/>
      </c>
      <c r="B568" s="3"/>
      <c r="C568" s="3"/>
      <c r="D568" s="3"/>
      <c r="E568" s="3"/>
      <c r="F568" s="3"/>
    </row>
    <row r="569">
      <c r="A569" s="3" t="str">
        <f>IFERROR(__xludf.DUMMYFUNCTION("""COMPUTED_VALUE"""),"")</f>
        <v/>
      </c>
      <c r="B569" s="3"/>
      <c r="C569" s="3"/>
      <c r="D569" s="3"/>
      <c r="E569" s="3"/>
      <c r="F569" s="3"/>
    </row>
    <row r="570">
      <c r="A570" s="3" t="str">
        <f>IFERROR(__xludf.DUMMYFUNCTION("""COMPUTED_VALUE"""),"")</f>
        <v/>
      </c>
      <c r="B570" s="3"/>
      <c r="C570" s="3"/>
      <c r="D570" s="3"/>
      <c r="E570" s="3"/>
      <c r="F570" s="3"/>
    </row>
    <row r="571">
      <c r="A571" s="3" t="str">
        <f>IFERROR(__xludf.DUMMYFUNCTION("""COMPUTED_VALUE"""),"")</f>
        <v/>
      </c>
      <c r="B571" s="3"/>
      <c r="C571" s="3"/>
      <c r="D571" s="3"/>
      <c r="E571" s="3"/>
      <c r="F571" s="3"/>
    </row>
    <row r="572">
      <c r="A572" s="3" t="str">
        <f>IFERROR(__xludf.DUMMYFUNCTION("""COMPUTED_VALUE"""),"")</f>
        <v/>
      </c>
      <c r="B572" s="3"/>
      <c r="C572" s="3"/>
      <c r="D572" s="3"/>
      <c r="E572" s="3"/>
      <c r="F572" s="3"/>
    </row>
    <row r="573">
      <c r="A573" s="3" t="str">
        <f>IFERROR(__xludf.DUMMYFUNCTION("""COMPUTED_VALUE"""),"")</f>
        <v/>
      </c>
      <c r="B573" s="3"/>
      <c r="C573" s="3"/>
      <c r="D573" s="3"/>
      <c r="E573" s="3"/>
      <c r="F573" s="3"/>
    </row>
    <row r="574">
      <c r="A574" s="3" t="str">
        <f>IFERROR(__xludf.DUMMYFUNCTION("""COMPUTED_VALUE"""),"")</f>
        <v/>
      </c>
      <c r="B574" s="3"/>
      <c r="C574" s="3"/>
      <c r="D574" s="3"/>
      <c r="E574" s="3"/>
      <c r="F574" s="3"/>
    </row>
    <row r="575">
      <c r="A575" s="3" t="str">
        <f>IFERROR(__xludf.DUMMYFUNCTION("""COMPUTED_VALUE"""),"")</f>
        <v/>
      </c>
      <c r="B575" s="3"/>
      <c r="C575" s="3"/>
      <c r="D575" s="3"/>
      <c r="E575" s="3"/>
      <c r="F575" s="3"/>
    </row>
    <row r="576">
      <c r="A576" s="3" t="str">
        <f>IFERROR(__xludf.DUMMYFUNCTION("""COMPUTED_VALUE"""),"")</f>
        <v/>
      </c>
      <c r="B576" s="3"/>
      <c r="C576" s="3"/>
      <c r="D576" s="3"/>
      <c r="E576" s="3"/>
      <c r="F576" s="3"/>
    </row>
    <row r="577">
      <c r="A577" s="3" t="str">
        <f>IFERROR(__xludf.DUMMYFUNCTION("""COMPUTED_VALUE"""),"")</f>
        <v/>
      </c>
      <c r="B577" s="3"/>
      <c r="C577" s="3"/>
      <c r="D577" s="3"/>
      <c r="E577" s="3"/>
      <c r="F577" s="3"/>
    </row>
    <row r="578">
      <c r="A578" s="3" t="str">
        <f>IFERROR(__xludf.DUMMYFUNCTION("""COMPUTED_VALUE"""),"")</f>
        <v/>
      </c>
      <c r="B578" s="3"/>
      <c r="C578" s="3"/>
      <c r="D578" s="3"/>
      <c r="E578" s="3"/>
      <c r="F578" s="3"/>
    </row>
    <row r="579">
      <c r="A579" s="3" t="str">
        <f>IFERROR(__xludf.DUMMYFUNCTION("""COMPUTED_VALUE"""),"")</f>
        <v/>
      </c>
      <c r="B579" s="3"/>
      <c r="C579" s="3"/>
      <c r="D579" s="3"/>
      <c r="E579" s="3"/>
      <c r="F579" s="3"/>
    </row>
    <row r="580">
      <c r="A580" s="3" t="str">
        <f>IFERROR(__xludf.DUMMYFUNCTION("""COMPUTED_VALUE"""),"")</f>
        <v/>
      </c>
      <c r="B580" s="3"/>
      <c r="C580" s="3"/>
      <c r="D580" s="3"/>
      <c r="E580" s="3"/>
      <c r="F580" s="3"/>
    </row>
    <row r="581">
      <c r="A581" s="3" t="str">
        <f>IFERROR(__xludf.DUMMYFUNCTION("""COMPUTED_VALUE"""),"")</f>
        <v/>
      </c>
      <c r="B581" s="3"/>
      <c r="C581" s="3"/>
      <c r="D581" s="3"/>
      <c r="E581" s="3"/>
      <c r="F581" s="3"/>
    </row>
    <row r="582">
      <c r="A582" s="3" t="str">
        <f>IFERROR(__xludf.DUMMYFUNCTION("""COMPUTED_VALUE"""),"")</f>
        <v/>
      </c>
      <c r="B582" s="3"/>
      <c r="C582" s="3"/>
      <c r="D582" s="3"/>
      <c r="E582" s="3"/>
      <c r="F582" s="3"/>
    </row>
    <row r="583">
      <c r="A583" s="3" t="str">
        <f>IFERROR(__xludf.DUMMYFUNCTION("""COMPUTED_VALUE"""),"")</f>
        <v/>
      </c>
      <c r="B583" s="3"/>
      <c r="C583" s="3"/>
      <c r="D583" s="3"/>
      <c r="E583" s="3"/>
      <c r="F583" s="3"/>
    </row>
    <row r="584">
      <c r="A584" s="3" t="str">
        <f>IFERROR(__xludf.DUMMYFUNCTION("""COMPUTED_VALUE"""),"")</f>
        <v/>
      </c>
      <c r="B584" s="3"/>
      <c r="C584" s="3"/>
      <c r="D584" s="3"/>
      <c r="E584" s="3"/>
      <c r="F584" s="3"/>
    </row>
    <row r="585">
      <c r="A585" s="3" t="str">
        <f>IFERROR(__xludf.DUMMYFUNCTION("""COMPUTED_VALUE"""),"")</f>
        <v/>
      </c>
      <c r="B585" s="3"/>
      <c r="C585" s="3"/>
      <c r="D585" s="3"/>
      <c r="E585" s="3"/>
      <c r="F585" s="3"/>
    </row>
    <row r="586">
      <c r="A586" s="3" t="str">
        <f>IFERROR(__xludf.DUMMYFUNCTION("""COMPUTED_VALUE"""),"")</f>
        <v/>
      </c>
      <c r="B586" s="3"/>
      <c r="C586" s="3"/>
      <c r="D586" s="3"/>
      <c r="E586" s="3"/>
      <c r="F586" s="3"/>
    </row>
    <row r="587">
      <c r="A587" s="3" t="str">
        <f>IFERROR(__xludf.DUMMYFUNCTION("""COMPUTED_VALUE"""),"")</f>
        <v/>
      </c>
      <c r="B587" s="3"/>
      <c r="C587" s="3"/>
      <c r="D587" s="3"/>
      <c r="E587" s="3"/>
      <c r="F587" s="3"/>
    </row>
    <row r="588">
      <c r="A588" s="3" t="str">
        <f>IFERROR(__xludf.DUMMYFUNCTION("""COMPUTED_VALUE"""),"")</f>
        <v/>
      </c>
      <c r="B588" s="3"/>
      <c r="C588" s="3"/>
      <c r="D588" s="3"/>
      <c r="E588" s="3"/>
      <c r="F588" s="3"/>
    </row>
    <row r="589">
      <c r="A589" s="3" t="str">
        <f>IFERROR(__xludf.DUMMYFUNCTION("""COMPUTED_VALUE"""),"")</f>
        <v/>
      </c>
      <c r="B589" s="3"/>
      <c r="C589" s="3"/>
      <c r="D589" s="3"/>
      <c r="E589" s="3"/>
      <c r="F589" s="3"/>
    </row>
    <row r="590">
      <c r="A590" s="3" t="str">
        <f>IFERROR(__xludf.DUMMYFUNCTION("""COMPUTED_VALUE"""),"")</f>
        <v/>
      </c>
      <c r="B590" s="3"/>
      <c r="C590" s="3"/>
      <c r="D590" s="3"/>
      <c r="E590" s="3"/>
      <c r="F590" s="3"/>
    </row>
    <row r="591">
      <c r="A591" s="3" t="str">
        <f>IFERROR(__xludf.DUMMYFUNCTION("""COMPUTED_VALUE"""),"")</f>
        <v/>
      </c>
      <c r="B591" s="3"/>
      <c r="C591" s="3"/>
      <c r="D591" s="3"/>
      <c r="E591" s="3"/>
      <c r="F591" s="3"/>
    </row>
    <row r="592">
      <c r="A592" s="3" t="str">
        <f>IFERROR(__xludf.DUMMYFUNCTION("""COMPUTED_VALUE"""),"")</f>
        <v/>
      </c>
      <c r="B592" s="3"/>
      <c r="C592" s="3"/>
      <c r="D592" s="3"/>
      <c r="E592" s="3"/>
      <c r="F592" s="3"/>
    </row>
    <row r="593">
      <c r="A593" s="3" t="str">
        <f>IFERROR(__xludf.DUMMYFUNCTION("""COMPUTED_VALUE"""),"")</f>
        <v/>
      </c>
      <c r="B593" s="3"/>
      <c r="C593" s="3"/>
      <c r="D593" s="3"/>
      <c r="E593" s="3"/>
      <c r="F593" s="3"/>
    </row>
    <row r="594">
      <c r="A594" s="3" t="str">
        <f>IFERROR(__xludf.DUMMYFUNCTION("""COMPUTED_VALUE"""),"")</f>
        <v/>
      </c>
      <c r="B594" s="3"/>
      <c r="C594" s="3"/>
      <c r="D594" s="3"/>
      <c r="E594" s="3"/>
      <c r="F594" s="3"/>
    </row>
    <row r="595">
      <c r="A595" s="3" t="str">
        <f>IFERROR(__xludf.DUMMYFUNCTION("""COMPUTED_VALUE"""),"")</f>
        <v/>
      </c>
      <c r="B595" s="3"/>
      <c r="C595" s="3"/>
      <c r="D595" s="3"/>
      <c r="E595" s="3"/>
      <c r="F595" s="3"/>
    </row>
    <row r="596">
      <c r="A596" s="3" t="str">
        <f>IFERROR(__xludf.DUMMYFUNCTION("""COMPUTED_VALUE"""),"")</f>
        <v/>
      </c>
      <c r="B596" s="3"/>
      <c r="C596" s="3"/>
      <c r="D596" s="3"/>
      <c r="E596" s="3"/>
      <c r="F596" s="3"/>
    </row>
    <row r="597">
      <c r="A597" s="3" t="str">
        <f>IFERROR(__xludf.DUMMYFUNCTION("""COMPUTED_VALUE"""),"")</f>
        <v/>
      </c>
      <c r="B597" s="3"/>
      <c r="C597" s="3"/>
      <c r="D597" s="3"/>
      <c r="E597" s="3"/>
      <c r="F597" s="3"/>
    </row>
    <row r="598">
      <c r="A598" s="3" t="str">
        <f>IFERROR(__xludf.DUMMYFUNCTION("""COMPUTED_VALUE"""),"")</f>
        <v/>
      </c>
      <c r="B598" s="3"/>
      <c r="C598" s="3"/>
      <c r="D598" s="3"/>
      <c r="E598" s="3"/>
      <c r="F598" s="3"/>
    </row>
    <row r="599">
      <c r="A599" s="3" t="str">
        <f>IFERROR(__xludf.DUMMYFUNCTION("""COMPUTED_VALUE"""),"")</f>
        <v/>
      </c>
      <c r="B599" s="3"/>
      <c r="C599" s="3"/>
      <c r="D599" s="3"/>
      <c r="E599" s="3"/>
      <c r="F599" s="3"/>
    </row>
    <row r="600">
      <c r="A600" s="3" t="str">
        <f>IFERROR(__xludf.DUMMYFUNCTION("""COMPUTED_VALUE"""),"")</f>
        <v/>
      </c>
      <c r="B600" s="3"/>
      <c r="C600" s="3"/>
      <c r="D600" s="3"/>
      <c r="E600" s="3"/>
      <c r="F600" s="3"/>
    </row>
    <row r="601">
      <c r="A601" s="3" t="str">
        <f>IFERROR(__xludf.DUMMYFUNCTION("""COMPUTED_VALUE"""),"")</f>
        <v/>
      </c>
      <c r="B601" s="3"/>
      <c r="C601" s="3"/>
      <c r="D601" s="3"/>
      <c r="E601" s="3"/>
      <c r="F601" s="3"/>
    </row>
    <row r="602">
      <c r="A602" s="3" t="str">
        <f>IFERROR(__xludf.DUMMYFUNCTION("""COMPUTED_VALUE"""),"")</f>
        <v/>
      </c>
      <c r="B602" s="3"/>
      <c r="C602" s="3"/>
      <c r="D602" s="3"/>
      <c r="E602" s="3"/>
      <c r="F602" s="3"/>
    </row>
    <row r="603">
      <c r="A603" s="3" t="str">
        <f>IFERROR(__xludf.DUMMYFUNCTION("""COMPUTED_VALUE"""),"")</f>
        <v/>
      </c>
      <c r="B603" s="3"/>
      <c r="C603" s="3"/>
      <c r="D603" s="3"/>
      <c r="E603" s="3"/>
      <c r="F603" s="3"/>
    </row>
    <row r="604">
      <c r="A604" s="3" t="str">
        <f>IFERROR(__xludf.DUMMYFUNCTION("""COMPUTED_VALUE"""),"")</f>
        <v/>
      </c>
      <c r="B604" s="3"/>
      <c r="C604" s="3"/>
      <c r="D604" s="3"/>
      <c r="E604" s="3"/>
      <c r="F604" s="3"/>
    </row>
    <row r="605">
      <c r="A605" s="3" t="str">
        <f>IFERROR(__xludf.DUMMYFUNCTION("""COMPUTED_VALUE"""),"")</f>
        <v/>
      </c>
      <c r="B605" s="3"/>
      <c r="C605" s="3"/>
      <c r="D605" s="3"/>
      <c r="E605" s="3"/>
      <c r="F605" s="3"/>
    </row>
    <row r="606">
      <c r="A606" s="3" t="str">
        <f>IFERROR(__xludf.DUMMYFUNCTION("""COMPUTED_VALUE"""),"")</f>
        <v/>
      </c>
      <c r="B606" s="3"/>
      <c r="C606" s="3"/>
      <c r="D606" s="3"/>
      <c r="E606" s="3"/>
      <c r="F606" s="3"/>
    </row>
    <row r="607">
      <c r="A607" s="3" t="str">
        <f>IFERROR(__xludf.DUMMYFUNCTION("""COMPUTED_VALUE"""),"")</f>
        <v/>
      </c>
      <c r="B607" s="3"/>
      <c r="C607" s="3"/>
      <c r="D607" s="3"/>
      <c r="E607" s="3"/>
      <c r="F607" s="3"/>
    </row>
    <row r="608">
      <c r="A608" s="3" t="str">
        <f>IFERROR(__xludf.DUMMYFUNCTION("""COMPUTED_VALUE"""),"")</f>
        <v/>
      </c>
      <c r="B608" s="3"/>
      <c r="C608" s="3"/>
      <c r="D608" s="3"/>
      <c r="E608" s="3"/>
      <c r="F608" s="3"/>
    </row>
    <row r="609">
      <c r="A609" s="3" t="str">
        <f>IFERROR(__xludf.DUMMYFUNCTION("""COMPUTED_VALUE"""),"")</f>
        <v/>
      </c>
      <c r="B609" s="3"/>
      <c r="C609" s="3"/>
      <c r="D609" s="3"/>
      <c r="E609" s="3"/>
      <c r="F609" s="3"/>
    </row>
    <row r="610">
      <c r="A610" s="3" t="str">
        <f>IFERROR(__xludf.DUMMYFUNCTION("""COMPUTED_VALUE"""),"")</f>
        <v/>
      </c>
      <c r="B610" s="3"/>
      <c r="C610" s="3"/>
      <c r="D610" s="3"/>
      <c r="E610" s="3"/>
      <c r="F610" s="3"/>
    </row>
    <row r="611">
      <c r="A611" s="3" t="str">
        <f>IFERROR(__xludf.DUMMYFUNCTION("""COMPUTED_VALUE"""),"")</f>
        <v/>
      </c>
      <c r="B611" s="3"/>
      <c r="C611" s="3"/>
      <c r="D611" s="3"/>
      <c r="E611" s="3"/>
      <c r="F611" s="3"/>
    </row>
    <row r="612">
      <c r="A612" s="3" t="str">
        <f>IFERROR(__xludf.DUMMYFUNCTION("""COMPUTED_VALUE"""),"")</f>
        <v/>
      </c>
      <c r="B612" s="3"/>
      <c r="C612" s="3"/>
      <c r="D612" s="3"/>
      <c r="E612" s="3"/>
      <c r="F612" s="3"/>
    </row>
    <row r="613">
      <c r="A613" s="3" t="str">
        <f>IFERROR(__xludf.DUMMYFUNCTION("""COMPUTED_VALUE"""),"")</f>
        <v/>
      </c>
      <c r="B613" s="3"/>
      <c r="C613" s="3"/>
      <c r="D613" s="3"/>
      <c r="E613" s="3"/>
      <c r="F613" s="3"/>
    </row>
    <row r="614">
      <c r="A614" s="3" t="str">
        <f>IFERROR(__xludf.DUMMYFUNCTION("""COMPUTED_VALUE"""),"")</f>
        <v/>
      </c>
      <c r="B614" s="3"/>
      <c r="C614" s="3"/>
      <c r="D614" s="3"/>
      <c r="E614" s="3"/>
      <c r="F614" s="3"/>
    </row>
    <row r="615">
      <c r="A615" s="3" t="str">
        <f>IFERROR(__xludf.DUMMYFUNCTION("""COMPUTED_VALUE"""),"")</f>
        <v/>
      </c>
      <c r="B615" s="3"/>
      <c r="C615" s="3"/>
      <c r="D615" s="3"/>
      <c r="E615" s="3"/>
      <c r="F615" s="3"/>
    </row>
    <row r="616">
      <c r="A616" s="3" t="str">
        <f>IFERROR(__xludf.DUMMYFUNCTION("""COMPUTED_VALUE"""),"")</f>
        <v/>
      </c>
      <c r="B616" s="3"/>
      <c r="C616" s="3"/>
      <c r="D616" s="3"/>
      <c r="E616" s="3"/>
      <c r="F616" s="3"/>
    </row>
    <row r="617">
      <c r="A617" s="3" t="str">
        <f>IFERROR(__xludf.DUMMYFUNCTION("""COMPUTED_VALUE"""),"")</f>
        <v/>
      </c>
      <c r="B617" s="3"/>
      <c r="C617" s="3"/>
      <c r="D617" s="3"/>
      <c r="E617" s="3"/>
      <c r="F617" s="3"/>
    </row>
    <row r="618">
      <c r="A618" s="3" t="str">
        <f>IFERROR(__xludf.DUMMYFUNCTION("""COMPUTED_VALUE"""),"")</f>
        <v/>
      </c>
      <c r="B618" s="3"/>
      <c r="C618" s="3"/>
      <c r="D618" s="3"/>
      <c r="E618" s="3"/>
      <c r="F618" s="3"/>
    </row>
    <row r="619">
      <c r="A619" s="3" t="str">
        <f>IFERROR(__xludf.DUMMYFUNCTION("""COMPUTED_VALUE"""),"")</f>
        <v/>
      </c>
      <c r="B619" s="3"/>
      <c r="C619" s="3"/>
      <c r="D619" s="3"/>
      <c r="E619" s="3"/>
      <c r="F619" s="3"/>
    </row>
    <row r="620">
      <c r="A620" s="3" t="str">
        <f>IFERROR(__xludf.DUMMYFUNCTION("""COMPUTED_VALUE"""),"")</f>
        <v/>
      </c>
      <c r="B620" s="3"/>
      <c r="C620" s="3"/>
      <c r="D620" s="3"/>
      <c r="E620" s="3"/>
      <c r="F620" s="3"/>
    </row>
    <row r="621">
      <c r="A621" s="3" t="str">
        <f>IFERROR(__xludf.DUMMYFUNCTION("""COMPUTED_VALUE"""),"")</f>
        <v/>
      </c>
      <c r="B621" s="3"/>
      <c r="C621" s="3"/>
      <c r="D621" s="3"/>
      <c r="E621" s="3"/>
      <c r="F621" s="3"/>
    </row>
    <row r="622">
      <c r="A622" s="3" t="str">
        <f>IFERROR(__xludf.DUMMYFUNCTION("""COMPUTED_VALUE"""),"")</f>
        <v/>
      </c>
      <c r="B622" s="3"/>
      <c r="C622" s="3"/>
      <c r="D622" s="3"/>
      <c r="E622" s="3"/>
      <c r="F622" s="3"/>
    </row>
    <row r="623">
      <c r="A623" s="3" t="str">
        <f>IFERROR(__xludf.DUMMYFUNCTION("""COMPUTED_VALUE"""),"")</f>
        <v/>
      </c>
      <c r="B623" s="3"/>
      <c r="C623" s="3"/>
      <c r="D623" s="3"/>
      <c r="E623" s="3"/>
      <c r="F623" s="3"/>
    </row>
    <row r="624">
      <c r="A624" s="3" t="str">
        <f>IFERROR(__xludf.DUMMYFUNCTION("""COMPUTED_VALUE"""),"")</f>
        <v/>
      </c>
      <c r="B624" s="3"/>
      <c r="C624" s="3"/>
      <c r="D624" s="3"/>
      <c r="E624" s="3"/>
      <c r="F624" s="3"/>
    </row>
    <row r="625">
      <c r="A625" s="3" t="str">
        <f>IFERROR(__xludf.DUMMYFUNCTION("""COMPUTED_VALUE"""),"")</f>
        <v/>
      </c>
      <c r="B625" s="3"/>
      <c r="C625" s="3"/>
      <c r="D625" s="3"/>
      <c r="E625" s="3"/>
      <c r="F625" s="3"/>
    </row>
    <row r="626">
      <c r="A626" s="3" t="str">
        <f>IFERROR(__xludf.DUMMYFUNCTION("""COMPUTED_VALUE"""),"")</f>
        <v/>
      </c>
      <c r="B626" s="3"/>
      <c r="C626" s="3"/>
      <c r="D626" s="3"/>
      <c r="E626" s="3"/>
      <c r="F626" s="3"/>
    </row>
    <row r="627">
      <c r="A627" s="3" t="str">
        <f>IFERROR(__xludf.DUMMYFUNCTION("""COMPUTED_VALUE"""),"")</f>
        <v/>
      </c>
      <c r="B627" s="3"/>
      <c r="C627" s="3"/>
      <c r="D627" s="3"/>
      <c r="E627" s="3"/>
      <c r="F627" s="3"/>
    </row>
    <row r="628">
      <c r="A628" s="3" t="str">
        <f>IFERROR(__xludf.DUMMYFUNCTION("""COMPUTED_VALUE"""),"")</f>
        <v/>
      </c>
      <c r="B628" s="3"/>
      <c r="C628" s="3"/>
      <c r="D628" s="3"/>
      <c r="E628" s="3"/>
      <c r="F628" s="3"/>
    </row>
    <row r="629">
      <c r="A629" s="3" t="str">
        <f>IFERROR(__xludf.DUMMYFUNCTION("""COMPUTED_VALUE"""),"")</f>
        <v/>
      </c>
      <c r="B629" s="3"/>
      <c r="C629" s="3"/>
      <c r="D629" s="3"/>
      <c r="E629" s="3"/>
      <c r="F629" s="3"/>
    </row>
    <row r="630">
      <c r="A630" s="3" t="str">
        <f>IFERROR(__xludf.DUMMYFUNCTION("""COMPUTED_VALUE"""),"")</f>
        <v/>
      </c>
      <c r="B630" s="3"/>
      <c r="C630" s="3"/>
      <c r="D630" s="3"/>
      <c r="E630" s="3"/>
      <c r="F630" s="3"/>
    </row>
    <row r="631">
      <c r="A631" s="3" t="str">
        <f>IFERROR(__xludf.DUMMYFUNCTION("""COMPUTED_VALUE"""),"")</f>
        <v/>
      </c>
      <c r="B631" s="3"/>
      <c r="C631" s="3"/>
      <c r="D631" s="3"/>
      <c r="E631" s="3"/>
      <c r="F631" s="3"/>
    </row>
    <row r="632">
      <c r="A632" s="3" t="str">
        <f>IFERROR(__xludf.DUMMYFUNCTION("""COMPUTED_VALUE"""),"")</f>
        <v/>
      </c>
      <c r="B632" s="3"/>
      <c r="C632" s="3"/>
      <c r="D632" s="3"/>
      <c r="E632" s="3"/>
      <c r="F632" s="3"/>
    </row>
    <row r="633">
      <c r="A633" s="3" t="str">
        <f>IFERROR(__xludf.DUMMYFUNCTION("""COMPUTED_VALUE"""),"")</f>
        <v/>
      </c>
      <c r="B633" s="3"/>
      <c r="C633" s="3"/>
      <c r="D633" s="3"/>
      <c r="E633" s="3"/>
      <c r="F633" s="3"/>
    </row>
    <row r="634">
      <c r="A634" s="3" t="str">
        <f>IFERROR(__xludf.DUMMYFUNCTION("""COMPUTED_VALUE"""),"")</f>
        <v/>
      </c>
      <c r="B634" s="3"/>
      <c r="C634" s="3"/>
      <c r="D634" s="3"/>
      <c r="E634" s="3"/>
      <c r="F634" s="3"/>
    </row>
    <row r="635">
      <c r="A635" s="3" t="str">
        <f>IFERROR(__xludf.DUMMYFUNCTION("""COMPUTED_VALUE"""),"")</f>
        <v/>
      </c>
      <c r="B635" s="3"/>
      <c r="C635" s="3"/>
      <c r="D635" s="3"/>
      <c r="E635" s="3"/>
      <c r="F635" s="3"/>
    </row>
    <row r="636">
      <c r="A636" s="3" t="str">
        <f>IFERROR(__xludf.DUMMYFUNCTION("""COMPUTED_VALUE"""),"")</f>
        <v/>
      </c>
      <c r="B636" s="3"/>
      <c r="C636" s="3"/>
      <c r="D636" s="3"/>
      <c r="E636" s="3"/>
      <c r="F636" s="3"/>
    </row>
    <row r="637">
      <c r="A637" s="3" t="str">
        <f>IFERROR(__xludf.DUMMYFUNCTION("""COMPUTED_VALUE"""),"")</f>
        <v/>
      </c>
      <c r="B637" s="3"/>
      <c r="C637" s="3"/>
      <c r="D637" s="3"/>
      <c r="E637" s="3"/>
      <c r="F637" s="3"/>
    </row>
    <row r="638">
      <c r="A638" s="3" t="str">
        <f>IFERROR(__xludf.DUMMYFUNCTION("""COMPUTED_VALUE"""),"")</f>
        <v/>
      </c>
      <c r="B638" s="3"/>
      <c r="C638" s="3"/>
      <c r="D638" s="3"/>
      <c r="E638" s="3"/>
      <c r="F638" s="3"/>
    </row>
    <row r="639">
      <c r="A639" s="3" t="str">
        <f>IFERROR(__xludf.DUMMYFUNCTION("""COMPUTED_VALUE"""),"")</f>
        <v/>
      </c>
      <c r="B639" s="3"/>
      <c r="C639" s="3"/>
      <c r="D639" s="3"/>
      <c r="E639" s="3"/>
      <c r="F639" s="3"/>
    </row>
    <row r="640">
      <c r="A640" s="3" t="str">
        <f>IFERROR(__xludf.DUMMYFUNCTION("""COMPUTED_VALUE"""),"")</f>
        <v/>
      </c>
      <c r="B640" s="3"/>
      <c r="C640" s="3"/>
      <c r="D640" s="3"/>
      <c r="E640" s="3"/>
      <c r="F640" s="3"/>
    </row>
    <row r="641">
      <c r="A641" s="3" t="str">
        <f>IFERROR(__xludf.DUMMYFUNCTION("""COMPUTED_VALUE"""),"")</f>
        <v/>
      </c>
      <c r="B641" s="3"/>
      <c r="C641" s="3"/>
      <c r="D641" s="3"/>
      <c r="E641" s="3"/>
      <c r="F641" s="3"/>
    </row>
    <row r="642">
      <c r="A642" s="3" t="str">
        <f>IFERROR(__xludf.DUMMYFUNCTION("""COMPUTED_VALUE"""),"")</f>
        <v/>
      </c>
      <c r="B642" s="3"/>
      <c r="C642" s="3"/>
      <c r="D642" s="3"/>
      <c r="E642" s="3"/>
      <c r="F642" s="3"/>
    </row>
    <row r="643">
      <c r="A643" s="3" t="str">
        <f>IFERROR(__xludf.DUMMYFUNCTION("""COMPUTED_VALUE"""),"")</f>
        <v/>
      </c>
      <c r="B643" s="3"/>
      <c r="C643" s="3"/>
      <c r="D643" s="3"/>
      <c r="E643" s="3"/>
      <c r="F643" s="3"/>
    </row>
    <row r="644">
      <c r="A644" s="3" t="str">
        <f>IFERROR(__xludf.DUMMYFUNCTION("""COMPUTED_VALUE"""),"")</f>
        <v/>
      </c>
      <c r="B644" s="3"/>
      <c r="C644" s="3"/>
      <c r="D644" s="3"/>
      <c r="E644" s="3"/>
      <c r="F644" s="3"/>
    </row>
    <row r="645">
      <c r="A645" s="3" t="str">
        <f>IFERROR(__xludf.DUMMYFUNCTION("""COMPUTED_VALUE"""),"")</f>
        <v/>
      </c>
      <c r="B645" s="3"/>
      <c r="C645" s="3"/>
      <c r="D645" s="3"/>
      <c r="E645" s="3"/>
      <c r="F645" s="3"/>
    </row>
    <row r="646">
      <c r="A646" s="3" t="str">
        <f>IFERROR(__xludf.DUMMYFUNCTION("""COMPUTED_VALUE"""),"")</f>
        <v/>
      </c>
      <c r="B646" s="3"/>
      <c r="C646" s="3"/>
      <c r="D646" s="3"/>
      <c r="E646" s="3"/>
      <c r="F646" s="3"/>
    </row>
    <row r="647">
      <c r="A647" s="3" t="str">
        <f>IFERROR(__xludf.DUMMYFUNCTION("""COMPUTED_VALUE"""),"")</f>
        <v/>
      </c>
      <c r="B647" s="3"/>
      <c r="C647" s="3"/>
      <c r="D647" s="3"/>
      <c r="E647" s="3"/>
      <c r="F647" s="3"/>
    </row>
    <row r="648">
      <c r="A648" s="3" t="str">
        <f>IFERROR(__xludf.DUMMYFUNCTION("""COMPUTED_VALUE"""),"")</f>
        <v/>
      </c>
      <c r="B648" s="3"/>
      <c r="C648" s="3"/>
      <c r="D648" s="3"/>
      <c r="E648" s="3"/>
      <c r="F648" s="3"/>
    </row>
    <row r="649">
      <c r="A649" s="3" t="str">
        <f>IFERROR(__xludf.DUMMYFUNCTION("""COMPUTED_VALUE"""),"")</f>
        <v/>
      </c>
      <c r="B649" s="3"/>
      <c r="C649" s="3"/>
      <c r="D649" s="3"/>
      <c r="E649" s="3"/>
      <c r="F649" s="3"/>
    </row>
    <row r="650">
      <c r="A650" s="3" t="str">
        <f>IFERROR(__xludf.DUMMYFUNCTION("""COMPUTED_VALUE"""),"")</f>
        <v/>
      </c>
      <c r="B650" s="3"/>
      <c r="C650" s="3"/>
      <c r="D650" s="3"/>
      <c r="E650" s="3"/>
      <c r="F650" s="3"/>
    </row>
    <row r="651">
      <c r="A651" s="3" t="str">
        <f>IFERROR(__xludf.DUMMYFUNCTION("""COMPUTED_VALUE"""),"")</f>
        <v/>
      </c>
      <c r="B651" s="3"/>
      <c r="C651" s="3"/>
      <c r="D651" s="3"/>
      <c r="E651" s="3"/>
      <c r="F651" s="3"/>
    </row>
    <row r="652">
      <c r="A652" s="3" t="str">
        <f>IFERROR(__xludf.DUMMYFUNCTION("""COMPUTED_VALUE"""),"")</f>
        <v/>
      </c>
      <c r="B652" s="3"/>
      <c r="C652" s="3"/>
      <c r="D652" s="3"/>
      <c r="E652" s="3"/>
      <c r="F652" s="3"/>
    </row>
    <row r="653">
      <c r="A653" s="3" t="str">
        <f>IFERROR(__xludf.DUMMYFUNCTION("""COMPUTED_VALUE"""),"")</f>
        <v/>
      </c>
      <c r="B653" s="3"/>
      <c r="C653" s="3"/>
      <c r="D653" s="3"/>
      <c r="E653" s="3"/>
      <c r="F653" s="3"/>
    </row>
    <row r="654">
      <c r="A654" s="3" t="str">
        <f>IFERROR(__xludf.DUMMYFUNCTION("""COMPUTED_VALUE"""),"")</f>
        <v/>
      </c>
      <c r="B654" s="3"/>
      <c r="C654" s="3"/>
      <c r="D654" s="3"/>
      <c r="E654" s="3"/>
      <c r="F654" s="3"/>
    </row>
    <row r="655">
      <c r="A655" s="3" t="str">
        <f>IFERROR(__xludf.DUMMYFUNCTION("""COMPUTED_VALUE"""),"")</f>
        <v/>
      </c>
      <c r="B655" s="3"/>
      <c r="C655" s="3"/>
      <c r="D655" s="3"/>
      <c r="E655" s="3"/>
      <c r="F655" s="3"/>
    </row>
    <row r="656">
      <c r="A656" s="3" t="str">
        <f>IFERROR(__xludf.DUMMYFUNCTION("""COMPUTED_VALUE"""),"")</f>
        <v/>
      </c>
      <c r="B656" s="3"/>
      <c r="C656" s="3"/>
      <c r="D656" s="3"/>
      <c r="E656" s="3"/>
      <c r="F656" s="3"/>
    </row>
    <row r="657">
      <c r="A657" s="3" t="str">
        <f>IFERROR(__xludf.DUMMYFUNCTION("""COMPUTED_VALUE"""),"")</f>
        <v/>
      </c>
      <c r="B657" s="3"/>
      <c r="C657" s="3"/>
      <c r="D657" s="3"/>
      <c r="E657" s="3"/>
      <c r="F657" s="3"/>
    </row>
    <row r="658">
      <c r="A658" s="3" t="str">
        <f>IFERROR(__xludf.DUMMYFUNCTION("""COMPUTED_VALUE"""),"")</f>
        <v/>
      </c>
      <c r="B658" s="3"/>
      <c r="C658" s="3"/>
      <c r="D658" s="3"/>
      <c r="E658" s="3"/>
      <c r="F658" s="3"/>
    </row>
    <row r="659">
      <c r="A659" s="3" t="str">
        <f>IFERROR(__xludf.DUMMYFUNCTION("""COMPUTED_VALUE"""),"")</f>
        <v/>
      </c>
      <c r="B659" s="3"/>
      <c r="C659" s="3"/>
      <c r="D659" s="3"/>
      <c r="E659" s="3"/>
      <c r="F659" s="3"/>
    </row>
    <row r="660">
      <c r="A660" s="3" t="str">
        <f>IFERROR(__xludf.DUMMYFUNCTION("""COMPUTED_VALUE"""),"")</f>
        <v/>
      </c>
      <c r="B660" s="3"/>
      <c r="C660" s="3"/>
      <c r="D660" s="3"/>
      <c r="E660" s="3"/>
      <c r="F660" s="3"/>
    </row>
    <row r="661">
      <c r="A661" s="3" t="str">
        <f>IFERROR(__xludf.DUMMYFUNCTION("""COMPUTED_VALUE"""),"")</f>
        <v/>
      </c>
      <c r="B661" s="3"/>
      <c r="C661" s="3"/>
      <c r="D661" s="3"/>
      <c r="E661" s="3"/>
      <c r="F661" s="3"/>
    </row>
    <row r="662">
      <c r="A662" s="3" t="str">
        <f>IFERROR(__xludf.DUMMYFUNCTION("""COMPUTED_VALUE"""),"")</f>
        <v/>
      </c>
      <c r="B662" s="3"/>
      <c r="C662" s="3"/>
      <c r="D662" s="3"/>
      <c r="E662" s="3"/>
      <c r="F662" s="3"/>
    </row>
    <row r="663">
      <c r="A663" s="3" t="str">
        <f>IFERROR(__xludf.DUMMYFUNCTION("""COMPUTED_VALUE"""),"")</f>
        <v/>
      </c>
      <c r="B663" s="3"/>
      <c r="C663" s="3"/>
      <c r="D663" s="3"/>
      <c r="E663" s="3"/>
      <c r="F663" s="3"/>
    </row>
    <row r="664">
      <c r="A664" s="3" t="str">
        <f>IFERROR(__xludf.DUMMYFUNCTION("""COMPUTED_VALUE"""),"")</f>
        <v/>
      </c>
      <c r="B664" s="3"/>
      <c r="C664" s="3"/>
      <c r="D664" s="3"/>
      <c r="E664" s="3"/>
      <c r="F664" s="3"/>
    </row>
    <row r="665">
      <c r="A665" s="3" t="str">
        <f>IFERROR(__xludf.DUMMYFUNCTION("""COMPUTED_VALUE"""),"")</f>
        <v/>
      </c>
      <c r="B665" s="3"/>
      <c r="C665" s="3"/>
      <c r="D665" s="3"/>
      <c r="E665" s="3"/>
      <c r="F665" s="3"/>
    </row>
    <row r="666">
      <c r="A666" s="3" t="str">
        <f>IFERROR(__xludf.DUMMYFUNCTION("""COMPUTED_VALUE"""),"")</f>
        <v/>
      </c>
      <c r="B666" s="3"/>
      <c r="C666" s="3"/>
      <c r="D666" s="3"/>
      <c r="E666" s="3"/>
      <c r="F666" s="3"/>
    </row>
    <row r="667">
      <c r="A667" s="3" t="str">
        <f>IFERROR(__xludf.DUMMYFUNCTION("""COMPUTED_VALUE"""),"")</f>
        <v/>
      </c>
      <c r="B667" s="3"/>
      <c r="C667" s="3"/>
      <c r="D667" s="3"/>
      <c r="E667" s="3"/>
      <c r="F667" s="3"/>
    </row>
    <row r="668">
      <c r="A668" s="3" t="str">
        <f>IFERROR(__xludf.DUMMYFUNCTION("""COMPUTED_VALUE"""),"")</f>
        <v/>
      </c>
      <c r="B668" s="3"/>
      <c r="C668" s="3"/>
      <c r="D668" s="3"/>
      <c r="E668" s="3"/>
      <c r="F668" s="3"/>
    </row>
    <row r="669">
      <c r="A669" s="3" t="str">
        <f>IFERROR(__xludf.DUMMYFUNCTION("""COMPUTED_VALUE"""),"")</f>
        <v/>
      </c>
      <c r="B669" s="3"/>
      <c r="C669" s="3"/>
      <c r="D669" s="3"/>
      <c r="E669" s="3"/>
      <c r="F669" s="3"/>
    </row>
    <row r="670">
      <c r="A670" s="3" t="str">
        <f>IFERROR(__xludf.DUMMYFUNCTION("""COMPUTED_VALUE"""),"")</f>
        <v/>
      </c>
      <c r="B670" s="3"/>
      <c r="C670" s="3"/>
      <c r="D670" s="3"/>
      <c r="E670" s="3"/>
      <c r="F670" s="3"/>
    </row>
    <row r="671">
      <c r="A671" s="3" t="str">
        <f>IFERROR(__xludf.DUMMYFUNCTION("""COMPUTED_VALUE"""),"")</f>
        <v/>
      </c>
      <c r="B671" s="3"/>
      <c r="C671" s="3"/>
      <c r="D671" s="3"/>
      <c r="E671" s="3"/>
      <c r="F671" s="3"/>
    </row>
    <row r="672">
      <c r="A672" s="3" t="str">
        <f>IFERROR(__xludf.DUMMYFUNCTION("""COMPUTED_VALUE"""),"")</f>
        <v/>
      </c>
      <c r="B672" s="3"/>
      <c r="C672" s="3"/>
      <c r="D672" s="3"/>
      <c r="E672" s="3"/>
      <c r="F672" s="3"/>
    </row>
    <row r="673">
      <c r="A673" s="3" t="str">
        <f>IFERROR(__xludf.DUMMYFUNCTION("""COMPUTED_VALUE"""),"")</f>
        <v/>
      </c>
      <c r="B673" s="3"/>
      <c r="C673" s="3"/>
      <c r="D673" s="3"/>
      <c r="E673" s="3"/>
      <c r="F673" s="3"/>
    </row>
    <row r="674">
      <c r="A674" s="3" t="str">
        <f>IFERROR(__xludf.DUMMYFUNCTION("""COMPUTED_VALUE"""),"")</f>
        <v/>
      </c>
      <c r="B674" s="3"/>
      <c r="C674" s="3"/>
      <c r="D674" s="3"/>
      <c r="E674" s="3"/>
      <c r="F674" s="3"/>
    </row>
    <row r="675">
      <c r="A675" s="3" t="str">
        <f>IFERROR(__xludf.DUMMYFUNCTION("""COMPUTED_VALUE"""),"")</f>
        <v/>
      </c>
      <c r="B675" s="3"/>
      <c r="C675" s="3"/>
      <c r="D675" s="3"/>
      <c r="E675" s="3"/>
      <c r="F675" s="3"/>
    </row>
    <row r="676">
      <c r="A676" s="3" t="str">
        <f>IFERROR(__xludf.DUMMYFUNCTION("""COMPUTED_VALUE"""),"")</f>
        <v/>
      </c>
      <c r="B676" s="3"/>
      <c r="C676" s="3"/>
      <c r="D676" s="3"/>
      <c r="E676" s="3"/>
      <c r="F676" s="3"/>
    </row>
    <row r="677">
      <c r="A677" s="3" t="str">
        <f>IFERROR(__xludf.DUMMYFUNCTION("""COMPUTED_VALUE"""),"")</f>
        <v/>
      </c>
      <c r="B677" s="3"/>
      <c r="C677" s="3"/>
      <c r="D677" s="3"/>
      <c r="E677" s="3"/>
      <c r="F677" s="3"/>
    </row>
    <row r="678">
      <c r="A678" s="3" t="str">
        <f>IFERROR(__xludf.DUMMYFUNCTION("""COMPUTED_VALUE"""),"")</f>
        <v/>
      </c>
      <c r="B678" s="3"/>
      <c r="C678" s="3"/>
      <c r="D678" s="3"/>
      <c r="E678" s="3"/>
      <c r="F678" s="3"/>
    </row>
    <row r="679">
      <c r="A679" s="3" t="str">
        <f>IFERROR(__xludf.DUMMYFUNCTION("""COMPUTED_VALUE"""),"")</f>
        <v/>
      </c>
      <c r="B679" s="3"/>
      <c r="C679" s="3"/>
      <c r="D679" s="3"/>
      <c r="E679" s="3"/>
      <c r="F679" s="3"/>
    </row>
    <row r="680">
      <c r="A680" s="3" t="str">
        <f>IFERROR(__xludf.DUMMYFUNCTION("""COMPUTED_VALUE"""),"")</f>
        <v/>
      </c>
      <c r="B680" s="3"/>
      <c r="C680" s="3"/>
      <c r="D680" s="3"/>
      <c r="E680" s="3"/>
      <c r="F680" s="3"/>
    </row>
    <row r="681">
      <c r="A681" s="3" t="str">
        <f>IFERROR(__xludf.DUMMYFUNCTION("""COMPUTED_VALUE"""),"")</f>
        <v/>
      </c>
      <c r="B681" s="3"/>
      <c r="C681" s="3"/>
      <c r="D681" s="3"/>
      <c r="E681" s="3"/>
      <c r="F681" s="3"/>
    </row>
    <row r="682">
      <c r="A682" s="3" t="str">
        <f>IFERROR(__xludf.DUMMYFUNCTION("""COMPUTED_VALUE"""),"")</f>
        <v/>
      </c>
      <c r="B682" s="3"/>
      <c r="C682" s="3"/>
      <c r="D682" s="3"/>
      <c r="E682" s="3"/>
      <c r="F682" s="3"/>
    </row>
    <row r="683">
      <c r="A683" s="3" t="str">
        <f>IFERROR(__xludf.DUMMYFUNCTION("""COMPUTED_VALUE"""),"")</f>
        <v/>
      </c>
      <c r="B683" s="3"/>
      <c r="C683" s="3"/>
      <c r="D683" s="3"/>
      <c r="E683" s="3"/>
      <c r="F683" s="3"/>
    </row>
    <row r="684">
      <c r="A684" s="3" t="str">
        <f>IFERROR(__xludf.DUMMYFUNCTION("""COMPUTED_VALUE"""),"")</f>
        <v/>
      </c>
      <c r="B684" s="3"/>
      <c r="C684" s="3"/>
      <c r="D684" s="3"/>
      <c r="E684" s="3"/>
      <c r="F684" s="3"/>
    </row>
    <row r="685">
      <c r="A685" s="3" t="str">
        <f>IFERROR(__xludf.DUMMYFUNCTION("""COMPUTED_VALUE"""),"")</f>
        <v/>
      </c>
      <c r="B685" s="3"/>
      <c r="C685" s="3"/>
      <c r="D685" s="3"/>
      <c r="E685" s="3"/>
      <c r="F685" s="3"/>
    </row>
    <row r="686">
      <c r="A686" s="3" t="str">
        <f>IFERROR(__xludf.DUMMYFUNCTION("""COMPUTED_VALUE"""),"")</f>
        <v/>
      </c>
      <c r="B686" s="3"/>
      <c r="C686" s="3"/>
      <c r="D686" s="3"/>
      <c r="E686" s="3"/>
      <c r="F686" s="3"/>
    </row>
    <row r="687">
      <c r="A687" s="3" t="str">
        <f>IFERROR(__xludf.DUMMYFUNCTION("""COMPUTED_VALUE"""),"")</f>
        <v/>
      </c>
      <c r="B687" s="3"/>
      <c r="C687" s="3"/>
      <c r="D687" s="3"/>
      <c r="E687" s="3"/>
      <c r="F687" s="3"/>
    </row>
    <row r="688">
      <c r="A688" s="3" t="str">
        <f>IFERROR(__xludf.DUMMYFUNCTION("""COMPUTED_VALUE"""),"")</f>
        <v/>
      </c>
      <c r="B688" s="3"/>
      <c r="C688" s="3"/>
      <c r="D688" s="3"/>
      <c r="E688" s="3"/>
      <c r="F688" s="3"/>
    </row>
    <row r="689">
      <c r="A689" s="3" t="str">
        <f>IFERROR(__xludf.DUMMYFUNCTION("""COMPUTED_VALUE"""),"")</f>
        <v/>
      </c>
      <c r="B689" s="3"/>
      <c r="C689" s="3"/>
      <c r="D689" s="3"/>
      <c r="E689" s="3"/>
      <c r="F689" s="3"/>
    </row>
    <row r="690">
      <c r="A690" s="3" t="str">
        <f>IFERROR(__xludf.DUMMYFUNCTION("""COMPUTED_VALUE"""),"")</f>
        <v/>
      </c>
      <c r="B690" s="3"/>
      <c r="C690" s="3"/>
      <c r="D690" s="3"/>
      <c r="E690" s="3"/>
      <c r="F690" s="3"/>
    </row>
    <row r="691">
      <c r="A691" s="3" t="str">
        <f>IFERROR(__xludf.DUMMYFUNCTION("""COMPUTED_VALUE"""),"")</f>
        <v/>
      </c>
      <c r="B691" s="3"/>
      <c r="C691" s="3"/>
      <c r="D691" s="3"/>
      <c r="E691" s="3"/>
      <c r="F691" s="3"/>
    </row>
    <row r="692">
      <c r="A692" s="3" t="str">
        <f>IFERROR(__xludf.DUMMYFUNCTION("""COMPUTED_VALUE"""),"")</f>
        <v/>
      </c>
      <c r="B692" s="3"/>
      <c r="C692" s="3"/>
      <c r="D692" s="3"/>
      <c r="E692" s="3"/>
      <c r="F692" s="3"/>
    </row>
    <row r="693">
      <c r="A693" s="3" t="str">
        <f>IFERROR(__xludf.DUMMYFUNCTION("""COMPUTED_VALUE"""),"")</f>
        <v/>
      </c>
      <c r="B693" s="3"/>
      <c r="C693" s="3"/>
      <c r="D693" s="3"/>
      <c r="E693" s="3"/>
      <c r="F693" s="3"/>
    </row>
    <row r="694">
      <c r="A694" s="3" t="str">
        <f>IFERROR(__xludf.DUMMYFUNCTION("""COMPUTED_VALUE"""),"")</f>
        <v/>
      </c>
      <c r="B694" s="3"/>
      <c r="C694" s="3"/>
      <c r="D694" s="3"/>
      <c r="E694" s="3"/>
      <c r="F694" s="3"/>
    </row>
    <row r="695">
      <c r="A695" s="3" t="str">
        <f>IFERROR(__xludf.DUMMYFUNCTION("""COMPUTED_VALUE"""),"")</f>
        <v/>
      </c>
      <c r="B695" s="3"/>
      <c r="C695" s="3"/>
      <c r="D695" s="3"/>
      <c r="E695" s="3"/>
      <c r="F695" s="3"/>
    </row>
    <row r="696">
      <c r="A696" s="3" t="str">
        <f>IFERROR(__xludf.DUMMYFUNCTION("""COMPUTED_VALUE"""),"")</f>
        <v/>
      </c>
      <c r="B696" s="3"/>
      <c r="C696" s="3"/>
      <c r="D696" s="3"/>
      <c r="E696" s="3"/>
      <c r="F696" s="3"/>
    </row>
    <row r="697">
      <c r="A697" s="3" t="str">
        <f>IFERROR(__xludf.DUMMYFUNCTION("""COMPUTED_VALUE"""),"")</f>
        <v/>
      </c>
      <c r="B697" s="3"/>
      <c r="C697" s="3"/>
      <c r="D697" s="3"/>
      <c r="E697" s="3"/>
      <c r="F697" s="3"/>
    </row>
    <row r="698">
      <c r="A698" s="3" t="str">
        <f>IFERROR(__xludf.DUMMYFUNCTION("""COMPUTED_VALUE"""),"")</f>
        <v/>
      </c>
      <c r="B698" s="3"/>
      <c r="C698" s="3"/>
      <c r="D698" s="3"/>
      <c r="E698" s="3"/>
      <c r="F698" s="3"/>
    </row>
    <row r="699">
      <c r="A699" s="3" t="str">
        <f>IFERROR(__xludf.DUMMYFUNCTION("""COMPUTED_VALUE"""),"")</f>
        <v/>
      </c>
      <c r="B699" s="3"/>
      <c r="C699" s="3"/>
      <c r="D699" s="3"/>
      <c r="E699" s="3"/>
      <c r="F699" s="3"/>
    </row>
    <row r="700">
      <c r="A700" s="3" t="str">
        <f>IFERROR(__xludf.DUMMYFUNCTION("""COMPUTED_VALUE"""),"")</f>
        <v/>
      </c>
      <c r="B700" s="3"/>
      <c r="C700" s="3"/>
      <c r="D700" s="3"/>
      <c r="E700" s="3"/>
      <c r="F700" s="3"/>
    </row>
    <row r="701">
      <c r="A701" s="3" t="str">
        <f>IFERROR(__xludf.DUMMYFUNCTION("""COMPUTED_VALUE"""),"")</f>
        <v/>
      </c>
      <c r="B701" s="3"/>
      <c r="C701" s="3"/>
      <c r="D701" s="3"/>
      <c r="E701" s="3"/>
      <c r="F701" s="3"/>
    </row>
    <row r="702">
      <c r="A702" s="3" t="str">
        <f>IFERROR(__xludf.DUMMYFUNCTION("""COMPUTED_VALUE"""),"")</f>
        <v/>
      </c>
      <c r="B702" s="3"/>
      <c r="C702" s="3"/>
      <c r="D702" s="3"/>
      <c r="E702" s="3"/>
      <c r="F702" s="3"/>
    </row>
    <row r="703">
      <c r="A703" s="3" t="str">
        <f>IFERROR(__xludf.DUMMYFUNCTION("""COMPUTED_VALUE"""),"")</f>
        <v/>
      </c>
      <c r="B703" s="3"/>
      <c r="C703" s="3"/>
      <c r="D703" s="3"/>
      <c r="E703" s="3"/>
      <c r="F703" s="3"/>
    </row>
    <row r="704">
      <c r="A704" s="3" t="str">
        <f>IFERROR(__xludf.DUMMYFUNCTION("""COMPUTED_VALUE"""),"")</f>
        <v/>
      </c>
      <c r="B704" s="3"/>
      <c r="C704" s="3"/>
      <c r="D704" s="3"/>
      <c r="E704" s="3"/>
      <c r="F704" s="3"/>
    </row>
    <row r="705">
      <c r="A705" s="3" t="str">
        <f>IFERROR(__xludf.DUMMYFUNCTION("""COMPUTED_VALUE"""),"")</f>
        <v/>
      </c>
      <c r="B705" s="3"/>
      <c r="C705" s="3"/>
      <c r="D705" s="3"/>
      <c r="E705" s="3"/>
      <c r="F705" s="3"/>
    </row>
    <row r="706">
      <c r="A706" s="3" t="str">
        <f>IFERROR(__xludf.DUMMYFUNCTION("""COMPUTED_VALUE"""),"")</f>
        <v/>
      </c>
      <c r="B706" s="3"/>
      <c r="C706" s="3"/>
      <c r="D706" s="3"/>
      <c r="E706" s="3"/>
      <c r="F706" s="3"/>
    </row>
    <row r="707">
      <c r="A707" s="3" t="str">
        <f>IFERROR(__xludf.DUMMYFUNCTION("""COMPUTED_VALUE"""),"")</f>
        <v/>
      </c>
      <c r="B707" s="3"/>
      <c r="C707" s="3"/>
      <c r="D707" s="3"/>
      <c r="E707" s="3"/>
      <c r="F707" s="3"/>
    </row>
    <row r="708">
      <c r="A708" s="3" t="str">
        <f>IFERROR(__xludf.DUMMYFUNCTION("""COMPUTED_VALUE"""),"")</f>
        <v/>
      </c>
      <c r="B708" s="3"/>
      <c r="C708" s="3"/>
      <c r="D708" s="3"/>
      <c r="E708" s="3"/>
      <c r="F708" s="3"/>
    </row>
    <row r="709">
      <c r="A709" s="3" t="str">
        <f>IFERROR(__xludf.DUMMYFUNCTION("""COMPUTED_VALUE"""),"")</f>
        <v/>
      </c>
      <c r="B709" s="3"/>
      <c r="C709" s="3"/>
      <c r="D709" s="3"/>
      <c r="E709" s="3"/>
      <c r="F709" s="3"/>
    </row>
    <row r="710">
      <c r="A710" s="3" t="str">
        <f>IFERROR(__xludf.DUMMYFUNCTION("""COMPUTED_VALUE"""),"")</f>
        <v/>
      </c>
      <c r="B710" s="3"/>
      <c r="C710" s="3"/>
      <c r="D710" s="3"/>
      <c r="E710" s="3"/>
      <c r="F710" s="3"/>
    </row>
    <row r="711">
      <c r="A711" s="3" t="str">
        <f>IFERROR(__xludf.DUMMYFUNCTION("""COMPUTED_VALUE"""),"")</f>
        <v/>
      </c>
      <c r="B711" s="3"/>
      <c r="C711" s="3"/>
      <c r="D711" s="3"/>
      <c r="E711" s="3"/>
      <c r="F711" s="3"/>
    </row>
    <row r="712">
      <c r="A712" s="3" t="str">
        <f>IFERROR(__xludf.DUMMYFUNCTION("""COMPUTED_VALUE"""),"")</f>
        <v/>
      </c>
      <c r="B712" s="3"/>
      <c r="C712" s="3"/>
      <c r="D712" s="3"/>
      <c r="E712" s="3"/>
      <c r="F712" s="3"/>
    </row>
    <row r="713">
      <c r="A713" s="3" t="str">
        <f>IFERROR(__xludf.DUMMYFUNCTION("""COMPUTED_VALUE"""),"")</f>
        <v/>
      </c>
      <c r="B713" s="3"/>
      <c r="C713" s="3"/>
      <c r="D713" s="3"/>
      <c r="E713" s="3"/>
      <c r="F713" s="3"/>
    </row>
    <row r="714">
      <c r="A714" s="3" t="str">
        <f>IFERROR(__xludf.DUMMYFUNCTION("""COMPUTED_VALUE"""),"")</f>
        <v/>
      </c>
      <c r="B714" s="3"/>
      <c r="C714" s="3"/>
      <c r="D714" s="3"/>
      <c r="E714" s="3"/>
      <c r="F714" s="3"/>
    </row>
    <row r="715">
      <c r="A715" s="3" t="str">
        <f>IFERROR(__xludf.DUMMYFUNCTION("""COMPUTED_VALUE"""),"")</f>
        <v/>
      </c>
      <c r="B715" s="3"/>
      <c r="C715" s="3"/>
      <c r="D715" s="3"/>
      <c r="E715" s="3"/>
      <c r="F715" s="3"/>
    </row>
    <row r="716">
      <c r="A716" s="3" t="str">
        <f>IFERROR(__xludf.DUMMYFUNCTION("""COMPUTED_VALUE"""),"")</f>
        <v/>
      </c>
      <c r="B716" s="3"/>
      <c r="C716" s="3"/>
      <c r="D716" s="3"/>
      <c r="E716" s="3"/>
      <c r="F716" s="3"/>
    </row>
    <row r="717">
      <c r="A717" s="3" t="str">
        <f>IFERROR(__xludf.DUMMYFUNCTION("""COMPUTED_VALUE"""),"")</f>
        <v/>
      </c>
      <c r="B717" s="3"/>
      <c r="C717" s="3"/>
      <c r="D717" s="3"/>
      <c r="E717" s="3"/>
      <c r="F717" s="3"/>
    </row>
    <row r="718">
      <c r="A718" s="3" t="str">
        <f>IFERROR(__xludf.DUMMYFUNCTION("""COMPUTED_VALUE"""),"")</f>
        <v/>
      </c>
      <c r="B718" s="3"/>
      <c r="C718" s="3"/>
      <c r="D718" s="3"/>
      <c r="E718" s="3"/>
      <c r="F718" s="3"/>
    </row>
    <row r="719">
      <c r="A719" s="3" t="str">
        <f>IFERROR(__xludf.DUMMYFUNCTION("""COMPUTED_VALUE"""),"")</f>
        <v/>
      </c>
      <c r="B719" s="3"/>
      <c r="C719" s="3"/>
      <c r="D719" s="3"/>
      <c r="E719" s="3"/>
      <c r="F719" s="3"/>
    </row>
    <row r="720">
      <c r="A720" s="3" t="str">
        <f>IFERROR(__xludf.DUMMYFUNCTION("""COMPUTED_VALUE"""),"")</f>
        <v/>
      </c>
      <c r="B720" s="3"/>
      <c r="C720" s="3"/>
      <c r="D720" s="3"/>
      <c r="E720" s="3"/>
      <c r="F720" s="3"/>
    </row>
    <row r="721">
      <c r="A721" s="3" t="str">
        <f>IFERROR(__xludf.DUMMYFUNCTION("""COMPUTED_VALUE"""),"")</f>
        <v/>
      </c>
      <c r="B721" s="3"/>
      <c r="C721" s="3"/>
      <c r="D721" s="3"/>
      <c r="E721" s="3"/>
      <c r="F721" s="3"/>
    </row>
    <row r="722">
      <c r="A722" s="3" t="str">
        <f>IFERROR(__xludf.DUMMYFUNCTION("""COMPUTED_VALUE"""),"")</f>
        <v/>
      </c>
      <c r="B722" s="3"/>
      <c r="C722" s="3"/>
      <c r="D722" s="3"/>
      <c r="E722" s="3"/>
      <c r="F722" s="3"/>
    </row>
    <row r="723">
      <c r="A723" s="3" t="str">
        <f>IFERROR(__xludf.DUMMYFUNCTION("""COMPUTED_VALUE"""),"")</f>
        <v/>
      </c>
      <c r="B723" s="3"/>
      <c r="C723" s="3"/>
      <c r="D723" s="3"/>
      <c r="E723" s="3"/>
      <c r="F723" s="3"/>
    </row>
    <row r="724">
      <c r="A724" s="3" t="str">
        <f>IFERROR(__xludf.DUMMYFUNCTION("""COMPUTED_VALUE"""),"")</f>
        <v/>
      </c>
      <c r="B724" s="3"/>
      <c r="C724" s="3"/>
      <c r="D724" s="3"/>
      <c r="E724" s="3"/>
      <c r="F724" s="3"/>
    </row>
    <row r="725">
      <c r="A725" s="3" t="str">
        <f>IFERROR(__xludf.DUMMYFUNCTION("""COMPUTED_VALUE"""),"")</f>
        <v/>
      </c>
      <c r="B725" s="3"/>
      <c r="C725" s="3"/>
      <c r="D725" s="3"/>
      <c r="E725" s="3"/>
      <c r="F725" s="3"/>
    </row>
    <row r="726">
      <c r="A726" s="3" t="str">
        <f>IFERROR(__xludf.DUMMYFUNCTION("""COMPUTED_VALUE"""),"")</f>
        <v/>
      </c>
      <c r="B726" s="3"/>
      <c r="C726" s="3"/>
      <c r="D726" s="3"/>
      <c r="E726" s="3"/>
      <c r="F726" s="3"/>
    </row>
    <row r="727">
      <c r="A727" s="3" t="str">
        <f>IFERROR(__xludf.DUMMYFUNCTION("""COMPUTED_VALUE"""),"")</f>
        <v/>
      </c>
      <c r="B727" s="3"/>
      <c r="C727" s="3"/>
      <c r="D727" s="3"/>
      <c r="E727" s="3"/>
      <c r="F727" s="3"/>
    </row>
    <row r="728">
      <c r="A728" s="3" t="str">
        <f>IFERROR(__xludf.DUMMYFUNCTION("""COMPUTED_VALUE"""),"")</f>
        <v/>
      </c>
      <c r="B728" s="3"/>
      <c r="C728" s="3"/>
      <c r="D728" s="3"/>
      <c r="E728" s="3"/>
      <c r="F728" s="3"/>
    </row>
    <row r="729">
      <c r="A729" s="3" t="str">
        <f>IFERROR(__xludf.DUMMYFUNCTION("""COMPUTED_VALUE"""),"")</f>
        <v/>
      </c>
      <c r="B729" s="3"/>
      <c r="C729" s="3"/>
      <c r="D729" s="3"/>
      <c r="E729" s="3"/>
      <c r="F729" s="3"/>
    </row>
    <row r="730">
      <c r="A730" s="3" t="str">
        <f>IFERROR(__xludf.DUMMYFUNCTION("""COMPUTED_VALUE"""),"")</f>
        <v/>
      </c>
      <c r="B730" s="3"/>
      <c r="C730" s="3"/>
      <c r="D730" s="3"/>
      <c r="E730" s="3"/>
      <c r="F730" s="3"/>
    </row>
    <row r="731">
      <c r="A731" s="3" t="str">
        <f>IFERROR(__xludf.DUMMYFUNCTION("""COMPUTED_VALUE"""),"")</f>
        <v/>
      </c>
      <c r="B731" s="3"/>
      <c r="C731" s="3"/>
      <c r="D731" s="3"/>
      <c r="E731" s="3"/>
      <c r="F731" s="3"/>
    </row>
    <row r="732">
      <c r="A732" s="3" t="str">
        <f>IFERROR(__xludf.DUMMYFUNCTION("""COMPUTED_VALUE"""),"")</f>
        <v/>
      </c>
      <c r="B732" s="3"/>
      <c r="C732" s="3"/>
      <c r="D732" s="3"/>
      <c r="E732" s="3"/>
      <c r="F732" s="3"/>
    </row>
    <row r="733">
      <c r="A733" s="3" t="str">
        <f>IFERROR(__xludf.DUMMYFUNCTION("""COMPUTED_VALUE"""),"")</f>
        <v/>
      </c>
      <c r="B733" s="3"/>
      <c r="C733" s="3"/>
      <c r="D733" s="3"/>
      <c r="E733" s="3"/>
      <c r="F733" s="3"/>
    </row>
    <row r="734">
      <c r="A734" s="3" t="str">
        <f>IFERROR(__xludf.DUMMYFUNCTION("""COMPUTED_VALUE"""),"")</f>
        <v/>
      </c>
      <c r="B734" s="3"/>
      <c r="C734" s="3"/>
      <c r="D734" s="3"/>
      <c r="E734" s="3"/>
      <c r="F734" s="3"/>
    </row>
    <row r="735">
      <c r="A735" s="3" t="str">
        <f>IFERROR(__xludf.DUMMYFUNCTION("""COMPUTED_VALUE"""),"")</f>
        <v/>
      </c>
      <c r="B735" s="3"/>
      <c r="C735" s="3"/>
      <c r="D735" s="3"/>
      <c r="E735" s="3"/>
      <c r="F735" s="3"/>
    </row>
    <row r="736">
      <c r="A736" s="3" t="str">
        <f>IFERROR(__xludf.DUMMYFUNCTION("""COMPUTED_VALUE"""),"")</f>
        <v/>
      </c>
      <c r="B736" s="3"/>
      <c r="C736" s="3"/>
      <c r="D736" s="3"/>
      <c r="E736" s="3"/>
      <c r="F736" s="3"/>
    </row>
    <row r="737">
      <c r="A737" s="3" t="str">
        <f>IFERROR(__xludf.DUMMYFUNCTION("""COMPUTED_VALUE"""),"")</f>
        <v/>
      </c>
      <c r="B737" s="3"/>
      <c r="C737" s="3"/>
      <c r="D737" s="3"/>
      <c r="E737" s="3"/>
      <c r="F737" s="3"/>
    </row>
    <row r="738">
      <c r="A738" s="3" t="str">
        <f>IFERROR(__xludf.DUMMYFUNCTION("""COMPUTED_VALUE"""),"")</f>
        <v/>
      </c>
      <c r="B738" s="3"/>
      <c r="C738" s="3"/>
      <c r="D738" s="3"/>
      <c r="E738" s="3"/>
      <c r="F738" s="3"/>
    </row>
    <row r="739">
      <c r="A739" s="3" t="str">
        <f>IFERROR(__xludf.DUMMYFUNCTION("""COMPUTED_VALUE"""),"")</f>
        <v/>
      </c>
      <c r="B739" s="3"/>
      <c r="C739" s="3"/>
      <c r="D739" s="3"/>
      <c r="E739" s="3"/>
      <c r="F739" s="3"/>
    </row>
    <row r="740">
      <c r="A740" s="3" t="str">
        <f>IFERROR(__xludf.DUMMYFUNCTION("""COMPUTED_VALUE"""),"")</f>
        <v/>
      </c>
      <c r="B740" s="3"/>
      <c r="C740" s="3"/>
      <c r="D740" s="3"/>
      <c r="E740" s="3"/>
      <c r="F740" s="3"/>
    </row>
    <row r="741">
      <c r="A741" s="3" t="str">
        <f>IFERROR(__xludf.DUMMYFUNCTION("""COMPUTED_VALUE"""),"")</f>
        <v/>
      </c>
      <c r="B741" s="3"/>
      <c r="C741" s="3"/>
      <c r="D741" s="3"/>
      <c r="E741" s="3"/>
      <c r="F741" s="3"/>
    </row>
    <row r="742">
      <c r="A742" s="3" t="str">
        <f>IFERROR(__xludf.DUMMYFUNCTION("""COMPUTED_VALUE"""),"")</f>
        <v/>
      </c>
      <c r="B742" s="3"/>
      <c r="C742" s="3"/>
      <c r="D742" s="3"/>
      <c r="E742" s="3"/>
      <c r="F742" s="3"/>
    </row>
    <row r="743">
      <c r="A743" s="3" t="str">
        <f>IFERROR(__xludf.DUMMYFUNCTION("""COMPUTED_VALUE"""),"")</f>
        <v/>
      </c>
      <c r="B743" s="3"/>
      <c r="C743" s="3"/>
      <c r="D743" s="3"/>
      <c r="E743" s="3"/>
      <c r="F743" s="3"/>
    </row>
    <row r="744">
      <c r="A744" s="3" t="str">
        <f>IFERROR(__xludf.DUMMYFUNCTION("""COMPUTED_VALUE"""),"")</f>
        <v/>
      </c>
      <c r="B744" s="3"/>
      <c r="C744" s="3"/>
      <c r="D744" s="3"/>
      <c r="E744" s="3"/>
      <c r="F744" s="3"/>
    </row>
    <row r="745">
      <c r="A745" s="3" t="str">
        <f>IFERROR(__xludf.DUMMYFUNCTION("""COMPUTED_VALUE"""),"")</f>
        <v/>
      </c>
      <c r="B745" s="3"/>
      <c r="C745" s="3"/>
      <c r="D745" s="3"/>
      <c r="E745" s="3"/>
      <c r="F745" s="3"/>
    </row>
    <row r="746">
      <c r="A746" s="3" t="str">
        <f>IFERROR(__xludf.DUMMYFUNCTION("""COMPUTED_VALUE"""),"")</f>
        <v/>
      </c>
      <c r="B746" s="3"/>
      <c r="C746" s="3"/>
      <c r="D746" s="3"/>
      <c r="E746" s="3"/>
      <c r="F746" s="3"/>
    </row>
    <row r="747">
      <c r="A747" s="3" t="str">
        <f>IFERROR(__xludf.DUMMYFUNCTION("""COMPUTED_VALUE"""),"")</f>
        <v/>
      </c>
      <c r="B747" s="3"/>
      <c r="C747" s="3"/>
      <c r="D747" s="3"/>
      <c r="E747" s="3"/>
      <c r="F747" s="3"/>
    </row>
    <row r="748">
      <c r="A748" s="3" t="str">
        <f>IFERROR(__xludf.DUMMYFUNCTION("""COMPUTED_VALUE"""),"")</f>
        <v/>
      </c>
      <c r="B748" s="3"/>
      <c r="C748" s="3"/>
      <c r="D748" s="3"/>
      <c r="E748" s="3"/>
      <c r="F748" s="3"/>
    </row>
    <row r="749">
      <c r="A749" s="3" t="str">
        <f>IFERROR(__xludf.DUMMYFUNCTION("""COMPUTED_VALUE"""),"")</f>
        <v/>
      </c>
      <c r="B749" s="3"/>
      <c r="C749" s="3"/>
      <c r="D749" s="3"/>
      <c r="E749" s="3"/>
      <c r="F749" s="3"/>
    </row>
    <row r="750">
      <c r="A750" s="3" t="str">
        <f>IFERROR(__xludf.DUMMYFUNCTION("""COMPUTED_VALUE"""),"")</f>
        <v/>
      </c>
      <c r="B750" s="3"/>
      <c r="C750" s="3"/>
      <c r="D750" s="3"/>
      <c r="E750" s="3"/>
      <c r="F750" s="3"/>
    </row>
    <row r="751">
      <c r="A751" s="3" t="str">
        <f>IFERROR(__xludf.DUMMYFUNCTION("""COMPUTED_VALUE"""),"")</f>
        <v/>
      </c>
      <c r="B751" s="3"/>
      <c r="C751" s="3"/>
      <c r="D751" s="3"/>
      <c r="E751" s="3"/>
      <c r="F751" s="3"/>
    </row>
    <row r="752">
      <c r="A752" s="3" t="str">
        <f>IFERROR(__xludf.DUMMYFUNCTION("""COMPUTED_VALUE"""),"")</f>
        <v/>
      </c>
      <c r="B752" s="3"/>
      <c r="C752" s="3"/>
      <c r="D752" s="3"/>
      <c r="E752" s="3"/>
      <c r="F752" s="3"/>
    </row>
    <row r="753">
      <c r="A753" s="3" t="str">
        <f>IFERROR(__xludf.DUMMYFUNCTION("""COMPUTED_VALUE"""),"")</f>
        <v/>
      </c>
      <c r="B753" s="3"/>
      <c r="C753" s="3"/>
      <c r="D753" s="3"/>
      <c r="E753" s="3"/>
      <c r="F753" s="3"/>
    </row>
    <row r="754">
      <c r="A754" s="3" t="str">
        <f>IFERROR(__xludf.DUMMYFUNCTION("""COMPUTED_VALUE"""),"")</f>
        <v/>
      </c>
      <c r="B754" s="3"/>
      <c r="C754" s="3"/>
      <c r="D754" s="3"/>
      <c r="E754" s="3"/>
      <c r="F754" s="3"/>
    </row>
    <row r="755">
      <c r="A755" s="3" t="str">
        <f>IFERROR(__xludf.DUMMYFUNCTION("""COMPUTED_VALUE"""),"")</f>
        <v/>
      </c>
      <c r="B755" s="3"/>
      <c r="C755" s="3"/>
      <c r="D755" s="3"/>
      <c r="E755" s="3"/>
      <c r="F755" s="3"/>
    </row>
    <row r="756">
      <c r="A756" s="3" t="str">
        <f>IFERROR(__xludf.DUMMYFUNCTION("""COMPUTED_VALUE"""),"")</f>
        <v/>
      </c>
      <c r="B756" s="3"/>
      <c r="C756" s="3"/>
      <c r="D756" s="3"/>
      <c r="E756" s="3"/>
      <c r="F756" s="3"/>
    </row>
    <row r="757">
      <c r="A757" s="3" t="str">
        <f>IFERROR(__xludf.DUMMYFUNCTION("""COMPUTED_VALUE"""),"")</f>
        <v/>
      </c>
      <c r="B757" s="3"/>
      <c r="C757" s="3"/>
      <c r="D757" s="3"/>
      <c r="E757" s="3"/>
      <c r="F757" s="3"/>
    </row>
    <row r="758">
      <c r="A758" s="3" t="str">
        <f>IFERROR(__xludf.DUMMYFUNCTION("""COMPUTED_VALUE"""),"")</f>
        <v/>
      </c>
      <c r="B758" s="3"/>
      <c r="C758" s="3"/>
      <c r="D758" s="3"/>
      <c r="E758" s="3"/>
      <c r="F758" s="3"/>
    </row>
    <row r="759">
      <c r="A759" s="3" t="str">
        <f>IFERROR(__xludf.DUMMYFUNCTION("""COMPUTED_VALUE"""),"")</f>
        <v/>
      </c>
      <c r="B759" s="3"/>
      <c r="C759" s="3"/>
      <c r="D759" s="3"/>
      <c r="E759" s="3"/>
      <c r="F759" s="3"/>
    </row>
    <row r="760">
      <c r="A760" s="3" t="str">
        <f>IFERROR(__xludf.DUMMYFUNCTION("""COMPUTED_VALUE"""),"")</f>
        <v/>
      </c>
      <c r="B760" s="3"/>
      <c r="C760" s="3"/>
      <c r="D760" s="3"/>
      <c r="E760" s="3"/>
      <c r="F760" s="3"/>
    </row>
    <row r="761">
      <c r="A761" s="3" t="str">
        <f>IFERROR(__xludf.DUMMYFUNCTION("""COMPUTED_VALUE"""),"")</f>
        <v/>
      </c>
      <c r="B761" s="3"/>
      <c r="C761" s="3"/>
      <c r="D761" s="3"/>
      <c r="E761" s="3"/>
      <c r="F761" s="3"/>
    </row>
    <row r="762">
      <c r="A762" s="3" t="str">
        <f>IFERROR(__xludf.DUMMYFUNCTION("""COMPUTED_VALUE"""),"")</f>
        <v/>
      </c>
      <c r="B762" s="3"/>
      <c r="C762" s="3"/>
      <c r="D762" s="3"/>
      <c r="E762" s="3"/>
      <c r="F762" s="3"/>
    </row>
    <row r="763">
      <c r="A763" s="3" t="str">
        <f>IFERROR(__xludf.DUMMYFUNCTION("""COMPUTED_VALUE"""),"")</f>
        <v/>
      </c>
      <c r="B763" s="3"/>
      <c r="C763" s="3"/>
      <c r="D763" s="3"/>
      <c r="E763" s="3"/>
      <c r="F763" s="3"/>
    </row>
    <row r="764">
      <c r="A764" s="3" t="str">
        <f>IFERROR(__xludf.DUMMYFUNCTION("""COMPUTED_VALUE"""),"")</f>
        <v/>
      </c>
      <c r="B764" s="3"/>
      <c r="C764" s="3"/>
      <c r="D764" s="3"/>
      <c r="E764" s="3"/>
      <c r="F764" s="3"/>
    </row>
    <row r="765">
      <c r="A765" s="3" t="str">
        <f>IFERROR(__xludf.DUMMYFUNCTION("""COMPUTED_VALUE"""),"")</f>
        <v/>
      </c>
      <c r="B765" s="3"/>
      <c r="C765" s="3"/>
      <c r="D765" s="3"/>
      <c r="E765" s="3"/>
      <c r="F765" s="3"/>
    </row>
    <row r="766">
      <c r="A766" s="3" t="str">
        <f>IFERROR(__xludf.DUMMYFUNCTION("""COMPUTED_VALUE"""),"")</f>
        <v/>
      </c>
      <c r="B766" s="3"/>
      <c r="C766" s="3"/>
      <c r="D766" s="3"/>
      <c r="E766" s="3"/>
      <c r="F766" s="3"/>
    </row>
    <row r="767">
      <c r="A767" s="3" t="str">
        <f>IFERROR(__xludf.DUMMYFUNCTION("""COMPUTED_VALUE"""),"")</f>
        <v/>
      </c>
      <c r="B767" s="3"/>
      <c r="C767" s="3"/>
      <c r="D767" s="3"/>
      <c r="E767" s="3"/>
      <c r="F767" s="3"/>
    </row>
    <row r="768">
      <c r="A768" s="3" t="str">
        <f>IFERROR(__xludf.DUMMYFUNCTION("""COMPUTED_VALUE"""),"")</f>
        <v/>
      </c>
      <c r="B768" s="3"/>
      <c r="C768" s="3"/>
      <c r="D768" s="3"/>
      <c r="E768" s="3"/>
      <c r="F768" s="3"/>
    </row>
    <row r="769">
      <c r="A769" s="3" t="str">
        <f>IFERROR(__xludf.DUMMYFUNCTION("""COMPUTED_VALUE"""),"")</f>
        <v/>
      </c>
      <c r="B769" s="3"/>
      <c r="C769" s="3"/>
      <c r="D769" s="3"/>
      <c r="E769" s="3"/>
      <c r="F769" s="3"/>
    </row>
    <row r="770">
      <c r="A770" s="3" t="str">
        <f>IFERROR(__xludf.DUMMYFUNCTION("""COMPUTED_VALUE"""),"")</f>
        <v/>
      </c>
      <c r="B770" s="3"/>
      <c r="C770" s="3"/>
      <c r="D770" s="3"/>
      <c r="E770" s="3"/>
      <c r="F770" s="3"/>
    </row>
    <row r="771">
      <c r="A771" s="3" t="str">
        <f>IFERROR(__xludf.DUMMYFUNCTION("""COMPUTED_VALUE"""),"")</f>
        <v/>
      </c>
      <c r="B771" s="3"/>
      <c r="C771" s="3"/>
      <c r="D771" s="3"/>
      <c r="E771" s="3"/>
      <c r="F771" s="3"/>
    </row>
    <row r="772">
      <c r="A772" s="3" t="str">
        <f>IFERROR(__xludf.DUMMYFUNCTION("""COMPUTED_VALUE"""),"")</f>
        <v/>
      </c>
      <c r="B772" s="3"/>
      <c r="C772" s="3"/>
      <c r="D772" s="3"/>
      <c r="E772" s="3"/>
      <c r="F772" s="3"/>
    </row>
    <row r="773">
      <c r="A773" s="3" t="str">
        <f>IFERROR(__xludf.DUMMYFUNCTION("""COMPUTED_VALUE"""),"")</f>
        <v/>
      </c>
      <c r="B773" s="3"/>
      <c r="C773" s="3"/>
      <c r="D773" s="3"/>
      <c r="E773" s="3"/>
      <c r="F773" s="3"/>
    </row>
    <row r="774">
      <c r="A774" s="3" t="str">
        <f>IFERROR(__xludf.DUMMYFUNCTION("""COMPUTED_VALUE"""),"")</f>
        <v/>
      </c>
      <c r="B774" s="3"/>
      <c r="C774" s="3"/>
      <c r="D774" s="3"/>
      <c r="E774" s="3"/>
      <c r="F774" s="3"/>
    </row>
    <row r="775">
      <c r="A775" s="3" t="str">
        <f>IFERROR(__xludf.DUMMYFUNCTION("""COMPUTED_VALUE"""),"")</f>
        <v/>
      </c>
      <c r="B775" s="3"/>
      <c r="C775" s="3"/>
      <c r="D775" s="3"/>
      <c r="E775" s="3"/>
      <c r="F775" s="3"/>
    </row>
    <row r="776">
      <c r="A776" s="3" t="str">
        <f>IFERROR(__xludf.DUMMYFUNCTION("""COMPUTED_VALUE"""),"")</f>
        <v/>
      </c>
      <c r="B776" s="3"/>
      <c r="C776" s="3"/>
      <c r="D776" s="3"/>
      <c r="E776" s="3"/>
      <c r="F776" s="3"/>
    </row>
    <row r="777">
      <c r="A777" s="3" t="str">
        <f>IFERROR(__xludf.DUMMYFUNCTION("""COMPUTED_VALUE"""),"")</f>
        <v/>
      </c>
      <c r="B777" s="3"/>
      <c r="C777" s="3"/>
      <c r="D777" s="3"/>
      <c r="E777" s="3"/>
      <c r="F777" s="3"/>
    </row>
    <row r="778">
      <c r="A778" s="3" t="str">
        <f>IFERROR(__xludf.DUMMYFUNCTION("""COMPUTED_VALUE"""),"")</f>
        <v/>
      </c>
      <c r="B778" s="3"/>
      <c r="C778" s="3"/>
      <c r="D778" s="3"/>
      <c r="E778" s="3"/>
      <c r="F778" s="3"/>
    </row>
    <row r="779">
      <c r="A779" s="3" t="str">
        <f>IFERROR(__xludf.DUMMYFUNCTION("""COMPUTED_VALUE"""),"")</f>
        <v/>
      </c>
      <c r="B779" s="3"/>
      <c r="C779" s="3"/>
      <c r="D779" s="3"/>
      <c r="E779" s="3"/>
      <c r="F779" s="3"/>
    </row>
    <row r="780">
      <c r="A780" s="3" t="str">
        <f>IFERROR(__xludf.DUMMYFUNCTION("""COMPUTED_VALUE"""),"")</f>
        <v/>
      </c>
      <c r="B780" s="3"/>
      <c r="C780" s="3"/>
      <c r="D780" s="3"/>
      <c r="E780" s="3"/>
      <c r="F780" s="3"/>
    </row>
    <row r="781">
      <c r="A781" s="3" t="str">
        <f>IFERROR(__xludf.DUMMYFUNCTION("""COMPUTED_VALUE"""),"")</f>
        <v/>
      </c>
      <c r="B781" s="3"/>
      <c r="C781" s="3"/>
      <c r="D781" s="3"/>
      <c r="E781" s="3"/>
      <c r="F781" s="3"/>
    </row>
    <row r="782">
      <c r="A782" s="3" t="str">
        <f>IFERROR(__xludf.DUMMYFUNCTION("""COMPUTED_VALUE"""),"")</f>
        <v/>
      </c>
      <c r="B782" s="3"/>
      <c r="C782" s="3"/>
      <c r="D782" s="3"/>
      <c r="E782" s="3"/>
      <c r="F782" s="3"/>
    </row>
    <row r="783">
      <c r="A783" s="3" t="str">
        <f>IFERROR(__xludf.DUMMYFUNCTION("""COMPUTED_VALUE"""),"")</f>
        <v/>
      </c>
      <c r="B783" s="3"/>
      <c r="C783" s="3"/>
      <c r="D783" s="3"/>
      <c r="E783" s="3"/>
      <c r="F783" s="3"/>
    </row>
    <row r="784">
      <c r="A784" s="3" t="str">
        <f>IFERROR(__xludf.DUMMYFUNCTION("""COMPUTED_VALUE"""),"")</f>
        <v/>
      </c>
      <c r="B784" s="3"/>
      <c r="C784" s="3"/>
      <c r="D784" s="3"/>
      <c r="E784" s="3"/>
      <c r="F784" s="3"/>
    </row>
    <row r="785">
      <c r="A785" s="3" t="str">
        <f>IFERROR(__xludf.DUMMYFUNCTION("""COMPUTED_VALUE"""),"")</f>
        <v/>
      </c>
      <c r="B785" s="3"/>
      <c r="C785" s="3"/>
      <c r="D785" s="3"/>
      <c r="E785" s="3"/>
      <c r="F785" s="3"/>
    </row>
    <row r="786">
      <c r="A786" s="3" t="str">
        <f>IFERROR(__xludf.DUMMYFUNCTION("""COMPUTED_VALUE"""),"")</f>
        <v/>
      </c>
      <c r="B786" s="3"/>
      <c r="C786" s="3"/>
      <c r="D786" s="3"/>
      <c r="E786" s="3"/>
      <c r="F786" s="3"/>
    </row>
    <row r="787">
      <c r="A787" s="3" t="str">
        <f>IFERROR(__xludf.DUMMYFUNCTION("""COMPUTED_VALUE"""),"")</f>
        <v/>
      </c>
      <c r="B787" s="3"/>
      <c r="C787" s="3"/>
      <c r="D787" s="3"/>
      <c r="E787" s="3"/>
      <c r="F787" s="3"/>
    </row>
    <row r="788">
      <c r="A788" s="3" t="str">
        <f>IFERROR(__xludf.DUMMYFUNCTION("""COMPUTED_VALUE"""),"")</f>
        <v/>
      </c>
      <c r="B788" s="3"/>
      <c r="C788" s="3"/>
      <c r="D788" s="3"/>
      <c r="E788" s="3"/>
      <c r="F788" s="3"/>
    </row>
    <row r="789">
      <c r="A789" s="3" t="str">
        <f>IFERROR(__xludf.DUMMYFUNCTION("""COMPUTED_VALUE"""),"")</f>
        <v/>
      </c>
      <c r="B789" s="3"/>
      <c r="C789" s="3"/>
      <c r="D789" s="3"/>
      <c r="E789" s="3"/>
      <c r="F789" s="3"/>
    </row>
    <row r="790">
      <c r="A790" s="3" t="str">
        <f>IFERROR(__xludf.DUMMYFUNCTION("""COMPUTED_VALUE"""),"")</f>
        <v/>
      </c>
      <c r="B790" s="3"/>
      <c r="C790" s="3"/>
      <c r="D790" s="3"/>
      <c r="E790" s="3"/>
      <c r="F790" s="3"/>
    </row>
    <row r="791">
      <c r="A791" s="3" t="str">
        <f>IFERROR(__xludf.DUMMYFUNCTION("""COMPUTED_VALUE"""),"")</f>
        <v/>
      </c>
      <c r="B791" s="3"/>
      <c r="C791" s="3"/>
      <c r="D791" s="3"/>
      <c r="E791" s="3"/>
      <c r="F791" s="3"/>
    </row>
    <row r="792">
      <c r="A792" s="3" t="str">
        <f>IFERROR(__xludf.DUMMYFUNCTION("""COMPUTED_VALUE"""),"")</f>
        <v/>
      </c>
      <c r="B792" s="3"/>
      <c r="C792" s="3"/>
      <c r="D792" s="3"/>
      <c r="E792" s="3"/>
      <c r="F792" s="3"/>
    </row>
    <row r="793">
      <c r="A793" s="3" t="str">
        <f>IFERROR(__xludf.DUMMYFUNCTION("""COMPUTED_VALUE"""),"")</f>
        <v/>
      </c>
      <c r="B793" s="3"/>
      <c r="C793" s="3"/>
      <c r="D793" s="3"/>
      <c r="E793" s="3"/>
      <c r="F793" s="3"/>
    </row>
    <row r="794">
      <c r="A794" s="3" t="str">
        <f>IFERROR(__xludf.DUMMYFUNCTION("""COMPUTED_VALUE"""),"")</f>
        <v/>
      </c>
      <c r="B794" s="3"/>
      <c r="C794" s="3"/>
      <c r="D794" s="3"/>
      <c r="E794" s="3"/>
      <c r="F794" s="3"/>
    </row>
    <row r="795">
      <c r="A795" s="3" t="str">
        <f>IFERROR(__xludf.DUMMYFUNCTION("""COMPUTED_VALUE"""),"")</f>
        <v/>
      </c>
      <c r="B795" s="3"/>
      <c r="C795" s="3"/>
      <c r="D795" s="3"/>
      <c r="E795" s="3"/>
      <c r="F795" s="3"/>
    </row>
    <row r="796">
      <c r="A796" s="3" t="str">
        <f>IFERROR(__xludf.DUMMYFUNCTION("""COMPUTED_VALUE"""),"")</f>
        <v/>
      </c>
      <c r="B796" s="3"/>
      <c r="C796" s="3"/>
      <c r="D796" s="3"/>
      <c r="E796" s="3"/>
      <c r="F796" s="3"/>
    </row>
    <row r="797">
      <c r="A797" s="3" t="str">
        <f>IFERROR(__xludf.DUMMYFUNCTION("""COMPUTED_VALUE"""),"")</f>
        <v/>
      </c>
      <c r="B797" s="3"/>
      <c r="C797" s="3"/>
      <c r="D797" s="3"/>
      <c r="E797" s="3"/>
      <c r="F797" s="3"/>
    </row>
    <row r="798">
      <c r="A798" s="3" t="str">
        <f>IFERROR(__xludf.DUMMYFUNCTION("""COMPUTED_VALUE"""),"")</f>
        <v/>
      </c>
      <c r="B798" s="3"/>
      <c r="C798" s="3"/>
      <c r="D798" s="3"/>
      <c r="E798" s="3"/>
      <c r="F798" s="3"/>
    </row>
    <row r="799">
      <c r="A799" s="3" t="str">
        <f>IFERROR(__xludf.DUMMYFUNCTION("""COMPUTED_VALUE"""),"")</f>
        <v/>
      </c>
      <c r="B799" s="3"/>
      <c r="C799" s="3"/>
      <c r="D799" s="3"/>
      <c r="E799" s="3"/>
      <c r="F799" s="3"/>
    </row>
    <row r="800">
      <c r="A800" s="3" t="str">
        <f>IFERROR(__xludf.DUMMYFUNCTION("""COMPUTED_VALUE"""),"")</f>
        <v/>
      </c>
      <c r="B800" s="3"/>
      <c r="C800" s="3"/>
      <c r="D800" s="3"/>
      <c r="E800" s="3"/>
      <c r="F800" s="3"/>
    </row>
    <row r="801">
      <c r="A801" s="3" t="str">
        <f>IFERROR(__xludf.DUMMYFUNCTION("""COMPUTED_VALUE"""),"")</f>
        <v/>
      </c>
      <c r="B801" s="3"/>
      <c r="C801" s="3"/>
      <c r="D801" s="3"/>
      <c r="E801" s="3"/>
      <c r="F801" s="3"/>
    </row>
    <row r="802">
      <c r="A802" s="3" t="str">
        <f>IFERROR(__xludf.DUMMYFUNCTION("""COMPUTED_VALUE"""),"")</f>
        <v/>
      </c>
      <c r="B802" s="3"/>
      <c r="C802" s="3"/>
      <c r="D802" s="3"/>
      <c r="E802" s="3"/>
      <c r="F802" s="3"/>
    </row>
    <row r="803">
      <c r="A803" s="3" t="str">
        <f>IFERROR(__xludf.DUMMYFUNCTION("""COMPUTED_VALUE"""),"")</f>
        <v/>
      </c>
      <c r="B803" s="3"/>
      <c r="C803" s="3"/>
      <c r="D803" s="3"/>
      <c r="E803" s="3"/>
      <c r="F803" s="3"/>
    </row>
    <row r="804">
      <c r="A804" s="3" t="str">
        <f>IFERROR(__xludf.DUMMYFUNCTION("""COMPUTED_VALUE"""),"")</f>
        <v/>
      </c>
      <c r="B804" s="3"/>
      <c r="C804" s="3"/>
      <c r="D804" s="3"/>
      <c r="E804" s="3"/>
      <c r="F804" s="3"/>
    </row>
    <row r="805">
      <c r="A805" s="3" t="str">
        <f>IFERROR(__xludf.DUMMYFUNCTION("""COMPUTED_VALUE"""),"")</f>
        <v/>
      </c>
      <c r="B805" s="3"/>
      <c r="C805" s="3"/>
      <c r="D805" s="3"/>
      <c r="E805" s="3"/>
      <c r="F805" s="3"/>
    </row>
    <row r="806">
      <c r="A806" s="3" t="str">
        <f>IFERROR(__xludf.DUMMYFUNCTION("""COMPUTED_VALUE"""),"")</f>
        <v/>
      </c>
      <c r="B806" s="3"/>
      <c r="C806" s="3"/>
      <c r="D806" s="3"/>
      <c r="E806" s="3"/>
      <c r="F806" s="3"/>
    </row>
    <row r="807">
      <c r="A807" s="3" t="str">
        <f>IFERROR(__xludf.DUMMYFUNCTION("""COMPUTED_VALUE"""),"")</f>
        <v/>
      </c>
      <c r="B807" s="3"/>
      <c r="C807" s="3"/>
      <c r="D807" s="3"/>
      <c r="E807" s="3"/>
      <c r="F807" s="3"/>
    </row>
    <row r="808">
      <c r="A808" s="3" t="str">
        <f>IFERROR(__xludf.DUMMYFUNCTION("""COMPUTED_VALUE"""),"")</f>
        <v/>
      </c>
      <c r="B808" s="3"/>
      <c r="C808" s="3"/>
      <c r="D808" s="3"/>
      <c r="E808" s="3"/>
      <c r="F808" s="3"/>
    </row>
    <row r="809">
      <c r="A809" s="3" t="str">
        <f>IFERROR(__xludf.DUMMYFUNCTION("""COMPUTED_VALUE"""),"")</f>
        <v/>
      </c>
      <c r="B809" s="3"/>
      <c r="C809" s="3"/>
      <c r="D809" s="3"/>
      <c r="E809" s="3"/>
      <c r="F809" s="3"/>
    </row>
    <row r="810">
      <c r="A810" s="3" t="str">
        <f>IFERROR(__xludf.DUMMYFUNCTION("""COMPUTED_VALUE"""),"")</f>
        <v/>
      </c>
      <c r="B810" s="3"/>
      <c r="C810" s="3"/>
      <c r="D810" s="3"/>
      <c r="E810" s="3"/>
      <c r="F810" s="3"/>
    </row>
    <row r="811">
      <c r="A811" s="3" t="str">
        <f>IFERROR(__xludf.DUMMYFUNCTION("""COMPUTED_VALUE"""),"")</f>
        <v/>
      </c>
      <c r="B811" s="3"/>
      <c r="C811" s="3"/>
      <c r="D811" s="3"/>
      <c r="E811" s="3"/>
      <c r="F811" s="3"/>
    </row>
    <row r="812">
      <c r="A812" s="3" t="str">
        <f>IFERROR(__xludf.DUMMYFUNCTION("""COMPUTED_VALUE"""),"")</f>
        <v/>
      </c>
      <c r="B812" s="3"/>
      <c r="C812" s="3"/>
      <c r="D812" s="3"/>
      <c r="E812" s="3"/>
      <c r="F812" s="3"/>
    </row>
    <row r="813">
      <c r="A813" s="3" t="str">
        <f>IFERROR(__xludf.DUMMYFUNCTION("""COMPUTED_VALUE"""),"")</f>
        <v/>
      </c>
      <c r="B813" s="3"/>
      <c r="C813" s="3"/>
      <c r="D813" s="3"/>
      <c r="E813" s="3"/>
      <c r="F813" s="3"/>
    </row>
    <row r="814">
      <c r="A814" s="3" t="str">
        <f>IFERROR(__xludf.DUMMYFUNCTION("""COMPUTED_VALUE"""),"")</f>
        <v/>
      </c>
      <c r="B814" s="3"/>
      <c r="C814" s="3"/>
      <c r="D814" s="3"/>
      <c r="E814" s="3"/>
      <c r="F814" s="3"/>
    </row>
    <row r="815">
      <c r="A815" s="3" t="str">
        <f>IFERROR(__xludf.DUMMYFUNCTION("""COMPUTED_VALUE"""),"")</f>
        <v/>
      </c>
      <c r="B815" s="3"/>
      <c r="C815" s="3"/>
      <c r="D815" s="3"/>
      <c r="E815" s="3"/>
      <c r="F815" s="3"/>
    </row>
    <row r="816">
      <c r="A816" s="3" t="str">
        <f>IFERROR(__xludf.DUMMYFUNCTION("""COMPUTED_VALUE"""),"")</f>
        <v/>
      </c>
      <c r="B816" s="3"/>
      <c r="C816" s="3"/>
      <c r="D816" s="3"/>
      <c r="E816" s="3"/>
      <c r="F816" s="3"/>
    </row>
    <row r="817">
      <c r="A817" s="3" t="str">
        <f>IFERROR(__xludf.DUMMYFUNCTION("""COMPUTED_VALUE"""),"")</f>
        <v/>
      </c>
      <c r="B817" s="3"/>
      <c r="C817" s="3"/>
      <c r="D817" s="3"/>
      <c r="E817" s="3"/>
      <c r="F817" s="3"/>
    </row>
    <row r="818">
      <c r="A818" s="3" t="str">
        <f>IFERROR(__xludf.DUMMYFUNCTION("""COMPUTED_VALUE"""),"")</f>
        <v/>
      </c>
      <c r="B818" s="3"/>
      <c r="C818" s="3"/>
      <c r="D818" s="3"/>
      <c r="E818" s="3"/>
      <c r="F818" s="3"/>
    </row>
    <row r="819">
      <c r="A819" s="3" t="str">
        <f>IFERROR(__xludf.DUMMYFUNCTION("""COMPUTED_VALUE"""),"")</f>
        <v/>
      </c>
      <c r="B819" s="3"/>
      <c r="C819" s="3"/>
      <c r="D819" s="3"/>
      <c r="E819" s="3"/>
      <c r="F819" s="3"/>
    </row>
    <row r="820">
      <c r="A820" s="3" t="str">
        <f>IFERROR(__xludf.DUMMYFUNCTION("""COMPUTED_VALUE"""),"")</f>
        <v/>
      </c>
      <c r="B820" s="3"/>
      <c r="C820" s="3"/>
      <c r="D820" s="3"/>
      <c r="E820" s="3"/>
      <c r="F820" s="3"/>
    </row>
    <row r="821">
      <c r="A821" s="3" t="str">
        <f>IFERROR(__xludf.DUMMYFUNCTION("""COMPUTED_VALUE"""),"")</f>
        <v/>
      </c>
      <c r="B821" s="3"/>
      <c r="C821" s="3"/>
      <c r="D821" s="3"/>
      <c r="E821" s="3"/>
      <c r="F821" s="3"/>
    </row>
    <row r="822">
      <c r="A822" s="3" t="str">
        <f>IFERROR(__xludf.DUMMYFUNCTION("""COMPUTED_VALUE"""),"")</f>
        <v/>
      </c>
      <c r="B822" s="3"/>
      <c r="C822" s="3"/>
      <c r="D822" s="3"/>
      <c r="E822" s="3"/>
      <c r="F822" s="3"/>
    </row>
    <row r="823">
      <c r="A823" s="3" t="str">
        <f>IFERROR(__xludf.DUMMYFUNCTION("""COMPUTED_VALUE"""),"")</f>
        <v/>
      </c>
      <c r="B823" s="3"/>
      <c r="C823" s="3"/>
      <c r="D823" s="3"/>
      <c r="E823" s="3"/>
      <c r="F823" s="3"/>
    </row>
    <row r="824">
      <c r="A824" s="3" t="str">
        <f>IFERROR(__xludf.DUMMYFUNCTION("""COMPUTED_VALUE"""),"")</f>
        <v/>
      </c>
      <c r="B824" s="3"/>
      <c r="C824" s="3"/>
      <c r="D824" s="3"/>
      <c r="E824" s="3"/>
      <c r="F824" s="3"/>
    </row>
    <row r="825">
      <c r="A825" s="3" t="str">
        <f>IFERROR(__xludf.DUMMYFUNCTION("""COMPUTED_VALUE"""),"")</f>
        <v/>
      </c>
      <c r="B825" s="3"/>
      <c r="C825" s="3"/>
      <c r="D825" s="3"/>
      <c r="E825" s="3"/>
      <c r="F825" s="3"/>
    </row>
    <row r="826">
      <c r="A826" s="3" t="str">
        <f>IFERROR(__xludf.DUMMYFUNCTION("""COMPUTED_VALUE"""),"")</f>
        <v/>
      </c>
      <c r="B826" s="3"/>
      <c r="C826" s="3"/>
      <c r="D826" s="3"/>
      <c r="E826" s="3"/>
      <c r="F826" s="3"/>
    </row>
    <row r="827">
      <c r="A827" s="3" t="str">
        <f>IFERROR(__xludf.DUMMYFUNCTION("""COMPUTED_VALUE"""),"")</f>
        <v/>
      </c>
      <c r="B827" s="3"/>
      <c r="C827" s="3"/>
      <c r="D827" s="3"/>
      <c r="E827" s="3"/>
      <c r="F827" s="3"/>
    </row>
    <row r="828">
      <c r="A828" s="3" t="str">
        <f>IFERROR(__xludf.DUMMYFUNCTION("""COMPUTED_VALUE"""),"")</f>
        <v/>
      </c>
      <c r="B828" s="3"/>
      <c r="C828" s="3"/>
      <c r="D828" s="3"/>
      <c r="E828" s="3"/>
      <c r="F828" s="3"/>
    </row>
    <row r="829">
      <c r="A829" s="3" t="str">
        <f>IFERROR(__xludf.DUMMYFUNCTION("""COMPUTED_VALUE"""),"")</f>
        <v/>
      </c>
      <c r="B829" s="3"/>
      <c r="C829" s="3"/>
      <c r="D829" s="3"/>
      <c r="E829" s="3"/>
      <c r="F829" s="3"/>
    </row>
    <row r="830">
      <c r="A830" s="3" t="str">
        <f>IFERROR(__xludf.DUMMYFUNCTION("""COMPUTED_VALUE"""),"")</f>
        <v/>
      </c>
      <c r="B830" s="3"/>
      <c r="C830" s="3"/>
      <c r="D830" s="3"/>
      <c r="E830" s="3"/>
      <c r="F830" s="3"/>
    </row>
    <row r="831">
      <c r="A831" s="3" t="str">
        <f>IFERROR(__xludf.DUMMYFUNCTION("""COMPUTED_VALUE"""),"")</f>
        <v/>
      </c>
      <c r="B831" s="3"/>
      <c r="C831" s="3"/>
      <c r="D831" s="3"/>
      <c r="E831" s="3"/>
      <c r="F831" s="3"/>
    </row>
    <row r="832">
      <c r="A832" s="3" t="str">
        <f>IFERROR(__xludf.DUMMYFUNCTION("""COMPUTED_VALUE"""),"")</f>
        <v/>
      </c>
      <c r="B832" s="3"/>
      <c r="C832" s="3"/>
      <c r="D832" s="3"/>
      <c r="E832" s="3"/>
      <c r="F832" s="3"/>
    </row>
    <row r="833">
      <c r="A833" s="3" t="str">
        <f>IFERROR(__xludf.DUMMYFUNCTION("""COMPUTED_VALUE"""),"")</f>
        <v/>
      </c>
      <c r="B833" s="3"/>
      <c r="C833" s="3"/>
      <c r="D833" s="3"/>
      <c r="E833" s="3"/>
      <c r="F833" s="3"/>
    </row>
    <row r="834">
      <c r="A834" s="3" t="str">
        <f>IFERROR(__xludf.DUMMYFUNCTION("""COMPUTED_VALUE"""),"")</f>
        <v/>
      </c>
      <c r="B834" s="3"/>
      <c r="C834" s="3"/>
      <c r="D834" s="3"/>
      <c r="E834" s="3"/>
      <c r="F834" s="3"/>
    </row>
    <row r="835">
      <c r="A835" s="3" t="str">
        <f>IFERROR(__xludf.DUMMYFUNCTION("""COMPUTED_VALUE"""),"")</f>
        <v/>
      </c>
      <c r="B835" s="3"/>
      <c r="C835" s="3"/>
      <c r="D835" s="3"/>
      <c r="E835" s="3"/>
      <c r="F835" s="3"/>
    </row>
    <row r="836">
      <c r="A836" s="3" t="str">
        <f>IFERROR(__xludf.DUMMYFUNCTION("""COMPUTED_VALUE"""),"")</f>
        <v/>
      </c>
      <c r="B836" s="3"/>
      <c r="C836" s="3"/>
      <c r="D836" s="3"/>
      <c r="E836" s="3"/>
      <c r="F836" s="3"/>
    </row>
    <row r="837">
      <c r="A837" s="3" t="str">
        <f>IFERROR(__xludf.DUMMYFUNCTION("""COMPUTED_VALUE"""),"")</f>
        <v/>
      </c>
      <c r="B837" s="3"/>
      <c r="C837" s="3"/>
      <c r="D837" s="3"/>
      <c r="E837" s="3"/>
      <c r="F837" s="3"/>
    </row>
    <row r="838">
      <c r="A838" s="3" t="str">
        <f>IFERROR(__xludf.DUMMYFUNCTION("""COMPUTED_VALUE"""),"")</f>
        <v/>
      </c>
      <c r="B838" s="3"/>
      <c r="C838" s="3"/>
      <c r="D838" s="3"/>
      <c r="E838" s="3"/>
      <c r="F838" s="3"/>
    </row>
    <row r="839">
      <c r="A839" s="3" t="str">
        <f>IFERROR(__xludf.DUMMYFUNCTION("""COMPUTED_VALUE"""),"")</f>
        <v/>
      </c>
      <c r="B839" s="3"/>
      <c r="C839" s="3"/>
      <c r="D839" s="3"/>
      <c r="E839" s="3"/>
      <c r="F839" s="3"/>
    </row>
    <row r="840">
      <c r="A840" s="3" t="str">
        <f>IFERROR(__xludf.DUMMYFUNCTION("""COMPUTED_VALUE"""),"")</f>
        <v/>
      </c>
      <c r="B840" s="3"/>
      <c r="C840" s="3"/>
      <c r="D840" s="3"/>
      <c r="E840" s="3"/>
      <c r="F840" s="3"/>
    </row>
    <row r="841">
      <c r="A841" s="3" t="str">
        <f>IFERROR(__xludf.DUMMYFUNCTION("""COMPUTED_VALUE"""),"")</f>
        <v/>
      </c>
      <c r="B841" s="3"/>
      <c r="C841" s="3"/>
      <c r="D841" s="3"/>
      <c r="E841" s="3"/>
      <c r="F841" s="3"/>
    </row>
    <row r="842">
      <c r="A842" s="3" t="str">
        <f>IFERROR(__xludf.DUMMYFUNCTION("""COMPUTED_VALUE"""),"")</f>
        <v/>
      </c>
      <c r="B842" s="3"/>
      <c r="C842" s="3"/>
      <c r="D842" s="3"/>
      <c r="E842" s="3"/>
      <c r="F842" s="3"/>
    </row>
    <row r="843">
      <c r="A843" s="3" t="str">
        <f>IFERROR(__xludf.DUMMYFUNCTION("""COMPUTED_VALUE"""),"")</f>
        <v/>
      </c>
      <c r="B843" s="3"/>
      <c r="C843" s="3"/>
      <c r="D843" s="3"/>
      <c r="E843" s="3"/>
      <c r="F843" s="3"/>
    </row>
    <row r="844">
      <c r="A844" s="3" t="str">
        <f>IFERROR(__xludf.DUMMYFUNCTION("""COMPUTED_VALUE"""),"")</f>
        <v/>
      </c>
      <c r="B844" s="3"/>
      <c r="C844" s="3"/>
      <c r="D844" s="3"/>
      <c r="E844" s="3"/>
      <c r="F844" s="3"/>
    </row>
    <row r="845">
      <c r="A845" s="3" t="str">
        <f>IFERROR(__xludf.DUMMYFUNCTION("""COMPUTED_VALUE"""),"")</f>
        <v/>
      </c>
      <c r="B845" s="3"/>
      <c r="C845" s="3"/>
      <c r="D845" s="3"/>
      <c r="E845" s="3"/>
      <c r="F845" s="3"/>
    </row>
    <row r="846">
      <c r="A846" s="3" t="str">
        <f>IFERROR(__xludf.DUMMYFUNCTION("""COMPUTED_VALUE"""),"")</f>
        <v/>
      </c>
      <c r="B846" s="3"/>
      <c r="C846" s="3"/>
      <c r="D846" s="3"/>
      <c r="E846" s="3"/>
      <c r="F846" s="3"/>
    </row>
    <row r="847">
      <c r="A847" s="3" t="str">
        <f>IFERROR(__xludf.DUMMYFUNCTION("""COMPUTED_VALUE"""),"")</f>
        <v/>
      </c>
      <c r="B847" s="3"/>
      <c r="C847" s="3"/>
      <c r="D847" s="3"/>
      <c r="E847" s="3"/>
      <c r="F847" s="3"/>
    </row>
    <row r="848">
      <c r="A848" s="3" t="str">
        <f>IFERROR(__xludf.DUMMYFUNCTION("""COMPUTED_VALUE"""),"")</f>
        <v/>
      </c>
      <c r="B848" s="3"/>
      <c r="C848" s="3"/>
      <c r="D848" s="3"/>
      <c r="E848" s="3"/>
      <c r="F848" s="3"/>
    </row>
    <row r="849">
      <c r="A849" s="3" t="str">
        <f>IFERROR(__xludf.DUMMYFUNCTION("""COMPUTED_VALUE"""),"")</f>
        <v/>
      </c>
      <c r="B849" s="3"/>
      <c r="C849" s="3"/>
      <c r="D849" s="3"/>
      <c r="E849" s="3"/>
      <c r="F849" s="3"/>
    </row>
    <row r="850">
      <c r="A850" s="3" t="str">
        <f>IFERROR(__xludf.DUMMYFUNCTION("""COMPUTED_VALUE"""),"")</f>
        <v/>
      </c>
      <c r="B850" s="3"/>
      <c r="C850" s="3"/>
      <c r="D850" s="3"/>
      <c r="E850" s="3"/>
      <c r="F850" s="3"/>
    </row>
    <row r="851">
      <c r="A851" s="3" t="str">
        <f>IFERROR(__xludf.DUMMYFUNCTION("""COMPUTED_VALUE"""),"")</f>
        <v/>
      </c>
      <c r="B851" s="3"/>
      <c r="C851" s="3"/>
      <c r="D851" s="3"/>
      <c r="E851" s="3"/>
      <c r="F851" s="3"/>
    </row>
    <row r="852">
      <c r="A852" s="3" t="str">
        <f>IFERROR(__xludf.DUMMYFUNCTION("""COMPUTED_VALUE"""),"")</f>
        <v/>
      </c>
      <c r="B852" s="3"/>
      <c r="C852" s="3"/>
      <c r="D852" s="3"/>
      <c r="E852" s="3"/>
      <c r="F852" s="3"/>
    </row>
    <row r="853">
      <c r="A853" s="3" t="str">
        <f>IFERROR(__xludf.DUMMYFUNCTION("""COMPUTED_VALUE"""),"")</f>
        <v/>
      </c>
      <c r="B853" s="3"/>
      <c r="C853" s="3"/>
      <c r="D853" s="3"/>
      <c r="E853" s="3"/>
      <c r="F853" s="3"/>
    </row>
    <row r="854">
      <c r="A854" s="3" t="str">
        <f>IFERROR(__xludf.DUMMYFUNCTION("""COMPUTED_VALUE"""),"")</f>
        <v/>
      </c>
      <c r="B854" s="3"/>
      <c r="C854" s="3"/>
      <c r="D854" s="3"/>
      <c r="E854" s="3"/>
      <c r="F854" s="3"/>
    </row>
    <row r="855">
      <c r="A855" s="3" t="str">
        <f>IFERROR(__xludf.DUMMYFUNCTION("""COMPUTED_VALUE"""),"")</f>
        <v/>
      </c>
      <c r="B855" s="3"/>
      <c r="C855" s="3"/>
      <c r="D855" s="3"/>
      <c r="E855" s="3"/>
      <c r="F855" s="3"/>
    </row>
    <row r="856">
      <c r="A856" s="3" t="str">
        <f>IFERROR(__xludf.DUMMYFUNCTION("""COMPUTED_VALUE"""),"")</f>
        <v/>
      </c>
      <c r="B856" s="3"/>
      <c r="C856" s="3"/>
      <c r="D856" s="3"/>
      <c r="E856" s="3"/>
      <c r="F856" s="3"/>
    </row>
    <row r="857">
      <c r="A857" s="3" t="str">
        <f>IFERROR(__xludf.DUMMYFUNCTION("""COMPUTED_VALUE"""),"")</f>
        <v/>
      </c>
      <c r="B857" s="3"/>
      <c r="C857" s="3"/>
      <c r="D857" s="3"/>
      <c r="E857" s="3"/>
      <c r="F857" s="3"/>
    </row>
    <row r="858">
      <c r="A858" s="3" t="str">
        <f>IFERROR(__xludf.DUMMYFUNCTION("""COMPUTED_VALUE"""),"")</f>
        <v/>
      </c>
      <c r="B858" s="3"/>
      <c r="C858" s="3"/>
      <c r="D858" s="3"/>
      <c r="E858" s="3"/>
      <c r="F858" s="3"/>
    </row>
    <row r="859">
      <c r="A859" s="3" t="str">
        <f>IFERROR(__xludf.DUMMYFUNCTION("""COMPUTED_VALUE"""),"")</f>
        <v/>
      </c>
      <c r="B859" s="3"/>
      <c r="C859" s="3"/>
      <c r="D859" s="3"/>
      <c r="E859" s="3"/>
      <c r="F859" s="3"/>
    </row>
    <row r="860">
      <c r="A860" s="3" t="str">
        <f>IFERROR(__xludf.DUMMYFUNCTION("""COMPUTED_VALUE"""),"")</f>
        <v/>
      </c>
      <c r="B860" s="3"/>
      <c r="C860" s="3"/>
      <c r="D860" s="3"/>
      <c r="E860" s="3"/>
      <c r="F860" s="3"/>
    </row>
    <row r="861">
      <c r="A861" s="3" t="str">
        <f>IFERROR(__xludf.DUMMYFUNCTION("""COMPUTED_VALUE"""),"")</f>
        <v/>
      </c>
      <c r="B861" s="3"/>
      <c r="C861" s="3"/>
      <c r="D861" s="3"/>
      <c r="E861" s="3"/>
      <c r="F861" s="3"/>
    </row>
    <row r="862">
      <c r="A862" s="3" t="str">
        <f>IFERROR(__xludf.DUMMYFUNCTION("""COMPUTED_VALUE"""),"")</f>
        <v/>
      </c>
      <c r="B862" s="3"/>
      <c r="C862" s="3"/>
      <c r="D862" s="3"/>
      <c r="E862" s="3"/>
      <c r="F862" s="3"/>
    </row>
    <row r="863">
      <c r="A863" s="3" t="str">
        <f>IFERROR(__xludf.DUMMYFUNCTION("""COMPUTED_VALUE"""),"")</f>
        <v/>
      </c>
      <c r="B863" s="3"/>
      <c r="C863" s="3"/>
      <c r="D863" s="3"/>
      <c r="E863" s="3"/>
      <c r="F863" s="3"/>
    </row>
    <row r="864">
      <c r="A864" s="3" t="str">
        <f>IFERROR(__xludf.DUMMYFUNCTION("""COMPUTED_VALUE"""),"")</f>
        <v/>
      </c>
      <c r="B864" s="3"/>
      <c r="C864" s="3"/>
      <c r="D864" s="3"/>
      <c r="E864" s="3"/>
      <c r="F864" s="3"/>
    </row>
    <row r="865">
      <c r="A865" s="3" t="str">
        <f>IFERROR(__xludf.DUMMYFUNCTION("""COMPUTED_VALUE"""),"")</f>
        <v/>
      </c>
      <c r="B865" s="3"/>
      <c r="C865" s="3"/>
      <c r="D865" s="3"/>
      <c r="E865" s="3"/>
      <c r="F865" s="3"/>
    </row>
    <row r="866">
      <c r="A866" s="3" t="str">
        <f>IFERROR(__xludf.DUMMYFUNCTION("""COMPUTED_VALUE"""),"")</f>
        <v/>
      </c>
      <c r="B866" s="3"/>
      <c r="C866" s="3"/>
      <c r="D866" s="3"/>
      <c r="E866" s="3"/>
      <c r="F866" s="3"/>
    </row>
    <row r="867">
      <c r="A867" s="3" t="str">
        <f>IFERROR(__xludf.DUMMYFUNCTION("""COMPUTED_VALUE"""),"")</f>
        <v/>
      </c>
      <c r="B867" s="3"/>
      <c r="C867" s="3"/>
      <c r="D867" s="3"/>
      <c r="E867" s="3"/>
      <c r="F867" s="3"/>
    </row>
    <row r="868">
      <c r="A868" s="3" t="str">
        <f>IFERROR(__xludf.DUMMYFUNCTION("""COMPUTED_VALUE"""),"")</f>
        <v/>
      </c>
      <c r="B868" s="3"/>
      <c r="C868" s="3"/>
      <c r="D868" s="3"/>
      <c r="E868" s="3"/>
      <c r="F868" s="3"/>
    </row>
    <row r="869">
      <c r="A869" s="3" t="str">
        <f>IFERROR(__xludf.DUMMYFUNCTION("""COMPUTED_VALUE"""),"")</f>
        <v/>
      </c>
      <c r="B869" s="3"/>
      <c r="C869" s="3"/>
      <c r="D869" s="3"/>
      <c r="E869" s="3"/>
      <c r="F869" s="3"/>
    </row>
    <row r="870">
      <c r="A870" s="3" t="str">
        <f>IFERROR(__xludf.DUMMYFUNCTION("""COMPUTED_VALUE"""),"")</f>
        <v/>
      </c>
      <c r="B870" s="3"/>
      <c r="C870" s="3"/>
      <c r="D870" s="3"/>
      <c r="E870" s="3"/>
      <c r="F870" s="3"/>
    </row>
    <row r="871">
      <c r="A871" s="3" t="str">
        <f>IFERROR(__xludf.DUMMYFUNCTION("""COMPUTED_VALUE"""),"")</f>
        <v/>
      </c>
      <c r="B871" s="3"/>
      <c r="C871" s="3"/>
      <c r="D871" s="3"/>
      <c r="E871" s="3"/>
      <c r="F871" s="3"/>
    </row>
    <row r="872">
      <c r="A872" s="3" t="str">
        <f>IFERROR(__xludf.DUMMYFUNCTION("""COMPUTED_VALUE"""),"")</f>
        <v/>
      </c>
      <c r="B872" s="3"/>
      <c r="C872" s="3"/>
      <c r="D872" s="3"/>
      <c r="E872" s="3"/>
      <c r="F872" s="3"/>
    </row>
    <row r="873">
      <c r="A873" s="3" t="str">
        <f>IFERROR(__xludf.DUMMYFUNCTION("""COMPUTED_VALUE"""),"")</f>
        <v/>
      </c>
      <c r="B873" s="3"/>
      <c r="C873" s="3"/>
      <c r="D873" s="3"/>
      <c r="E873" s="3"/>
      <c r="F873" s="3"/>
    </row>
    <row r="874">
      <c r="A874" s="3" t="str">
        <f>IFERROR(__xludf.DUMMYFUNCTION("""COMPUTED_VALUE"""),"")</f>
        <v/>
      </c>
      <c r="B874" s="3"/>
      <c r="C874" s="3"/>
      <c r="D874" s="3"/>
      <c r="E874" s="3"/>
      <c r="F874" s="3"/>
    </row>
    <row r="875">
      <c r="A875" s="3" t="str">
        <f>IFERROR(__xludf.DUMMYFUNCTION("""COMPUTED_VALUE"""),"")</f>
        <v/>
      </c>
      <c r="B875" s="3"/>
      <c r="C875" s="3"/>
      <c r="D875" s="3"/>
      <c r="E875" s="3"/>
      <c r="F875" s="3"/>
    </row>
    <row r="876">
      <c r="A876" s="3" t="str">
        <f>IFERROR(__xludf.DUMMYFUNCTION("""COMPUTED_VALUE"""),"")</f>
        <v/>
      </c>
      <c r="B876" s="3"/>
      <c r="C876" s="3"/>
      <c r="D876" s="3"/>
      <c r="E876" s="3"/>
      <c r="F876" s="3"/>
    </row>
    <row r="877">
      <c r="A877" s="3" t="str">
        <f>IFERROR(__xludf.DUMMYFUNCTION("""COMPUTED_VALUE"""),"")</f>
        <v/>
      </c>
      <c r="B877" s="3"/>
      <c r="C877" s="3"/>
      <c r="D877" s="3"/>
      <c r="E877" s="3"/>
      <c r="F877" s="3"/>
    </row>
    <row r="878">
      <c r="A878" s="3" t="str">
        <f>IFERROR(__xludf.DUMMYFUNCTION("""COMPUTED_VALUE"""),"")</f>
        <v/>
      </c>
      <c r="B878" s="3"/>
      <c r="C878" s="3"/>
      <c r="D878" s="3"/>
      <c r="E878" s="3"/>
      <c r="F878" s="3"/>
    </row>
    <row r="879">
      <c r="A879" s="3" t="str">
        <f>IFERROR(__xludf.DUMMYFUNCTION("""COMPUTED_VALUE"""),"")</f>
        <v/>
      </c>
      <c r="B879" s="3"/>
      <c r="C879" s="3"/>
      <c r="D879" s="3"/>
      <c r="E879" s="3"/>
      <c r="F879" s="3"/>
    </row>
    <row r="880">
      <c r="A880" s="3" t="str">
        <f>IFERROR(__xludf.DUMMYFUNCTION("""COMPUTED_VALUE"""),"")</f>
        <v/>
      </c>
      <c r="B880" s="3"/>
      <c r="C880" s="3"/>
      <c r="D880" s="3"/>
      <c r="E880" s="3"/>
      <c r="F880" s="3"/>
    </row>
    <row r="881">
      <c r="A881" s="3" t="str">
        <f>IFERROR(__xludf.DUMMYFUNCTION("""COMPUTED_VALUE"""),"")</f>
        <v/>
      </c>
      <c r="B881" s="3"/>
      <c r="C881" s="3"/>
      <c r="D881" s="3"/>
      <c r="E881" s="3"/>
      <c r="F881" s="3"/>
    </row>
    <row r="882">
      <c r="A882" s="3" t="str">
        <f>IFERROR(__xludf.DUMMYFUNCTION("""COMPUTED_VALUE"""),"")</f>
        <v/>
      </c>
      <c r="B882" s="3"/>
      <c r="C882" s="3"/>
      <c r="D882" s="3"/>
      <c r="E882" s="3"/>
      <c r="F882" s="3"/>
    </row>
    <row r="883">
      <c r="A883" s="3" t="str">
        <f>IFERROR(__xludf.DUMMYFUNCTION("""COMPUTED_VALUE"""),"")</f>
        <v/>
      </c>
      <c r="B883" s="3"/>
      <c r="C883" s="3"/>
      <c r="D883" s="3"/>
      <c r="E883" s="3"/>
      <c r="F883" s="3"/>
    </row>
    <row r="884">
      <c r="A884" s="3" t="str">
        <f>IFERROR(__xludf.DUMMYFUNCTION("""COMPUTED_VALUE"""),"")</f>
        <v/>
      </c>
      <c r="B884" s="3"/>
      <c r="C884" s="3"/>
      <c r="D884" s="3"/>
      <c r="E884" s="3"/>
      <c r="F884" s="3"/>
    </row>
    <row r="885">
      <c r="A885" s="3" t="str">
        <f>IFERROR(__xludf.DUMMYFUNCTION("""COMPUTED_VALUE"""),"")</f>
        <v/>
      </c>
      <c r="B885" s="3"/>
      <c r="C885" s="3"/>
      <c r="D885" s="3"/>
      <c r="E885" s="3"/>
      <c r="F885" s="3"/>
    </row>
    <row r="886">
      <c r="A886" s="3" t="str">
        <f>IFERROR(__xludf.DUMMYFUNCTION("""COMPUTED_VALUE"""),"")</f>
        <v/>
      </c>
      <c r="B886" s="3"/>
      <c r="C886" s="3"/>
      <c r="D886" s="3"/>
      <c r="E886" s="3"/>
      <c r="F886" s="3"/>
    </row>
    <row r="887">
      <c r="A887" s="3" t="str">
        <f>IFERROR(__xludf.DUMMYFUNCTION("""COMPUTED_VALUE"""),"")</f>
        <v/>
      </c>
      <c r="B887" s="3"/>
      <c r="C887" s="3"/>
      <c r="D887" s="3"/>
      <c r="E887" s="3"/>
      <c r="F887" s="3"/>
    </row>
    <row r="888">
      <c r="A888" s="3" t="str">
        <f>IFERROR(__xludf.DUMMYFUNCTION("""COMPUTED_VALUE"""),"")</f>
        <v/>
      </c>
      <c r="B888" s="3"/>
      <c r="C888" s="3"/>
      <c r="D888" s="3"/>
      <c r="E888" s="3"/>
      <c r="F888" s="3"/>
    </row>
    <row r="889">
      <c r="A889" s="3" t="str">
        <f>IFERROR(__xludf.DUMMYFUNCTION("""COMPUTED_VALUE"""),"")</f>
        <v/>
      </c>
      <c r="B889" s="3"/>
      <c r="C889" s="3"/>
      <c r="D889" s="3"/>
      <c r="E889" s="3"/>
      <c r="F889" s="3"/>
    </row>
    <row r="890">
      <c r="A890" s="3" t="str">
        <f>IFERROR(__xludf.DUMMYFUNCTION("""COMPUTED_VALUE"""),"")</f>
        <v/>
      </c>
      <c r="B890" s="3"/>
      <c r="C890" s="3"/>
      <c r="D890" s="3"/>
      <c r="E890" s="3"/>
      <c r="F890" s="3"/>
    </row>
    <row r="891">
      <c r="A891" s="3" t="str">
        <f>IFERROR(__xludf.DUMMYFUNCTION("""COMPUTED_VALUE"""),"")</f>
        <v/>
      </c>
      <c r="B891" s="3"/>
      <c r="C891" s="3"/>
      <c r="D891" s="3"/>
      <c r="E891" s="3"/>
      <c r="F891" s="3"/>
    </row>
    <row r="892">
      <c r="A892" s="3" t="str">
        <f>IFERROR(__xludf.DUMMYFUNCTION("""COMPUTED_VALUE"""),"")</f>
        <v/>
      </c>
      <c r="B892" s="3"/>
      <c r="C892" s="3"/>
      <c r="D892" s="3"/>
      <c r="E892" s="3"/>
      <c r="F892" s="3"/>
    </row>
    <row r="893">
      <c r="A893" s="3" t="str">
        <f>IFERROR(__xludf.DUMMYFUNCTION("""COMPUTED_VALUE"""),"")</f>
        <v/>
      </c>
      <c r="B893" s="3"/>
      <c r="C893" s="3"/>
      <c r="D893" s="3"/>
      <c r="E893" s="3"/>
      <c r="F893" s="3"/>
    </row>
    <row r="894">
      <c r="A894" s="3" t="str">
        <f>IFERROR(__xludf.DUMMYFUNCTION("""COMPUTED_VALUE"""),"")</f>
        <v/>
      </c>
      <c r="B894" s="3"/>
      <c r="C894" s="3"/>
      <c r="D894" s="3"/>
      <c r="E894" s="3"/>
      <c r="F894" s="3"/>
    </row>
    <row r="895">
      <c r="A895" s="3" t="str">
        <f>IFERROR(__xludf.DUMMYFUNCTION("""COMPUTED_VALUE"""),"")</f>
        <v/>
      </c>
      <c r="B895" s="3"/>
      <c r="C895" s="3"/>
      <c r="D895" s="3"/>
      <c r="E895" s="3"/>
      <c r="F895" s="3"/>
    </row>
    <row r="896">
      <c r="A896" s="3" t="str">
        <f>IFERROR(__xludf.DUMMYFUNCTION("""COMPUTED_VALUE"""),"")</f>
        <v/>
      </c>
      <c r="B896" s="3"/>
      <c r="C896" s="3"/>
      <c r="D896" s="3"/>
      <c r="E896" s="3"/>
      <c r="F896" s="3"/>
    </row>
    <row r="897">
      <c r="A897" s="3" t="str">
        <f>IFERROR(__xludf.DUMMYFUNCTION("""COMPUTED_VALUE"""),"")</f>
        <v/>
      </c>
      <c r="B897" s="3"/>
      <c r="C897" s="3"/>
      <c r="D897" s="3"/>
      <c r="E897" s="3"/>
      <c r="F897" s="3"/>
    </row>
    <row r="898">
      <c r="A898" s="3" t="str">
        <f>IFERROR(__xludf.DUMMYFUNCTION("""COMPUTED_VALUE"""),"")</f>
        <v/>
      </c>
      <c r="B898" s="3"/>
      <c r="C898" s="3"/>
      <c r="D898" s="3"/>
      <c r="E898" s="3"/>
      <c r="F898" s="3"/>
    </row>
    <row r="899">
      <c r="A899" s="3" t="str">
        <f>IFERROR(__xludf.DUMMYFUNCTION("""COMPUTED_VALUE"""),"")</f>
        <v/>
      </c>
      <c r="B899" s="3"/>
      <c r="C899" s="3"/>
      <c r="D899" s="3"/>
      <c r="E899" s="3"/>
      <c r="F899" s="3"/>
    </row>
    <row r="900">
      <c r="A900" s="3" t="str">
        <f>IFERROR(__xludf.DUMMYFUNCTION("""COMPUTED_VALUE"""),"")</f>
        <v/>
      </c>
      <c r="B900" s="3"/>
      <c r="C900" s="3"/>
      <c r="D900" s="3"/>
      <c r="E900" s="3"/>
      <c r="F900" s="3"/>
    </row>
    <row r="901">
      <c r="A901" s="3" t="str">
        <f>IFERROR(__xludf.DUMMYFUNCTION("""COMPUTED_VALUE"""),"")</f>
        <v/>
      </c>
      <c r="B901" s="3"/>
      <c r="C901" s="3"/>
      <c r="D901" s="3"/>
      <c r="E901" s="3"/>
      <c r="F901" s="3"/>
    </row>
    <row r="902">
      <c r="A902" s="3" t="str">
        <f>IFERROR(__xludf.DUMMYFUNCTION("""COMPUTED_VALUE"""),"")</f>
        <v/>
      </c>
      <c r="B902" s="3"/>
      <c r="C902" s="3"/>
      <c r="D902" s="3"/>
      <c r="E902" s="3"/>
      <c r="F902" s="3"/>
    </row>
    <row r="903">
      <c r="A903" s="3" t="str">
        <f>IFERROR(__xludf.DUMMYFUNCTION("""COMPUTED_VALUE"""),"")</f>
        <v/>
      </c>
      <c r="B903" s="3"/>
      <c r="C903" s="3"/>
      <c r="D903" s="3"/>
      <c r="E903" s="3"/>
      <c r="F903" s="3"/>
    </row>
    <row r="904">
      <c r="A904" s="3" t="str">
        <f>IFERROR(__xludf.DUMMYFUNCTION("""COMPUTED_VALUE"""),"")</f>
        <v/>
      </c>
      <c r="B904" s="3"/>
      <c r="C904" s="3"/>
      <c r="D904" s="3"/>
      <c r="E904" s="3"/>
      <c r="F904" s="3"/>
    </row>
    <row r="905">
      <c r="A905" s="3" t="str">
        <f>IFERROR(__xludf.DUMMYFUNCTION("""COMPUTED_VALUE"""),"")</f>
        <v/>
      </c>
      <c r="B905" s="3"/>
      <c r="C905" s="3"/>
      <c r="D905" s="3"/>
      <c r="E905" s="3"/>
      <c r="F905" s="3"/>
    </row>
    <row r="906">
      <c r="A906" s="3" t="str">
        <f>IFERROR(__xludf.DUMMYFUNCTION("""COMPUTED_VALUE"""),"")</f>
        <v/>
      </c>
      <c r="B906" s="3"/>
      <c r="C906" s="3"/>
      <c r="D906" s="3"/>
      <c r="E906" s="3"/>
      <c r="F906" s="3"/>
    </row>
    <row r="907">
      <c r="A907" s="3" t="str">
        <f>IFERROR(__xludf.DUMMYFUNCTION("""COMPUTED_VALUE"""),"")</f>
        <v/>
      </c>
      <c r="B907" s="3"/>
      <c r="C907" s="3"/>
      <c r="D907" s="3"/>
      <c r="E907" s="3"/>
      <c r="F907" s="3"/>
    </row>
    <row r="908">
      <c r="A908" s="3" t="str">
        <f>IFERROR(__xludf.DUMMYFUNCTION("""COMPUTED_VALUE"""),"")</f>
        <v/>
      </c>
      <c r="B908" s="3"/>
      <c r="C908" s="3"/>
      <c r="D908" s="3"/>
      <c r="E908" s="3"/>
      <c r="F908" s="3"/>
    </row>
    <row r="909">
      <c r="A909" s="3" t="str">
        <f>IFERROR(__xludf.DUMMYFUNCTION("""COMPUTED_VALUE"""),"")</f>
        <v/>
      </c>
      <c r="B909" s="3"/>
      <c r="C909" s="3"/>
      <c r="D909" s="3"/>
      <c r="E909" s="3"/>
      <c r="F909" s="3"/>
    </row>
    <row r="910">
      <c r="A910" s="3" t="str">
        <f>IFERROR(__xludf.DUMMYFUNCTION("""COMPUTED_VALUE"""),"")</f>
        <v/>
      </c>
      <c r="B910" s="3"/>
      <c r="C910" s="3"/>
      <c r="D910" s="3"/>
      <c r="E910" s="3"/>
      <c r="F910" s="3"/>
    </row>
    <row r="911">
      <c r="A911" s="3" t="str">
        <f>IFERROR(__xludf.DUMMYFUNCTION("""COMPUTED_VALUE"""),"")</f>
        <v/>
      </c>
      <c r="B911" s="3"/>
      <c r="C911" s="3"/>
      <c r="D911" s="3"/>
      <c r="E911" s="3"/>
      <c r="F911" s="3"/>
    </row>
    <row r="912">
      <c r="A912" s="3" t="str">
        <f>IFERROR(__xludf.DUMMYFUNCTION("""COMPUTED_VALUE"""),"")</f>
        <v/>
      </c>
      <c r="B912" s="3"/>
      <c r="C912" s="3"/>
      <c r="D912" s="3"/>
      <c r="E912" s="3"/>
      <c r="F912" s="3"/>
    </row>
    <row r="913">
      <c r="A913" s="3" t="str">
        <f>IFERROR(__xludf.DUMMYFUNCTION("""COMPUTED_VALUE"""),"")</f>
        <v/>
      </c>
      <c r="B913" s="3"/>
      <c r="C913" s="3"/>
      <c r="D913" s="3"/>
      <c r="E913" s="3"/>
      <c r="F913" s="3"/>
    </row>
    <row r="914">
      <c r="A914" s="3" t="str">
        <f>IFERROR(__xludf.DUMMYFUNCTION("""COMPUTED_VALUE"""),"")</f>
        <v/>
      </c>
      <c r="B914" s="3"/>
      <c r="C914" s="3"/>
      <c r="D914" s="3"/>
      <c r="E914" s="3"/>
      <c r="F914" s="3"/>
    </row>
    <row r="915">
      <c r="A915" s="3" t="str">
        <f>IFERROR(__xludf.DUMMYFUNCTION("""COMPUTED_VALUE"""),"")</f>
        <v/>
      </c>
      <c r="B915" s="3"/>
      <c r="C915" s="3"/>
      <c r="D915" s="3"/>
      <c r="E915" s="3"/>
      <c r="F915" s="3"/>
    </row>
    <row r="916">
      <c r="A916" s="3" t="str">
        <f>IFERROR(__xludf.DUMMYFUNCTION("""COMPUTED_VALUE"""),"")</f>
        <v/>
      </c>
      <c r="B916" s="3"/>
      <c r="C916" s="3"/>
      <c r="D916" s="3"/>
      <c r="E916" s="3"/>
      <c r="F916" s="3"/>
    </row>
    <row r="917">
      <c r="A917" s="3" t="str">
        <f>IFERROR(__xludf.DUMMYFUNCTION("""COMPUTED_VALUE"""),"")</f>
        <v/>
      </c>
      <c r="B917" s="3"/>
      <c r="C917" s="3"/>
      <c r="D917" s="3"/>
      <c r="E917" s="3"/>
      <c r="F917" s="3"/>
    </row>
    <row r="918">
      <c r="A918" s="3" t="str">
        <f>IFERROR(__xludf.DUMMYFUNCTION("""COMPUTED_VALUE"""),"")</f>
        <v/>
      </c>
      <c r="B918" s="3"/>
      <c r="C918" s="3"/>
      <c r="D918" s="3"/>
      <c r="E918" s="3"/>
      <c r="F918" s="3"/>
    </row>
    <row r="919">
      <c r="A919" s="3" t="str">
        <f>IFERROR(__xludf.DUMMYFUNCTION("""COMPUTED_VALUE"""),"")</f>
        <v/>
      </c>
      <c r="B919" s="3"/>
      <c r="C919" s="3"/>
      <c r="D919" s="3"/>
      <c r="E919" s="3"/>
      <c r="F919" s="3"/>
    </row>
    <row r="920">
      <c r="A920" s="3" t="str">
        <f>IFERROR(__xludf.DUMMYFUNCTION("""COMPUTED_VALUE"""),"")</f>
        <v/>
      </c>
      <c r="B920" s="3"/>
      <c r="C920" s="3"/>
      <c r="D920" s="3"/>
      <c r="E920" s="3"/>
      <c r="F920" s="3"/>
    </row>
    <row r="921">
      <c r="A921" s="3" t="str">
        <f>IFERROR(__xludf.DUMMYFUNCTION("""COMPUTED_VALUE"""),"")</f>
        <v/>
      </c>
      <c r="B921" s="3"/>
      <c r="C921" s="3"/>
      <c r="D921" s="3"/>
      <c r="E921" s="3"/>
      <c r="F921" s="3"/>
    </row>
    <row r="922">
      <c r="A922" s="3" t="str">
        <f>IFERROR(__xludf.DUMMYFUNCTION("""COMPUTED_VALUE"""),"")</f>
        <v/>
      </c>
      <c r="B922" s="3"/>
      <c r="C922" s="3"/>
      <c r="D922" s="3"/>
      <c r="E922" s="3"/>
      <c r="F922" s="3"/>
    </row>
    <row r="923">
      <c r="A923" s="3" t="str">
        <f>IFERROR(__xludf.DUMMYFUNCTION("""COMPUTED_VALUE"""),"")</f>
        <v/>
      </c>
      <c r="B923" s="3"/>
      <c r="C923" s="3"/>
      <c r="D923" s="3"/>
      <c r="E923" s="3"/>
      <c r="F923" s="3"/>
    </row>
    <row r="924">
      <c r="A924" s="3" t="str">
        <f>IFERROR(__xludf.DUMMYFUNCTION("""COMPUTED_VALUE"""),"")</f>
        <v/>
      </c>
      <c r="B924" s="3"/>
      <c r="C924" s="3"/>
      <c r="D924" s="3"/>
      <c r="E924" s="3"/>
      <c r="F924" s="3"/>
    </row>
    <row r="925">
      <c r="A925" s="3" t="str">
        <f>IFERROR(__xludf.DUMMYFUNCTION("""COMPUTED_VALUE"""),"")</f>
        <v/>
      </c>
      <c r="B925" s="3"/>
      <c r="C925" s="3"/>
      <c r="D925" s="3"/>
      <c r="E925" s="3"/>
      <c r="F925" s="3"/>
    </row>
    <row r="926">
      <c r="A926" s="3" t="str">
        <f>IFERROR(__xludf.DUMMYFUNCTION("""COMPUTED_VALUE"""),"")</f>
        <v/>
      </c>
      <c r="B926" s="3"/>
      <c r="C926" s="3"/>
      <c r="D926" s="3"/>
      <c r="E926" s="3"/>
      <c r="F926" s="3"/>
    </row>
    <row r="927">
      <c r="A927" s="3" t="str">
        <f>IFERROR(__xludf.DUMMYFUNCTION("""COMPUTED_VALUE"""),"")</f>
        <v/>
      </c>
      <c r="B927" s="3"/>
      <c r="C927" s="3"/>
      <c r="D927" s="3"/>
      <c r="E927" s="3"/>
      <c r="F927" s="3"/>
    </row>
    <row r="928">
      <c r="A928" s="3" t="str">
        <f>IFERROR(__xludf.DUMMYFUNCTION("""COMPUTED_VALUE"""),"")</f>
        <v/>
      </c>
      <c r="B928" s="3"/>
      <c r="C928" s="3"/>
      <c r="D928" s="3"/>
      <c r="E928" s="3"/>
      <c r="F928" s="3"/>
    </row>
    <row r="929">
      <c r="A929" s="3" t="str">
        <f>IFERROR(__xludf.DUMMYFUNCTION("""COMPUTED_VALUE"""),"")</f>
        <v/>
      </c>
      <c r="B929" s="3"/>
      <c r="C929" s="3"/>
      <c r="D929" s="3"/>
      <c r="E929" s="3"/>
      <c r="F929" s="3"/>
    </row>
    <row r="930">
      <c r="A930" s="3" t="str">
        <f>IFERROR(__xludf.DUMMYFUNCTION("""COMPUTED_VALUE"""),"")</f>
        <v/>
      </c>
      <c r="B930" s="3"/>
      <c r="C930" s="3"/>
      <c r="D930" s="3"/>
      <c r="E930" s="3"/>
      <c r="F930" s="3"/>
    </row>
    <row r="931">
      <c r="A931" s="3" t="str">
        <f>IFERROR(__xludf.DUMMYFUNCTION("""COMPUTED_VALUE"""),"")</f>
        <v/>
      </c>
      <c r="B931" s="3"/>
      <c r="C931" s="3"/>
      <c r="D931" s="3"/>
      <c r="E931" s="3"/>
      <c r="F931" s="3"/>
    </row>
    <row r="932">
      <c r="A932" s="3" t="str">
        <f>IFERROR(__xludf.DUMMYFUNCTION("""COMPUTED_VALUE"""),"")</f>
        <v/>
      </c>
      <c r="B932" s="3"/>
      <c r="C932" s="3"/>
      <c r="D932" s="3"/>
      <c r="E932" s="3"/>
      <c r="F932" s="3"/>
    </row>
    <row r="933">
      <c r="A933" s="3" t="str">
        <f>IFERROR(__xludf.DUMMYFUNCTION("""COMPUTED_VALUE"""),"")</f>
        <v/>
      </c>
      <c r="B933" s="3"/>
      <c r="C933" s="3"/>
      <c r="D933" s="3"/>
      <c r="E933" s="3"/>
      <c r="F933" s="3"/>
    </row>
    <row r="934">
      <c r="A934" s="3" t="str">
        <f>IFERROR(__xludf.DUMMYFUNCTION("""COMPUTED_VALUE"""),"")</f>
        <v/>
      </c>
      <c r="B934" s="3"/>
      <c r="C934" s="3"/>
      <c r="D934" s="3"/>
      <c r="E934" s="3"/>
      <c r="F934" s="3"/>
    </row>
    <row r="935">
      <c r="A935" s="3" t="str">
        <f>IFERROR(__xludf.DUMMYFUNCTION("""COMPUTED_VALUE"""),"")</f>
        <v/>
      </c>
      <c r="B935" s="3"/>
      <c r="C935" s="3"/>
      <c r="D935" s="3"/>
      <c r="E935" s="3"/>
      <c r="F935" s="3"/>
    </row>
    <row r="936">
      <c r="A936" s="3" t="str">
        <f>IFERROR(__xludf.DUMMYFUNCTION("""COMPUTED_VALUE"""),"")</f>
        <v/>
      </c>
      <c r="B936" s="3"/>
      <c r="C936" s="3"/>
      <c r="D936" s="3"/>
      <c r="E936" s="3"/>
      <c r="F936" s="3"/>
    </row>
    <row r="937">
      <c r="A937" s="3" t="str">
        <f>IFERROR(__xludf.DUMMYFUNCTION("""COMPUTED_VALUE"""),"")</f>
        <v/>
      </c>
      <c r="B937" s="3"/>
      <c r="C937" s="3"/>
      <c r="D937" s="3"/>
      <c r="E937" s="3"/>
      <c r="F937" s="3"/>
    </row>
    <row r="938">
      <c r="A938" s="3" t="str">
        <f>IFERROR(__xludf.DUMMYFUNCTION("""COMPUTED_VALUE"""),"")</f>
        <v/>
      </c>
      <c r="B938" s="3"/>
      <c r="C938" s="3"/>
      <c r="D938" s="3"/>
      <c r="E938" s="3"/>
      <c r="F938" s="3"/>
    </row>
    <row r="939">
      <c r="A939" s="3" t="str">
        <f>IFERROR(__xludf.DUMMYFUNCTION("""COMPUTED_VALUE"""),"")</f>
        <v/>
      </c>
      <c r="B939" s="3"/>
      <c r="C939" s="3"/>
      <c r="D939" s="3"/>
      <c r="E939" s="3"/>
      <c r="F939" s="3"/>
    </row>
    <row r="940">
      <c r="A940" s="3" t="str">
        <f>IFERROR(__xludf.DUMMYFUNCTION("""COMPUTED_VALUE"""),"")</f>
        <v/>
      </c>
      <c r="B940" s="3"/>
      <c r="C940" s="3"/>
      <c r="D940" s="3"/>
      <c r="E940" s="3"/>
      <c r="F940" s="3"/>
    </row>
    <row r="941">
      <c r="A941" s="3" t="str">
        <f>IFERROR(__xludf.DUMMYFUNCTION("""COMPUTED_VALUE"""),"")</f>
        <v/>
      </c>
      <c r="B941" s="3"/>
      <c r="C941" s="3"/>
      <c r="D941" s="3"/>
      <c r="E941" s="3"/>
      <c r="F941" s="3"/>
    </row>
    <row r="942">
      <c r="A942" s="3" t="str">
        <f>IFERROR(__xludf.DUMMYFUNCTION("""COMPUTED_VALUE"""),"")</f>
        <v/>
      </c>
      <c r="B942" s="3"/>
      <c r="C942" s="3"/>
      <c r="D942" s="3"/>
      <c r="E942" s="3"/>
      <c r="F942" s="3"/>
    </row>
    <row r="943">
      <c r="A943" s="3" t="str">
        <f>IFERROR(__xludf.DUMMYFUNCTION("""COMPUTED_VALUE"""),"")</f>
        <v/>
      </c>
      <c r="B943" s="3"/>
      <c r="C943" s="3"/>
      <c r="D943" s="3"/>
      <c r="E943" s="3"/>
      <c r="F943" s="3"/>
    </row>
    <row r="944">
      <c r="A944" s="3" t="str">
        <f>IFERROR(__xludf.DUMMYFUNCTION("""COMPUTED_VALUE"""),"")</f>
        <v/>
      </c>
      <c r="B944" s="3"/>
      <c r="C944" s="3"/>
      <c r="D944" s="3"/>
      <c r="E944" s="3"/>
      <c r="F944" s="3"/>
    </row>
    <row r="945">
      <c r="A945" s="3" t="str">
        <f>IFERROR(__xludf.DUMMYFUNCTION("""COMPUTED_VALUE"""),"")</f>
        <v/>
      </c>
      <c r="B945" s="3"/>
      <c r="C945" s="3"/>
      <c r="D945" s="3"/>
      <c r="E945" s="3"/>
      <c r="F945" s="3"/>
    </row>
    <row r="946">
      <c r="A946" s="3" t="str">
        <f>IFERROR(__xludf.DUMMYFUNCTION("""COMPUTED_VALUE"""),"")</f>
        <v/>
      </c>
      <c r="B946" s="3"/>
      <c r="C946" s="3"/>
      <c r="D946" s="3"/>
      <c r="E946" s="3"/>
      <c r="F946" s="3"/>
    </row>
    <row r="947">
      <c r="A947" s="3" t="str">
        <f>IFERROR(__xludf.DUMMYFUNCTION("""COMPUTED_VALUE"""),"")</f>
        <v/>
      </c>
      <c r="B947" s="3"/>
      <c r="C947" s="3"/>
      <c r="D947" s="3"/>
      <c r="E947" s="3"/>
      <c r="F947" s="3"/>
    </row>
    <row r="948">
      <c r="A948" s="3" t="str">
        <f>IFERROR(__xludf.DUMMYFUNCTION("""COMPUTED_VALUE"""),"")</f>
        <v/>
      </c>
      <c r="B948" s="3"/>
      <c r="C948" s="3"/>
      <c r="D948" s="3"/>
      <c r="E948" s="3"/>
      <c r="F948" s="3"/>
    </row>
    <row r="949">
      <c r="A949" s="3" t="str">
        <f>IFERROR(__xludf.DUMMYFUNCTION("""COMPUTED_VALUE"""),"")</f>
        <v/>
      </c>
      <c r="B949" s="3"/>
      <c r="C949" s="3"/>
      <c r="D949" s="3"/>
      <c r="E949" s="3"/>
      <c r="F949" s="3"/>
    </row>
    <row r="950">
      <c r="A950" s="3" t="str">
        <f>IFERROR(__xludf.DUMMYFUNCTION("""COMPUTED_VALUE"""),"")</f>
        <v/>
      </c>
      <c r="B950" s="3"/>
      <c r="C950" s="3"/>
      <c r="D950" s="3"/>
      <c r="E950" s="3"/>
      <c r="F950" s="3"/>
    </row>
    <row r="951">
      <c r="A951" s="3" t="str">
        <f>IFERROR(__xludf.DUMMYFUNCTION("""COMPUTED_VALUE"""),"")</f>
        <v/>
      </c>
      <c r="B951" s="3"/>
      <c r="C951" s="3"/>
      <c r="D951" s="3"/>
      <c r="E951" s="3"/>
      <c r="F951" s="3"/>
    </row>
    <row r="952">
      <c r="A952" s="3" t="str">
        <f>IFERROR(__xludf.DUMMYFUNCTION("""COMPUTED_VALUE"""),"")</f>
        <v/>
      </c>
      <c r="B952" s="3"/>
      <c r="C952" s="3"/>
      <c r="D952" s="3"/>
      <c r="E952" s="3"/>
      <c r="F952" s="3"/>
    </row>
    <row r="953">
      <c r="A953" s="3" t="str">
        <f>IFERROR(__xludf.DUMMYFUNCTION("""COMPUTED_VALUE"""),"")</f>
        <v/>
      </c>
      <c r="B953" s="3"/>
      <c r="C953" s="3"/>
      <c r="D953" s="3"/>
      <c r="E953" s="3"/>
      <c r="F953" s="3"/>
    </row>
    <row r="954">
      <c r="A954" s="3" t="str">
        <f>IFERROR(__xludf.DUMMYFUNCTION("""COMPUTED_VALUE"""),"")</f>
        <v/>
      </c>
      <c r="B954" s="3"/>
      <c r="C954" s="3"/>
      <c r="D954" s="3"/>
      <c r="E954" s="3"/>
      <c r="F954" s="3"/>
    </row>
    <row r="955">
      <c r="A955" s="3" t="str">
        <f>IFERROR(__xludf.DUMMYFUNCTION("""COMPUTED_VALUE"""),"")</f>
        <v/>
      </c>
      <c r="B955" s="3"/>
      <c r="C955" s="3"/>
      <c r="D955" s="3"/>
      <c r="E955" s="3"/>
      <c r="F955" s="3"/>
    </row>
    <row r="956">
      <c r="A956" s="3" t="str">
        <f>IFERROR(__xludf.DUMMYFUNCTION("""COMPUTED_VALUE"""),"")</f>
        <v/>
      </c>
      <c r="B956" s="3"/>
      <c r="C956" s="3"/>
      <c r="D956" s="3"/>
      <c r="E956" s="3"/>
      <c r="F956" s="3"/>
    </row>
    <row r="957">
      <c r="A957" s="3" t="str">
        <f>IFERROR(__xludf.DUMMYFUNCTION("""COMPUTED_VALUE"""),"")</f>
        <v/>
      </c>
      <c r="B957" s="3"/>
      <c r="C957" s="3"/>
      <c r="D957" s="3"/>
      <c r="E957" s="3"/>
      <c r="F957" s="3"/>
    </row>
    <row r="958">
      <c r="A958" s="3" t="str">
        <f>IFERROR(__xludf.DUMMYFUNCTION("""COMPUTED_VALUE"""),"")</f>
        <v/>
      </c>
      <c r="B958" s="3"/>
      <c r="C958" s="3"/>
      <c r="D958" s="3"/>
      <c r="E958" s="3"/>
      <c r="F958" s="3"/>
    </row>
    <row r="959">
      <c r="A959" s="3" t="str">
        <f>IFERROR(__xludf.DUMMYFUNCTION("""COMPUTED_VALUE"""),"")</f>
        <v/>
      </c>
      <c r="B959" s="3"/>
      <c r="C959" s="3"/>
      <c r="D959" s="3"/>
      <c r="E959" s="3"/>
      <c r="F959" s="3"/>
    </row>
    <row r="960">
      <c r="A960" s="3" t="str">
        <f>IFERROR(__xludf.DUMMYFUNCTION("""COMPUTED_VALUE"""),"")</f>
        <v/>
      </c>
      <c r="B960" s="3"/>
      <c r="C960" s="3"/>
      <c r="D960" s="3"/>
      <c r="E960" s="3"/>
      <c r="F960" s="3"/>
    </row>
    <row r="961">
      <c r="A961" s="3" t="str">
        <f>IFERROR(__xludf.DUMMYFUNCTION("""COMPUTED_VALUE"""),"")</f>
        <v/>
      </c>
      <c r="B961" s="3"/>
      <c r="C961" s="3"/>
      <c r="D961" s="3"/>
      <c r="E961" s="3"/>
      <c r="F961" s="3"/>
    </row>
    <row r="962">
      <c r="A962" s="3" t="str">
        <f>IFERROR(__xludf.DUMMYFUNCTION("""COMPUTED_VALUE"""),"")</f>
        <v/>
      </c>
      <c r="B962" s="3"/>
      <c r="C962" s="3"/>
      <c r="D962" s="3"/>
      <c r="E962" s="3"/>
      <c r="F962" s="3"/>
    </row>
    <row r="963">
      <c r="A963" s="3" t="str">
        <f>IFERROR(__xludf.DUMMYFUNCTION("""COMPUTED_VALUE"""),"")</f>
        <v/>
      </c>
      <c r="B963" s="3"/>
      <c r="C963" s="3"/>
      <c r="D963" s="3"/>
      <c r="E963" s="3"/>
      <c r="F963" s="3"/>
    </row>
    <row r="964">
      <c r="A964" s="3" t="str">
        <f>IFERROR(__xludf.DUMMYFUNCTION("""COMPUTED_VALUE"""),"")</f>
        <v/>
      </c>
      <c r="B964" s="3"/>
      <c r="C964" s="3"/>
      <c r="D964" s="3"/>
      <c r="E964" s="3"/>
      <c r="F964" s="3"/>
    </row>
    <row r="965">
      <c r="A965" s="3" t="str">
        <f>IFERROR(__xludf.DUMMYFUNCTION("""COMPUTED_VALUE"""),"")</f>
        <v/>
      </c>
      <c r="B965" s="3"/>
      <c r="C965" s="3"/>
      <c r="D965" s="3"/>
      <c r="E965" s="3"/>
      <c r="F965" s="3"/>
    </row>
    <row r="966">
      <c r="A966" s="3" t="str">
        <f>IFERROR(__xludf.DUMMYFUNCTION("""COMPUTED_VALUE"""),"")</f>
        <v/>
      </c>
      <c r="B966" s="3"/>
      <c r="C966" s="3"/>
      <c r="D966" s="3"/>
      <c r="E966" s="3"/>
      <c r="F966" s="3"/>
    </row>
    <row r="967">
      <c r="A967" s="3" t="str">
        <f>IFERROR(__xludf.DUMMYFUNCTION("""COMPUTED_VALUE"""),"")</f>
        <v/>
      </c>
      <c r="B967" s="3"/>
      <c r="C967" s="3"/>
      <c r="D967" s="3"/>
      <c r="E967" s="3"/>
      <c r="F967" s="3"/>
    </row>
    <row r="968">
      <c r="A968" s="3" t="str">
        <f>IFERROR(__xludf.DUMMYFUNCTION("""COMPUTED_VALUE"""),"")</f>
        <v/>
      </c>
      <c r="B968" s="3"/>
      <c r="C968" s="3"/>
      <c r="D968" s="3"/>
      <c r="E968" s="3"/>
      <c r="F968" s="3"/>
    </row>
    <row r="969">
      <c r="A969" s="3" t="str">
        <f>IFERROR(__xludf.DUMMYFUNCTION("""COMPUTED_VALUE"""),"")</f>
        <v/>
      </c>
      <c r="B969" s="3"/>
      <c r="C969" s="3"/>
      <c r="D969" s="3"/>
      <c r="E969" s="3"/>
      <c r="F969" s="3"/>
    </row>
    <row r="970">
      <c r="A970" s="3" t="str">
        <f>IFERROR(__xludf.DUMMYFUNCTION("""COMPUTED_VALUE"""),"")</f>
        <v/>
      </c>
      <c r="B970" s="3"/>
      <c r="C970" s="3"/>
      <c r="D970" s="3"/>
      <c r="E970" s="3"/>
      <c r="F970" s="3"/>
    </row>
    <row r="971">
      <c r="A971" s="3" t="str">
        <f>IFERROR(__xludf.DUMMYFUNCTION("""COMPUTED_VALUE"""),"")</f>
        <v/>
      </c>
      <c r="B971" s="3"/>
      <c r="C971" s="3"/>
      <c r="D971" s="3"/>
      <c r="E971" s="3"/>
      <c r="F971" s="3"/>
    </row>
    <row r="972">
      <c r="A972" s="3" t="str">
        <f>IFERROR(__xludf.DUMMYFUNCTION("""COMPUTED_VALUE"""),"")</f>
        <v/>
      </c>
      <c r="B972" s="3"/>
      <c r="C972" s="3"/>
      <c r="D972" s="3"/>
      <c r="E972" s="3"/>
      <c r="F972" s="3"/>
    </row>
    <row r="973">
      <c r="A973" s="3" t="str">
        <f>IFERROR(__xludf.DUMMYFUNCTION("""COMPUTED_VALUE"""),"")</f>
        <v/>
      </c>
      <c r="B973" s="3"/>
      <c r="C973" s="3"/>
      <c r="D973" s="3"/>
      <c r="E973" s="3"/>
      <c r="F973" s="3"/>
    </row>
    <row r="974">
      <c r="A974" s="3" t="str">
        <f>IFERROR(__xludf.DUMMYFUNCTION("""COMPUTED_VALUE"""),"")</f>
        <v/>
      </c>
      <c r="B974" s="3"/>
      <c r="C974" s="3"/>
      <c r="D974" s="3"/>
      <c r="E974" s="3"/>
      <c r="F974" s="3"/>
    </row>
    <row r="975">
      <c r="A975" s="3" t="str">
        <f>IFERROR(__xludf.DUMMYFUNCTION("""COMPUTED_VALUE"""),"")</f>
        <v/>
      </c>
      <c r="B975" s="3"/>
      <c r="C975" s="3"/>
      <c r="D975" s="3"/>
      <c r="E975" s="3"/>
      <c r="F975" s="3"/>
    </row>
    <row r="976">
      <c r="A976" s="3" t="str">
        <f>IFERROR(__xludf.DUMMYFUNCTION("""COMPUTED_VALUE"""),"")</f>
        <v/>
      </c>
      <c r="B976" s="3"/>
      <c r="C976" s="3"/>
      <c r="D976" s="3"/>
      <c r="E976" s="3"/>
      <c r="F976" s="3"/>
    </row>
    <row r="977">
      <c r="A977" s="3" t="str">
        <f>IFERROR(__xludf.DUMMYFUNCTION("""COMPUTED_VALUE"""),"")</f>
        <v/>
      </c>
      <c r="B977" s="3"/>
      <c r="C977" s="3"/>
      <c r="D977" s="3"/>
      <c r="E977" s="3"/>
      <c r="F977" s="3"/>
    </row>
    <row r="978">
      <c r="A978" s="3" t="str">
        <f>IFERROR(__xludf.DUMMYFUNCTION("""COMPUTED_VALUE"""),"")</f>
        <v/>
      </c>
      <c r="B978" s="3"/>
      <c r="C978" s="3"/>
      <c r="D978" s="3"/>
      <c r="E978" s="3"/>
      <c r="F978" s="3"/>
    </row>
    <row r="979">
      <c r="A979" s="3" t="str">
        <f>IFERROR(__xludf.DUMMYFUNCTION("""COMPUTED_VALUE"""),"")</f>
        <v/>
      </c>
      <c r="B979" s="3"/>
      <c r="C979" s="3"/>
      <c r="D979" s="3"/>
      <c r="E979" s="3"/>
      <c r="F979" s="3"/>
    </row>
    <row r="980">
      <c r="A980" s="3" t="str">
        <f>IFERROR(__xludf.DUMMYFUNCTION("""COMPUTED_VALUE"""),"")</f>
        <v/>
      </c>
      <c r="B980" s="3"/>
      <c r="C980" s="3"/>
      <c r="D980" s="3"/>
      <c r="E980" s="3"/>
      <c r="F980" s="3"/>
    </row>
    <row r="981">
      <c r="A981" s="3" t="str">
        <f>IFERROR(__xludf.DUMMYFUNCTION("""COMPUTED_VALUE"""),"")</f>
        <v/>
      </c>
      <c r="B981" s="3"/>
      <c r="C981" s="3"/>
      <c r="D981" s="3"/>
      <c r="E981" s="3"/>
      <c r="F981" s="3"/>
    </row>
    <row r="982">
      <c r="A982" s="3" t="str">
        <f>IFERROR(__xludf.DUMMYFUNCTION("""COMPUTED_VALUE"""),"")</f>
        <v/>
      </c>
      <c r="B982" s="3"/>
      <c r="C982" s="3"/>
      <c r="D982" s="3"/>
      <c r="E982" s="3"/>
      <c r="F982" s="3"/>
    </row>
    <row r="983">
      <c r="A983" s="3" t="str">
        <f>IFERROR(__xludf.DUMMYFUNCTION("""COMPUTED_VALUE"""),"")</f>
        <v/>
      </c>
      <c r="B983" s="3"/>
      <c r="C983" s="3"/>
      <c r="D983" s="3"/>
      <c r="E983" s="3"/>
      <c r="F983" s="3"/>
    </row>
    <row r="984">
      <c r="A984" s="3" t="str">
        <f>IFERROR(__xludf.DUMMYFUNCTION("""COMPUTED_VALUE"""),"")</f>
        <v/>
      </c>
      <c r="B984" s="3"/>
      <c r="C984" s="3"/>
      <c r="D984" s="3"/>
      <c r="E984" s="3"/>
      <c r="F984" s="3"/>
    </row>
    <row r="985">
      <c r="A985" s="3" t="str">
        <f>IFERROR(__xludf.DUMMYFUNCTION("""COMPUTED_VALUE"""),"")</f>
        <v/>
      </c>
      <c r="B985" s="3"/>
      <c r="C985" s="3"/>
      <c r="D985" s="3"/>
      <c r="E985" s="3"/>
      <c r="F985" s="3"/>
    </row>
    <row r="986">
      <c r="A986" s="3" t="str">
        <f>IFERROR(__xludf.DUMMYFUNCTION("""COMPUTED_VALUE"""),"")</f>
        <v/>
      </c>
      <c r="B986" s="3"/>
      <c r="C986" s="3"/>
      <c r="D986" s="3"/>
      <c r="E986" s="3"/>
      <c r="F986" s="3"/>
    </row>
    <row r="987">
      <c r="A987" s="3" t="str">
        <f>IFERROR(__xludf.DUMMYFUNCTION("""COMPUTED_VALUE"""),"")</f>
        <v/>
      </c>
      <c r="B987" s="3"/>
      <c r="C987" s="3"/>
      <c r="D987" s="3"/>
      <c r="E987" s="3"/>
      <c r="F987" s="3"/>
    </row>
    <row r="988">
      <c r="A988" s="3" t="str">
        <f>IFERROR(__xludf.DUMMYFUNCTION("""COMPUTED_VALUE"""),"")</f>
        <v/>
      </c>
      <c r="B988" s="3"/>
      <c r="C988" s="3"/>
      <c r="D988" s="3"/>
      <c r="E988" s="3"/>
      <c r="F988" s="3"/>
    </row>
    <row r="989">
      <c r="A989" s="3" t="str">
        <f>IFERROR(__xludf.DUMMYFUNCTION("""COMPUTED_VALUE"""),"")</f>
        <v/>
      </c>
      <c r="B989" s="3"/>
      <c r="C989" s="3"/>
      <c r="D989" s="3"/>
      <c r="E989" s="3"/>
      <c r="F989" s="3"/>
    </row>
    <row r="990">
      <c r="A990" s="3" t="str">
        <f>IFERROR(__xludf.DUMMYFUNCTION("""COMPUTED_VALUE"""),"")</f>
        <v/>
      </c>
      <c r="B990" s="3"/>
      <c r="C990" s="3"/>
      <c r="D990" s="3"/>
      <c r="E990" s="3"/>
      <c r="F990" s="3"/>
    </row>
    <row r="991">
      <c r="A991" s="3" t="str">
        <f>IFERROR(__xludf.DUMMYFUNCTION("""COMPUTED_VALUE"""),"")</f>
        <v/>
      </c>
      <c r="B991" s="3"/>
      <c r="C991" s="3"/>
      <c r="D991" s="3"/>
      <c r="E991" s="3"/>
      <c r="F991" s="3"/>
    </row>
    <row r="992">
      <c r="A992" s="3" t="str">
        <f>IFERROR(__xludf.DUMMYFUNCTION("""COMPUTED_VALUE"""),"")</f>
        <v/>
      </c>
      <c r="B992" s="3"/>
      <c r="C992" s="3"/>
      <c r="D992" s="3"/>
      <c r="E992" s="3"/>
      <c r="F992" s="3"/>
    </row>
    <row r="993">
      <c r="A993" s="3" t="str">
        <f>IFERROR(__xludf.DUMMYFUNCTION("""COMPUTED_VALUE"""),"")</f>
        <v/>
      </c>
      <c r="B993" s="3"/>
      <c r="C993" s="3"/>
      <c r="D993" s="3"/>
      <c r="E993" s="3"/>
      <c r="F993" s="3"/>
    </row>
    <row r="994">
      <c r="A994" s="3" t="str">
        <f>IFERROR(__xludf.DUMMYFUNCTION("""COMPUTED_VALUE"""),"")</f>
        <v/>
      </c>
      <c r="B994" s="3"/>
      <c r="C994" s="3"/>
      <c r="D994" s="3"/>
      <c r="E994" s="3"/>
      <c r="F994" s="3"/>
    </row>
    <row r="995">
      <c r="A995" s="3" t="str">
        <f>IFERROR(__xludf.DUMMYFUNCTION("""COMPUTED_VALUE"""),"")</f>
        <v/>
      </c>
      <c r="B995" s="3"/>
      <c r="C995" s="3"/>
      <c r="D995" s="3"/>
      <c r="E995" s="3"/>
      <c r="F995" s="3"/>
    </row>
    <row r="996">
      <c r="A996" s="3" t="str">
        <f>IFERROR(__xludf.DUMMYFUNCTION("""COMPUTED_VALUE"""),"")</f>
        <v/>
      </c>
      <c r="B996" s="3"/>
      <c r="C996" s="3"/>
      <c r="D996" s="3"/>
      <c r="E996" s="3"/>
      <c r="F996" s="3"/>
    </row>
    <row r="997">
      <c r="A997" s="3" t="str">
        <f>IFERROR(__xludf.DUMMYFUNCTION("""COMPUTED_VALUE"""),"")</f>
        <v/>
      </c>
      <c r="B997" s="3"/>
      <c r="C997" s="3"/>
      <c r="D997" s="3"/>
      <c r="E997" s="3"/>
      <c r="F997" s="3"/>
    </row>
    <row r="998">
      <c r="A998" s="3" t="str">
        <f>IFERROR(__xludf.DUMMYFUNCTION("""COMPUTED_VALUE"""),"")</f>
        <v/>
      </c>
      <c r="B998" s="3"/>
      <c r="C998" s="3"/>
      <c r="D998" s="3"/>
      <c r="E998" s="3"/>
      <c r="F998" s="3"/>
    </row>
    <row r="999">
      <c r="A999" s="3" t="str">
        <f>IFERROR(__xludf.DUMMYFUNCTION("""COMPUTED_VALUE"""),"")</f>
        <v/>
      </c>
      <c r="B999" s="3"/>
      <c r="C999" s="3"/>
      <c r="D999" s="3"/>
      <c r="E999" s="3"/>
      <c r="F99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15</v>
      </c>
      <c r="E1" s="3" t="s">
        <v>16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15</v>
      </c>
    </row>
    <row r="3">
      <c r="A3" s="3" t="s">
        <v>6</v>
      </c>
      <c r="B3" s="3" t="s">
        <v>7</v>
      </c>
      <c r="C3" s="3" t="s">
        <v>8</v>
      </c>
      <c r="D3" s="3" t="s">
        <v>11</v>
      </c>
      <c r="E3" s="3" t="s">
        <v>15</v>
      </c>
    </row>
    <row r="4">
      <c r="A4" s="3" t="s">
        <v>6</v>
      </c>
      <c r="B4" s="3" t="s">
        <v>7</v>
      </c>
      <c r="C4" s="3" t="s">
        <v>13</v>
      </c>
      <c r="D4" s="3" t="s">
        <v>17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15</v>
      </c>
      <c r="F5" s="3" t="s">
        <v>16</v>
      </c>
      <c r="G5" s="3" t="s">
        <v>17</v>
      </c>
    </row>
    <row r="6">
      <c r="A6" s="3" t="s">
        <v>6</v>
      </c>
      <c r="B6" s="3" t="s">
        <v>7</v>
      </c>
      <c r="C6" s="3" t="s">
        <v>13</v>
      </c>
      <c r="D6" s="3" t="s">
        <v>15</v>
      </c>
    </row>
    <row r="7">
      <c r="A7" s="3" t="s">
        <v>6</v>
      </c>
      <c r="B7" s="3" t="s">
        <v>7</v>
      </c>
      <c r="C7" s="3" t="s">
        <v>11</v>
      </c>
      <c r="D7" s="3" t="s">
        <v>12</v>
      </c>
      <c r="E7" s="3" t="s">
        <v>14</v>
      </c>
      <c r="F7" s="3" t="s">
        <v>18</v>
      </c>
    </row>
    <row r="8">
      <c r="A8" s="3" t="s">
        <v>6</v>
      </c>
      <c r="B8" s="3" t="s">
        <v>7</v>
      </c>
      <c r="C8" s="3" t="s">
        <v>15</v>
      </c>
      <c r="D8" s="3" t="s">
        <v>16</v>
      </c>
    </row>
    <row r="9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17</v>
      </c>
    </row>
    <row r="10">
      <c r="A10" s="3" t="s">
        <v>6</v>
      </c>
      <c r="B10" s="3" t="s">
        <v>8</v>
      </c>
      <c r="C10" s="3" t="s">
        <v>11</v>
      </c>
      <c r="D10" s="3" t="s">
        <v>12</v>
      </c>
      <c r="E10" s="3" t="s">
        <v>17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3" t="s">
        <v>17</v>
      </c>
      <c r="F11" s="3" t="s">
        <v>18</v>
      </c>
      <c r="G11" s="3" t="s">
        <v>24</v>
      </c>
    </row>
    <row r="12">
      <c r="A12" s="3" t="s">
        <v>6</v>
      </c>
      <c r="B12" s="3" t="s">
        <v>13</v>
      </c>
      <c r="C12" s="3" t="s">
        <v>14</v>
      </c>
      <c r="D12" s="3" t="s">
        <v>15</v>
      </c>
    </row>
    <row r="13">
      <c r="A13" s="3" t="s">
        <v>6</v>
      </c>
      <c r="B13" s="3" t="s">
        <v>7</v>
      </c>
      <c r="C13" s="3" t="s">
        <v>12</v>
      </c>
      <c r="D13" s="3" t="s">
        <v>16</v>
      </c>
      <c r="E13" s="3" t="s">
        <v>17</v>
      </c>
    </row>
    <row r="14">
      <c r="A14" s="3" t="s">
        <v>6</v>
      </c>
      <c r="B14" s="3" t="s">
        <v>7</v>
      </c>
      <c r="C14" s="3" t="s">
        <v>8</v>
      </c>
      <c r="D14" s="3" t="s">
        <v>11</v>
      </c>
      <c r="E14" s="3" t="s">
        <v>15</v>
      </c>
    </row>
    <row r="15">
      <c r="A15" s="3" t="s">
        <v>6</v>
      </c>
      <c r="B15" s="3" t="s">
        <v>7</v>
      </c>
      <c r="C15" s="3" t="s">
        <v>11</v>
      </c>
      <c r="D15" s="3" t="s">
        <v>12</v>
      </c>
      <c r="E15" s="3" t="s">
        <v>13</v>
      </c>
      <c r="F15" s="3" t="s">
        <v>14</v>
      </c>
    </row>
    <row r="16">
      <c r="A16" s="3" t="s">
        <v>6</v>
      </c>
      <c r="B16" s="3" t="s">
        <v>7</v>
      </c>
      <c r="C16" s="3" t="s">
        <v>8</v>
      </c>
      <c r="D16" s="3" t="s">
        <v>11</v>
      </c>
      <c r="E16" s="3" t="s">
        <v>12</v>
      </c>
      <c r="F16" s="3" t="s">
        <v>15</v>
      </c>
      <c r="G16" s="3" t="s">
        <v>17</v>
      </c>
    </row>
    <row r="17">
      <c r="A17" s="3" t="s">
        <v>6</v>
      </c>
      <c r="B17" s="3" t="s">
        <v>13</v>
      </c>
    </row>
    <row r="18">
      <c r="A18" s="3" t="s">
        <v>6</v>
      </c>
      <c r="B18" s="3" t="s">
        <v>7</v>
      </c>
      <c r="C18" s="3" t="s">
        <v>8</v>
      </c>
      <c r="D18" s="3" t="s">
        <v>11</v>
      </c>
      <c r="E18" s="3" t="s">
        <v>12</v>
      </c>
      <c r="F18" s="3" t="s">
        <v>15</v>
      </c>
    </row>
    <row r="19">
      <c r="A19" s="3" t="s">
        <v>6</v>
      </c>
      <c r="B19" s="3" t="s">
        <v>7</v>
      </c>
      <c r="C19" s="3" t="s">
        <v>8</v>
      </c>
      <c r="D19" s="3" t="s">
        <v>11</v>
      </c>
      <c r="E19" s="3" t="s">
        <v>12</v>
      </c>
      <c r="F19" s="3" t="s">
        <v>15</v>
      </c>
      <c r="G19" s="3" t="s">
        <v>16</v>
      </c>
    </row>
    <row r="20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24</v>
      </c>
    </row>
    <row r="21">
      <c r="A21" s="3" t="s">
        <v>6</v>
      </c>
      <c r="B21" s="3" t="s">
        <v>7</v>
      </c>
      <c r="C21" s="3" t="s">
        <v>9</v>
      </c>
      <c r="D21" s="3" t="s">
        <v>15</v>
      </c>
      <c r="E21" s="3" t="s">
        <v>16</v>
      </c>
      <c r="F21" s="3" t="s">
        <v>17</v>
      </c>
    </row>
    <row r="22">
      <c r="A22" s="3" t="s">
        <v>6</v>
      </c>
    </row>
    <row r="23">
      <c r="A23" s="3" t="s">
        <v>6</v>
      </c>
      <c r="B23" s="3" t="s">
        <v>7</v>
      </c>
    </row>
    <row r="24">
      <c r="A24" s="3" t="s">
        <v>6</v>
      </c>
    </row>
    <row r="25">
      <c r="A25" s="3" t="s">
        <v>6</v>
      </c>
      <c r="B25" s="3" t="s">
        <v>7</v>
      </c>
      <c r="C25" s="3" t="s">
        <v>8</v>
      </c>
      <c r="D25" s="3" t="s">
        <v>11</v>
      </c>
      <c r="E25" s="3" t="s">
        <v>12</v>
      </c>
    </row>
    <row r="26">
      <c r="A26" s="3" t="s">
        <v>6</v>
      </c>
      <c r="B26" s="3" t="s">
        <v>11</v>
      </c>
      <c r="C26" s="3" t="s">
        <v>12</v>
      </c>
      <c r="D26" s="3" t="s">
        <v>13</v>
      </c>
      <c r="E26" s="3" t="s">
        <v>14</v>
      </c>
    </row>
    <row r="27">
      <c r="A27" s="3" t="s">
        <v>6</v>
      </c>
    </row>
    <row r="28">
      <c r="A28" s="3" t="s">
        <v>6</v>
      </c>
      <c r="B28" s="3" t="s">
        <v>11</v>
      </c>
      <c r="C28" s="3" t="s">
        <v>12</v>
      </c>
      <c r="D28" s="3" t="s">
        <v>13</v>
      </c>
      <c r="E28" s="3" t="s">
        <v>15</v>
      </c>
      <c r="F28" s="3" t="s">
        <v>17</v>
      </c>
      <c r="G28" s="3" t="s">
        <v>18</v>
      </c>
    </row>
    <row r="29">
      <c r="A29" s="3" t="s">
        <v>6</v>
      </c>
      <c r="B29" s="3" t="s">
        <v>7</v>
      </c>
      <c r="C29" s="3" t="s">
        <v>9</v>
      </c>
      <c r="D29" s="3" t="s">
        <v>13</v>
      </c>
      <c r="E29" s="3" t="s">
        <v>14</v>
      </c>
      <c r="F29" s="3" t="s">
        <v>17</v>
      </c>
      <c r="G29" s="3" t="s">
        <v>24</v>
      </c>
    </row>
    <row r="30">
      <c r="A30" s="3" t="s">
        <v>6</v>
      </c>
      <c r="B30" s="3" t="s">
        <v>7</v>
      </c>
      <c r="C30" s="3" t="s">
        <v>11</v>
      </c>
      <c r="D30" s="3" t="s">
        <v>12</v>
      </c>
      <c r="E30" s="3" t="s">
        <v>14</v>
      </c>
    </row>
    <row r="31">
      <c r="A31" s="3" t="s">
        <v>6</v>
      </c>
      <c r="B31" s="3" t="s">
        <v>7</v>
      </c>
    </row>
    <row r="32">
      <c r="A32" s="3" t="s">
        <v>6</v>
      </c>
      <c r="B32" s="3" t="s">
        <v>7</v>
      </c>
      <c r="C32" s="3" t="s">
        <v>11</v>
      </c>
    </row>
    <row r="33">
      <c r="A33" s="3" t="s">
        <v>6</v>
      </c>
      <c r="B33" s="3" t="s">
        <v>7</v>
      </c>
      <c r="C33" s="3" t="s">
        <v>11</v>
      </c>
    </row>
    <row r="34">
      <c r="A34" s="3" t="s">
        <v>6</v>
      </c>
      <c r="B34" s="3" t="s">
        <v>10</v>
      </c>
      <c r="C34" s="3" t="s">
        <v>11</v>
      </c>
      <c r="D34" s="3" t="s">
        <v>15</v>
      </c>
      <c r="E34" s="3" t="s">
        <v>16</v>
      </c>
      <c r="F34" s="3" t="s">
        <v>17</v>
      </c>
      <c r="G34" s="3" t="s">
        <v>18</v>
      </c>
    </row>
    <row r="35">
      <c r="A35" s="3" t="s">
        <v>6</v>
      </c>
      <c r="B35" s="3" t="s">
        <v>13</v>
      </c>
    </row>
    <row r="36">
      <c r="A36" s="3" t="s">
        <v>6</v>
      </c>
      <c r="B36" s="3" t="s">
        <v>7</v>
      </c>
      <c r="C36" s="3" t="s">
        <v>11</v>
      </c>
      <c r="D36" s="3" t="s">
        <v>13</v>
      </c>
      <c r="E36" s="3" t="s">
        <v>15</v>
      </c>
      <c r="F36" s="3" t="s">
        <v>17</v>
      </c>
    </row>
    <row r="37">
      <c r="A37" s="3" t="s">
        <v>6</v>
      </c>
      <c r="B37" s="3" t="s">
        <v>11</v>
      </c>
    </row>
    <row r="38">
      <c r="A38" s="3" t="s">
        <v>6</v>
      </c>
      <c r="B38" s="3" t="s">
        <v>11</v>
      </c>
    </row>
    <row r="39">
      <c r="A39" s="3" t="s">
        <v>6</v>
      </c>
      <c r="B39" s="3" t="s">
        <v>7</v>
      </c>
      <c r="C39" s="3" t="s">
        <v>8</v>
      </c>
      <c r="D39" s="3" t="s">
        <v>11</v>
      </c>
      <c r="E39" s="3" t="s">
        <v>12</v>
      </c>
      <c r="F39" s="3" t="s">
        <v>15</v>
      </c>
    </row>
    <row r="40">
      <c r="A40" s="3" t="s">
        <v>6</v>
      </c>
      <c r="B40" s="3" t="s">
        <v>7</v>
      </c>
      <c r="C40" s="3" t="s">
        <v>15</v>
      </c>
      <c r="D40" s="3" t="s">
        <v>16</v>
      </c>
    </row>
    <row r="41">
      <c r="A41" s="3" t="s">
        <v>6</v>
      </c>
      <c r="B41" s="3" t="s">
        <v>7</v>
      </c>
      <c r="C41" s="3" t="s">
        <v>14</v>
      </c>
      <c r="D41" s="3" t="s">
        <v>15</v>
      </c>
      <c r="E41" s="3" t="s">
        <v>16</v>
      </c>
      <c r="F41" s="3" t="s">
        <v>24</v>
      </c>
    </row>
    <row r="42">
      <c r="A42" s="3" t="s">
        <v>6</v>
      </c>
      <c r="B42" s="3" t="s">
        <v>11</v>
      </c>
      <c r="C42" s="3" t="s">
        <v>12</v>
      </c>
      <c r="D42" s="3" t="s">
        <v>17</v>
      </c>
      <c r="E42" s="3" t="s">
        <v>24</v>
      </c>
    </row>
    <row r="43">
      <c r="A43" s="3" t="s">
        <v>6</v>
      </c>
      <c r="B43" s="3" t="s">
        <v>7</v>
      </c>
      <c r="C43" s="3" t="s">
        <v>8</v>
      </c>
      <c r="D43" s="3" t="s">
        <v>15</v>
      </c>
      <c r="E43" s="3" t="s">
        <v>16</v>
      </c>
      <c r="F43" s="3" t="s">
        <v>17</v>
      </c>
    </row>
    <row r="44">
      <c r="A44" s="3" t="s">
        <v>6</v>
      </c>
      <c r="B44" s="3" t="s">
        <v>7</v>
      </c>
      <c r="C44" s="3" t="s">
        <v>13</v>
      </c>
      <c r="D44" s="3" t="s">
        <v>14</v>
      </c>
    </row>
    <row r="45">
      <c r="A45" s="3" t="s">
        <v>6</v>
      </c>
    </row>
    <row r="46">
      <c r="A46" s="3" t="s">
        <v>6</v>
      </c>
    </row>
    <row r="47">
      <c r="A47" s="3" t="s">
        <v>6</v>
      </c>
      <c r="B47" s="3" t="s">
        <v>15</v>
      </c>
    </row>
    <row r="48">
      <c r="A48" s="3" t="s">
        <v>6</v>
      </c>
      <c r="B48" s="3" t="s">
        <v>8</v>
      </c>
      <c r="C48" s="3" t="s">
        <v>11</v>
      </c>
      <c r="D48" s="3" t="s">
        <v>12</v>
      </c>
      <c r="E48" s="3" t="s">
        <v>15</v>
      </c>
      <c r="F48" s="3" t="s">
        <v>24</v>
      </c>
    </row>
    <row r="49">
      <c r="A49" s="3" t="s">
        <v>6</v>
      </c>
      <c r="B49" s="3" t="s">
        <v>7</v>
      </c>
      <c r="C49" s="3" t="s">
        <v>8</v>
      </c>
      <c r="D49" s="3" t="s">
        <v>13</v>
      </c>
      <c r="E49" s="3" t="s">
        <v>17</v>
      </c>
    </row>
    <row r="50">
      <c r="A50" s="3" t="s">
        <v>6</v>
      </c>
    </row>
    <row r="51">
      <c r="A51" s="3" t="s">
        <v>6</v>
      </c>
      <c r="B51" s="3" t="s">
        <v>7</v>
      </c>
      <c r="C51" s="3" t="s">
        <v>17</v>
      </c>
      <c r="D51" s="3" t="s">
        <v>24</v>
      </c>
    </row>
    <row r="52">
      <c r="A52" s="3" t="s">
        <v>609</v>
      </c>
    </row>
    <row r="53">
      <c r="A53" s="3" t="s">
        <v>7</v>
      </c>
      <c r="B53" s="3" t="s">
        <v>15</v>
      </c>
      <c r="C53" s="3" t="s">
        <v>17</v>
      </c>
    </row>
    <row r="54">
      <c r="A54" s="3" t="s">
        <v>7</v>
      </c>
    </row>
    <row r="55">
      <c r="A55" s="3" t="s">
        <v>7</v>
      </c>
      <c r="B55" s="3" t="s">
        <v>15</v>
      </c>
      <c r="C55" s="3" t="s">
        <v>16</v>
      </c>
    </row>
    <row r="56">
      <c r="A56" s="3" t="s">
        <v>7</v>
      </c>
      <c r="B56" s="3" t="s">
        <v>11</v>
      </c>
      <c r="C56" s="3" t="s">
        <v>14</v>
      </c>
      <c r="D56" s="3" t="s">
        <v>17</v>
      </c>
    </row>
    <row r="57">
      <c r="A57" s="3" t="s">
        <v>7</v>
      </c>
      <c r="B57" s="3" t="s">
        <v>8</v>
      </c>
      <c r="C57" s="3" t="s">
        <v>11</v>
      </c>
      <c r="D57" s="3" t="s">
        <v>12</v>
      </c>
      <c r="E57" s="3" t="s">
        <v>14</v>
      </c>
      <c r="F57" s="3" t="s">
        <v>15</v>
      </c>
      <c r="G57" s="3" t="s">
        <v>16</v>
      </c>
      <c r="H57" s="3" t="s">
        <v>17</v>
      </c>
      <c r="I57" s="3" t="s">
        <v>18</v>
      </c>
    </row>
    <row r="58">
      <c r="A58" s="3" t="s">
        <v>7</v>
      </c>
      <c r="B58" s="3" t="s">
        <v>10</v>
      </c>
      <c r="C58" s="3" t="s">
        <v>11</v>
      </c>
      <c r="D58" s="3" t="s">
        <v>12</v>
      </c>
      <c r="E58" s="3" t="s">
        <v>24</v>
      </c>
    </row>
    <row r="59">
      <c r="A59" s="3" t="s">
        <v>7</v>
      </c>
      <c r="B59" s="3" t="s">
        <v>9</v>
      </c>
      <c r="C59" s="3" t="s">
        <v>10</v>
      </c>
      <c r="D59" s="3" t="s">
        <v>11</v>
      </c>
      <c r="E59" s="3" t="s">
        <v>12</v>
      </c>
      <c r="F59" s="3" t="s">
        <v>24</v>
      </c>
    </row>
    <row r="60">
      <c r="A60" s="3" t="s">
        <v>7</v>
      </c>
      <c r="B60" s="3" t="s">
        <v>12</v>
      </c>
    </row>
    <row r="61">
      <c r="A61" s="3" t="s">
        <v>7</v>
      </c>
    </row>
    <row r="62">
      <c r="A62" s="3" t="s">
        <v>7</v>
      </c>
    </row>
    <row r="63">
      <c r="A63" s="3" t="s">
        <v>7</v>
      </c>
    </row>
    <row r="64">
      <c r="A64" s="3" t="s">
        <v>7</v>
      </c>
      <c r="B64" s="3" t="s">
        <v>8</v>
      </c>
      <c r="C64" s="3" t="s">
        <v>10</v>
      </c>
      <c r="D64" s="3" t="s">
        <v>11</v>
      </c>
      <c r="E64" s="3" t="s">
        <v>14</v>
      </c>
      <c r="F64" s="3" t="s">
        <v>17</v>
      </c>
      <c r="G64" s="3" t="s">
        <v>18</v>
      </c>
    </row>
    <row r="65">
      <c r="A65" s="3" t="s">
        <v>7</v>
      </c>
      <c r="B65" s="3" t="s">
        <v>12</v>
      </c>
    </row>
    <row r="66">
      <c r="A66" s="3" t="s">
        <v>7</v>
      </c>
      <c r="B66" s="3" t="s">
        <v>9</v>
      </c>
      <c r="C66" s="3" t="s">
        <v>12</v>
      </c>
      <c r="D66" s="3" t="s">
        <v>17</v>
      </c>
    </row>
    <row r="67">
      <c r="A67" s="3" t="s">
        <v>7</v>
      </c>
      <c r="B67" s="3" t="s">
        <v>11</v>
      </c>
      <c r="C67" s="3" t="s">
        <v>12</v>
      </c>
    </row>
    <row r="68">
      <c r="A68" s="3" t="s">
        <v>7</v>
      </c>
      <c r="B68" s="3" t="s">
        <v>8</v>
      </c>
      <c r="C68" s="3" t="s">
        <v>11</v>
      </c>
      <c r="D68" s="3" t="s">
        <v>12</v>
      </c>
    </row>
    <row r="69">
      <c r="A69" s="3" t="s">
        <v>7</v>
      </c>
      <c r="B69" s="3" t="s">
        <v>12</v>
      </c>
    </row>
    <row r="70">
      <c r="A70" s="3" t="s">
        <v>7</v>
      </c>
      <c r="B70" s="3" t="s">
        <v>11</v>
      </c>
      <c r="C70" s="3" t="s">
        <v>12</v>
      </c>
      <c r="D70" s="3" t="s">
        <v>15</v>
      </c>
    </row>
    <row r="71">
      <c r="A71" s="3" t="s">
        <v>7</v>
      </c>
      <c r="B71" s="3" t="s">
        <v>12</v>
      </c>
    </row>
    <row r="72">
      <c r="A72" s="3" t="s">
        <v>8</v>
      </c>
      <c r="B72" s="3" t="s">
        <v>11</v>
      </c>
      <c r="C72" s="3" t="s">
        <v>13</v>
      </c>
      <c r="D72" s="3" t="s">
        <v>14</v>
      </c>
      <c r="E72" s="3" t="s">
        <v>17</v>
      </c>
    </row>
    <row r="73">
      <c r="A73" s="3" t="s">
        <v>8</v>
      </c>
      <c r="B73" s="3" t="s">
        <v>9</v>
      </c>
      <c r="C73" s="3" t="s">
        <v>11</v>
      </c>
      <c r="D73" s="3" t="s">
        <v>12</v>
      </c>
      <c r="E73" s="3" t="s">
        <v>16</v>
      </c>
      <c r="F73" s="3" t="s">
        <v>17</v>
      </c>
      <c r="G73" s="3" t="s">
        <v>18</v>
      </c>
    </row>
    <row r="74">
      <c r="A74" s="3" t="s">
        <v>8</v>
      </c>
      <c r="B74" s="3" t="s">
        <v>9</v>
      </c>
      <c r="C74" s="3" t="s">
        <v>10</v>
      </c>
      <c r="D74" s="3" t="s">
        <v>12</v>
      </c>
      <c r="E74" s="3" t="s">
        <v>14</v>
      </c>
      <c r="F74" s="3" t="s">
        <v>16</v>
      </c>
      <c r="G74" s="3" t="s">
        <v>24</v>
      </c>
    </row>
    <row r="75">
      <c r="A75" s="3" t="s">
        <v>8</v>
      </c>
      <c r="B75" s="3" t="s">
        <v>9</v>
      </c>
      <c r="C75" s="3" t="s">
        <v>10</v>
      </c>
      <c r="D75" s="3" t="s">
        <v>11</v>
      </c>
      <c r="E75" s="3" t="s">
        <v>18</v>
      </c>
      <c r="F75" s="3" t="s">
        <v>24</v>
      </c>
    </row>
    <row r="76">
      <c r="A76" s="3" t="s">
        <v>8</v>
      </c>
      <c r="B76" s="3" t="s">
        <v>9</v>
      </c>
      <c r="C76" s="3" t="s">
        <v>11</v>
      </c>
      <c r="D76" s="3" t="s">
        <v>12</v>
      </c>
      <c r="E76" s="3" t="s">
        <v>17</v>
      </c>
      <c r="F76" s="3" t="s">
        <v>18</v>
      </c>
      <c r="G76" s="3" t="s">
        <v>24</v>
      </c>
    </row>
    <row r="77">
      <c r="A77" s="3" t="s">
        <v>8</v>
      </c>
      <c r="B77" s="3" t="s">
        <v>9</v>
      </c>
      <c r="C77" s="3" t="s">
        <v>10</v>
      </c>
      <c r="D77" s="3" t="s">
        <v>11</v>
      </c>
      <c r="E77" s="3" t="s">
        <v>12</v>
      </c>
      <c r="F77" s="3" t="s">
        <v>18</v>
      </c>
      <c r="G77" s="3" t="s">
        <v>24</v>
      </c>
    </row>
    <row r="78">
      <c r="A78" s="3" t="s">
        <v>8</v>
      </c>
      <c r="B78" s="3" t="s">
        <v>9</v>
      </c>
      <c r="C78" s="3" t="s">
        <v>10</v>
      </c>
      <c r="D78" s="3" t="s">
        <v>13</v>
      </c>
      <c r="E78" s="3" t="s">
        <v>14</v>
      </c>
      <c r="F78" s="3" t="s">
        <v>24</v>
      </c>
    </row>
    <row r="79">
      <c r="A79" s="3" t="s">
        <v>8</v>
      </c>
      <c r="B79" s="3" t="s">
        <v>9</v>
      </c>
      <c r="C79" s="3" t="s">
        <v>10</v>
      </c>
      <c r="D79" s="3" t="s">
        <v>11</v>
      </c>
      <c r="E79" s="3" t="s">
        <v>12</v>
      </c>
      <c r="F79" s="3" t="s">
        <v>16</v>
      </c>
    </row>
    <row r="80">
      <c r="A80" s="3" t="s">
        <v>8</v>
      </c>
      <c r="B80" s="3" t="s">
        <v>9</v>
      </c>
      <c r="C80" s="3" t="s">
        <v>11</v>
      </c>
      <c r="D80" s="3" t="s">
        <v>12</v>
      </c>
      <c r="E80" s="3" t="s">
        <v>18</v>
      </c>
    </row>
    <row r="81">
      <c r="A81" s="3" t="s">
        <v>8</v>
      </c>
      <c r="B81" s="3" t="s">
        <v>9</v>
      </c>
      <c r="C81" s="3" t="s">
        <v>10</v>
      </c>
      <c r="D81" s="3" t="s">
        <v>18</v>
      </c>
      <c r="E81" s="3" t="s">
        <v>24</v>
      </c>
    </row>
    <row r="82">
      <c r="A82" s="3" t="s">
        <v>8</v>
      </c>
      <c r="B82" s="3" t="s">
        <v>9</v>
      </c>
      <c r="C82" s="3" t="s">
        <v>10</v>
      </c>
      <c r="D82" s="3" t="s">
        <v>24</v>
      </c>
    </row>
    <row r="83">
      <c r="A83" s="3" t="s">
        <v>8</v>
      </c>
      <c r="B83" s="3" t="s">
        <v>9</v>
      </c>
      <c r="C83" s="3" t="s">
        <v>10</v>
      </c>
      <c r="D83" s="3" t="s">
        <v>15</v>
      </c>
      <c r="E83" s="3" t="s">
        <v>18</v>
      </c>
      <c r="F83" s="3" t="s">
        <v>24</v>
      </c>
    </row>
    <row r="84">
      <c r="A84" s="3" t="s">
        <v>8</v>
      </c>
      <c r="B84" s="3" t="s">
        <v>9</v>
      </c>
      <c r="C84" s="3" t="s">
        <v>15</v>
      </c>
      <c r="D84" s="3" t="s">
        <v>16</v>
      </c>
      <c r="E84" s="3" t="s">
        <v>24</v>
      </c>
    </row>
    <row r="85">
      <c r="A85" s="3" t="s">
        <v>8</v>
      </c>
      <c r="B85" s="3" t="s">
        <v>9</v>
      </c>
      <c r="C85" s="3" t="s">
        <v>11</v>
      </c>
      <c r="D85" s="3" t="s">
        <v>12</v>
      </c>
      <c r="E85" s="3" t="s">
        <v>18</v>
      </c>
      <c r="F85" s="3" t="s">
        <v>24</v>
      </c>
    </row>
    <row r="86">
      <c r="A86" s="3" t="s">
        <v>8</v>
      </c>
      <c r="B86" s="3" t="s">
        <v>14</v>
      </c>
      <c r="C86" s="3" t="s">
        <v>17</v>
      </c>
      <c r="D86" s="3" t="s">
        <v>18</v>
      </c>
    </row>
    <row r="87">
      <c r="A87" s="3" t="s">
        <v>8</v>
      </c>
      <c r="B87" s="3" t="s">
        <v>12</v>
      </c>
      <c r="C87" s="3" t="s">
        <v>13</v>
      </c>
    </row>
    <row r="88">
      <c r="A88" s="3" t="s">
        <v>8</v>
      </c>
      <c r="B88" s="3" t="s">
        <v>10</v>
      </c>
      <c r="C88" s="3" t="s">
        <v>16</v>
      </c>
      <c r="D88" s="3" t="s">
        <v>18</v>
      </c>
    </row>
    <row r="89">
      <c r="A89" s="3" t="s">
        <v>9</v>
      </c>
      <c r="B89" s="3" t="s">
        <v>10</v>
      </c>
      <c r="C89" s="3" t="s">
        <v>16</v>
      </c>
      <c r="D89" s="3" t="s">
        <v>18</v>
      </c>
    </row>
    <row r="90">
      <c r="A90" s="3" t="s">
        <v>9</v>
      </c>
      <c r="B90" s="3" t="s">
        <v>12</v>
      </c>
      <c r="C90" s="3" t="s">
        <v>16</v>
      </c>
      <c r="D90" s="3" t="s">
        <v>18</v>
      </c>
      <c r="E90" s="3" t="s">
        <v>24</v>
      </c>
    </row>
    <row r="91">
      <c r="A91" s="3" t="s">
        <v>9</v>
      </c>
      <c r="B91" s="3" t="s">
        <v>10</v>
      </c>
      <c r="C91" s="3" t="s">
        <v>11</v>
      </c>
      <c r="D91" s="3" t="s">
        <v>12</v>
      </c>
      <c r="E91" s="3" t="s">
        <v>24</v>
      </c>
    </row>
    <row r="92">
      <c r="A92" s="3" t="s">
        <v>9</v>
      </c>
      <c r="B92" s="3" t="s">
        <v>13</v>
      </c>
      <c r="C92" s="3" t="s">
        <v>14</v>
      </c>
      <c r="D92" s="3" t="s">
        <v>17</v>
      </c>
      <c r="E92" s="3" t="s">
        <v>18</v>
      </c>
      <c r="F92" s="3" t="s">
        <v>24</v>
      </c>
    </row>
    <row r="93">
      <c r="A93" s="3" t="s">
        <v>9</v>
      </c>
      <c r="B93" s="3" t="s">
        <v>13</v>
      </c>
      <c r="C93" s="3" t="s">
        <v>14</v>
      </c>
      <c r="D93" s="3" t="s">
        <v>18</v>
      </c>
    </row>
    <row r="94">
      <c r="A94" s="3" t="s">
        <v>9</v>
      </c>
      <c r="B94" s="3" t="s">
        <v>13</v>
      </c>
      <c r="C94" s="3" t="s">
        <v>14</v>
      </c>
      <c r="D94" s="3" t="s">
        <v>17</v>
      </c>
      <c r="E94" s="3" t="s">
        <v>18</v>
      </c>
    </row>
    <row r="95">
      <c r="A95" s="3" t="s">
        <v>9</v>
      </c>
      <c r="B95" s="3" t="s">
        <v>10</v>
      </c>
      <c r="C95" s="3" t="s">
        <v>11</v>
      </c>
      <c r="D95" s="3" t="s">
        <v>12</v>
      </c>
      <c r="E95" s="3" t="s">
        <v>18</v>
      </c>
      <c r="F95" s="3" t="s">
        <v>24</v>
      </c>
    </row>
    <row r="96">
      <c r="A96" s="3" t="s">
        <v>9</v>
      </c>
      <c r="B96" s="3" t="s">
        <v>10</v>
      </c>
      <c r="C96" s="3" t="s">
        <v>15</v>
      </c>
      <c r="D96" s="3" t="s">
        <v>16</v>
      </c>
    </row>
    <row r="97">
      <c r="A97" s="3" t="s">
        <v>9</v>
      </c>
      <c r="B97" s="3" t="s">
        <v>10</v>
      </c>
      <c r="C97" s="3" t="s">
        <v>12</v>
      </c>
      <c r="D97" s="3" t="s">
        <v>17</v>
      </c>
    </row>
    <row r="98">
      <c r="A98" s="3" t="s">
        <v>9</v>
      </c>
      <c r="B98" s="3" t="s">
        <v>12</v>
      </c>
      <c r="C98" s="3" t="s">
        <v>14</v>
      </c>
      <c r="D98" s="3" t="s">
        <v>16</v>
      </c>
      <c r="E98" s="3" t="s">
        <v>17</v>
      </c>
      <c r="F98" s="3" t="s">
        <v>18</v>
      </c>
    </row>
    <row r="99">
      <c r="A99" s="3" t="s">
        <v>9</v>
      </c>
      <c r="B99" s="3" t="s">
        <v>24</v>
      </c>
    </row>
    <row r="100">
      <c r="A100" s="3" t="s">
        <v>9</v>
      </c>
      <c r="B100" s="3" t="s">
        <v>14</v>
      </c>
      <c r="C100" s="3" t="s">
        <v>17</v>
      </c>
    </row>
    <row r="101">
      <c r="A101" s="3" t="s">
        <v>9</v>
      </c>
      <c r="B101" s="3" t="s">
        <v>11</v>
      </c>
      <c r="C101" s="3" t="s">
        <v>13</v>
      </c>
      <c r="D101" s="3" t="s">
        <v>14</v>
      </c>
      <c r="E101" s="3" t="s">
        <v>16</v>
      </c>
      <c r="F101" s="3" t="s">
        <v>18</v>
      </c>
    </row>
    <row r="102">
      <c r="A102" s="3" t="s">
        <v>9</v>
      </c>
      <c r="B102" s="3" t="s">
        <v>10</v>
      </c>
      <c r="C102" s="3" t="s">
        <v>11</v>
      </c>
      <c r="D102" s="3" t="s">
        <v>12</v>
      </c>
      <c r="E102" s="3" t="s">
        <v>15</v>
      </c>
      <c r="F102" s="3" t="s">
        <v>17</v>
      </c>
    </row>
    <row r="103">
      <c r="A103" s="3" t="s">
        <v>9</v>
      </c>
      <c r="B103" s="3" t="s">
        <v>12</v>
      </c>
      <c r="C103" s="3" t="s">
        <v>14</v>
      </c>
      <c r="D103" s="3" t="s">
        <v>16</v>
      </c>
      <c r="E103" s="3" t="s">
        <v>17</v>
      </c>
      <c r="F103" s="3" t="s">
        <v>18</v>
      </c>
      <c r="G103" s="3" t="s">
        <v>24</v>
      </c>
    </row>
    <row r="104">
      <c r="A104" s="3" t="s">
        <v>9</v>
      </c>
      <c r="B104" s="3" t="s">
        <v>12</v>
      </c>
    </row>
    <row r="105">
      <c r="A105" s="3" t="s">
        <v>10</v>
      </c>
      <c r="B105" s="3" t="s">
        <v>16</v>
      </c>
      <c r="C105" s="3" t="s">
        <v>24</v>
      </c>
    </row>
    <row r="106">
      <c r="A106" s="3" t="s">
        <v>10</v>
      </c>
      <c r="B106" s="3" t="s">
        <v>12</v>
      </c>
      <c r="C106" s="3" t="s">
        <v>16</v>
      </c>
      <c r="D106" s="3" t="s">
        <v>18</v>
      </c>
      <c r="E106" s="3" t="s">
        <v>24</v>
      </c>
    </row>
    <row r="107">
      <c r="A107" s="3" t="s">
        <v>10</v>
      </c>
      <c r="B107" s="3" t="s">
        <v>12</v>
      </c>
      <c r="C107" s="3" t="s">
        <v>24</v>
      </c>
    </row>
    <row r="108">
      <c r="A108" s="3" t="s">
        <v>10</v>
      </c>
      <c r="B108" s="3" t="s">
        <v>16</v>
      </c>
      <c r="C108" s="3" t="s">
        <v>24</v>
      </c>
    </row>
    <row r="109">
      <c r="A109" s="3" t="s">
        <v>10</v>
      </c>
      <c r="B109" s="3" t="s">
        <v>14</v>
      </c>
      <c r="C109" s="3" t="s">
        <v>17</v>
      </c>
    </row>
    <row r="110">
      <c r="A110" s="3" t="s">
        <v>10</v>
      </c>
    </row>
    <row r="111">
      <c r="A111" s="3" t="s">
        <v>10</v>
      </c>
      <c r="B111" s="3" t="s">
        <v>11</v>
      </c>
      <c r="C111" s="3" t="s">
        <v>12</v>
      </c>
      <c r="D111" s="3" t="s">
        <v>24</v>
      </c>
    </row>
    <row r="112">
      <c r="A112" s="3" t="s">
        <v>10</v>
      </c>
      <c r="B112" s="3" t="s">
        <v>24</v>
      </c>
    </row>
    <row r="113">
      <c r="A113" s="3" t="s">
        <v>10</v>
      </c>
      <c r="B113" s="3" t="s">
        <v>24</v>
      </c>
    </row>
    <row r="114">
      <c r="A114" s="3" t="s">
        <v>10</v>
      </c>
    </row>
    <row r="115">
      <c r="A115" s="3" t="s">
        <v>10</v>
      </c>
      <c r="B115" s="3" t="s">
        <v>14</v>
      </c>
    </row>
    <row r="116">
      <c r="A116" s="3" t="s">
        <v>10</v>
      </c>
      <c r="B116" s="3" t="s">
        <v>24</v>
      </c>
    </row>
    <row r="117">
      <c r="A117" s="3" t="s">
        <v>10</v>
      </c>
      <c r="B117" s="3" t="s">
        <v>24</v>
      </c>
    </row>
    <row r="118">
      <c r="A118" s="3" t="s">
        <v>11</v>
      </c>
      <c r="B118" s="3" t="s">
        <v>14</v>
      </c>
    </row>
    <row r="119">
      <c r="A119" s="3" t="s">
        <v>11</v>
      </c>
      <c r="B119" s="3" t="s">
        <v>14</v>
      </c>
      <c r="C119" s="3" t="s">
        <v>15</v>
      </c>
      <c r="D119" s="3" t="s">
        <v>16</v>
      </c>
      <c r="E119" s="3" t="s">
        <v>18</v>
      </c>
    </row>
    <row r="120">
      <c r="A120" s="3" t="s">
        <v>11</v>
      </c>
      <c r="B120" s="3" t="s">
        <v>12</v>
      </c>
      <c r="C120" s="3" t="s">
        <v>13</v>
      </c>
      <c r="D120" s="3" t="s">
        <v>15</v>
      </c>
      <c r="E120" s="3" t="s">
        <v>17</v>
      </c>
      <c r="F120" s="3" t="s">
        <v>18</v>
      </c>
    </row>
    <row r="121">
      <c r="A121" s="3" t="s">
        <v>11</v>
      </c>
      <c r="B121" s="3" t="s">
        <v>12</v>
      </c>
      <c r="C121" s="3" t="s">
        <v>14</v>
      </c>
      <c r="D121" s="3" t="s">
        <v>17</v>
      </c>
      <c r="E121" s="3" t="s">
        <v>18</v>
      </c>
    </row>
    <row r="122">
      <c r="A122" s="3" t="s">
        <v>11</v>
      </c>
      <c r="B122" s="3" t="s">
        <v>15</v>
      </c>
    </row>
    <row r="123">
      <c r="A123" s="3" t="s">
        <v>11</v>
      </c>
    </row>
    <row r="124">
      <c r="A124" s="3" t="s">
        <v>11</v>
      </c>
      <c r="B124" s="3" t="s">
        <v>12</v>
      </c>
    </row>
    <row r="125">
      <c r="A125" s="3" t="s">
        <v>11</v>
      </c>
      <c r="B125" s="3" t="s">
        <v>12</v>
      </c>
      <c r="C125" s="3" t="s">
        <v>15</v>
      </c>
    </row>
    <row r="126">
      <c r="A126" s="3" t="s">
        <v>11</v>
      </c>
      <c r="B126" s="3" t="s">
        <v>12</v>
      </c>
      <c r="C126" s="3" t="s">
        <v>14</v>
      </c>
      <c r="D126" s="3" t="s">
        <v>16</v>
      </c>
    </row>
    <row r="127">
      <c r="A127" s="3" t="s">
        <v>11</v>
      </c>
      <c r="B127" s="3" t="s">
        <v>12</v>
      </c>
    </row>
    <row r="128">
      <c r="A128" s="3" t="s">
        <v>11</v>
      </c>
      <c r="B128" s="3" t="s">
        <v>12</v>
      </c>
      <c r="C128" s="3" t="s">
        <v>13</v>
      </c>
      <c r="D128" s="3" t="s">
        <v>14</v>
      </c>
      <c r="E128" s="3" t="s">
        <v>17</v>
      </c>
      <c r="F128" s="3" t="s">
        <v>18</v>
      </c>
    </row>
    <row r="129">
      <c r="A129" s="3" t="s">
        <v>11</v>
      </c>
      <c r="B129" s="3" t="s">
        <v>15</v>
      </c>
    </row>
    <row r="130">
      <c r="A130" s="3" t="s">
        <v>11</v>
      </c>
    </row>
    <row r="131">
      <c r="A131" s="3" t="s">
        <v>11</v>
      </c>
      <c r="B131" s="3" t="s">
        <v>12</v>
      </c>
      <c r="C131" s="3" t="s">
        <v>18</v>
      </c>
    </row>
    <row r="132">
      <c r="A132" s="3" t="s">
        <v>11</v>
      </c>
      <c r="B132" s="3" t="s">
        <v>12</v>
      </c>
    </row>
    <row r="133">
      <c r="A133" s="3" t="s">
        <v>11</v>
      </c>
      <c r="B133" s="3" t="s">
        <v>12</v>
      </c>
      <c r="C133" s="3" t="s">
        <v>15</v>
      </c>
      <c r="D133" s="3" t="s">
        <v>16</v>
      </c>
      <c r="E133" s="3" t="s">
        <v>17</v>
      </c>
    </row>
    <row r="134">
      <c r="A134" s="3" t="s">
        <v>11</v>
      </c>
      <c r="B134" s="3" t="s">
        <v>14</v>
      </c>
    </row>
    <row r="135">
      <c r="A135" s="3" t="s">
        <v>11</v>
      </c>
      <c r="B135" s="3" t="s">
        <v>15</v>
      </c>
    </row>
    <row r="136">
      <c r="A136" s="3" t="s">
        <v>11</v>
      </c>
      <c r="B136" s="3" t="s">
        <v>13</v>
      </c>
      <c r="C136" s="3" t="s">
        <v>14</v>
      </c>
    </row>
    <row r="137">
      <c r="A137" s="3" t="s">
        <v>11</v>
      </c>
      <c r="B137" s="3" t="s">
        <v>12</v>
      </c>
      <c r="C137" s="3" t="s">
        <v>15</v>
      </c>
      <c r="D137" s="3" t="s">
        <v>16</v>
      </c>
      <c r="E137" s="3" t="s">
        <v>18</v>
      </c>
    </row>
    <row r="138">
      <c r="A138" s="3" t="s">
        <v>11</v>
      </c>
      <c r="B138" s="3" t="s">
        <v>14</v>
      </c>
    </row>
    <row r="139">
      <c r="A139" s="3" t="s">
        <v>12</v>
      </c>
      <c r="B139" s="3" t="s">
        <v>17</v>
      </c>
    </row>
    <row r="140">
      <c r="A140" s="3" t="s">
        <v>12</v>
      </c>
      <c r="B140" s="3" t="s">
        <v>17</v>
      </c>
    </row>
    <row r="141">
      <c r="A141" s="3" t="s">
        <v>12</v>
      </c>
      <c r="B141" s="3" t="s">
        <v>17</v>
      </c>
    </row>
    <row r="142">
      <c r="A142" s="3" t="s">
        <v>12</v>
      </c>
      <c r="B142" s="3" t="s">
        <v>14</v>
      </c>
      <c r="C142" s="3" t="s">
        <v>15</v>
      </c>
      <c r="D142" s="3" t="s">
        <v>17</v>
      </c>
    </row>
    <row r="143">
      <c r="A143" s="3" t="s">
        <v>12</v>
      </c>
      <c r="B143" s="3" t="s">
        <v>17</v>
      </c>
    </row>
    <row r="144">
      <c r="A144" s="3" t="s">
        <v>12</v>
      </c>
      <c r="B144" s="3" t="s">
        <v>13</v>
      </c>
      <c r="C144" s="3" t="s">
        <v>14</v>
      </c>
      <c r="D144" s="3" t="s">
        <v>17</v>
      </c>
      <c r="E144" s="3" t="s">
        <v>18</v>
      </c>
    </row>
    <row r="145">
      <c r="A145" s="3" t="s">
        <v>12</v>
      </c>
    </row>
    <row r="146">
      <c r="A146" s="3" t="s">
        <v>12</v>
      </c>
      <c r="B146" s="3" t="s">
        <v>17</v>
      </c>
    </row>
    <row r="147">
      <c r="A147" s="3" t="s">
        <v>12</v>
      </c>
      <c r="B147" s="3" t="s">
        <v>15</v>
      </c>
    </row>
    <row r="148">
      <c r="A148" s="3" t="s">
        <v>12</v>
      </c>
    </row>
    <row r="149">
      <c r="A149" s="3" t="s">
        <v>12</v>
      </c>
    </row>
    <row r="150">
      <c r="A150" s="3" t="s">
        <v>13</v>
      </c>
      <c r="B150" s="3" t="s">
        <v>14</v>
      </c>
    </row>
    <row r="151">
      <c r="A151" s="3" t="s">
        <v>13</v>
      </c>
      <c r="B151" s="3" t="s">
        <v>14</v>
      </c>
      <c r="C151" s="3" t="s">
        <v>15</v>
      </c>
      <c r="D151" s="3" t="s">
        <v>17</v>
      </c>
      <c r="E151" s="3" t="s">
        <v>18</v>
      </c>
    </row>
    <row r="152">
      <c r="A152" s="3" t="s">
        <v>13</v>
      </c>
      <c r="B152" s="3" t="s">
        <v>24</v>
      </c>
    </row>
    <row r="153">
      <c r="A153" s="3" t="s">
        <v>13</v>
      </c>
      <c r="B153" s="3" t="s">
        <v>14</v>
      </c>
      <c r="C153" s="3" t="s">
        <v>16</v>
      </c>
      <c r="D153" s="3" t="s">
        <v>17</v>
      </c>
      <c r="E153" s="3" t="s">
        <v>18</v>
      </c>
    </row>
    <row r="154">
      <c r="A154" s="3" t="s">
        <v>13</v>
      </c>
      <c r="B154" s="3" t="s">
        <v>14</v>
      </c>
      <c r="C154" s="3" t="s">
        <v>18</v>
      </c>
    </row>
    <row r="155">
      <c r="A155" s="3" t="s">
        <v>13</v>
      </c>
      <c r="B155" s="3" t="s">
        <v>14</v>
      </c>
    </row>
    <row r="156">
      <c r="A156" s="3" t="s">
        <v>13</v>
      </c>
      <c r="B156" s="3" t="s">
        <v>14</v>
      </c>
    </row>
    <row r="157">
      <c r="A157" s="3" t="s">
        <v>13</v>
      </c>
      <c r="B157" s="3" t="s">
        <v>14</v>
      </c>
    </row>
    <row r="158">
      <c r="A158" s="3" t="s">
        <v>13</v>
      </c>
    </row>
    <row r="159">
      <c r="A159" s="3" t="s">
        <v>13</v>
      </c>
      <c r="B159" s="3" t="s">
        <v>14</v>
      </c>
    </row>
    <row r="160">
      <c r="A160" s="3" t="s">
        <v>13</v>
      </c>
      <c r="B160" s="3" t="s">
        <v>14</v>
      </c>
    </row>
    <row r="161">
      <c r="A161" s="3" t="s">
        <v>13</v>
      </c>
      <c r="B161" s="3" t="s">
        <v>14</v>
      </c>
    </row>
    <row r="162">
      <c r="A162" s="3" t="s">
        <v>13</v>
      </c>
      <c r="B162" s="3" t="s">
        <v>14</v>
      </c>
      <c r="C162" s="3" t="s">
        <v>15</v>
      </c>
      <c r="D162" s="3" t="s">
        <v>16</v>
      </c>
      <c r="E162" s="3" t="s">
        <v>17</v>
      </c>
      <c r="F162" s="3" t="s">
        <v>18</v>
      </c>
    </row>
    <row r="163">
      <c r="A163" s="3" t="s">
        <v>13</v>
      </c>
      <c r="B163" s="3" t="s">
        <v>14</v>
      </c>
      <c r="C163" s="3" t="s">
        <v>16</v>
      </c>
    </row>
    <row r="164">
      <c r="A164" s="3" t="s">
        <v>13</v>
      </c>
    </row>
    <row r="165">
      <c r="A165" s="3" t="s">
        <v>13</v>
      </c>
      <c r="B165" s="3" t="s">
        <v>14</v>
      </c>
      <c r="C165" s="3" t="s">
        <v>17</v>
      </c>
      <c r="D165" s="3" t="s">
        <v>18</v>
      </c>
      <c r="E165" s="3" t="s">
        <v>24</v>
      </c>
    </row>
    <row r="166">
      <c r="A166" s="3" t="s">
        <v>13</v>
      </c>
      <c r="B166" s="3" t="s">
        <v>14</v>
      </c>
    </row>
    <row r="167">
      <c r="A167" s="3" t="s">
        <v>13</v>
      </c>
      <c r="B167" s="3" t="s">
        <v>14</v>
      </c>
    </row>
    <row r="168">
      <c r="A168" s="3" t="s">
        <v>13</v>
      </c>
      <c r="B168" s="3" t="s">
        <v>14</v>
      </c>
    </row>
    <row r="169">
      <c r="A169" s="3" t="s">
        <v>13</v>
      </c>
      <c r="B169" s="3" t="s">
        <v>14</v>
      </c>
    </row>
    <row r="170">
      <c r="A170" s="3" t="s">
        <v>13</v>
      </c>
    </row>
    <row r="171">
      <c r="A171" s="3" t="s">
        <v>13</v>
      </c>
    </row>
    <row r="172">
      <c r="A172" s="3" t="s">
        <v>13</v>
      </c>
    </row>
    <row r="173">
      <c r="A173" s="3" t="s">
        <v>13</v>
      </c>
      <c r="B173" s="3" t="s">
        <v>14</v>
      </c>
      <c r="C173" s="3" t="s">
        <v>15</v>
      </c>
      <c r="D173" s="3" t="s">
        <v>17</v>
      </c>
      <c r="E173" s="3" t="s">
        <v>18</v>
      </c>
    </row>
    <row r="174">
      <c r="A174" s="3" t="s">
        <v>14</v>
      </c>
    </row>
    <row r="175">
      <c r="A175" s="3" t="s">
        <v>14</v>
      </c>
    </row>
    <row r="176">
      <c r="A176" s="3" t="s">
        <v>14</v>
      </c>
    </row>
    <row r="177">
      <c r="A177" s="3" t="s">
        <v>14</v>
      </c>
    </row>
    <row r="178">
      <c r="A178" s="3" t="s">
        <v>14</v>
      </c>
    </row>
    <row r="179">
      <c r="A179" s="3" t="s">
        <v>14</v>
      </c>
    </row>
    <row r="180">
      <c r="A180" s="3" t="s">
        <v>14</v>
      </c>
    </row>
    <row r="181">
      <c r="A181" s="3" t="s">
        <v>14</v>
      </c>
    </row>
    <row r="182">
      <c r="A182" s="3" t="s">
        <v>14</v>
      </c>
    </row>
    <row r="183">
      <c r="A183" s="3" t="s">
        <v>14</v>
      </c>
    </row>
    <row r="184">
      <c r="A184" s="3" t="s">
        <v>14</v>
      </c>
    </row>
    <row r="185">
      <c r="A185" s="3" t="s">
        <v>14</v>
      </c>
      <c r="B185" s="3" t="s">
        <v>15</v>
      </c>
    </row>
    <row r="186">
      <c r="A186" s="3" t="s">
        <v>14</v>
      </c>
    </row>
    <row r="187">
      <c r="A187" s="3" t="s">
        <v>15</v>
      </c>
      <c r="B187" s="3" t="s">
        <v>16</v>
      </c>
    </row>
    <row r="188">
      <c r="A188" s="3" t="s">
        <v>15</v>
      </c>
    </row>
    <row r="189">
      <c r="A189" s="3" t="s">
        <v>15</v>
      </c>
    </row>
    <row r="190">
      <c r="A190" s="3" t="s">
        <v>15</v>
      </c>
    </row>
    <row r="191">
      <c r="A191" s="3" t="s">
        <v>15</v>
      </c>
      <c r="B191" s="3" t="s">
        <v>16</v>
      </c>
    </row>
    <row r="192">
      <c r="A192" s="3" t="s">
        <v>15</v>
      </c>
    </row>
    <row r="193">
      <c r="A193" s="3" t="s">
        <v>15</v>
      </c>
    </row>
    <row r="194">
      <c r="A194" s="3" t="s">
        <v>16</v>
      </c>
    </row>
    <row r="195">
      <c r="A195" s="3" t="s">
        <v>16</v>
      </c>
    </row>
    <row r="196">
      <c r="A196" s="3" t="s">
        <v>16</v>
      </c>
    </row>
    <row r="197">
      <c r="A197" s="3" t="s">
        <v>16</v>
      </c>
    </row>
    <row r="198">
      <c r="A198" s="3" t="s">
        <v>16</v>
      </c>
      <c r="B198" s="3" t="s">
        <v>18</v>
      </c>
    </row>
    <row r="199">
      <c r="A199" s="3" t="s">
        <v>17</v>
      </c>
    </row>
    <row r="200">
      <c r="A200" s="3" t="s">
        <v>17</v>
      </c>
      <c r="B200" s="3" t="s">
        <v>18</v>
      </c>
    </row>
    <row r="201">
      <c r="A201" s="3" t="s">
        <v>18</v>
      </c>
    </row>
    <row r="202">
      <c r="A202" s="3" t="s">
        <v>6</v>
      </c>
      <c r="B202" s="3" t="s">
        <v>7</v>
      </c>
      <c r="C202" s="3" t="s">
        <v>8</v>
      </c>
      <c r="D202" s="3" t="s">
        <v>11</v>
      </c>
      <c r="E202" s="3" t="s">
        <v>12</v>
      </c>
      <c r="F202" s="3" t="s">
        <v>15</v>
      </c>
    </row>
    <row r="203">
      <c r="A203" s="3" t="s">
        <v>6</v>
      </c>
      <c r="B203" s="3" t="s">
        <v>7</v>
      </c>
      <c r="C203" s="3" t="s">
        <v>8</v>
      </c>
      <c r="D203" s="3" t="s">
        <v>11</v>
      </c>
      <c r="E203" s="3" t="s">
        <v>12</v>
      </c>
      <c r="F203" s="3" t="s">
        <v>13</v>
      </c>
      <c r="G203" s="3" t="s">
        <v>17</v>
      </c>
    </row>
    <row r="204">
      <c r="A204" s="3" t="s">
        <v>6</v>
      </c>
      <c r="B204" s="3" t="s">
        <v>7</v>
      </c>
      <c r="C204" s="3" t="s">
        <v>9</v>
      </c>
      <c r="D204" s="3" t="s">
        <v>11</v>
      </c>
      <c r="E204" s="3" t="s">
        <v>12</v>
      </c>
      <c r="F204" s="3" t="s">
        <v>13</v>
      </c>
      <c r="G204" s="3" t="s">
        <v>14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3" t="s">
        <v>13</v>
      </c>
      <c r="F205" s="3" t="s">
        <v>14</v>
      </c>
      <c r="G205" s="3" t="s">
        <v>17</v>
      </c>
    </row>
    <row r="206">
      <c r="A206" s="3" t="s">
        <v>6</v>
      </c>
      <c r="B206" s="3" t="s">
        <v>7</v>
      </c>
      <c r="C206" s="3" t="s">
        <v>8</v>
      </c>
      <c r="D206" s="3" t="s">
        <v>9</v>
      </c>
      <c r="E206" s="3" t="s">
        <v>15</v>
      </c>
    </row>
    <row r="207">
      <c r="A207" s="3" t="s">
        <v>6</v>
      </c>
      <c r="B207" s="3" t="s">
        <v>7</v>
      </c>
      <c r="C207" s="3" t="s">
        <v>8</v>
      </c>
      <c r="D207" s="3" t="s">
        <v>15</v>
      </c>
      <c r="E207" s="3" t="s">
        <v>16</v>
      </c>
      <c r="F207" s="3" t="s">
        <v>17</v>
      </c>
    </row>
    <row r="208">
      <c r="A208" s="3" t="s">
        <v>6</v>
      </c>
      <c r="B208" s="3" t="s">
        <v>7</v>
      </c>
      <c r="C208" s="3" t="s">
        <v>8</v>
      </c>
      <c r="D208" s="3" t="s">
        <v>14</v>
      </c>
      <c r="E208" s="3" t="s">
        <v>15</v>
      </c>
      <c r="F208" s="3" t="s">
        <v>16</v>
      </c>
      <c r="G208" s="3" t="s">
        <v>17</v>
      </c>
    </row>
    <row r="209">
      <c r="A209" s="3" t="s">
        <v>6</v>
      </c>
      <c r="B209" s="3" t="s">
        <v>7</v>
      </c>
      <c r="C209" s="3" t="s">
        <v>8</v>
      </c>
      <c r="D209" s="3" t="s">
        <v>9</v>
      </c>
      <c r="E209" s="3" t="s">
        <v>11</v>
      </c>
      <c r="F209" s="3" t="s">
        <v>12</v>
      </c>
    </row>
    <row r="210">
      <c r="A210" s="3" t="s">
        <v>6</v>
      </c>
      <c r="B210" s="3" t="s">
        <v>7</v>
      </c>
      <c r="C210" s="3" t="s">
        <v>8</v>
      </c>
      <c r="D210" s="3" t="s">
        <v>11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3" t="s">
        <v>15</v>
      </c>
      <c r="F211" s="3" t="s">
        <v>16</v>
      </c>
      <c r="G211" s="3" t="s">
        <v>24</v>
      </c>
    </row>
    <row r="212">
      <c r="A212" s="3" t="s">
        <v>6</v>
      </c>
      <c r="B212" s="3" t="s">
        <v>7</v>
      </c>
      <c r="C212" s="3" t="s">
        <v>8</v>
      </c>
      <c r="D212" s="3" t="s">
        <v>15</v>
      </c>
      <c r="E212" s="3" t="s">
        <v>17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3" t="s">
        <v>11</v>
      </c>
      <c r="F213" s="3" t="s">
        <v>24</v>
      </c>
    </row>
    <row r="214">
      <c r="A214" s="3" t="s">
        <v>6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</row>
    <row r="215">
      <c r="A215" s="3" t="s">
        <v>6</v>
      </c>
      <c r="B215" s="3" t="s">
        <v>7</v>
      </c>
      <c r="C215" s="3" t="s">
        <v>8</v>
      </c>
      <c r="D215" s="3" t="s">
        <v>11</v>
      </c>
      <c r="E215" s="3" t="s">
        <v>13</v>
      </c>
      <c r="F215" s="3" t="s">
        <v>17</v>
      </c>
    </row>
    <row r="216">
      <c r="A216" s="3" t="s">
        <v>6</v>
      </c>
      <c r="B216" s="3" t="s">
        <v>7</v>
      </c>
      <c r="C216" s="3" t="s">
        <v>11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3" t="s">
        <v>12</v>
      </c>
      <c r="F217" s="3" t="s">
        <v>24</v>
      </c>
    </row>
    <row r="218">
      <c r="A218" s="3" t="s">
        <v>6</v>
      </c>
      <c r="B218" s="3" t="s">
        <v>7</v>
      </c>
      <c r="C218" s="3" t="s">
        <v>8</v>
      </c>
      <c r="D218" s="3" t="s">
        <v>9</v>
      </c>
      <c r="E218" s="3" t="s">
        <v>13</v>
      </c>
      <c r="F218" s="3" t="s">
        <v>15</v>
      </c>
    </row>
    <row r="219">
      <c r="A219" s="3" t="s">
        <v>6</v>
      </c>
      <c r="B219" s="3" t="s">
        <v>7</v>
      </c>
      <c r="C219" s="3" t="s">
        <v>8</v>
      </c>
      <c r="D219" s="3" t="s">
        <v>11</v>
      </c>
      <c r="E219" s="3" t="s">
        <v>12</v>
      </c>
    </row>
    <row r="220">
      <c r="A220" s="3" t="s">
        <v>6</v>
      </c>
      <c r="B220" s="3" t="s">
        <v>7</v>
      </c>
      <c r="C220" s="3" t="s">
        <v>11</v>
      </c>
      <c r="D220" s="3" t="s">
        <v>12</v>
      </c>
      <c r="E220" s="3" t="s">
        <v>15</v>
      </c>
      <c r="F220" s="3" t="s">
        <v>16</v>
      </c>
    </row>
    <row r="221">
      <c r="A221" s="3" t="s">
        <v>6</v>
      </c>
      <c r="B221" s="3" t="s">
        <v>7</v>
      </c>
      <c r="C221" s="3" t="s">
        <v>11</v>
      </c>
      <c r="D221" s="3" t="s">
        <v>12</v>
      </c>
      <c r="E221" s="3" t="s">
        <v>15</v>
      </c>
      <c r="F221" s="3" t="s">
        <v>16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3" t="s">
        <v>11</v>
      </c>
      <c r="F222" s="3" t="s">
        <v>12</v>
      </c>
    </row>
    <row r="223">
      <c r="A223" s="3" t="s">
        <v>6</v>
      </c>
      <c r="B223" s="3" t="s">
        <v>7</v>
      </c>
      <c r="C223" s="3" t="s">
        <v>8</v>
      </c>
      <c r="D223" s="3" t="s">
        <v>15</v>
      </c>
      <c r="E223" s="3" t="s">
        <v>17</v>
      </c>
    </row>
    <row r="224">
      <c r="A224" s="3" t="s">
        <v>6</v>
      </c>
    </row>
    <row r="225">
      <c r="A225" s="3" t="s">
        <v>6</v>
      </c>
      <c r="B225" s="3" t="s">
        <v>11</v>
      </c>
      <c r="C225" s="3" t="s">
        <v>12</v>
      </c>
    </row>
    <row r="226">
      <c r="A226" s="3" t="s">
        <v>6</v>
      </c>
      <c r="B226" s="3" t="s">
        <v>7</v>
      </c>
      <c r="C226" s="3" t="s">
        <v>13</v>
      </c>
      <c r="D226" s="3" t="s">
        <v>15</v>
      </c>
      <c r="E226" s="3" t="s">
        <v>17</v>
      </c>
    </row>
    <row r="227">
      <c r="A227" s="3" t="s">
        <v>6</v>
      </c>
      <c r="B227" s="3" t="s">
        <v>7</v>
      </c>
      <c r="C227" s="3" t="s">
        <v>8</v>
      </c>
      <c r="D227" s="3" t="s">
        <v>15</v>
      </c>
      <c r="E227" s="3" t="s">
        <v>17</v>
      </c>
    </row>
    <row r="228">
      <c r="A228" s="3" t="s">
        <v>6</v>
      </c>
      <c r="B228" s="3" t="s">
        <v>7</v>
      </c>
      <c r="C228" s="3" t="s">
        <v>15</v>
      </c>
      <c r="D228" s="3" t="s">
        <v>16</v>
      </c>
    </row>
    <row r="229">
      <c r="A229" s="3" t="s">
        <v>6</v>
      </c>
    </row>
    <row r="230">
      <c r="A230" s="3" t="s">
        <v>6</v>
      </c>
      <c r="B230" s="3" t="s">
        <v>7</v>
      </c>
      <c r="C230" s="3" t="s">
        <v>8</v>
      </c>
    </row>
    <row r="231">
      <c r="A231" s="3" t="s">
        <v>6</v>
      </c>
    </row>
    <row r="232">
      <c r="A232" s="3" t="s">
        <v>6</v>
      </c>
      <c r="B232" s="3" t="s">
        <v>7</v>
      </c>
      <c r="C232" s="3" t="s">
        <v>8</v>
      </c>
      <c r="D232" s="3" t="s">
        <v>15</v>
      </c>
      <c r="E232" s="3" t="s">
        <v>17</v>
      </c>
    </row>
    <row r="233">
      <c r="A233" s="3" t="s">
        <v>6</v>
      </c>
      <c r="B233" s="3" t="s">
        <v>7</v>
      </c>
      <c r="C233" s="3" t="s">
        <v>17</v>
      </c>
      <c r="D233" s="3" t="s">
        <v>18</v>
      </c>
    </row>
    <row r="234">
      <c r="A234" s="3" t="s">
        <v>6</v>
      </c>
      <c r="B234" s="3" t="s">
        <v>7</v>
      </c>
      <c r="C234" s="3" t="s">
        <v>8</v>
      </c>
      <c r="D234" s="3" t="s">
        <v>15</v>
      </c>
      <c r="E234" s="3" t="s">
        <v>16</v>
      </c>
    </row>
    <row r="235">
      <c r="A235" s="3" t="s">
        <v>6</v>
      </c>
      <c r="B235" s="3" t="s">
        <v>7</v>
      </c>
      <c r="C235" s="3" t="s">
        <v>9</v>
      </c>
      <c r="D235" s="3" t="s">
        <v>16</v>
      </c>
      <c r="E235" s="3" t="s">
        <v>17</v>
      </c>
      <c r="F235" s="3" t="s">
        <v>18</v>
      </c>
    </row>
    <row r="236">
      <c r="A236" s="3" t="s">
        <v>6</v>
      </c>
      <c r="B236" s="3" t="s">
        <v>7</v>
      </c>
      <c r="C236" s="3" t="s">
        <v>11</v>
      </c>
      <c r="D236" s="3" t="s">
        <v>12</v>
      </c>
      <c r="E236" s="3" t="s">
        <v>13</v>
      </c>
    </row>
    <row r="237">
      <c r="A237" s="3" t="s">
        <v>6</v>
      </c>
      <c r="B237" s="3" t="s">
        <v>8</v>
      </c>
      <c r="C237" s="3" t="s">
        <v>11</v>
      </c>
    </row>
    <row r="238">
      <c r="A238" s="3" t="s">
        <v>6</v>
      </c>
      <c r="B238" s="3" t="s">
        <v>7</v>
      </c>
      <c r="C238" s="3" t="s">
        <v>8</v>
      </c>
      <c r="D238" s="3" t="s">
        <v>9</v>
      </c>
      <c r="E238" s="3" t="s">
        <v>10</v>
      </c>
      <c r="F238" s="3" t="s">
        <v>24</v>
      </c>
    </row>
    <row r="239">
      <c r="A239" s="3" t="s">
        <v>6</v>
      </c>
      <c r="B239" s="3" t="s">
        <v>8</v>
      </c>
      <c r="C239" s="3" t="s">
        <v>13</v>
      </c>
      <c r="D239" s="3" t="s">
        <v>14</v>
      </c>
      <c r="E239" s="3" t="s">
        <v>17</v>
      </c>
    </row>
    <row r="240">
      <c r="A240" s="3" t="s">
        <v>6</v>
      </c>
      <c r="B240" s="3" t="s">
        <v>7</v>
      </c>
      <c r="C240" s="3" t="s">
        <v>8</v>
      </c>
      <c r="D240" s="3" t="s">
        <v>9</v>
      </c>
      <c r="E240" s="3" t="s">
        <v>11</v>
      </c>
      <c r="F240" s="3" t="s">
        <v>12</v>
      </c>
    </row>
    <row r="241">
      <c r="A241" s="3" t="s">
        <v>6</v>
      </c>
      <c r="B241" s="3" t="s">
        <v>7</v>
      </c>
      <c r="C241" s="3" t="s">
        <v>8</v>
      </c>
      <c r="D241" s="3" t="s">
        <v>11</v>
      </c>
      <c r="E241" s="3" t="s">
        <v>12</v>
      </c>
      <c r="F241" s="3" t="s">
        <v>15</v>
      </c>
      <c r="G241" s="3" t="s">
        <v>17</v>
      </c>
    </row>
    <row r="242">
      <c r="A242" s="3" t="s">
        <v>6</v>
      </c>
      <c r="B242" s="3" t="s">
        <v>7</v>
      </c>
      <c r="C242" s="3" t="s">
        <v>8</v>
      </c>
      <c r="D242" s="3" t="s">
        <v>13</v>
      </c>
      <c r="E242" s="3" t="s">
        <v>17</v>
      </c>
    </row>
    <row r="243">
      <c r="A243" s="3" t="s">
        <v>6</v>
      </c>
      <c r="B243" s="3" t="s">
        <v>14</v>
      </c>
    </row>
    <row r="244">
      <c r="A244" s="3" t="s">
        <v>6</v>
      </c>
      <c r="B244" s="3" t="s">
        <v>7</v>
      </c>
    </row>
    <row r="245">
      <c r="A245" s="3" t="s">
        <v>6</v>
      </c>
      <c r="B245" s="3" t="s">
        <v>7</v>
      </c>
      <c r="C245" s="3" t="s">
        <v>14</v>
      </c>
      <c r="D245" s="3" t="s">
        <v>15</v>
      </c>
      <c r="E245" s="3" t="s">
        <v>17</v>
      </c>
      <c r="F245" s="3" t="s">
        <v>18</v>
      </c>
    </row>
    <row r="246">
      <c r="A246" s="3" t="s">
        <v>6</v>
      </c>
      <c r="B246" s="3" t="s">
        <v>7</v>
      </c>
      <c r="C246" s="3" t="s">
        <v>11</v>
      </c>
      <c r="D246" s="3" t="s">
        <v>12</v>
      </c>
      <c r="E246" s="3" t="s">
        <v>15</v>
      </c>
    </row>
    <row r="247">
      <c r="A247" s="3" t="s">
        <v>6</v>
      </c>
      <c r="B247" s="3" t="s">
        <v>7</v>
      </c>
      <c r="C247" s="3" t="s">
        <v>8</v>
      </c>
    </row>
    <row r="248">
      <c r="A248" s="3" t="s">
        <v>6</v>
      </c>
      <c r="B248" s="3" t="s">
        <v>8</v>
      </c>
    </row>
    <row r="249">
      <c r="A249" s="3" t="s">
        <v>6</v>
      </c>
      <c r="B249" s="3" t="s">
        <v>7</v>
      </c>
      <c r="C249" s="3" t="s">
        <v>13</v>
      </c>
      <c r="D249" s="3" t="s">
        <v>14</v>
      </c>
    </row>
    <row r="250">
      <c r="A250" s="3" t="s">
        <v>6</v>
      </c>
      <c r="B250" s="3" t="s">
        <v>7</v>
      </c>
      <c r="C250" s="3" t="s">
        <v>11</v>
      </c>
      <c r="D250" s="3" t="s">
        <v>12</v>
      </c>
    </row>
    <row r="251">
      <c r="A251" s="3" t="s">
        <v>6</v>
      </c>
      <c r="B251" s="3" t="s">
        <v>11</v>
      </c>
      <c r="C251" s="3" t="s">
        <v>12</v>
      </c>
      <c r="D251" s="3" t="s">
        <v>15</v>
      </c>
      <c r="E251" s="3" t="s">
        <v>16</v>
      </c>
    </row>
    <row r="252">
      <c r="A252" s="3" t="s">
        <v>6</v>
      </c>
    </row>
    <row r="253">
      <c r="A253" s="3" t="s">
        <v>6</v>
      </c>
      <c r="B253" s="3" t="s">
        <v>11</v>
      </c>
      <c r="C253" s="3" t="s">
        <v>12</v>
      </c>
    </row>
    <row r="254">
      <c r="A254" s="3" t="s">
        <v>6</v>
      </c>
      <c r="B254" s="3" t="s">
        <v>8</v>
      </c>
      <c r="C254" s="3" t="s">
        <v>9</v>
      </c>
      <c r="D254" s="3" t="s">
        <v>10</v>
      </c>
      <c r="E254" s="3" t="s">
        <v>24</v>
      </c>
    </row>
    <row r="255">
      <c r="A255" s="3" t="s">
        <v>6</v>
      </c>
      <c r="B255" s="3" t="s">
        <v>13</v>
      </c>
      <c r="C255" s="3" t="s">
        <v>14</v>
      </c>
    </row>
    <row r="256">
      <c r="A256" s="3" t="s">
        <v>6</v>
      </c>
    </row>
    <row r="257">
      <c r="A257" s="3" t="s">
        <v>6</v>
      </c>
      <c r="B257" s="3" t="s">
        <v>11</v>
      </c>
      <c r="C257" s="3" t="s">
        <v>12</v>
      </c>
      <c r="D257" s="3" t="s">
        <v>15</v>
      </c>
    </row>
    <row r="258">
      <c r="A258" s="3" t="s">
        <v>6</v>
      </c>
      <c r="B258" s="3" t="s">
        <v>11</v>
      </c>
      <c r="C258" s="3" t="s">
        <v>12</v>
      </c>
    </row>
    <row r="259">
      <c r="A259" s="3" t="s">
        <v>6</v>
      </c>
      <c r="B259" s="3" t="s">
        <v>9</v>
      </c>
      <c r="C259" s="3" t="s">
        <v>15</v>
      </c>
      <c r="D259" s="3" t="s">
        <v>16</v>
      </c>
      <c r="E259" s="3" t="s">
        <v>18</v>
      </c>
    </row>
    <row r="260">
      <c r="A260" s="3" t="s">
        <v>6</v>
      </c>
    </row>
    <row r="261">
      <c r="A261" s="3" t="s">
        <v>609</v>
      </c>
    </row>
    <row r="262">
      <c r="A262" s="3" t="s">
        <v>7</v>
      </c>
      <c r="B262" s="3" t="s">
        <v>8</v>
      </c>
      <c r="C262" s="3" t="s">
        <v>9</v>
      </c>
      <c r="D262" s="3" t="s">
        <v>13</v>
      </c>
      <c r="E262" s="3" t="s">
        <v>14</v>
      </c>
      <c r="F262" s="3" t="s">
        <v>17</v>
      </c>
      <c r="G262" s="3" t="s">
        <v>18</v>
      </c>
    </row>
    <row r="263">
      <c r="A263" s="3" t="s">
        <v>7</v>
      </c>
      <c r="B263" s="3" t="s">
        <v>17</v>
      </c>
    </row>
    <row r="264">
      <c r="A264" s="3" t="s">
        <v>7</v>
      </c>
      <c r="B264" s="3" t="s">
        <v>8</v>
      </c>
      <c r="C264" s="3" t="s">
        <v>9</v>
      </c>
      <c r="D264" s="3" t="s">
        <v>13</v>
      </c>
      <c r="E264" s="3" t="s">
        <v>14</v>
      </c>
      <c r="F264" s="3" t="s">
        <v>16</v>
      </c>
      <c r="G264" s="3" t="s">
        <v>17</v>
      </c>
    </row>
    <row r="265">
      <c r="A265" s="3" t="s">
        <v>7</v>
      </c>
      <c r="B265" s="3" t="s">
        <v>8</v>
      </c>
      <c r="C265" s="3" t="s">
        <v>11</v>
      </c>
      <c r="D265" s="3" t="s">
        <v>12</v>
      </c>
      <c r="E265" s="3" t="s">
        <v>15</v>
      </c>
      <c r="F265" s="3" t="s">
        <v>16</v>
      </c>
    </row>
    <row r="266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15</v>
      </c>
      <c r="F266" s="3" t="s">
        <v>18</v>
      </c>
      <c r="G266" s="3" t="s">
        <v>24</v>
      </c>
    </row>
    <row r="267">
      <c r="A267" s="3" t="s">
        <v>7</v>
      </c>
    </row>
    <row r="268">
      <c r="A268" s="3" t="s">
        <v>7</v>
      </c>
      <c r="B268" s="3" t="s">
        <v>11</v>
      </c>
      <c r="C268" s="3" t="s">
        <v>12</v>
      </c>
      <c r="D268" s="3" t="s">
        <v>15</v>
      </c>
    </row>
    <row r="269">
      <c r="A269" s="3" t="s">
        <v>7</v>
      </c>
      <c r="B269" s="3" t="s">
        <v>11</v>
      </c>
      <c r="C269" s="3" t="s">
        <v>12</v>
      </c>
      <c r="D269" s="3" t="s">
        <v>15</v>
      </c>
    </row>
    <row r="270">
      <c r="A270" s="3" t="s">
        <v>7</v>
      </c>
      <c r="B270" s="3" t="s">
        <v>12</v>
      </c>
      <c r="C270" s="3" t="s">
        <v>17</v>
      </c>
    </row>
    <row r="271">
      <c r="A271" s="3" t="s">
        <v>7</v>
      </c>
      <c r="B271" s="3" t="s">
        <v>8</v>
      </c>
      <c r="C271" s="3" t="s">
        <v>9</v>
      </c>
      <c r="D271" s="3" t="s">
        <v>17</v>
      </c>
      <c r="E271" s="3" t="s">
        <v>18</v>
      </c>
      <c r="F271" s="3" t="s">
        <v>24</v>
      </c>
    </row>
    <row r="272">
      <c r="A272" s="3" t="s">
        <v>7</v>
      </c>
      <c r="B272" s="3" t="s">
        <v>10</v>
      </c>
      <c r="C272" s="3" t="s">
        <v>11</v>
      </c>
      <c r="D272" s="3" t="s">
        <v>12</v>
      </c>
      <c r="E272" s="3" t="s">
        <v>14</v>
      </c>
      <c r="F272" s="3" t="s">
        <v>15</v>
      </c>
      <c r="G272" s="3" t="s">
        <v>17</v>
      </c>
    </row>
    <row r="273">
      <c r="A273" s="3" t="s">
        <v>7</v>
      </c>
      <c r="B273" s="3" t="s">
        <v>11</v>
      </c>
      <c r="C273" s="3" t="s">
        <v>15</v>
      </c>
    </row>
    <row r="274">
      <c r="A274" s="3" t="s">
        <v>7</v>
      </c>
      <c r="B274" s="3" t="s">
        <v>11</v>
      </c>
      <c r="C274" s="3" t="s">
        <v>12</v>
      </c>
    </row>
    <row r="275">
      <c r="A275" s="3" t="s">
        <v>7</v>
      </c>
      <c r="B275" s="3" t="s">
        <v>8</v>
      </c>
      <c r="C275" s="3" t="s">
        <v>9</v>
      </c>
      <c r="D275" s="3" t="s">
        <v>10</v>
      </c>
      <c r="E275" s="3" t="s">
        <v>12</v>
      </c>
      <c r="F275" s="3" t="s">
        <v>15</v>
      </c>
      <c r="G275" s="3" t="s">
        <v>16</v>
      </c>
    </row>
    <row r="276">
      <c r="A276" s="3" t="s">
        <v>7</v>
      </c>
      <c r="B276" s="3" t="s">
        <v>11</v>
      </c>
      <c r="C276" s="3" t="s">
        <v>12</v>
      </c>
      <c r="D276" s="3" t="s">
        <v>15</v>
      </c>
    </row>
    <row r="277">
      <c r="A277" s="3" t="s">
        <v>7</v>
      </c>
      <c r="B277" s="3" t="s">
        <v>8</v>
      </c>
      <c r="C277" s="3" t="s">
        <v>9</v>
      </c>
      <c r="D277" s="3" t="s">
        <v>15</v>
      </c>
      <c r="E277" s="3" t="s">
        <v>16</v>
      </c>
      <c r="F277" s="3" t="s">
        <v>17</v>
      </c>
      <c r="G277" s="3" t="s">
        <v>18</v>
      </c>
    </row>
    <row r="278">
      <c r="A278" s="3" t="s">
        <v>7</v>
      </c>
    </row>
    <row r="279">
      <c r="A279" s="3" t="s">
        <v>7</v>
      </c>
      <c r="B279" s="3" t="s">
        <v>17</v>
      </c>
    </row>
    <row r="280">
      <c r="A280" s="3" t="s">
        <v>7</v>
      </c>
      <c r="B280" s="3" t="s">
        <v>11</v>
      </c>
      <c r="C280" s="3" t="s">
        <v>12</v>
      </c>
      <c r="D280" s="3" t="s">
        <v>15</v>
      </c>
    </row>
    <row r="281">
      <c r="A281" s="3" t="s">
        <v>7</v>
      </c>
    </row>
    <row r="282">
      <c r="A282" s="3" t="s">
        <v>7</v>
      </c>
      <c r="B282" s="3" t="s">
        <v>11</v>
      </c>
      <c r="C282" s="3" t="s">
        <v>12</v>
      </c>
    </row>
    <row r="283">
      <c r="A283" s="3" t="s">
        <v>7</v>
      </c>
      <c r="B283" s="3" t="s">
        <v>12</v>
      </c>
      <c r="C283" s="3" t="s">
        <v>17</v>
      </c>
    </row>
    <row r="284">
      <c r="A284" s="3" t="s">
        <v>7</v>
      </c>
      <c r="B284" s="3" t="s">
        <v>17</v>
      </c>
    </row>
    <row r="285">
      <c r="A285" s="3" t="s">
        <v>7</v>
      </c>
      <c r="B285" s="3" t="s">
        <v>12</v>
      </c>
      <c r="C285" s="3" t="s">
        <v>17</v>
      </c>
    </row>
    <row r="286">
      <c r="A286" s="3" t="s">
        <v>8</v>
      </c>
      <c r="B286" s="3" t="s">
        <v>9</v>
      </c>
      <c r="C286" s="3" t="s">
        <v>10</v>
      </c>
      <c r="D286" s="3" t="s">
        <v>17</v>
      </c>
      <c r="E286" s="3" t="s">
        <v>18</v>
      </c>
      <c r="F286" s="3" t="s">
        <v>24</v>
      </c>
    </row>
    <row r="287">
      <c r="A287" s="3" t="s">
        <v>8</v>
      </c>
      <c r="B287" s="3" t="s">
        <v>9</v>
      </c>
      <c r="C287" s="3" t="s">
        <v>10</v>
      </c>
      <c r="D287" s="3" t="s">
        <v>15</v>
      </c>
      <c r="E287" s="3" t="s">
        <v>17</v>
      </c>
      <c r="F287" s="3" t="s">
        <v>18</v>
      </c>
      <c r="G287" s="3" t="s">
        <v>24</v>
      </c>
    </row>
    <row r="288">
      <c r="A288" s="3" t="s">
        <v>8</v>
      </c>
      <c r="B288" s="3" t="s">
        <v>9</v>
      </c>
      <c r="C288" s="3" t="s">
        <v>10</v>
      </c>
      <c r="D288" s="3" t="s">
        <v>15</v>
      </c>
      <c r="E288" s="3" t="s">
        <v>16</v>
      </c>
      <c r="F288" s="3" t="s">
        <v>17</v>
      </c>
      <c r="G288" s="3" t="s">
        <v>24</v>
      </c>
    </row>
    <row r="289">
      <c r="A289" s="3" t="s">
        <v>8</v>
      </c>
      <c r="B289" s="3" t="s">
        <v>9</v>
      </c>
      <c r="C289" s="3" t="s">
        <v>10</v>
      </c>
      <c r="D289" s="3" t="s">
        <v>24</v>
      </c>
    </row>
    <row r="290">
      <c r="A290" s="3" t="s">
        <v>8</v>
      </c>
      <c r="B290" s="3" t="s">
        <v>9</v>
      </c>
      <c r="C290" s="3" t="s">
        <v>10</v>
      </c>
      <c r="D290" s="3" t="s">
        <v>12</v>
      </c>
      <c r="E290" s="3" t="s">
        <v>18</v>
      </c>
      <c r="F290" s="3" t="s">
        <v>24</v>
      </c>
    </row>
    <row r="291">
      <c r="A291" s="3" t="s">
        <v>8</v>
      </c>
      <c r="B291" s="3" t="s">
        <v>9</v>
      </c>
      <c r="C291" s="3" t="s">
        <v>10</v>
      </c>
      <c r="D291" s="3" t="s">
        <v>24</v>
      </c>
    </row>
    <row r="292">
      <c r="A292" s="3" t="s">
        <v>8</v>
      </c>
      <c r="B292" s="3" t="s">
        <v>10</v>
      </c>
      <c r="C292" s="3" t="s">
        <v>12</v>
      </c>
      <c r="D292" s="3" t="s">
        <v>14</v>
      </c>
      <c r="E292" s="3" t="s">
        <v>16</v>
      </c>
      <c r="F292" s="3" t="s">
        <v>17</v>
      </c>
      <c r="G292" s="3" t="s">
        <v>18</v>
      </c>
    </row>
    <row r="293">
      <c r="A293" s="3" t="s">
        <v>8</v>
      </c>
      <c r="B293" s="3" t="s">
        <v>9</v>
      </c>
      <c r="C293" s="3" t="s">
        <v>10</v>
      </c>
      <c r="D293" s="3" t="s">
        <v>16</v>
      </c>
      <c r="E293" s="3" t="s">
        <v>17</v>
      </c>
      <c r="F293" s="3" t="s">
        <v>18</v>
      </c>
      <c r="G293" s="3" t="s">
        <v>24</v>
      </c>
    </row>
    <row r="294">
      <c r="A294" s="3" t="s">
        <v>8</v>
      </c>
      <c r="B294" s="3" t="s">
        <v>11</v>
      </c>
      <c r="C294" s="3" t="s">
        <v>12</v>
      </c>
    </row>
    <row r="295">
      <c r="A295" s="3" t="s">
        <v>8</v>
      </c>
      <c r="B295" s="3" t="s">
        <v>9</v>
      </c>
      <c r="C295" s="3" t="s">
        <v>12</v>
      </c>
      <c r="D295" s="3" t="s">
        <v>15</v>
      </c>
      <c r="E295" s="3" t="s">
        <v>16</v>
      </c>
    </row>
    <row r="296">
      <c r="A296" s="3" t="s">
        <v>8</v>
      </c>
      <c r="B296" s="3" t="s">
        <v>9</v>
      </c>
      <c r="C296" s="3" t="s">
        <v>10</v>
      </c>
      <c r="D296" s="3" t="s">
        <v>24</v>
      </c>
    </row>
    <row r="297">
      <c r="A297" s="3" t="s">
        <v>8</v>
      </c>
      <c r="B297" s="3" t="s">
        <v>9</v>
      </c>
      <c r="C297" s="3" t="s">
        <v>10</v>
      </c>
      <c r="D297" s="3" t="s">
        <v>15</v>
      </c>
      <c r="E297" s="3" t="s">
        <v>16</v>
      </c>
      <c r="F297" s="3" t="s">
        <v>24</v>
      </c>
    </row>
    <row r="298">
      <c r="A298" s="3" t="s">
        <v>8</v>
      </c>
      <c r="B298" s="3" t="s">
        <v>9</v>
      </c>
      <c r="C298" s="3" t="s">
        <v>10</v>
      </c>
      <c r="D298" s="3" t="s">
        <v>11</v>
      </c>
      <c r="E298" s="3" t="s">
        <v>12</v>
      </c>
      <c r="F298" s="3" t="s">
        <v>16</v>
      </c>
      <c r="G298" s="3" t="s">
        <v>18</v>
      </c>
    </row>
    <row r="299">
      <c r="A299" s="3" t="s">
        <v>8</v>
      </c>
      <c r="B299" s="3" t="s">
        <v>9</v>
      </c>
      <c r="C299" s="3" t="s">
        <v>10</v>
      </c>
      <c r="D299" s="3" t="s">
        <v>16</v>
      </c>
      <c r="E299" s="3" t="s">
        <v>24</v>
      </c>
    </row>
    <row r="300">
      <c r="A300" s="3" t="s">
        <v>8</v>
      </c>
      <c r="B300" s="3" t="s">
        <v>9</v>
      </c>
      <c r="C300" s="3" t="s">
        <v>10</v>
      </c>
      <c r="D300" s="3" t="s">
        <v>15</v>
      </c>
      <c r="E300" s="3" t="s">
        <v>16</v>
      </c>
      <c r="F300" s="3" t="s">
        <v>18</v>
      </c>
      <c r="G300" s="3" t="s">
        <v>24</v>
      </c>
    </row>
    <row r="301">
      <c r="A301" s="3" t="s">
        <v>8</v>
      </c>
      <c r="B301" s="3" t="s">
        <v>15</v>
      </c>
      <c r="C301" s="3" t="s">
        <v>16</v>
      </c>
      <c r="D301" s="3" t="s">
        <v>17</v>
      </c>
      <c r="E301" s="3" t="s">
        <v>18</v>
      </c>
    </row>
    <row r="302">
      <c r="A302" s="3" t="s">
        <v>8</v>
      </c>
    </row>
    <row r="303">
      <c r="A303" s="3" t="s">
        <v>8</v>
      </c>
      <c r="B303" s="3" t="s">
        <v>9</v>
      </c>
      <c r="C303" s="3" t="s">
        <v>16</v>
      </c>
      <c r="D303" s="3" t="s">
        <v>17</v>
      </c>
      <c r="E303" s="3" t="s">
        <v>18</v>
      </c>
    </row>
    <row r="304">
      <c r="A304" s="3" t="s">
        <v>9</v>
      </c>
      <c r="B304" s="3" t="s">
        <v>11</v>
      </c>
      <c r="C304" s="3" t="s">
        <v>12</v>
      </c>
      <c r="D304" s="3" t="s">
        <v>13</v>
      </c>
      <c r="E304" s="3" t="s">
        <v>14</v>
      </c>
      <c r="F304" s="3" t="s">
        <v>17</v>
      </c>
      <c r="G304" s="3" t="s">
        <v>18</v>
      </c>
    </row>
    <row r="305">
      <c r="A305" s="3" t="s">
        <v>9</v>
      </c>
      <c r="B305" s="3" t="s">
        <v>10</v>
      </c>
      <c r="C305" s="3" t="s">
        <v>12</v>
      </c>
      <c r="D305" s="3" t="s">
        <v>16</v>
      </c>
      <c r="E305" s="3" t="s">
        <v>18</v>
      </c>
      <c r="F305" s="3" t="s">
        <v>24</v>
      </c>
    </row>
    <row r="306">
      <c r="A306" s="3" t="s">
        <v>9</v>
      </c>
      <c r="B306" s="3" t="s">
        <v>10</v>
      </c>
      <c r="C306" s="3" t="s">
        <v>11</v>
      </c>
      <c r="D306" s="3" t="s">
        <v>12</v>
      </c>
      <c r="E306" s="3" t="s">
        <v>17</v>
      </c>
      <c r="F306" s="3" t="s">
        <v>24</v>
      </c>
    </row>
    <row r="307">
      <c r="A307" s="3" t="s">
        <v>9</v>
      </c>
      <c r="B307" s="3" t="s">
        <v>10</v>
      </c>
      <c r="C307" s="3" t="s">
        <v>11</v>
      </c>
      <c r="D307" s="3" t="s">
        <v>12</v>
      </c>
      <c r="E307" s="3" t="s">
        <v>15</v>
      </c>
      <c r="F307" s="3" t="s">
        <v>17</v>
      </c>
      <c r="G307" s="3" t="s">
        <v>24</v>
      </c>
    </row>
    <row r="308">
      <c r="A308" s="3" t="s">
        <v>9</v>
      </c>
      <c r="B308" s="3" t="s">
        <v>14</v>
      </c>
      <c r="C308" s="3" t="s">
        <v>17</v>
      </c>
      <c r="D308" s="3" t="s">
        <v>24</v>
      </c>
    </row>
    <row r="309">
      <c r="A309" s="3" t="s">
        <v>9</v>
      </c>
      <c r="B309" s="3" t="s">
        <v>10</v>
      </c>
      <c r="C309" s="3" t="s">
        <v>12</v>
      </c>
      <c r="D309" s="3" t="s">
        <v>15</v>
      </c>
      <c r="E309" s="3" t="s">
        <v>16</v>
      </c>
      <c r="F309" s="3" t="s">
        <v>18</v>
      </c>
      <c r="G309" s="3" t="s">
        <v>24</v>
      </c>
    </row>
    <row r="310">
      <c r="A310" s="3" t="s">
        <v>9</v>
      </c>
      <c r="B310" s="3" t="s">
        <v>10</v>
      </c>
      <c r="C310" s="3" t="s">
        <v>18</v>
      </c>
      <c r="D310" s="3" t="s">
        <v>24</v>
      </c>
    </row>
    <row r="311">
      <c r="A311" s="3" t="s">
        <v>9</v>
      </c>
      <c r="B311" s="3" t="s">
        <v>13</v>
      </c>
      <c r="C311" s="3" t="s">
        <v>14</v>
      </c>
      <c r="D311" s="3" t="s">
        <v>16</v>
      </c>
      <c r="E311" s="3" t="s">
        <v>17</v>
      </c>
      <c r="F311" s="3" t="s">
        <v>18</v>
      </c>
    </row>
    <row r="312">
      <c r="A312" s="3" t="s">
        <v>9</v>
      </c>
      <c r="B312" s="3" t="s">
        <v>10</v>
      </c>
      <c r="C312" s="3" t="s">
        <v>11</v>
      </c>
      <c r="D312" s="3" t="s">
        <v>12</v>
      </c>
      <c r="E312" s="3" t="s">
        <v>24</v>
      </c>
    </row>
    <row r="313">
      <c r="A313" s="3" t="s">
        <v>9</v>
      </c>
      <c r="B313" s="3" t="s">
        <v>10</v>
      </c>
      <c r="C313" s="3" t="s">
        <v>12</v>
      </c>
      <c r="D313" s="3" t="s">
        <v>15</v>
      </c>
      <c r="E313" s="3" t="s">
        <v>16</v>
      </c>
      <c r="F313" s="3" t="s">
        <v>18</v>
      </c>
      <c r="G313" s="3" t="s">
        <v>24</v>
      </c>
    </row>
    <row r="314">
      <c r="A314" s="3" t="s">
        <v>9</v>
      </c>
      <c r="B314" s="3" t="s">
        <v>10</v>
      </c>
      <c r="C314" s="3" t="s">
        <v>24</v>
      </c>
    </row>
    <row r="315">
      <c r="A315" s="3" t="s">
        <v>9</v>
      </c>
      <c r="B315" s="3" t="s">
        <v>12</v>
      </c>
      <c r="C315" s="3" t="s">
        <v>13</v>
      </c>
      <c r="D315" s="3" t="s">
        <v>14</v>
      </c>
      <c r="E315" s="3" t="s">
        <v>17</v>
      </c>
    </row>
    <row r="316">
      <c r="A316" s="3" t="s">
        <v>9</v>
      </c>
      <c r="B316" s="3" t="s">
        <v>11</v>
      </c>
      <c r="C316" s="3" t="s">
        <v>12</v>
      </c>
      <c r="D316" s="3" t="s">
        <v>24</v>
      </c>
    </row>
    <row r="317">
      <c r="A317" s="3" t="s">
        <v>9</v>
      </c>
      <c r="B317" s="3" t="s">
        <v>10</v>
      </c>
      <c r="C317" s="3" t="s">
        <v>14</v>
      </c>
      <c r="D317" s="3" t="s">
        <v>15</v>
      </c>
      <c r="E317" s="3" t="s">
        <v>17</v>
      </c>
      <c r="F317" s="3" t="s">
        <v>24</v>
      </c>
    </row>
    <row r="318">
      <c r="A318" s="3" t="s">
        <v>9</v>
      </c>
    </row>
    <row r="319">
      <c r="A319" s="3" t="s">
        <v>9</v>
      </c>
      <c r="B319" s="3" t="s">
        <v>10</v>
      </c>
      <c r="C319" s="3" t="s">
        <v>11</v>
      </c>
      <c r="D319" s="3" t="s">
        <v>12</v>
      </c>
      <c r="E319" s="3" t="s">
        <v>24</v>
      </c>
    </row>
    <row r="320">
      <c r="A320" s="3" t="s">
        <v>9</v>
      </c>
      <c r="B320" s="3" t="s">
        <v>10</v>
      </c>
      <c r="C320" s="3" t="s">
        <v>11</v>
      </c>
      <c r="D320" s="3" t="s">
        <v>12</v>
      </c>
      <c r="E320" s="3" t="s">
        <v>17</v>
      </c>
      <c r="F320" s="3" t="s">
        <v>18</v>
      </c>
    </row>
    <row r="321">
      <c r="A321" s="3" t="s">
        <v>9</v>
      </c>
      <c r="B321" s="3" t="s">
        <v>24</v>
      </c>
    </row>
    <row r="322">
      <c r="A322" s="3" t="s">
        <v>9</v>
      </c>
      <c r="B322" s="3" t="s">
        <v>13</v>
      </c>
      <c r="C322" s="3" t="s">
        <v>14</v>
      </c>
      <c r="D322" s="3" t="s">
        <v>16</v>
      </c>
      <c r="E322" s="3" t="s">
        <v>17</v>
      </c>
      <c r="F322" s="3" t="s">
        <v>18</v>
      </c>
      <c r="G322" s="3" t="s">
        <v>24</v>
      </c>
    </row>
    <row r="323">
      <c r="A323" s="3" t="s">
        <v>10</v>
      </c>
      <c r="B323" s="3" t="s">
        <v>12</v>
      </c>
    </row>
    <row r="324">
      <c r="A324" s="3" t="s">
        <v>10</v>
      </c>
      <c r="B324" s="3" t="s">
        <v>24</v>
      </c>
    </row>
    <row r="325">
      <c r="A325" s="3" t="s">
        <v>10</v>
      </c>
    </row>
    <row r="326">
      <c r="A326" s="3" t="s">
        <v>10</v>
      </c>
    </row>
    <row r="327">
      <c r="A327" s="3" t="s">
        <v>10</v>
      </c>
      <c r="B327" s="3" t="s">
        <v>18</v>
      </c>
      <c r="C327" s="3" t="s">
        <v>24</v>
      </c>
    </row>
    <row r="328">
      <c r="A328" s="3" t="s">
        <v>10</v>
      </c>
      <c r="B328" s="3" t="s">
        <v>11</v>
      </c>
      <c r="C328" s="3" t="s">
        <v>24</v>
      </c>
    </row>
    <row r="329">
      <c r="A329" s="3" t="s">
        <v>11</v>
      </c>
      <c r="B329" s="3" t="s">
        <v>12</v>
      </c>
      <c r="C329" s="3" t="s">
        <v>15</v>
      </c>
      <c r="D329" s="3" t="s">
        <v>16</v>
      </c>
      <c r="E329" s="3" t="s">
        <v>17</v>
      </c>
      <c r="F329" s="3" t="s">
        <v>18</v>
      </c>
    </row>
    <row r="330">
      <c r="A330" s="3" t="s">
        <v>11</v>
      </c>
      <c r="B330" s="3" t="s">
        <v>12</v>
      </c>
      <c r="C330" s="3" t="s">
        <v>17</v>
      </c>
    </row>
    <row r="331">
      <c r="A331" s="3" t="s">
        <v>11</v>
      </c>
    </row>
    <row r="332">
      <c r="A332" s="3" t="s">
        <v>11</v>
      </c>
      <c r="B332" s="3" t="s">
        <v>12</v>
      </c>
      <c r="C332" s="3" t="s">
        <v>17</v>
      </c>
    </row>
    <row r="333">
      <c r="A333" s="3" t="s">
        <v>11</v>
      </c>
      <c r="B333" s="3" t="s">
        <v>14</v>
      </c>
    </row>
    <row r="334">
      <c r="A334" s="3" t="s">
        <v>11</v>
      </c>
      <c r="B334" s="3" t="s">
        <v>12</v>
      </c>
      <c r="C334" s="3" t="s">
        <v>15</v>
      </c>
    </row>
    <row r="335">
      <c r="A335" s="3" t="s">
        <v>11</v>
      </c>
    </row>
    <row r="336">
      <c r="A336" s="3" t="s">
        <v>11</v>
      </c>
      <c r="B336" s="3" t="s">
        <v>12</v>
      </c>
      <c r="C336" s="3" t="s">
        <v>13</v>
      </c>
      <c r="D336" s="3" t="s">
        <v>14</v>
      </c>
    </row>
    <row r="337">
      <c r="A337" s="3" t="s">
        <v>11</v>
      </c>
      <c r="B337" s="3" t="s">
        <v>13</v>
      </c>
      <c r="C337" s="3" t="s">
        <v>14</v>
      </c>
      <c r="D337" s="3" t="s">
        <v>16</v>
      </c>
      <c r="E337" s="3" t="s">
        <v>18</v>
      </c>
    </row>
    <row r="338">
      <c r="A338" s="3" t="s">
        <v>11</v>
      </c>
    </row>
    <row r="339">
      <c r="A339" s="3" t="s">
        <v>11</v>
      </c>
      <c r="B339" s="3" t="s">
        <v>13</v>
      </c>
      <c r="C339" s="3" t="s">
        <v>14</v>
      </c>
      <c r="D339" s="3" t="s">
        <v>17</v>
      </c>
      <c r="E339" s="3" t="s">
        <v>18</v>
      </c>
    </row>
    <row r="340">
      <c r="A340" s="3" t="s">
        <v>11</v>
      </c>
      <c r="B340" s="3" t="s">
        <v>12</v>
      </c>
      <c r="C340" s="3" t="s">
        <v>15</v>
      </c>
      <c r="D340" s="3" t="s">
        <v>16</v>
      </c>
    </row>
    <row r="341">
      <c r="A341" s="3" t="s">
        <v>11</v>
      </c>
      <c r="B341" s="3" t="s">
        <v>12</v>
      </c>
      <c r="C341" s="3" t="s">
        <v>14</v>
      </c>
      <c r="D341" s="3" t="s">
        <v>17</v>
      </c>
    </row>
    <row r="342">
      <c r="A342" s="3" t="s">
        <v>11</v>
      </c>
      <c r="B342" s="3" t="s">
        <v>12</v>
      </c>
    </row>
    <row r="343">
      <c r="A343" s="3" t="s">
        <v>11</v>
      </c>
      <c r="B343" s="3" t="s">
        <v>15</v>
      </c>
    </row>
    <row r="344">
      <c r="A344" s="3" t="s">
        <v>11</v>
      </c>
      <c r="B344" s="3" t="s">
        <v>12</v>
      </c>
    </row>
    <row r="345">
      <c r="A345" s="3" t="s">
        <v>11</v>
      </c>
    </row>
    <row r="346">
      <c r="A346" s="3" t="s">
        <v>11</v>
      </c>
      <c r="B346" s="3" t="s">
        <v>14</v>
      </c>
    </row>
    <row r="347">
      <c r="A347" s="3" t="s">
        <v>12</v>
      </c>
      <c r="B347" s="3" t="s">
        <v>18</v>
      </c>
    </row>
    <row r="348">
      <c r="A348" s="3" t="s">
        <v>12</v>
      </c>
      <c r="B348" s="3" t="s">
        <v>24</v>
      </c>
    </row>
    <row r="349">
      <c r="A349" s="3" t="s">
        <v>12</v>
      </c>
    </row>
    <row r="350">
      <c r="A350" s="3" t="s">
        <v>12</v>
      </c>
      <c r="B350" s="3" t="s">
        <v>14</v>
      </c>
      <c r="C350" s="3" t="s">
        <v>15</v>
      </c>
      <c r="D350" s="3" t="s">
        <v>17</v>
      </c>
    </row>
    <row r="351">
      <c r="A351" s="3" t="s">
        <v>12</v>
      </c>
    </row>
    <row r="352">
      <c r="A352" s="3" t="s">
        <v>12</v>
      </c>
      <c r="B352" s="3" t="s">
        <v>14</v>
      </c>
      <c r="C352" s="3" t="s">
        <v>18</v>
      </c>
    </row>
    <row r="353">
      <c r="A353" s="3" t="s">
        <v>12</v>
      </c>
      <c r="B353" s="3" t="s">
        <v>13</v>
      </c>
      <c r="C353" s="3" t="s">
        <v>14</v>
      </c>
    </row>
    <row r="354">
      <c r="A354" s="3" t="s">
        <v>12</v>
      </c>
      <c r="B354" s="3" t="s">
        <v>18</v>
      </c>
    </row>
    <row r="355">
      <c r="A355" s="3" t="s">
        <v>12</v>
      </c>
    </row>
    <row r="356">
      <c r="A356" s="3" t="s">
        <v>13</v>
      </c>
      <c r="B356" s="3" t="s">
        <v>14</v>
      </c>
    </row>
    <row r="357">
      <c r="A357" s="3" t="s">
        <v>13</v>
      </c>
      <c r="B357" s="3" t="s">
        <v>17</v>
      </c>
      <c r="C357" s="3" t="s">
        <v>18</v>
      </c>
    </row>
    <row r="358">
      <c r="A358" s="3" t="s">
        <v>13</v>
      </c>
      <c r="B358" s="3" t="s">
        <v>14</v>
      </c>
      <c r="C358" s="3" t="s">
        <v>17</v>
      </c>
    </row>
    <row r="359">
      <c r="A359" s="3" t="s">
        <v>13</v>
      </c>
      <c r="B359" s="3" t="s">
        <v>14</v>
      </c>
      <c r="C359" s="3" t="s">
        <v>18</v>
      </c>
    </row>
    <row r="360">
      <c r="A360" s="3" t="s">
        <v>13</v>
      </c>
      <c r="B360" s="3" t="s">
        <v>14</v>
      </c>
    </row>
    <row r="361">
      <c r="A361" s="3" t="s">
        <v>13</v>
      </c>
      <c r="B361" s="3" t="s">
        <v>14</v>
      </c>
    </row>
    <row r="362">
      <c r="A362" s="3" t="s">
        <v>13</v>
      </c>
      <c r="B362" s="3" t="s">
        <v>14</v>
      </c>
    </row>
    <row r="363">
      <c r="A363" s="3" t="s">
        <v>13</v>
      </c>
      <c r="B363" s="3" t="s">
        <v>14</v>
      </c>
    </row>
    <row r="364">
      <c r="A364" s="3" t="s">
        <v>13</v>
      </c>
      <c r="B364" s="3" t="s">
        <v>14</v>
      </c>
      <c r="C364" s="3" t="s">
        <v>17</v>
      </c>
    </row>
    <row r="365">
      <c r="A365" s="3" t="s">
        <v>13</v>
      </c>
      <c r="B365" s="3" t="s">
        <v>14</v>
      </c>
    </row>
    <row r="366">
      <c r="A366" s="3" t="s">
        <v>13</v>
      </c>
      <c r="B366" s="3" t="s">
        <v>14</v>
      </c>
    </row>
    <row r="367">
      <c r="A367" s="3" t="s">
        <v>13</v>
      </c>
      <c r="B367" s="3" t="s">
        <v>14</v>
      </c>
      <c r="C367" s="3" t="s">
        <v>15</v>
      </c>
      <c r="D367" s="3" t="s">
        <v>16</v>
      </c>
      <c r="E367" s="3" t="s">
        <v>17</v>
      </c>
      <c r="F367" s="3" t="s">
        <v>18</v>
      </c>
    </row>
    <row r="368">
      <c r="A368" s="3" t="s">
        <v>13</v>
      </c>
      <c r="B368" s="3" t="s">
        <v>14</v>
      </c>
      <c r="C368" s="3" t="s">
        <v>15</v>
      </c>
      <c r="D368" s="3" t="s">
        <v>16</v>
      </c>
      <c r="E368" s="3" t="s">
        <v>17</v>
      </c>
      <c r="F368" s="3" t="s">
        <v>18</v>
      </c>
    </row>
    <row r="369">
      <c r="A369" s="3" t="s">
        <v>13</v>
      </c>
      <c r="B369" s="3" t="s">
        <v>14</v>
      </c>
    </row>
    <row r="370">
      <c r="A370" s="3" t="s">
        <v>13</v>
      </c>
      <c r="B370" s="3" t="s">
        <v>14</v>
      </c>
    </row>
    <row r="371">
      <c r="A371" s="3" t="s">
        <v>13</v>
      </c>
      <c r="B371" s="3" t="s">
        <v>14</v>
      </c>
      <c r="C371" s="3" t="s">
        <v>15</v>
      </c>
      <c r="D371" s="3" t="s">
        <v>16</v>
      </c>
    </row>
    <row r="372">
      <c r="A372" s="3" t="s">
        <v>13</v>
      </c>
      <c r="B372" s="3" t="s">
        <v>14</v>
      </c>
      <c r="C372" s="3" t="s">
        <v>16</v>
      </c>
    </row>
    <row r="373">
      <c r="A373" s="3" t="s">
        <v>13</v>
      </c>
    </row>
    <row r="374">
      <c r="A374" s="3" t="s">
        <v>13</v>
      </c>
      <c r="B374" s="3" t="s">
        <v>14</v>
      </c>
    </row>
    <row r="375">
      <c r="A375" s="3" t="s">
        <v>13</v>
      </c>
    </row>
    <row r="376">
      <c r="A376" s="3" t="s">
        <v>13</v>
      </c>
    </row>
    <row r="377">
      <c r="A377" s="3" t="s">
        <v>13</v>
      </c>
    </row>
    <row r="378">
      <c r="A378" s="3" t="s">
        <v>13</v>
      </c>
      <c r="B378" s="3" t="s">
        <v>14</v>
      </c>
      <c r="C378" s="3" t="s">
        <v>15</v>
      </c>
      <c r="D378" s="3" t="s">
        <v>16</v>
      </c>
      <c r="E378" s="3" t="s">
        <v>17</v>
      </c>
      <c r="F378" s="3" t="s">
        <v>18</v>
      </c>
    </row>
    <row r="379">
      <c r="A379" s="3" t="s">
        <v>13</v>
      </c>
      <c r="B379" s="3" t="s">
        <v>14</v>
      </c>
    </row>
    <row r="380">
      <c r="A380" s="3" t="s">
        <v>13</v>
      </c>
    </row>
    <row r="381">
      <c r="A381" s="3" t="s">
        <v>13</v>
      </c>
      <c r="B381" s="3" t="s">
        <v>14</v>
      </c>
    </row>
    <row r="382">
      <c r="A382" s="3" t="s">
        <v>13</v>
      </c>
      <c r="B382" s="3" t="s">
        <v>14</v>
      </c>
      <c r="C382" s="3" t="s">
        <v>16</v>
      </c>
    </row>
    <row r="383">
      <c r="A383" s="3" t="s">
        <v>13</v>
      </c>
      <c r="B383" s="3" t="s">
        <v>17</v>
      </c>
    </row>
    <row r="384">
      <c r="A384" s="3" t="s">
        <v>13</v>
      </c>
    </row>
    <row r="385">
      <c r="A385" s="3" t="s">
        <v>13</v>
      </c>
      <c r="B385" s="3" t="s">
        <v>14</v>
      </c>
    </row>
    <row r="386">
      <c r="A386" s="3" t="s">
        <v>13</v>
      </c>
    </row>
    <row r="387">
      <c r="A387" s="3" t="s">
        <v>14</v>
      </c>
      <c r="B387" s="3" t="s">
        <v>15</v>
      </c>
      <c r="C387" s="3" t="s">
        <v>17</v>
      </c>
      <c r="D387" s="3" t="s">
        <v>24</v>
      </c>
    </row>
    <row r="388">
      <c r="A388" s="3" t="s">
        <v>14</v>
      </c>
    </row>
    <row r="389">
      <c r="A389" s="3" t="s">
        <v>14</v>
      </c>
    </row>
    <row r="390">
      <c r="A390" s="3" t="s">
        <v>14</v>
      </c>
    </row>
    <row r="391">
      <c r="A391" s="3" t="s">
        <v>14</v>
      </c>
      <c r="B391" s="3" t="s">
        <v>16</v>
      </c>
      <c r="C391" s="3" t="s">
        <v>18</v>
      </c>
    </row>
    <row r="392">
      <c r="A392" s="3" t="s">
        <v>14</v>
      </c>
    </row>
    <row r="393">
      <c r="A393" s="3" t="s">
        <v>14</v>
      </c>
      <c r="B393" s="3" t="s">
        <v>15</v>
      </c>
    </row>
    <row r="394">
      <c r="A394" s="3" t="s">
        <v>14</v>
      </c>
    </row>
    <row r="395">
      <c r="A395" s="3" t="s">
        <v>14</v>
      </c>
    </row>
    <row r="396">
      <c r="A396" s="3" t="s">
        <v>14</v>
      </c>
    </row>
    <row r="397">
      <c r="A397" s="3" t="s">
        <v>14</v>
      </c>
    </row>
    <row r="398">
      <c r="A398" s="3" t="s">
        <v>14</v>
      </c>
    </row>
    <row r="399">
      <c r="A399" s="3" t="s">
        <v>14</v>
      </c>
    </row>
    <row r="400">
      <c r="A400" s="3" t="s">
        <v>14</v>
      </c>
    </row>
    <row r="401">
      <c r="A401" s="3" t="s">
        <v>15</v>
      </c>
    </row>
    <row r="402">
      <c r="A402" s="3" t="s">
        <v>15</v>
      </c>
      <c r="B402" s="3" t="s">
        <v>16</v>
      </c>
      <c r="C402" s="3" t="s">
        <v>17</v>
      </c>
    </row>
    <row r="403">
      <c r="A403" s="3" t="s">
        <v>15</v>
      </c>
      <c r="B403" s="3" t="s">
        <v>16</v>
      </c>
    </row>
    <row r="404">
      <c r="A404" s="3" t="s">
        <v>15</v>
      </c>
      <c r="B404" s="3" t="s">
        <v>16</v>
      </c>
    </row>
    <row r="405">
      <c r="A405" s="3" t="s">
        <v>15</v>
      </c>
      <c r="B405" s="3" t="s">
        <v>16</v>
      </c>
    </row>
    <row r="406">
      <c r="A406" s="3" t="s">
        <v>15</v>
      </c>
    </row>
    <row r="407">
      <c r="A407" s="3" t="s">
        <v>15</v>
      </c>
    </row>
    <row r="408">
      <c r="A408" s="3" t="s">
        <v>15</v>
      </c>
      <c r="B408" s="3" t="s">
        <v>16</v>
      </c>
      <c r="C408" s="3" t="s">
        <v>17</v>
      </c>
    </row>
    <row r="409">
      <c r="A409" s="3" t="s">
        <v>15</v>
      </c>
      <c r="B409" s="3" t="s">
        <v>17</v>
      </c>
      <c r="C409" s="3" t="s">
        <v>18</v>
      </c>
    </row>
    <row r="410">
      <c r="A410" s="3" t="s">
        <v>15</v>
      </c>
      <c r="B410" s="3" t="s">
        <v>16</v>
      </c>
    </row>
    <row r="411">
      <c r="A411" s="3" t="s">
        <v>15</v>
      </c>
      <c r="B411" s="3" t="s">
        <v>16</v>
      </c>
      <c r="C411" s="3" t="s">
        <v>17</v>
      </c>
      <c r="D411" s="3" t="s">
        <v>18</v>
      </c>
    </row>
    <row r="412">
      <c r="A412" s="3" t="s">
        <v>16</v>
      </c>
    </row>
    <row r="413">
      <c r="A413" s="3" t="s">
        <v>16</v>
      </c>
    </row>
    <row r="414">
      <c r="A414" s="3" t="s">
        <v>16</v>
      </c>
    </row>
    <row r="415">
      <c r="A415" s="3" t="s">
        <v>16</v>
      </c>
      <c r="B415" s="3" t="s">
        <v>18</v>
      </c>
    </row>
    <row r="416">
      <c r="A416" s="3" t="s">
        <v>17</v>
      </c>
    </row>
    <row r="417">
      <c r="A417" s="3" t="s">
        <v>17</v>
      </c>
      <c r="B417" s="3" t="s">
        <v>18</v>
      </c>
    </row>
    <row r="418">
      <c r="A418" s="3" t="s">
        <v>6</v>
      </c>
      <c r="B418" s="3" t="s">
        <v>7</v>
      </c>
      <c r="C418" s="3" t="s">
        <v>11</v>
      </c>
      <c r="D418" s="3" t="s">
        <v>12</v>
      </c>
    </row>
    <row r="419">
      <c r="A419" s="3" t="s">
        <v>6</v>
      </c>
      <c r="B419" s="3" t="s">
        <v>7</v>
      </c>
      <c r="C419" s="3" t="s">
        <v>11</v>
      </c>
      <c r="D419" s="3" t="s">
        <v>12</v>
      </c>
      <c r="E419" s="3" t="s">
        <v>15</v>
      </c>
    </row>
    <row r="420">
      <c r="A420" s="3" t="s">
        <v>6</v>
      </c>
      <c r="B420" s="3" t="s">
        <v>7</v>
      </c>
      <c r="C420" s="3" t="s">
        <v>8</v>
      </c>
      <c r="D420" s="3" t="s">
        <v>9</v>
      </c>
      <c r="E420" s="3" t="s">
        <v>10</v>
      </c>
      <c r="F420" s="3" t="s">
        <v>11</v>
      </c>
      <c r="G420" s="3" t="s">
        <v>18</v>
      </c>
      <c r="H420" s="3" t="s">
        <v>24</v>
      </c>
    </row>
    <row r="421">
      <c r="A421" s="3" t="s">
        <v>6</v>
      </c>
      <c r="B421" s="3" t="s">
        <v>7</v>
      </c>
      <c r="C421" s="3" t="s">
        <v>8</v>
      </c>
      <c r="D421" s="3" t="s">
        <v>11</v>
      </c>
      <c r="E421" s="3" t="s">
        <v>15</v>
      </c>
    </row>
    <row r="422">
      <c r="A422" s="3" t="s">
        <v>6</v>
      </c>
      <c r="B422" s="3" t="s">
        <v>7</v>
      </c>
      <c r="C422" s="3" t="s">
        <v>8</v>
      </c>
      <c r="D422" s="3" t="s">
        <v>11</v>
      </c>
      <c r="E422" s="3" t="s">
        <v>12</v>
      </c>
      <c r="F422" s="3" t="s">
        <v>15</v>
      </c>
    </row>
    <row r="423">
      <c r="A423" s="3" t="s">
        <v>6</v>
      </c>
      <c r="B423" s="3" t="s">
        <v>7</v>
      </c>
      <c r="C423" s="3" t="s">
        <v>9</v>
      </c>
      <c r="D423" s="3" t="s">
        <v>13</v>
      </c>
      <c r="E423" s="3" t="s">
        <v>14</v>
      </c>
      <c r="F423" s="3" t="s">
        <v>15</v>
      </c>
      <c r="G423" s="3" t="s">
        <v>17</v>
      </c>
      <c r="H423" s="3" t="s">
        <v>18</v>
      </c>
    </row>
    <row r="424">
      <c r="A424" s="3" t="s">
        <v>6</v>
      </c>
      <c r="B424" s="3" t="s">
        <v>7</v>
      </c>
      <c r="C424" s="3" t="s">
        <v>8</v>
      </c>
      <c r="D424" s="3" t="s">
        <v>11</v>
      </c>
      <c r="E424" s="3" t="s">
        <v>13</v>
      </c>
      <c r="F424" s="3" t="s">
        <v>15</v>
      </c>
      <c r="G424" s="3" t="s">
        <v>16</v>
      </c>
      <c r="H424" s="3" t="s">
        <v>17</v>
      </c>
    </row>
    <row r="425">
      <c r="A425" s="3" t="s">
        <v>6</v>
      </c>
      <c r="B425" s="3" t="s">
        <v>7</v>
      </c>
      <c r="C425" s="3" t="s">
        <v>8</v>
      </c>
    </row>
    <row r="426">
      <c r="A426" s="3" t="s">
        <v>6</v>
      </c>
      <c r="B426" s="3" t="s">
        <v>7</v>
      </c>
      <c r="C426" s="3" t="s">
        <v>8</v>
      </c>
      <c r="D426" s="3" t="s">
        <v>11</v>
      </c>
      <c r="E426" s="3" t="s">
        <v>12</v>
      </c>
      <c r="F426" s="3" t="s">
        <v>13</v>
      </c>
      <c r="G426" s="3" t="s">
        <v>17</v>
      </c>
    </row>
    <row r="427">
      <c r="A427" s="3" t="s">
        <v>6</v>
      </c>
      <c r="B427" s="3" t="s">
        <v>7</v>
      </c>
      <c r="C427" s="3" t="s">
        <v>8</v>
      </c>
      <c r="D427" s="3" t="s">
        <v>11</v>
      </c>
      <c r="E427" s="3" t="s">
        <v>12</v>
      </c>
      <c r="F427" s="3" t="s">
        <v>15</v>
      </c>
      <c r="G427" s="3" t="s">
        <v>16</v>
      </c>
      <c r="H427" s="3" t="s">
        <v>17</v>
      </c>
    </row>
    <row r="428">
      <c r="A428" s="3" t="s">
        <v>6</v>
      </c>
      <c r="B428" s="3" t="s">
        <v>7</v>
      </c>
      <c r="C428" s="3" t="s">
        <v>15</v>
      </c>
      <c r="D428" s="3" t="s">
        <v>16</v>
      </c>
      <c r="E428" s="3" t="s">
        <v>17</v>
      </c>
      <c r="F428" s="3" t="s">
        <v>18</v>
      </c>
    </row>
    <row r="429">
      <c r="A429" s="3" t="s">
        <v>6</v>
      </c>
      <c r="B429" s="3" t="s">
        <v>7</v>
      </c>
      <c r="C429" s="3" t="s">
        <v>8</v>
      </c>
      <c r="D429" s="3" t="s">
        <v>11</v>
      </c>
      <c r="E429" s="3" t="s">
        <v>12</v>
      </c>
    </row>
    <row r="430">
      <c r="A430" s="3" t="s">
        <v>6</v>
      </c>
      <c r="B430" s="3" t="s">
        <v>7</v>
      </c>
      <c r="C430" s="3" t="s">
        <v>11</v>
      </c>
      <c r="D430" s="3" t="s">
        <v>12</v>
      </c>
      <c r="E430" s="3" t="s">
        <v>15</v>
      </c>
    </row>
    <row r="431">
      <c r="A431" s="3" t="s">
        <v>6</v>
      </c>
      <c r="B431" s="3" t="s">
        <v>8</v>
      </c>
      <c r="C431" s="3" t="s">
        <v>11</v>
      </c>
      <c r="D431" s="3" t="s">
        <v>12</v>
      </c>
      <c r="E431" s="3" t="s">
        <v>13</v>
      </c>
      <c r="F431" s="3" t="s">
        <v>17</v>
      </c>
    </row>
    <row r="432">
      <c r="A432" s="3" t="s">
        <v>6</v>
      </c>
      <c r="B432" s="3" t="s">
        <v>7</v>
      </c>
      <c r="C432" s="3" t="s">
        <v>8</v>
      </c>
      <c r="D432" s="3" t="s">
        <v>9</v>
      </c>
      <c r="E432" s="3" t="s">
        <v>11</v>
      </c>
      <c r="F432" s="3" t="s">
        <v>12</v>
      </c>
      <c r="G432" s="3" t="s">
        <v>17</v>
      </c>
      <c r="H432" s="3" t="s">
        <v>18</v>
      </c>
      <c r="I432" s="3" t="s">
        <v>24</v>
      </c>
    </row>
    <row r="433">
      <c r="A433" s="3" t="s">
        <v>6</v>
      </c>
      <c r="B433" s="3" t="s">
        <v>7</v>
      </c>
      <c r="C433" s="3" t="s">
        <v>13</v>
      </c>
      <c r="D433" s="3" t="s">
        <v>14</v>
      </c>
      <c r="E433" s="3" t="s">
        <v>15</v>
      </c>
      <c r="F433" s="3" t="s">
        <v>17</v>
      </c>
      <c r="G433" s="3" t="s">
        <v>18</v>
      </c>
    </row>
    <row r="434">
      <c r="A434" s="3" t="s">
        <v>6</v>
      </c>
      <c r="B434" s="3" t="s">
        <v>7</v>
      </c>
      <c r="C434" s="3" t="s">
        <v>8</v>
      </c>
      <c r="D434" s="3" t="s">
        <v>9</v>
      </c>
      <c r="E434" s="3" t="s">
        <v>11</v>
      </c>
      <c r="F434" s="3" t="s">
        <v>17</v>
      </c>
      <c r="G434" s="3" t="s">
        <v>24</v>
      </c>
    </row>
    <row r="435">
      <c r="A435" s="3" t="s">
        <v>6</v>
      </c>
      <c r="B435" s="3" t="s">
        <v>7</v>
      </c>
      <c r="C435" s="3" t="s">
        <v>8</v>
      </c>
      <c r="D435" s="3" t="s">
        <v>9</v>
      </c>
      <c r="E435" s="3" t="s">
        <v>15</v>
      </c>
      <c r="F435" s="3" t="s">
        <v>16</v>
      </c>
      <c r="G435" s="3" t="s">
        <v>18</v>
      </c>
      <c r="H435" s="3" t="s">
        <v>24</v>
      </c>
    </row>
    <row r="436">
      <c r="A436" s="3" t="s">
        <v>6</v>
      </c>
      <c r="B436" s="3" t="s">
        <v>7</v>
      </c>
      <c r="C436" s="3" t="s">
        <v>8</v>
      </c>
      <c r="D436" s="3" t="s">
        <v>11</v>
      </c>
      <c r="E436" s="3" t="s">
        <v>12</v>
      </c>
      <c r="F436" s="3" t="s">
        <v>13</v>
      </c>
      <c r="G436" s="3" t="s">
        <v>14</v>
      </c>
      <c r="H436" s="3" t="s">
        <v>17</v>
      </c>
      <c r="I436" s="3" t="s">
        <v>18</v>
      </c>
    </row>
    <row r="437">
      <c r="A437" s="3" t="s">
        <v>6</v>
      </c>
      <c r="B437" s="3" t="s">
        <v>7</v>
      </c>
      <c r="C437" s="3" t="s">
        <v>8</v>
      </c>
      <c r="D437" s="3" t="s">
        <v>11</v>
      </c>
      <c r="E437" s="3" t="s">
        <v>12</v>
      </c>
      <c r="F437" s="3" t="s">
        <v>15</v>
      </c>
    </row>
    <row r="438">
      <c r="A438" s="3" t="s">
        <v>6</v>
      </c>
      <c r="B438" s="3" t="s">
        <v>7</v>
      </c>
      <c r="C438" s="3" t="s">
        <v>8</v>
      </c>
      <c r="D438" s="3" t="s">
        <v>11</v>
      </c>
      <c r="E438" s="3" t="s">
        <v>13</v>
      </c>
      <c r="F438" s="3" t="s">
        <v>17</v>
      </c>
    </row>
    <row r="439">
      <c r="A439" s="3" t="s">
        <v>6</v>
      </c>
      <c r="B439" s="3" t="s">
        <v>7</v>
      </c>
      <c r="C439" s="3" t="s">
        <v>8</v>
      </c>
      <c r="D439" s="3" t="s">
        <v>9</v>
      </c>
      <c r="E439" s="3" t="s">
        <v>11</v>
      </c>
      <c r="F439" s="3" t="s">
        <v>12</v>
      </c>
      <c r="G439" s="3" t="s">
        <v>17</v>
      </c>
      <c r="H439" s="3" t="s">
        <v>18</v>
      </c>
      <c r="I439" s="3" t="s">
        <v>24</v>
      </c>
    </row>
    <row r="440">
      <c r="A440" s="3" t="s">
        <v>6</v>
      </c>
      <c r="B440" s="3" t="s">
        <v>7</v>
      </c>
      <c r="C440" s="3" t="s">
        <v>8</v>
      </c>
      <c r="D440" s="3" t="s">
        <v>11</v>
      </c>
      <c r="E440" s="3" t="s">
        <v>12</v>
      </c>
      <c r="F440" s="3" t="s">
        <v>15</v>
      </c>
    </row>
    <row r="441">
      <c r="A441" s="3" t="s">
        <v>6</v>
      </c>
      <c r="B441" s="3" t="s">
        <v>7</v>
      </c>
      <c r="C441" s="3" t="s">
        <v>8</v>
      </c>
      <c r="D441" s="3" t="s">
        <v>11</v>
      </c>
      <c r="E441" s="3" t="s">
        <v>12</v>
      </c>
      <c r="F441" s="3" t="s">
        <v>15</v>
      </c>
      <c r="G441" s="3" t="s">
        <v>17</v>
      </c>
    </row>
    <row r="442">
      <c r="A442" s="3" t="s">
        <v>6</v>
      </c>
      <c r="B442" s="3" t="s">
        <v>7</v>
      </c>
      <c r="C442" s="3" t="s">
        <v>8</v>
      </c>
      <c r="D442" s="3" t="s">
        <v>9</v>
      </c>
      <c r="E442" s="3" t="s">
        <v>10</v>
      </c>
      <c r="F442" s="3" t="s">
        <v>15</v>
      </c>
      <c r="G442" s="3" t="s">
        <v>17</v>
      </c>
      <c r="H442" s="3" t="s">
        <v>18</v>
      </c>
      <c r="I442" s="3" t="s">
        <v>24</v>
      </c>
    </row>
    <row r="443">
      <c r="A443" s="3" t="s">
        <v>6</v>
      </c>
      <c r="B443" s="3" t="s">
        <v>7</v>
      </c>
      <c r="C443" s="3" t="s">
        <v>9</v>
      </c>
      <c r="D443" s="3" t="s">
        <v>13</v>
      </c>
      <c r="E443" s="3" t="s">
        <v>14</v>
      </c>
      <c r="F443" s="3" t="s">
        <v>15</v>
      </c>
      <c r="G443" s="3" t="s">
        <v>17</v>
      </c>
    </row>
    <row r="444">
      <c r="A444" s="3" t="s">
        <v>6</v>
      </c>
      <c r="B444" s="3" t="s">
        <v>7</v>
      </c>
      <c r="C444" s="3" t="s">
        <v>8</v>
      </c>
      <c r="D444" s="3" t="s">
        <v>15</v>
      </c>
      <c r="E444" s="3" t="s">
        <v>16</v>
      </c>
      <c r="F444" s="3" t="s">
        <v>17</v>
      </c>
    </row>
    <row r="445">
      <c r="A445" s="3" t="s">
        <v>6</v>
      </c>
      <c r="B445" s="3" t="s">
        <v>7</v>
      </c>
      <c r="C445" s="3" t="s">
        <v>11</v>
      </c>
      <c r="D445" s="3" t="s">
        <v>13</v>
      </c>
      <c r="E445" s="3" t="s">
        <v>15</v>
      </c>
      <c r="F445" s="3" t="s">
        <v>16</v>
      </c>
      <c r="G445" s="3" t="s">
        <v>17</v>
      </c>
    </row>
    <row r="446">
      <c r="A446" s="3" t="s">
        <v>6</v>
      </c>
      <c r="B446" s="3" t="s">
        <v>7</v>
      </c>
      <c r="C446" s="3" t="s">
        <v>13</v>
      </c>
      <c r="D446" s="3" t="s">
        <v>14</v>
      </c>
      <c r="E446" s="3" t="s">
        <v>15</v>
      </c>
      <c r="F446" s="3" t="s">
        <v>17</v>
      </c>
      <c r="G446" s="3" t="s">
        <v>18</v>
      </c>
    </row>
    <row r="447">
      <c r="A447" s="3" t="s">
        <v>6</v>
      </c>
      <c r="B447" s="3" t="s">
        <v>7</v>
      </c>
      <c r="C447" s="3" t="s">
        <v>8</v>
      </c>
      <c r="D447" s="3" t="s">
        <v>11</v>
      </c>
      <c r="E447" s="3" t="s">
        <v>12</v>
      </c>
      <c r="F447" s="3" t="s">
        <v>13</v>
      </c>
      <c r="G447" s="3" t="s">
        <v>14</v>
      </c>
      <c r="H447" s="3" t="s">
        <v>17</v>
      </c>
      <c r="I447" s="3" t="s">
        <v>18</v>
      </c>
    </row>
    <row r="448">
      <c r="A448" s="3" t="s">
        <v>6</v>
      </c>
      <c r="B448" s="3" t="s">
        <v>7</v>
      </c>
      <c r="C448" s="3" t="s">
        <v>8</v>
      </c>
      <c r="D448" s="3" t="s">
        <v>11</v>
      </c>
      <c r="E448" s="3" t="s">
        <v>15</v>
      </c>
      <c r="F448" s="3" t="s">
        <v>17</v>
      </c>
    </row>
    <row r="449">
      <c r="A449" s="3" t="s">
        <v>6</v>
      </c>
      <c r="B449" s="3" t="s">
        <v>7</v>
      </c>
      <c r="C449" s="3" t="s">
        <v>11</v>
      </c>
      <c r="D449" s="3" t="s">
        <v>13</v>
      </c>
      <c r="E449" s="3" t="s">
        <v>14</v>
      </c>
      <c r="F449" s="3" t="s">
        <v>15</v>
      </c>
      <c r="G449" s="3" t="s">
        <v>17</v>
      </c>
      <c r="H449" s="3" t="s">
        <v>18</v>
      </c>
    </row>
    <row r="450">
      <c r="A450" s="3" t="s">
        <v>6</v>
      </c>
      <c r="B450" s="3" t="s">
        <v>7</v>
      </c>
      <c r="C450" s="3" t="s">
        <v>8</v>
      </c>
      <c r="D450" s="3" t="s">
        <v>11</v>
      </c>
      <c r="E450" s="3" t="s">
        <v>13</v>
      </c>
      <c r="F450" s="3" t="s">
        <v>14</v>
      </c>
      <c r="G450" s="3" t="s">
        <v>17</v>
      </c>
      <c r="H450" s="3" t="s">
        <v>18</v>
      </c>
    </row>
    <row r="451">
      <c r="A451" s="3" t="s">
        <v>6</v>
      </c>
      <c r="B451" s="3" t="s">
        <v>7</v>
      </c>
      <c r="C451" s="3" t="s">
        <v>8</v>
      </c>
      <c r="D451" s="3" t="s">
        <v>14</v>
      </c>
      <c r="E451" s="3" t="s">
        <v>15</v>
      </c>
      <c r="F451" s="3" t="s">
        <v>16</v>
      </c>
      <c r="G451" s="3" t="s">
        <v>17</v>
      </c>
      <c r="H451" s="3" t="s">
        <v>18</v>
      </c>
    </row>
    <row r="452">
      <c r="A452" s="3" t="s">
        <v>6</v>
      </c>
      <c r="B452" s="3" t="s">
        <v>7</v>
      </c>
      <c r="C452" s="3" t="s">
        <v>8</v>
      </c>
      <c r="D452" s="3" t="s">
        <v>11</v>
      </c>
      <c r="E452" s="3" t="s">
        <v>12</v>
      </c>
      <c r="F452" s="3" t="s">
        <v>13</v>
      </c>
      <c r="G452" s="3" t="s">
        <v>17</v>
      </c>
      <c r="H452" s="3" t="s">
        <v>18</v>
      </c>
    </row>
    <row r="453">
      <c r="A453" s="3" t="s">
        <v>6</v>
      </c>
      <c r="B453" s="3" t="s">
        <v>7</v>
      </c>
      <c r="C453" s="3" t="s">
        <v>8</v>
      </c>
      <c r="D453" s="3" t="s">
        <v>11</v>
      </c>
      <c r="E453" s="3" t="s">
        <v>15</v>
      </c>
      <c r="F453" s="3" t="s">
        <v>16</v>
      </c>
      <c r="G453" s="3" t="s">
        <v>17</v>
      </c>
    </row>
    <row r="454">
      <c r="A454" s="3" t="s">
        <v>6</v>
      </c>
      <c r="B454" s="3" t="s">
        <v>7</v>
      </c>
      <c r="C454" s="3" t="s">
        <v>8</v>
      </c>
      <c r="D454" s="3" t="s">
        <v>11</v>
      </c>
      <c r="E454" s="3" t="s">
        <v>12</v>
      </c>
      <c r="F454" s="3" t="s">
        <v>15</v>
      </c>
    </row>
    <row r="455">
      <c r="A455" s="3" t="s">
        <v>6</v>
      </c>
      <c r="B455" s="3" t="s">
        <v>7</v>
      </c>
      <c r="C455" s="3" t="s">
        <v>8</v>
      </c>
      <c r="D455" s="3" t="s">
        <v>11</v>
      </c>
      <c r="E455" s="3" t="s">
        <v>12</v>
      </c>
      <c r="F455" s="3" t="s">
        <v>17</v>
      </c>
    </row>
    <row r="456">
      <c r="A456" s="3" t="s">
        <v>6</v>
      </c>
      <c r="B456" s="3" t="s">
        <v>7</v>
      </c>
      <c r="C456" s="3" t="s">
        <v>8</v>
      </c>
      <c r="D456" s="3" t="s">
        <v>11</v>
      </c>
      <c r="E456" s="3" t="s">
        <v>12</v>
      </c>
      <c r="F456" s="3" t="s">
        <v>13</v>
      </c>
      <c r="G456" s="3" t="s">
        <v>15</v>
      </c>
      <c r="H456" s="3" t="s">
        <v>16</v>
      </c>
      <c r="I456" s="3" t="s">
        <v>17</v>
      </c>
    </row>
    <row r="457">
      <c r="A457" s="3" t="s">
        <v>6</v>
      </c>
      <c r="B457" s="3" t="s">
        <v>7</v>
      </c>
      <c r="C457" s="3" t="s">
        <v>13</v>
      </c>
      <c r="D457" s="3" t="s">
        <v>14</v>
      </c>
    </row>
    <row r="458">
      <c r="A458" s="3" t="s">
        <v>6</v>
      </c>
      <c r="B458" s="3" t="s">
        <v>11</v>
      </c>
      <c r="C458" s="3" t="s">
        <v>12</v>
      </c>
      <c r="D458" s="3" t="s">
        <v>13</v>
      </c>
      <c r="E458" s="3" t="s">
        <v>14</v>
      </c>
      <c r="F458" s="3" t="s">
        <v>15</v>
      </c>
      <c r="G458" s="3" t="s">
        <v>17</v>
      </c>
    </row>
    <row r="459">
      <c r="A459" s="3" t="s">
        <v>6</v>
      </c>
      <c r="B459" s="3" t="s">
        <v>7</v>
      </c>
      <c r="C459" s="3" t="s">
        <v>8</v>
      </c>
      <c r="D459" s="3" t="s">
        <v>9</v>
      </c>
      <c r="E459" s="3" t="s">
        <v>11</v>
      </c>
      <c r="F459" s="3" t="s">
        <v>12</v>
      </c>
      <c r="G459" s="3" t="s">
        <v>15</v>
      </c>
      <c r="H459" s="3" t="s">
        <v>17</v>
      </c>
      <c r="I459" s="3" t="s">
        <v>18</v>
      </c>
    </row>
    <row r="460">
      <c r="A460" s="3" t="s">
        <v>6</v>
      </c>
      <c r="B460" s="3" t="s">
        <v>7</v>
      </c>
      <c r="C460" s="3" t="s">
        <v>8</v>
      </c>
      <c r="D460" s="3" t="s">
        <v>11</v>
      </c>
      <c r="E460" s="3" t="s">
        <v>12</v>
      </c>
      <c r="F460" s="3" t="s">
        <v>15</v>
      </c>
      <c r="G460" s="3" t="s">
        <v>16</v>
      </c>
      <c r="H460" s="3" t="s">
        <v>17</v>
      </c>
    </row>
    <row r="461">
      <c r="A461" s="3" t="s">
        <v>6</v>
      </c>
      <c r="B461" s="3" t="s">
        <v>7</v>
      </c>
      <c r="C461" s="3" t="s">
        <v>8</v>
      </c>
      <c r="D461" s="3" t="s">
        <v>9</v>
      </c>
      <c r="E461" s="3" t="s">
        <v>11</v>
      </c>
      <c r="F461" s="3" t="s">
        <v>12</v>
      </c>
      <c r="G461" s="3" t="s">
        <v>13</v>
      </c>
      <c r="H461" s="3" t="s">
        <v>15</v>
      </c>
      <c r="I461" s="3" t="s">
        <v>17</v>
      </c>
    </row>
    <row r="462">
      <c r="A462" s="3" t="s">
        <v>6</v>
      </c>
      <c r="B462" s="3" t="s">
        <v>7</v>
      </c>
      <c r="C462" s="3" t="s">
        <v>11</v>
      </c>
      <c r="D462" s="3" t="s">
        <v>13</v>
      </c>
      <c r="E462" s="3" t="s">
        <v>14</v>
      </c>
      <c r="F462" s="3" t="s">
        <v>15</v>
      </c>
      <c r="G462" s="3" t="s">
        <v>17</v>
      </c>
    </row>
    <row r="463">
      <c r="A463" s="3" t="s">
        <v>6</v>
      </c>
      <c r="B463" s="3" t="s">
        <v>7</v>
      </c>
      <c r="C463" s="3" t="s">
        <v>8</v>
      </c>
      <c r="D463" s="3" t="s">
        <v>9</v>
      </c>
      <c r="E463" s="3" t="s">
        <v>10</v>
      </c>
      <c r="F463" s="3" t="s">
        <v>15</v>
      </c>
    </row>
    <row r="464">
      <c r="A464" s="3" t="s">
        <v>6</v>
      </c>
      <c r="B464" s="3" t="s">
        <v>7</v>
      </c>
      <c r="C464" s="3" t="s">
        <v>8</v>
      </c>
      <c r="D464" s="3" t="s">
        <v>11</v>
      </c>
      <c r="E464" s="3" t="s">
        <v>12</v>
      </c>
      <c r="F464" s="3" t="s">
        <v>14</v>
      </c>
      <c r="G464" s="3" t="s">
        <v>17</v>
      </c>
      <c r="H464" s="3" t="s">
        <v>18</v>
      </c>
    </row>
    <row r="465">
      <c r="A465" s="3" t="s">
        <v>6</v>
      </c>
      <c r="B465" s="3" t="s">
        <v>7</v>
      </c>
      <c r="C465" s="3" t="s">
        <v>8</v>
      </c>
      <c r="D465" s="3" t="s">
        <v>11</v>
      </c>
      <c r="E465" s="3" t="s">
        <v>12</v>
      </c>
      <c r="F465" s="3" t="s">
        <v>15</v>
      </c>
      <c r="G465" s="3" t="s">
        <v>16</v>
      </c>
      <c r="H465" s="3" t="s">
        <v>17</v>
      </c>
      <c r="I465" s="3" t="s">
        <v>18</v>
      </c>
    </row>
    <row r="466">
      <c r="A466" s="3" t="s">
        <v>6</v>
      </c>
      <c r="B466" s="3" t="s">
        <v>7</v>
      </c>
      <c r="C466" s="3" t="s">
        <v>8</v>
      </c>
      <c r="D466" s="3" t="s">
        <v>13</v>
      </c>
      <c r="E466" s="3" t="s">
        <v>14</v>
      </c>
      <c r="F466" s="3" t="s">
        <v>17</v>
      </c>
    </row>
    <row r="467">
      <c r="A467" s="3" t="s">
        <v>6</v>
      </c>
      <c r="B467" s="3" t="s">
        <v>7</v>
      </c>
      <c r="C467" s="3" t="s">
        <v>8</v>
      </c>
      <c r="D467" s="3" t="s">
        <v>11</v>
      </c>
      <c r="E467" s="3" t="s">
        <v>12</v>
      </c>
      <c r="F467" s="3" t="s">
        <v>15</v>
      </c>
      <c r="G467" s="3" t="s">
        <v>16</v>
      </c>
      <c r="H467" s="3" t="s">
        <v>17</v>
      </c>
      <c r="I467" s="3" t="s">
        <v>18</v>
      </c>
    </row>
    <row r="468">
      <c r="A468" s="3" t="s">
        <v>6</v>
      </c>
      <c r="B468" s="3" t="s">
        <v>7</v>
      </c>
      <c r="C468" s="3" t="s">
        <v>8</v>
      </c>
      <c r="D468" s="3" t="s">
        <v>9</v>
      </c>
      <c r="E468" s="3" t="s">
        <v>13</v>
      </c>
      <c r="F468" s="3" t="s">
        <v>18</v>
      </c>
    </row>
    <row r="469">
      <c r="A469" s="3" t="s">
        <v>6</v>
      </c>
      <c r="B469" s="3" t="s">
        <v>7</v>
      </c>
      <c r="C469" s="3" t="s">
        <v>8</v>
      </c>
      <c r="D469" s="3" t="s">
        <v>15</v>
      </c>
      <c r="E469" s="3" t="s">
        <v>17</v>
      </c>
    </row>
    <row r="470">
      <c r="A470" s="3" t="s">
        <v>6</v>
      </c>
      <c r="B470" s="3" t="s">
        <v>7</v>
      </c>
      <c r="C470" s="3" t="s">
        <v>8</v>
      </c>
      <c r="D470" s="3" t="s">
        <v>9</v>
      </c>
      <c r="E470" s="3" t="s">
        <v>10</v>
      </c>
      <c r="F470" s="3" t="s">
        <v>15</v>
      </c>
      <c r="G470" s="3" t="s">
        <v>16</v>
      </c>
      <c r="H470" s="3" t="s">
        <v>17</v>
      </c>
      <c r="I470" s="3" t="s">
        <v>18</v>
      </c>
    </row>
    <row r="471">
      <c r="A471" s="3" t="s">
        <v>6</v>
      </c>
      <c r="B471" s="3" t="s">
        <v>7</v>
      </c>
      <c r="C471" s="3" t="s">
        <v>8</v>
      </c>
      <c r="D471" s="3" t="s">
        <v>9</v>
      </c>
      <c r="E471" s="3" t="s">
        <v>11</v>
      </c>
      <c r="F471" s="3" t="s">
        <v>12</v>
      </c>
      <c r="G471" s="3" t="s">
        <v>15</v>
      </c>
      <c r="H471" s="3" t="s">
        <v>18</v>
      </c>
    </row>
    <row r="472">
      <c r="A472" s="3" t="s">
        <v>6</v>
      </c>
      <c r="B472" s="3" t="s">
        <v>7</v>
      </c>
      <c r="C472" s="3" t="s">
        <v>8</v>
      </c>
      <c r="D472" s="3" t="s">
        <v>9</v>
      </c>
      <c r="E472" s="3" t="s">
        <v>12</v>
      </c>
      <c r="F472" s="3" t="s">
        <v>24</v>
      </c>
    </row>
    <row r="473">
      <c r="A473" s="3" t="s">
        <v>6</v>
      </c>
      <c r="B473" s="3" t="s">
        <v>7</v>
      </c>
      <c r="C473" s="3" t="s">
        <v>8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3" t="s">
        <v>15</v>
      </c>
      <c r="F474" s="3" t="s">
        <v>16</v>
      </c>
    </row>
    <row r="475">
      <c r="A475" s="3" t="s">
        <v>6</v>
      </c>
      <c r="B475" s="3" t="s">
        <v>7</v>
      </c>
      <c r="C475" s="3" t="s">
        <v>8</v>
      </c>
      <c r="D475" s="3" t="s">
        <v>11</v>
      </c>
      <c r="E475" s="3" t="s">
        <v>12</v>
      </c>
      <c r="F475" s="3" t="s">
        <v>15</v>
      </c>
      <c r="G475" s="3" t="s">
        <v>17</v>
      </c>
    </row>
    <row r="476">
      <c r="A476" s="3" t="s">
        <v>6</v>
      </c>
      <c r="B476" s="3" t="s">
        <v>7</v>
      </c>
      <c r="C476" s="3" t="s">
        <v>8</v>
      </c>
      <c r="D476" s="3" t="s">
        <v>11</v>
      </c>
      <c r="E476" s="3" t="s">
        <v>12</v>
      </c>
      <c r="F476" s="3" t="s">
        <v>18</v>
      </c>
    </row>
    <row r="477">
      <c r="A477" s="3" t="s">
        <v>6</v>
      </c>
      <c r="B477" s="3" t="s">
        <v>7</v>
      </c>
      <c r="C477" s="3" t="s">
        <v>8</v>
      </c>
      <c r="D477" s="3" t="s">
        <v>11</v>
      </c>
      <c r="E477" s="3" t="s">
        <v>15</v>
      </c>
      <c r="F477" s="3" t="s">
        <v>17</v>
      </c>
    </row>
    <row r="478">
      <c r="A478" s="3" t="s">
        <v>6</v>
      </c>
      <c r="B478" s="3" t="s">
        <v>8</v>
      </c>
      <c r="C478" s="3" t="s">
        <v>9</v>
      </c>
      <c r="D478" s="3" t="s">
        <v>11</v>
      </c>
      <c r="E478" s="3" t="s">
        <v>13</v>
      </c>
    </row>
    <row r="479">
      <c r="A479" s="3" t="s">
        <v>6</v>
      </c>
      <c r="B479" s="3" t="s">
        <v>7</v>
      </c>
      <c r="C479" s="3" t="s">
        <v>8</v>
      </c>
      <c r="D479" s="3" t="s">
        <v>9</v>
      </c>
      <c r="E479" s="3" t="s">
        <v>11</v>
      </c>
      <c r="F479" s="3" t="s">
        <v>12</v>
      </c>
      <c r="G479" s="3" t="s">
        <v>15</v>
      </c>
      <c r="H479" s="3" t="s">
        <v>24</v>
      </c>
    </row>
    <row r="480">
      <c r="A480" s="3" t="s">
        <v>6</v>
      </c>
      <c r="B480" s="3" t="s">
        <v>7</v>
      </c>
      <c r="C480" s="3" t="s">
        <v>8</v>
      </c>
      <c r="D480" s="3" t="s">
        <v>11</v>
      </c>
      <c r="E480" s="3" t="s">
        <v>12</v>
      </c>
      <c r="F480" s="3" t="s">
        <v>15</v>
      </c>
      <c r="G480" s="3" t="s">
        <v>16</v>
      </c>
      <c r="H480" s="3" t="s">
        <v>17</v>
      </c>
    </row>
    <row r="481">
      <c r="A481" s="3" t="s">
        <v>6</v>
      </c>
      <c r="B481" s="3" t="s">
        <v>7</v>
      </c>
      <c r="C481" s="3" t="s">
        <v>9</v>
      </c>
      <c r="D481" s="3" t="s">
        <v>11</v>
      </c>
      <c r="E481" s="3" t="s">
        <v>12</v>
      </c>
      <c r="F481" s="3" t="s">
        <v>18</v>
      </c>
      <c r="G481" s="3" t="s">
        <v>24</v>
      </c>
    </row>
    <row r="482">
      <c r="A482" s="3" t="s">
        <v>6</v>
      </c>
      <c r="B482" s="3" t="s">
        <v>7</v>
      </c>
      <c r="C482" s="3" t="s">
        <v>13</v>
      </c>
      <c r="D482" s="3" t="s">
        <v>14</v>
      </c>
    </row>
    <row r="483">
      <c r="A483" s="3" t="s">
        <v>6</v>
      </c>
      <c r="B483" s="3" t="s">
        <v>7</v>
      </c>
      <c r="C483" s="3" t="s">
        <v>13</v>
      </c>
      <c r="D483" s="3" t="s">
        <v>14</v>
      </c>
      <c r="E483" s="3" t="s">
        <v>15</v>
      </c>
      <c r="F483" s="3" t="s">
        <v>17</v>
      </c>
    </row>
    <row r="484">
      <c r="A484" s="3" t="s">
        <v>6</v>
      </c>
    </row>
    <row r="485">
      <c r="A485" s="3" t="s">
        <v>6</v>
      </c>
      <c r="B485" s="3" t="s">
        <v>7</v>
      </c>
      <c r="C485" s="3" t="s">
        <v>8</v>
      </c>
      <c r="D485" s="3" t="s">
        <v>11</v>
      </c>
      <c r="E485" s="3" t="s">
        <v>15</v>
      </c>
      <c r="F485" s="3" t="s">
        <v>16</v>
      </c>
      <c r="G485" s="3" t="s">
        <v>17</v>
      </c>
      <c r="H485" s="3" t="s">
        <v>18</v>
      </c>
    </row>
    <row r="486">
      <c r="A486" s="3" t="s">
        <v>6</v>
      </c>
      <c r="B486" s="3" t="s">
        <v>7</v>
      </c>
      <c r="C486" s="3" t="s">
        <v>8</v>
      </c>
      <c r="D486" s="3" t="s">
        <v>9</v>
      </c>
      <c r="E486" s="3" t="s">
        <v>10</v>
      </c>
      <c r="F486" s="3" t="s">
        <v>13</v>
      </c>
      <c r="G486" s="3" t="s">
        <v>14</v>
      </c>
      <c r="H486" s="3" t="s">
        <v>18</v>
      </c>
      <c r="I486" s="3" t="s">
        <v>24</v>
      </c>
    </row>
    <row r="487">
      <c r="A487" s="3" t="s">
        <v>6</v>
      </c>
      <c r="B487" s="3" t="s">
        <v>8</v>
      </c>
      <c r="C487" s="3" t="s">
        <v>9</v>
      </c>
      <c r="D487" s="3" t="s">
        <v>11</v>
      </c>
      <c r="E487" s="3" t="s">
        <v>12</v>
      </c>
    </row>
    <row r="488">
      <c r="A488" s="3" t="s">
        <v>6</v>
      </c>
      <c r="B488" s="3" t="s">
        <v>7</v>
      </c>
      <c r="C488" s="3" t="s">
        <v>15</v>
      </c>
      <c r="D488" s="3" t="s">
        <v>16</v>
      </c>
      <c r="E488" s="3" t="s">
        <v>17</v>
      </c>
      <c r="F488" s="3" t="s">
        <v>18</v>
      </c>
    </row>
    <row r="489">
      <c r="A489" s="3" t="s">
        <v>6</v>
      </c>
      <c r="B489" s="3" t="s">
        <v>7</v>
      </c>
      <c r="C489" s="3" t="s">
        <v>8</v>
      </c>
      <c r="D489" s="3" t="s">
        <v>11</v>
      </c>
      <c r="E489" s="3" t="s">
        <v>12</v>
      </c>
      <c r="F489" s="3" t="s">
        <v>18</v>
      </c>
    </row>
    <row r="490">
      <c r="A490" s="3" t="s">
        <v>6</v>
      </c>
      <c r="B490" s="3" t="s">
        <v>7</v>
      </c>
      <c r="C490" s="3" t="s">
        <v>8</v>
      </c>
      <c r="D490" s="3" t="s">
        <v>13</v>
      </c>
      <c r="E490" s="3" t="s">
        <v>14</v>
      </c>
      <c r="F490" s="3" t="s">
        <v>17</v>
      </c>
    </row>
    <row r="491">
      <c r="A491" s="3" t="s">
        <v>6</v>
      </c>
      <c r="B491" s="3" t="s">
        <v>7</v>
      </c>
      <c r="C491" s="3" t="s">
        <v>8</v>
      </c>
      <c r="D491" s="3" t="s">
        <v>11</v>
      </c>
      <c r="E491" s="3" t="s">
        <v>12</v>
      </c>
      <c r="F491" s="3" t="s">
        <v>13</v>
      </c>
      <c r="G491" s="3" t="s">
        <v>14</v>
      </c>
      <c r="H491" s="3" t="s">
        <v>17</v>
      </c>
      <c r="I491" s="3" t="s">
        <v>18</v>
      </c>
    </row>
    <row r="492">
      <c r="A492" s="3" t="s">
        <v>6</v>
      </c>
      <c r="B492" s="3" t="s">
        <v>7</v>
      </c>
      <c r="C492" s="3" t="s">
        <v>8</v>
      </c>
      <c r="D492" s="3" t="s">
        <v>11</v>
      </c>
      <c r="E492" s="3" t="s">
        <v>13</v>
      </c>
      <c r="F492" s="3" t="s">
        <v>14</v>
      </c>
      <c r="G492" s="3" t="s">
        <v>17</v>
      </c>
      <c r="H492" s="3" t="s">
        <v>18</v>
      </c>
    </row>
    <row r="493">
      <c r="A493" s="3" t="s">
        <v>6</v>
      </c>
      <c r="B493" s="3" t="s">
        <v>7</v>
      </c>
      <c r="C493" s="3" t="s">
        <v>9</v>
      </c>
      <c r="D493" s="3" t="s">
        <v>13</v>
      </c>
      <c r="E493" s="3" t="s">
        <v>14</v>
      </c>
      <c r="F493" s="3" t="s">
        <v>17</v>
      </c>
      <c r="G493" s="3" t="s">
        <v>18</v>
      </c>
      <c r="H493" s="3" t="s">
        <v>24</v>
      </c>
    </row>
    <row r="494">
      <c r="A494" s="3" t="s">
        <v>6</v>
      </c>
      <c r="B494" s="3" t="s">
        <v>7</v>
      </c>
      <c r="C494" s="3" t="s">
        <v>8</v>
      </c>
      <c r="D494" s="3" t="s">
        <v>9</v>
      </c>
      <c r="E494" s="3" t="s">
        <v>11</v>
      </c>
      <c r="F494" s="3" t="s">
        <v>12</v>
      </c>
      <c r="G494" s="3" t="s">
        <v>17</v>
      </c>
    </row>
    <row r="495">
      <c r="A495" s="3" t="s">
        <v>6</v>
      </c>
      <c r="B495" s="3" t="s">
        <v>7</v>
      </c>
      <c r="C495" s="3" t="s">
        <v>8</v>
      </c>
      <c r="D495" s="3" t="s">
        <v>9</v>
      </c>
      <c r="E495" s="3" t="s">
        <v>10</v>
      </c>
      <c r="F495" s="3" t="s">
        <v>15</v>
      </c>
      <c r="G495" s="3" t="s">
        <v>16</v>
      </c>
      <c r="H495" s="3" t="s">
        <v>17</v>
      </c>
      <c r="I495" s="3" t="s">
        <v>18</v>
      </c>
    </row>
    <row r="496">
      <c r="A496" s="3" t="s">
        <v>6</v>
      </c>
      <c r="B496" s="3" t="s">
        <v>7</v>
      </c>
      <c r="C496" s="3" t="s">
        <v>8</v>
      </c>
      <c r="D496" s="3" t="s">
        <v>11</v>
      </c>
      <c r="E496" s="3" t="s">
        <v>15</v>
      </c>
      <c r="F496" s="3" t="s">
        <v>17</v>
      </c>
    </row>
    <row r="497">
      <c r="A497" s="3" t="s">
        <v>6</v>
      </c>
      <c r="B497" s="3" t="s">
        <v>7</v>
      </c>
      <c r="C497" s="3" t="s">
        <v>8</v>
      </c>
      <c r="D497" s="3" t="s">
        <v>9</v>
      </c>
      <c r="E497" s="3" t="s">
        <v>12</v>
      </c>
      <c r="F497" s="3" t="s">
        <v>15</v>
      </c>
      <c r="G497" s="3" t="s">
        <v>16</v>
      </c>
      <c r="H497" s="3" t="s">
        <v>17</v>
      </c>
      <c r="I497" s="3" t="s">
        <v>18</v>
      </c>
    </row>
    <row r="498">
      <c r="A498" s="3" t="s">
        <v>6</v>
      </c>
      <c r="B498" s="3" t="s">
        <v>11</v>
      </c>
      <c r="C498" s="3" t="s">
        <v>12</v>
      </c>
      <c r="D498" s="3" t="s">
        <v>13</v>
      </c>
      <c r="E498" s="3" t="s">
        <v>14</v>
      </c>
      <c r="F498" s="3" t="s">
        <v>17</v>
      </c>
      <c r="G498" s="3" t="s">
        <v>18</v>
      </c>
    </row>
    <row r="499">
      <c r="A499" s="3" t="s">
        <v>6</v>
      </c>
      <c r="B499" s="3" t="s">
        <v>7</v>
      </c>
      <c r="C499" s="3" t="s">
        <v>13</v>
      </c>
      <c r="D499" s="3" t="s">
        <v>14</v>
      </c>
      <c r="E499" s="3" t="s">
        <v>15</v>
      </c>
      <c r="F499" s="3" t="s">
        <v>16</v>
      </c>
      <c r="G499" s="3" t="s">
        <v>17</v>
      </c>
    </row>
    <row r="500">
      <c r="A500" s="3" t="s">
        <v>6</v>
      </c>
      <c r="B500" s="3" t="s">
        <v>7</v>
      </c>
    </row>
    <row r="501">
      <c r="A501" s="3" t="s">
        <v>6</v>
      </c>
      <c r="B501" s="3" t="s">
        <v>11</v>
      </c>
      <c r="C501" s="3" t="s">
        <v>12</v>
      </c>
      <c r="D501" s="3" t="s">
        <v>15</v>
      </c>
      <c r="E501" s="3" t="s">
        <v>17</v>
      </c>
      <c r="F501" s="3" t="s">
        <v>18</v>
      </c>
    </row>
    <row r="502">
      <c r="A502" s="3" t="s">
        <v>6</v>
      </c>
      <c r="B502" s="3" t="s">
        <v>7</v>
      </c>
    </row>
    <row r="503">
      <c r="A503" s="3" t="s">
        <v>6</v>
      </c>
      <c r="B503" s="3" t="s">
        <v>7</v>
      </c>
      <c r="C503" s="3" t="s">
        <v>8</v>
      </c>
      <c r="D503" s="3" t="s">
        <v>9</v>
      </c>
      <c r="E503" s="3" t="s">
        <v>11</v>
      </c>
      <c r="F503" s="3" t="s">
        <v>12</v>
      </c>
    </row>
    <row r="504">
      <c r="A504" s="3" t="s">
        <v>6</v>
      </c>
      <c r="B504" s="3" t="s">
        <v>7</v>
      </c>
      <c r="C504" s="3" t="s">
        <v>13</v>
      </c>
      <c r="D504" s="3" t="s">
        <v>14</v>
      </c>
      <c r="E504" s="3" t="s">
        <v>15</v>
      </c>
      <c r="F504" s="3" t="s">
        <v>17</v>
      </c>
    </row>
    <row r="505">
      <c r="A505" s="3" t="s">
        <v>6</v>
      </c>
      <c r="B505" s="3" t="s">
        <v>7</v>
      </c>
      <c r="C505" s="3" t="s">
        <v>8</v>
      </c>
      <c r="D505" s="3" t="s">
        <v>9</v>
      </c>
      <c r="E505" s="3" t="s">
        <v>12</v>
      </c>
      <c r="F505" s="3" t="s">
        <v>13</v>
      </c>
      <c r="G505" s="3" t="s">
        <v>14</v>
      </c>
      <c r="H505" s="3" t="s">
        <v>24</v>
      </c>
    </row>
    <row r="506">
      <c r="A506" s="3" t="s">
        <v>6</v>
      </c>
      <c r="B506" s="3" t="s">
        <v>7</v>
      </c>
      <c r="C506" s="3" t="s">
        <v>8</v>
      </c>
      <c r="D506" s="3" t="s">
        <v>13</v>
      </c>
      <c r="E506" s="3" t="s">
        <v>14</v>
      </c>
      <c r="F506" s="3" t="s">
        <v>18</v>
      </c>
      <c r="G506" s="3" t="s">
        <v>24</v>
      </c>
    </row>
    <row r="507">
      <c r="A507" s="3" t="s">
        <v>6</v>
      </c>
      <c r="B507" s="3" t="s">
        <v>11</v>
      </c>
      <c r="C507" s="3" t="s">
        <v>12</v>
      </c>
      <c r="D507" s="3" t="s">
        <v>15</v>
      </c>
      <c r="E507" s="3" t="s">
        <v>16</v>
      </c>
      <c r="F507" s="3" t="s">
        <v>17</v>
      </c>
    </row>
    <row r="508">
      <c r="A508" s="3" t="s">
        <v>6</v>
      </c>
      <c r="B508" s="3" t="s">
        <v>7</v>
      </c>
      <c r="C508" s="3" t="s">
        <v>8</v>
      </c>
      <c r="D508" s="3" t="s">
        <v>13</v>
      </c>
      <c r="E508" s="3" t="s">
        <v>14</v>
      </c>
    </row>
    <row r="509">
      <c r="A509" s="3" t="s">
        <v>6</v>
      </c>
      <c r="B509" s="3" t="s">
        <v>7</v>
      </c>
      <c r="C509" s="3" t="s">
        <v>8</v>
      </c>
      <c r="D509" s="3" t="s">
        <v>11</v>
      </c>
      <c r="E509" s="3" t="s">
        <v>15</v>
      </c>
      <c r="F509" s="3" t="s">
        <v>17</v>
      </c>
    </row>
    <row r="510">
      <c r="A510" s="3" t="s">
        <v>6</v>
      </c>
      <c r="B510" s="3" t="s">
        <v>13</v>
      </c>
      <c r="C510" s="3" t="s">
        <v>14</v>
      </c>
    </row>
    <row r="511">
      <c r="A511" s="3" t="s">
        <v>6</v>
      </c>
      <c r="B511" s="3" t="s">
        <v>15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3" t="s">
        <v>11</v>
      </c>
      <c r="F512" s="3" t="s">
        <v>12</v>
      </c>
      <c r="G512" s="3" t="s">
        <v>15</v>
      </c>
      <c r="H512" s="3" t="s">
        <v>17</v>
      </c>
      <c r="I512" s="3" t="s">
        <v>18</v>
      </c>
    </row>
    <row r="513">
      <c r="A513" s="3" t="s">
        <v>6</v>
      </c>
      <c r="B513" s="3" t="s">
        <v>11</v>
      </c>
      <c r="C513" s="3" t="s">
        <v>12</v>
      </c>
    </row>
    <row r="514">
      <c r="A514" s="3" t="s">
        <v>6</v>
      </c>
      <c r="B514" s="3" t="s">
        <v>7</v>
      </c>
      <c r="C514" s="3" t="s">
        <v>11</v>
      </c>
      <c r="D514" s="3" t="s">
        <v>12</v>
      </c>
      <c r="E514" s="3" t="s">
        <v>13</v>
      </c>
      <c r="F514" s="3" t="s">
        <v>14</v>
      </c>
      <c r="G514" s="3" t="s">
        <v>18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3" t="s">
        <v>10</v>
      </c>
      <c r="F515" s="3" t="s">
        <v>18</v>
      </c>
      <c r="G515" s="3" t="s">
        <v>24</v>
      </c>
    </row>
    <row r="516">
      <c r="A516" s="3" t="s">
        <v>6</v>
      </c>
      <c r="B516" s="3" t="s">
        <v>11</v>
      </c>
    </row>
    <row r="517">
      <c r="A517" s="3" t="s">
        <v>6</v>
      </c>
      <c r="B517" s="3" t="s">
        <v>11</v>
      </c>
      <c r="C517" s="3" t="s">
        <v>12</v>
      </c>
      <c r="D517" s="3" t="s">
        <v>13</v>
      </c>
      <c r="E517" s="3" t="s">
        <v>15</v>
      </c>
      <c r="F517" s="3" t="s">
        <v>16</v>
      </c>
      <c r="G517" s="3" t="s">
        <v>18</v>
      </c>
    </row>
    <row r="518">
      <c r="A518" s="3" t="s">
        <v>6</v>
      </c>
      <c r="B518" s="3" t="s">
        <v>9</v>
      </c>
      <c r="C518" s="3" t="s">
        <v>10</v>
      </c>
      <c r="D518" s="3" t="s">
        <v>11</v>
      </c>
      <c r="E518" s="3" t="s">
        <v>12</v>
      </c>
      <c r="F518" s="3" t="s">
        <v>24</v>
      </c>
    </row>
    <row r="519">
      <c r="A519" s="3" t="s">
        <v>6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18</v>
      </c>
    </row>
    <row r="520">
      <c r="A520" s="3" t="s">
        <v>6</v>
      </c>
      <c r="B520" s="3" t="s">
        <v>9</v>
      </c>
    </row>
    <row r="521">
      <c r="A521" s="3" t="s">
        <v>6</v>
      </c>
      <c r="B521" s="3" t="s">
        <v>11</v>
      </c>
      <c r="C521" s="3" t="s">
        <v>12</v>
      </c>
      <c r="D521" s="3" t="s">
        <v>15</v>
      </c>
      <c r="E521" s="3" t="s">
        <v>16</v>
      </c>
      <c r="F521" s="3" t="s">
        <v>17</v>
      </c>
      <c r="G521" s="3" t="s">
        <v>18</v>
      </c>
    </row>
    <row r="522">
      <c r="A522" s="3" t="s">
        <v>6</v>
      </c>
      <c r="B522" s="3" t="s">
        <v>13</v>
      </c>
      <c r="C522" s="3" t="s">
        <v>14</v>
      </c>
      <c r="D522" s="3" t="s">
        <v>15</v>
      </c>
    </row>
    <row r="523">
      <c r="A523" s="3" t="s">
        <v>6</v>
      </c>
      <c r="B523" s="3" t="s">
        <v>7</v>
      </c>
      <c r="C523" s="3" t="s">
        <v>8</v>
      </c>
      <c r="D523" s="3" t="s">
        <v>11</v>
      </c>
      <c r="E523" s="3" t="s">
        <v>12</v>
      </c>
      <c r="F523" s="3" t="s">
        <v>16</v>
      </c>
      <c r="G523" s="3" t="s">
        <v>17</v>
      </c>
      <c r="H523" s="3" t="s">
        <v>18</v>
      </c>
    </row>
    <row r="524">
      <c r="A524" s="3" t="s">
        <v>6</v>
      </c>
      <c r="B524" s="3" t="s">
        <v>7</v>
      </c>
      <c r="C524" s="3" t="s">
        <v>13</v>
      </c>
      <c r="D524" s="3" t="s">
        <v>14</v>
      </c>
      <c r="E524" s="3" t="s">
        <v>15</v>
      </c>
      <c r="F524" s="3" t="s">
        <v>17</v>
      </c>
    </row>
    <row r="525">
      <c r="A525" s="3" t="s">
        <v>6</v>
      </c>
      <c r="B525" s="3" t="s">
        <v>11</v>
      </c>
      <c r="C525" s="3" t="s">
        <v>12</v>
      </c>
      <c r="D525" s="3" t="s">
        <v>15</v>
      </c>
      <c r="E525" s="3" t="s">
        <v>17</v>
      </c>
    </row>
    <row r="526">
      <c r="A526" s="3" t="s">
        <v>6</v>
      </c>
      <c r="B526" s="3" t="s">
        <v>7</v>
      </c>
      <c r="C526" s="3" t="s">
        <v>13</v>
      </c>
      <c r="D526" s="3" t="s">
        <v>14</v>
      </c>
      <c r="E526" s="3" t="s">
        <v>15</v>
      </c>
      <c r="F526" s="3" t="s">
        <v>17</v>
      </c>
    </row>
    <row r="527">
      <c r="A527" s="3" t="s">
        <v>6</v>
      </c>
      <c r="B527" s="3" t="s">
        <v>7</v>
      </c>
      <c r="C527" s="3" t="s">
        <v>8</v>
      </c>
      <c r="D527" s="3" t="s">
        <v>9</v>
      </c>
      <c r="E527" s="3" t="s">
        <v>15</v>
      </c>
      <c r="F527" s="3" t="s">
        <v>16</v>
      </c>
      <c r="G527" s="3" t="s">
        <v>17</v>
      </c>
      <c r="H527" s="3" t="s">
        <v>18</v>
      </c>
    </row>
    <row r="528">
      <c r="A528" s="3" t="s">
        <v>609</v>
      </c>
    </row>
    <row r="529">
      <c r="A529" s="3" t="s">
        <v>7</v>
      </c>
      <c r="B529" s="3" t="s">
        <v>13</v>
      </c>
      <c r="C529" s="3" t="s">
        <v>14</v>
      </c>
    </row>
    <row r="530">
      <c r="A530" s="3" t="s">
        <v>7</v>
      </c>
      <c r="B530" s="3" t="s">
        <v>8</v>
      </c>
      <c r="C530" s="3" t="s">
        <v>11</v>
      </c>
      <c r="D530" s="3" t="s">
        <v>12</v>
      </c>
      <c r="E530" s="3" t="s">
        <v>16</v>
      </c>
      <c r="F530" s="3" t="s">
        <v>17</v>
      </c>
      <c r="G530" s="3" t="s">
        <v>18</v>
      </c>
    </row>
    <row r="531">
      <c r="A531" s="3" t="s">
        <v>7</v>
      </c>
      <c r="B531" s="3" t="s">
        <v>8</v>
      </c>
      <c r="C531" s="3" t="s">
        <v>9</v>
      </c>
      <c r="D531" s="3" t="s">
        <v>10</v>
      </c>
      <c r="E531" s="3" t="s">
        <v>15</v>
      </c>
      <c r="F531" s="3" t="s">
        <v>16</v>
      </c>
      <c r="G531" s="3" t="s">
        <v>17</v>
      </c>
      <c r="H531" s="3" t="s">
        <v>18</v>
      </c>
      <c r="I531" s="3" t="s">
        <v>24</v>
      </c>
    </row>
    <row r="532">
      <c r="A532" s="3" t="s">
        <v>7</v>
      </c>
      <c r="B532" s="3" t="s">
        <v>8</v>
      </c>
      <c r="C532" s="3" t="s">
        <v>15</v>
      </c>
    </row>
    <row r="533">
      <c r="A533" s="3" t="s">
        <v>7</v>
      </c>
      <c r="B533" s="3" t="s">
        <v>8</v>
      </c>
      <c r="C533" s="3" t="s">
        <v>12</v>
      </c>
      <c r="D533" s="3" t="s">
        <v>15</v>
      </c>
      <c r="E533" s="3" t="s">
        <v>17</v>
      </c>
      <c r="F533" s="3" t="s">
        <v>18</v>
      </c>
    </row>
    <row r="534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15</v>
      </c>
      <c r="F534" s="3" t="s">
        <v>16</v>
      </c>
      <c r="G534" s="3" t="s">
        <v>17</v>
      </c>
      <c r="H534" s="3" t="s">
        <v>18</v>
      </c>
      <c r="I534" s="3" t="s">
        <v>24</v>
      </c>
    </row>
    <row r="535">
      <c r="A535" s="3" t="s">
        <v>7</v>
      </c>
      <c r="B535" s="3" t="s">
        <v>9</v>
      </c>
      <c r="C535" s="3" t="s">
        <v>11</v>
      </c>
      <c r="D535" s="3" t="s">
        <v>13</v>
      </c>
      <c r="E535" s="3" t="s">
        <v>14</v>
      </c>
      <c r="F535" s="3" t="s">
        <v>17</v>
      </c>
      <c r="G535" s="3" t="s">
        <v>18</v>
      </c>
    </row>
    <row r="536">
      <c r="A536" s="3" t="s">
        <v>7</v>
      </c>
      <c r="B536" s="3" t="s">
        <v>8</v>
      </c>
      <c r="C536" s="3" t="s">
        <v>9</v>
      </c>
      <c r="D536" s="3" t="s">
        <v>11</v>
      </c>
      <c r="E536" s="3" t="s">
        <v>12</v>
      </c>
      <c r="F536" s="3" t="s">
        <v>15</v>
      </c>
      <c r="G536" s="3" t="s">
        <v>16</v>
      </c>
      <c r="H536" s="3" t="s">
        <v>17</v>
      </c>
      <c r="I536" s="3" t="s">
        <v>18</v>
      </c>
    </row>
    <row r="537">
      <c r="A537" s="3" t="s">
        <v>7</v>
      </c>
      <c r="B537" s="3" t="s">
        <v>11</v>
      </c>
      <c r="C537" s="3" t="s">
        <v>13</v>
      </c>
      <c r="D537" s="3" t="s">
        <v>14</v>
      </c>
      <c r="E537" s="3" t="s">
        <v>15</v>
      </c>
      <c r="F537" s="3" t="s">
        <v>16</v>
      </c>
      <c r="G537" s="3" t="s">
        <v>17</v>
      </c>
      <c r="H537" s="3" t="s">
        <v>18</v>
      </c>
    </row>
    <row r="538">
      <c r="A538" s="3" t="s">
        <v>7</v>
      </c>
      <c r="B538" s="3" t="s">
        <v>8</v>
      </c>
      <c r="C538" s="3" t="s">
        <v>9</v>
      </c>
      <c r="D538" s="3" t="s">
        <v>11</v>
      </c>
      <c r="E538" s="3" t="s">
        <v>12</v>
      </c>
      <c r="F538" s="3" t="s">
        <v>17</v>
      </c>
      <c r="G538" s="3" t="s">
        <v>18</v>
      </c>
      <c r="H538" s="3" t="s">
        <v>24</v>
      </c>
    </row>
    <row r="539">
      <c r="A539" s="3" t="s">
        <v>7</v>
      </c>
      <c r="B539" s="3" t="s">
        <v>14</v>
      </c>
      <c r="C539" s="3" t="s">
        <v>15</v>
      </c>
      <c r="D539" s="3" t="s">
        <v>16</v>
      </c>
      <c r="E539" s="3" t="s">
        <v>17</v>
      </c>
      <c r="F539" s="3" t="s">
        <v>18</v>
      </c>
    </row>
    <row r="540">
      <c r="A540" s="3" t="s">
        <v>7</v>
      </c>
      <c r="B540" s="3" t="s">
        <v>8</v>
      </c>
      <c r="C540" s="3" t="s">
        <v>9</v>
      </c>
      <c r="D540" s="3" t="s">
        <v>16</v>
      </c>
      <c r="E540" s="3" t="s">
        <v>24</v>
      </c>
    </row>
    <row r="541">
      <c r="A541" s="3" t="s">
        <v>7</v>
      </c>
      <c r="B541" s="3" t="s">
        <v>8</v>
      </c>
      <c r="C541" s="3" t="s">
        <v>9</v>
      </c>
      <c r="D541" s="3" t="s">
        <v>10</v>
      </c>
      <c r="E541" s="3" t="s">
        <v>11</v>
      </c>
      <c r="F541" s="3" t="s">
        <v>13</v>
      </c>
      <c r="G541" s="3" t="s">
        <v>15</v>
      </c>
      <c r="H541" s="3" t="s">
        <v>16</v>
      </c>
    </row>
    <row r="542">
      <c r="A542" s="3" t="s">
        <v>7</v>
      </c>
      <c r="B542" s="3" t="s">
        <v>8</v>
      </c>
      <c r="C542" s="3" t="s">
        <v>12</v>
      </c>
      <c r="D542" s="3" t="s">
        <v>15</v>
      </c>
      <c r="E542" s="3" t="s">
        <v>18</v>
      </c>
    </row>
    <row r="543">
      <c r="A543" s="3" t="s">
        <v>7</v>
      </c>
      <c r="B543" s="3" t="s">
        <v>8</v>
      </c>
      <c r="C543" s="3" t="s">
        <v>12</v>
      </c>
      <c r="D543" s="3" t="s">
        <v>13</v>
      </c>
      <c r="E543" s="3" t="s">
        <v>17</v>
      </c>
      <c r="F543" s="3" t="s">
        <v>18</v>
      </c>
      <c r="G543" s="3" t="s">
        <v>24</v>
      </c>
    </row>
    <row r="544">
      <c r="A544" s="3" t="s">
        <v>7</v>
      </c>
    </row>
    <row r="545">
      <c r="A545" s="3" t="s">
        <v>7</v>
      </c>
      <c r="B545" s="3" t="s">
        <v>8</v>
      </c>
      <c r="C545" s="3" t="s">
        <v>12</v>
      </c>
      <c r="D545" s="3" t="s">
        <v>15</v>
      </c>
    </row>
    <row r="546">
      <c r="A546" s="3" t="s">
        <v>7</v>
      </c>
      <c r="B546" s="3" t="s">
        <v>11</v>
      </c>
    </row>
    <row r="547">
      <c r="A547" s="3" t="s">
        <v>7</v>
      </c>
      <c r="B547" s="3" t="s">
        <v>8</v>
      </c>
      <c r="C547" s="3" t="s">
        <v>9</v>
      </c>
      <c r="D547" s="3" t="s">
        <v>10</v>
      </c>
      <c r="E547" s="3" t="s">
        <v>11</v>
      </c>
      <c r="F547" s="3" t="s">
        <v>12</v>
      </c>
      <c r="G547" s="3" t="s">
        <v>18</v>
      </c>
      <c r="H547" s="3" t="s">
        <v>24</v>
      </c>
    </row>
    <row r="548">
      <c r="A548" s="3" t="s">
        <v>7</v>
      </c>
      <c r="B548" s="3" t="s">
        <v>8</v>
      </c>
      <c r="C548" s="3" t="s">
        <v>12</v>
      </c>
      <c r="D548" s="3" t="s">
        <v>15</v>
      </c>
      <c r="E548" s="3" t="s">
        <v>16</v>
      </c>
      <c r="F548" s="3" t="s">
        <v>17</v>
      </c>
      <c r="G548" s="3" t="s">
        <v>18</v>
      </c>
    </row>
    <row r="549">
      <c r="A549" s="3" t="s">
        <v>7</v>
      </c>
      <c r="B549" s="3" t="s">
        <v>8</v>
      </c>
      <c r="C549" s="3" t="s">
        <v>9</v>
      </c>
      <c r="D549" s="3" t="s">
        <v>10</v>
      </c>
      <c r="E549" s="3" t="s">
        <v>16</v>
      </c>
      <c r="F549" s="3" t="s">
        <v>18</v>
      </c>
      <c r="G549" s="3" t="s">
        <v>24</v>
      </c>
    </row>
    <row r="550">
      <c r="A550" s="3" t="s">
        <v>7</v>
      </c>
      <c r="B550" s="3" t="s">
        <v>8</v>
      </c>
      <c r="C550" s="3" t="s">
        <v>12</v>
      </c>
      <c r="D550" s="3" t="s">
        <v>13</v>
      </c>
    </row>
    <row r="551">
      <c r="A551" s="3" t="s">
        <v>7</v>
      </c>
      <c r="B551" s="3" t="s">
        <v>8</v>
      </c>
      <c r="C551" s="3" t="s">
        <v>12</v>
      </c>
      <c r="D551" s="3" t="s">
        <v>15</v>
      </c>
      <c r="E551" s="3" t="s">
        <v>17</v>
      </c>
      <c r="F551" s="3" t="s">
        <v>18</v>
      </c>
    </row>
    <row r="552">
      <c r="A552" s="3" t="s">
        <v>7</v>
      </c>
      <c r="B552" s="3" t="s">
        <v>8</v>
      </c>
      <c r="C552" s="3" t="s">
        <v>9</v>
      </c>
      <c r="D552" s="3" t="s">
        <v>12</v>
      </c>
      <c r="E552" s="3" t="s">
        <v>15</v>
      </c>
      <c r="F552" s="3" t="s">
        <v>16</v>
      </c>
      <c r="G552" s="3" t="s">
        <v>17</v>
      </c>
      <c r="H552" s="3" t="s">
        <v>18</v>
      </c>
      <c r="I552" s="3" t="s">
        <v>24</v>
      </c>
    </row>
    <row r="553">
      <c r="A553" s="3" t="s">
        <v>7</v>
      </c>
      <c r="B553" s="3" t="s">
        <v>8</v>
      </c>
      <c r="C553" s="3" t="s">
        <v>9</v>
      </c>
      <c r="D553" s="3" t="s">
        <v>10</v>
      </c>
      <c r="E553" s="3" t="s">
        <v>16</v>
      </c>
      <c r="F553" s="3" t="s">
        <v>18</v>
      </c>
      <c r="G553" s="3" t="s">
        <v>24</v>
      </c>
    </row>
    <row r="554">
      <c r="A554" s="3" t="s">
        <v>7</v>
      </c>
      <c r="B554" s="3" t="s">
        <v>12</v>
      </c>
    </row>
    <row r="555">
      <c r="A555" s="3" t="s">
        <v>7</v>
      </c>
      <c r="B555" s="3" t="s">
        <v>8</v>
      </c>
      <c r="C555" s="3" t="s">
        <v>9</v>
      </c>
      <c r="D555" s="3" t="s">
        <v>10</v>
      </c>
      <c r="E555" s="3" t="s">
        <v>16</v>
      </c>
      <c r="F555" s="3" t="s">
        <v>24</v>
      </c>
    </row>
    <row r="556">
      <c r="A556" s="3" t="s">
        <v>7</v>
      </c>
    </row>
    <row r="557">
      <c r="A557" s="3" t="s">
        <v>7</v>
      </c>
      <c r="B557" s="3" t="s">
        <v>9</v>
      </c>
      <c r="C557" s="3" t="s">
        <v>15</v>
      </c>
      <c r="D557" s="3" t="s">
        <v>17</v>
      </c>
    </row>
    <row r="558">
      <c r="A558" s="3" t="s">
        <v>7</v>
      </c>
      <c r="B558" s="3" t="s">
        <v>8</v>
      </c>
      <c r="C558" s="3" t="s">
        <v>11</v>
      </c>
      <c r="D558" s="3" t="s">
        <v>15</v>
      </c>
    </row>
    <row r="559">
      <c r="A559" s="3" t="s">
        <v>7</v>
      </c>
      <c r="B559" s="3" t="s">
        <v>8</v>
      </c>
      <c r="C559" s="3" t="s">
        <v>9</v>
      </c>
    </row>
    <row r="560">
      <c r="A560" s="3" t="s">
        <v>7</v>
      </c>
      <c r="B560" s="3" t="s">
        <v>9</v>
      </c>
      <c r="C560" s="3" t="s">
        <v>10</v>
      </c>
      <c r="D560" s="3" t="s">
        <v>13</v>
      </c>
      <c r="E560" s="3" t="s">
        <v>14</v>
      </c>
      <c r="F560" s="3" t="s">
        <v>17</v>
      </c>
      <c r="G560" s="3" t="s">
        <v>18</v>
      </c>
      <c r="H560" s="3" t="s">
        <v>24</v>
      </c>
    </row>
    <row r="561">
      <c r="A561" s="3" t="s">
        <v>7</v>
      </c>
      <c r="B561" s="3" t="s">
        <v>12</v>
      </c>
      <c r="C561" s="3" t="s">
        <v>14</v>
      </c>
      <c r="D561" s="3" t="s">
        <v>16</v>
      </c>
      <c r="E561" s="3" t="s">
        <v>17</v>
      </c>
    </row>
    <row r="562">
      <c r="A562" s="3" t="s">
        <v>7</v>
      </c>
      <c r="B562" s="3" t="s">
        <v>12</v>
      </c>
      <c r="C562" s="3" t="s">
        <v>17</v>
      </c>
    </row>
    <row r="563">
      <c r="A563" s="3" t="s">
        <v>7</v>
      </c>
      <c r="B563" s="3" t="s">
        <v>8</v>
      </c>
      <c r="C563" s="3" t="s">
        <v>9</v>
      </c>
      <c r="D563" s="3" t="s">
        <v>13</v>
      </c>
      <c r="E563" s="3" t="s">
        <v>14</v>
      </c>
      <c r="F563" s="3" t="s">
        <v>24</v>
      </c>
    </row>
    <row r="564">
      <c r="A564" s="3" t="s">
        <v>7</v>
      </c>
      <c r="B564" s="3" t="s">
        <v>11</v>
      </c>
      <c r="C564" s="3" t="s">
        <v>13</v>
      </c>
      <c r="D564" s="3" t="s">
        <v>14</v>
      </c>
      <c r="E564" s="3" t="s">
        <v>15</v>
      </c>
      <c r="F564" s="3" t="s">
        <v>17</v>
      </c>
    </row>
    <row r="565">
      <c r="A565" s="3" t="s">
        <v>7</v>
      </c>
      <c r="B565" s="3" t="s">
        <v>8</v>
      </c>
      <c r="C565" s="3" t="s">
        <v>9</v>
      </c>
    </row>
    <row r="566">
      <c r="A566" s="3" t="s">
        <v>7</v>
      </c>
      <c r="B566" s="3" t="s">
        <v>8</v>
      </c>
      <c r="C566" s="3" t="s">
        <v>11</v>
      </c>
      <c r="D566" s="3" t="s">
        <v>12</v>
      </c>
      <c r="E566" s="3" t="s">
        <v>13</v>
      </c>
      <c r="F566" s="3" t="s">
        <v>14</v>
      </c>
      <c r="G566" s="3" t="s">
        <v>17</v>
      </c>
    </row>
    <row r="567">
      <c r="A567" s="3" t="s">
        <v>8</v>
      </c>
      <c r="B567" s="3" t="s">
        <v>9</v>
      </c>
      <c r="C567" s="3" t="s">
        <v>11</v>
      </c>
      <c r="D567" s="3" t="s">
        <v>12</v>
      </c>
      <c r="E567" s="3" t="s">
        <v>13</v>
      </c>
      <c r="F567" s="3" t="s">
        <v>14</v>
      </c>
      <c r="G567" s="3" t="s">
        <v>17</v>
      </c>
      <c r="H567" s="3" t="s">
        <v>18</v>
      </c>
      <c r="I567" s="3" t="s">
        <v>24</v>
      </c>
    </row>
    <row r="568">
      <c r="A568" s="3" t="s">
        <v>8</v>
      </c>
      <c r="B568" s="3" t="s">
        <v>9</v>
      </c>
      <c r="C568" s="3" t="s">
        <v>10</v>
      </c>
      <c r="D568" s="3" t="s">
        <v>11</v>
      </c>
      <c r="E568" s="3" t="s">
        <v>12</v>
      </c>
      <c r="F568" s="3" t="s">
        <v>16</v>
      </c>
      <c r="G568" s="3" t="s">
        <v>18</v>
      </c>
      <c r="H568" s="3" t="s">
        <v>24</v>
      </c>
    </row>
    <row r="569">
      <c r="A569" s="3" t="s">
        <v>8</v>
      </c>
      <c r="B569" s="3" t="s">
        <v>9</v>
      </c>
      <c r="C569" s="3" t="s">
        <v>10</v>
      </c>
      <c r="D569" s="3" t="s">
        <v>11</v>
      </c>
      <c r="E569" s="3" t="s">
        <v>12</v>
      </c>
      <c r="F569" s="3" t="s">
        <v>17</v>
      </c>
      <c r="G569" s="3" t="s">
        <v>18</v>
      </c>
      <c r="H569" s="3" t="s">
        <v>24</v>
      </c>
    </row>
    <row r="570">
      <c r="A570" s="3" t="s">
        <v>8</v>
      </c>
      <c r="B570" s="3" t="s">
        <v>9</v>
      </c>
      <c r="C570" s="3" t="s">
        <v>10</v>
      </c>
      <c r="D570" s="3" t="s">
        <v>12</v>
      </c>
      <c r="E570" s="3" t="s">
        <v>15</v>
      </c>
      <c r="F570" s="3" t="s">
        <v>16</v>
      </c>
      <c r="G570" s="3" t="s">
        <v>24</v>
      </c>
    </row>
    <row r="571">
      <c r="A571" s="3" t="s">
        <v>8</v>
      </c>
      <c r="B571" s="3" t="s">
        <v>9</v>
      </c>
      <c r="C571" s="3" t="s">
        <v>10</v>
      </c>
      <c r="D571" s="3" t="s">
        <v>15</v>
      </c>
      <c r="E571" s="3" t="s">
        <v>16</v>
      </c>
      <c r="F571" s="3" t="s">
        <v>17</v>
      </c>
      <c r="G571" s="3" t="s">
        <v>18</v>
      </c>
      <c r="H571" s="3" t="s">
        <v>24</v>
      </c>
    </row>
    <row r="572">
      <c r="A572" s="3" t="s">
        <v>8</v>
      </c>
      <c r="B572" s="3" t="s">
        <v>9</v>
      </c>
      <c r="C572" s="3" t="s">
        <v>12</v>
      </c>
      <c r="D572" s="3" t="s">
        <v>13</v>
      </c>
      <c r="E572" s="3" t="s">
        <v>14</v>
      </c>
      <c r="F572" s="3" t="s">
        <v>17</v>
      </c>
      <c r="G572" s="3" t="s">
        <v>18</v>
      </c>
    </row>
    <row r="573">
      <c r="A573" s="3" t="s">
        <v>8</v>
      </c>
      <c r="B573" s="3" t="s">
        <v>9</v>
      </c>
      <c r="C573" s="3" t="s">
        <v>10</v>
      </c>
      <c r="D573" s="3" t="s">
        <v>11</v>
      </c>
      <c r="E573" s="3" t="s">
        <v>12</v>
      </c>
      <c r="F573" s="3" t="s">
        <v>18</v>
      </c>
      <c r="G573" s="3" t="s">
        <v>24</v>
      </c>
    </row>
    <row r="574">
      <c r="A574" s="3" t="s">
        <v>8</v>
      </c>
      <c r="B574" s="3" t="s">
        <v>9</v>
      </c>
      <c r="C574" s="3" t="s">
        <v>10</v>
      </c>
      <c r="D574" s="3" t="s">
        <v>11</v>
      </c>
      <c r="E574" s="3" t="s">
        <v>12</v>
      </c>
      <c r="F574" s="3" t="s">
        <v>15</v>
      </c>
      <c r="G574" s="3" t="s">
        <v>16</v>
      </c>
      <c r="H574" s="3" t="s">
        <v>18</v>
      </c>
      <c r="I574" s="3" t="s">
        <v>24</v>
      </c>
    </row>
    <row r="575">
      <c r="A575" s="3" t="s">
        <v>8</v>
      </c>
      <c r="B575" s="3" t="s">
        <v>9</v>
      </c>
      <c r="C575" s="3" t="s">
        <v>11</v>
      </c>
      <c r="D575" s="3" t="s">
        <v>12</v>
      </c>
      <c r="E575" s="3" t="s">
        <v>15</v>
      </c>
      <c r="F575" s="3" t="s">
        <v>17</v>
      </c>
      <c r="G575" s="3" t="s">
        <v>18</v>
      </c>
      <c r="H575" s="3" t="s">
        <v>24</v>
      </c>
    </row>
    <row r="576">
      <c r="A576" s="3" t="s">
        <v>8</v>
      </c>
      <c r="B576" s="3" t="s">
        <v>9</v>
      </c>
      <c r="C576" s="3" t="s">
        <v>10</v>
      </c>
      <c r="D576" s="3" t="s">
        <v>17</v>
      </c>
      <c r="E576" s="3" t="s">
        <v>18</v>
      </c>
    </row>
    <row r="577">
      <c r="A577" s="3" t="s">
        <v>8</v>
      </c>
      <c r="B577" s="3" t="s">
        <v>9</v>
      </c>
      <c r="C577" s="3" t="s">
        <v>12</v>
      </c>
      <c r="D577" s="3" t="s">
        <v>14</v>
      </c>
      <c r="E577" s="3" t="s">
        <v>17</v>
      </c>
      <c r="F577" s="3" t="s">
        <v>18</v>
      </c>
    </row>
    <row r="578">
      <c r="A578" s="3" t="s">
        <v>8</v>
      </c>
      <c r="B578" s="3" t="s">
        <v>9</v>
      </c>
      <c r="C578" s="3" t="s">
        <v>10</v>
      </c>
      <c r="D578" s="3" t="s">
        <v>11</v>
      </c>
      <c r="E578" s="3" t="s">
        <v>12</v>
      </c>
      <c r="F578" s="3" t="s">
        <v>17</v>
      </c>
      <c r="G578" s="3" t="s">
        <v>18</v>
      </c>
      <c r="H578" s="3" t="s">
        <v>24</v>
      </c>
    </row>
    <row r="579">
      <c r="A579" s="3" t="s">
        <v>8</v>
      </c>
      <c r="B579" s="3" t="s">
        <v>9</v>
      </c>
      <c r="C579" s="3" t="s">
        <v>10</v>
      </c>
      <c r="D579" s="3" t="s">
        <v>11</v>
      </c>
      <c r="E579" s="3" t="s">
        <v>12</v>
      </c>
      <c r="F579" s="3" t="s">
        <v>17</v>
      </c>
      <c r="G579" s="3" t="s">
        <v>18</v>
      </c>
      <c r="H579" s="3" t="s">
        <v>24</v>
      </c>
    </row>
    <row r="580">
      <c r="A580" s="3" t="s">
        <v>8</v>
      </c>
      <c r="B580" s="3" t="s">
        <v>9</v>
      </c>
      <c r="C580" s="3" t="s">
        <v>12</v>
      </c>
      <c r="D580" s="3" t="s">
        <v>14</v>
      </c>
      <c r="E580" s="3" t="s">
        <v>17</v>
      </c>
      <c r="F580" s="3" t="s">
        <v>18</v>
      </c>
    </row>
    <row r="581">
      <c r="A581" s="3" t="s">
        <v>8</v>
      </c>
      <c r="B581" s="3" t="s">
        <v>15</v>
      </c>
    </row>
    <row r="582">
      <c r="A582" s="3" t="s">
        <v>8</v>
      </c>
      <c r="B582" s="3" t="s">
        <v>9</v>
      </c>
      <c r="C582" s="3" t="s">
        <v>10</v>
      </c>
      <c r="D582" s="3" t="s">
        <v>12</v>
      </c>
      <c r="E582" s="3" t="s">
        <v>16</v>
      </c>
      <c r="F582" s="3" t="s">
        <v>18</v>
      </c>
      <c r="G582" s="3" t="s">
        <v>24</v>
      </c>
    </row>
    <row r="583">
      <c r="A583" s="3" t="s">
        <v>8</v>
      </c>
      <c r="B583" s="3" t="s">
        <v>9</v>
      </c>
      <c r="C583" s="3" t="s">
        <v>10</v>
      </c>
      <c r="D583" s="3" t="s">
        <v>11</v>
      </c>
      <c r="E583" s="3" t="s">
        <v>24</v>
      </c>
    </row>
    <row r="584">
      <c r="A584" s="3" t="s">
        <v>8</v>
      </c>
      <c r="B584" s="3" t="s">
        <v>9</v>
      </c>
      <c r="C584" s="3" t="s">
        <v>10</v>
      </c>
      <c r="D584" s="3" t="s">
        <v>11</v>
      </c>
      <c r="E584" s="3" t="s">
        <v>12</v>
      </c>
      <c r="F584" s="3" t="s">
        <v>24</v>
      </c>
    </row>
    <row r="585">
      <c r="A585" s="3" t="s">
        <v>8</v>
      </c>
      <c r="B585" s="3" t="s">
        <v>9</v>
      </c>
      <c r="C585" s="3" t="s">
        <v>15</v>
      </c>
      <c r="D585" s="3" t="s">
        <v>16</v>
      </c>
      <c r="E585" s="3" t="s">
        <v>17</v>
      </c>
      <c r="F585" s="3" t="s">
        <v>18</v>
      </c>
    </row>
    <row r="586">
      <c r="A586" s="3" t="s">
        <v>8</v>
      </c>
      <c r="B586" s="3" t="s">
        <v>9</v>
      </c>
      <c r="C586" s="3" t="s">
        <v>10</v>
      </c>
      <c r="D586" s="3" t="s">
        <v>11</v>
      </c>
      <c r="E586" s="3" t="s">
        <v>12</v>
      </c>
      <c r="F586" s="3" t="s">
        <v>16</v>
      </c>
      <c r="G586" s="3" t="s">
        <v>18</v>
      </c>
      <c r="H586" s="3" t="s">
        <v>24</v>
      </c>
    </row>
    <row r="587">
      <c r="A587" s="3" t="s">
        <v>8</v>
      </c>
      <c r="B587" s="3" t="s">
        <v>15</v>
      </c>
    </row>
    <row r="588">
      <c r="A588" s="3" t="s">
        <v>8</v>
      </c>
      <c r="B588" s="3" t="s">
        <v>9</v>
      </c>
      <c r="C588" s="3" t="s">
        <v>10</v>
      </c>
      <c r="D588" s="3" t="s">
        <v>11</v>
      </c>
      <c r="E588" s="3" t="s">
        <v>12</v>
      </c>
      <c r="F588" s="3" t="s">
        <v>15</v>
      </c>
      <c r="G588" s="3" t="s">
        <v>16</v>
      </c>
      <c r="H588" s="3" t="s">
        <v>18</v>
      </c>
      <c r="I588" s="3" t="s">
        <v>24</v>
      </c>
    </row>
    <row r="589">
      <c r="A589" s="3" t="s">
        <v>8</v>
      </c>
      <c r="B589" s="3" t="s">
        <v>10</v>
      </c>
      <c r="C589" s="3" t="s">
        <v>12</v>
      </c>
      <c r="D589" s="3" t="s">
        <v>17</v>
      </c>
      <c r="E589" s="3" t="s">
        <v>18</v>
      </c>
    </row>
    <row r="590">
      <c r="A590" s="3" t="s">
        <v>8</v>
      </c>
      <c r="B590" s="3" t="s">
        <v>9</v>
      </c>
      <c r="C590" s="3" t="s">
        <v>10</v>
      </c>
      <c r="D590" s="3" t="s">
        <v>12</v>
      </c>
      <c r="E590" s="3" t="s">
        <v>15</v>
      </c>
      <c r="F590" s="3" t="s">
        <v>16</v>
      </c>
      <c r="G590" s="3" t="s">
        <v>18</v>
      </c>
      <c r="H590" s="3" t="s">
        <v>24</v>
      </c>
    </row>
    <row r="591">
      <c r="A591" s="3" t="s">
        <v>8</v>
      </c>
      <c r="B591" s="3" t="s">
        <v>9</v>
      </c>
      <c r="C591" s="3" t="s">
        <v>13</v>
      </c>
      <c r="D591" s="3" t="s">
        <v>14</v>
      </c>
      <c r="E591" s="3" t="s">
        <v>17</v>
      </c>
      <c r="F591" s="3" t="s">
        <v>18</v>
      </c>
    </row>
    <row r="592">
      <c r="A592" s="3" t="s">
        <v>8</v>
      </c>
      <c r="B592" s="3" t="s">
        <v>12</v>
      </c>
      <c r="C592" s="3" t="s">
        <v>13</v>
      </c>
      <c r="D592" s="3" t="s">
        <v>14</v>
      </c>
      <c r="E592" s="3" t="s">
        <v>18</v>
      </c>
    </row>
    <row r="593">
      <c r="A593" s="3" t="s">
        <v>8</v>
      </c>
      <c r="B593" s="3" t="s">
        <v>9</v>
      </c>
      <c r="C593" s="3" t="s">
        <v>11</v>
      </c>
      <c r="D593" s="3" t="s">
        <v>12</v>
      </c>
      <c r="E593" s="3" t="s">
        <v>13</v>
      </c>
      <c r="F593" s="3" t="s">
        <v>14</v>
      </c>
      <c r="G593" s="3" t="s">
        <v>17</v>
      </c>
      <c r="H593" s="3" t="s">
        <v>18</v>
      </c>
    </row>
    <row r="594">
      <c r="A594" s="3" t="s">
        <v>8</v>
      </c>
      <c r="B594" s="3" t="s">
        <v>9</v>
      </c>
      <c r="C594" s="3" t="s">
        <v>13</v>
      </c>
      <c r="D594" s="3" t="s">
        <v>14</v>
      </c>
      <c r="E594" s="3" t="s">
        <v>17</v>
      </c>
      <c r="F594" s="3" t="s">
        <v>18</v>
      </c>
    </row>
    <row r="595">
      <c r="A595" s="3" t="s">
        <v>8</v>
      </c>
      <c r="B595" s="3" t="s">
        <v>9</v>
      </c>
      <c r="C595" s="3" t="s">
        <v>16</v>
      </c>
      <c r="D595" s="3" t="s">
        <v>17</v>
      </c>
      <c r="E595" s="3" t="s">
        <v>18</v>
      </c>
    </row>
    <row r="596">
      <c r="A596" s="3" t="s">
        <v>9</v>
      </c>
      <c r="B596" s="3" t="s">
        <v>12</v>
      </c>
      <c r="C596" s="3" t="s">
        <v>13</v>
      </c>
      <c r="D596" s="3" t="s">
        <v>14</v>
      </c>
      <c r="E596" s="3" t="s">
        <v>15</v>
      </c>
      <c r="F596" s="3" t="s">
        <v>16</v>
      </c>
      <c r="G596" s="3" t="s">
        <v>17</v>
      </c>
      <c r="H596" s="3" t="s">
        <v>18</v>
      </c>
      <c r="I596" s="3" t="s">
        <v>24</v>
      </c>
    </row>
    <row r="597">
      <c r="A597" s="3" t="s">
        <v>9</v>
      </c>
      <c r="B597" s="3" t="s">
        <v>10</v>
      </c>
      <c r="C597" s="3" t="s">
        <v>13</v>
      </c>
      <c r="D597" s="3" t="s">
        <v>14</v>
      </c>
      <c r="E597" s="3" t="s">
        <v>15</v>
      </c>
      <c r="F597" s="3" t="s">
        <v>16</v>
      </c>
      <c r="G597" s="3" t="s">
        <v>17</v>
      </c>
      <c r="H597" s="3" t="s">
        <v>18</v>
      </c>
      <c r="I597" s="3" t="s">
        <v>24</v>
      </c>
    </row>
    <row r="598">
      <c r="A598" s="3" t="s">
        <v>9</v>
      </c>
      <c r="B598" s="3" t="s">
        <v>10</v>
      </c>
      <c r="C598" s="3" t="s">
        <v>14</v>
      </c>
      <c r="D598" s="3" t="s">
        <v>15</v>
      </c>
      <c r="E598" s="3" t="s">
        <v>16</v>
      </c>
      <c r="F598" s="3" t="s">
        <v>18</v>
      </c>
      <c r="G598" s="3" t="s">
        <v>24</v>
      </c>
    </row>
    <row r="599">
      <c r="A599" s="3" t="s">
        <v>9</v>
      </c>
      <c r="B599" s="3" t="s">
        <v>11</v>
      </c>
      <c r="C599" s="3" t="s">
        <v>12</v>
      </c>
    </row>
    <row r="600">
      <c r="A600" s="3" t="s">
        <v>9</v>
      </c>
      <c r="B600" s="3" t="s">
        <v>10</v>
      </c>
      <c r="C600" s="3" t="s">
        <v>13</v>
      </c>
      <c r="D600" s="3" t="s">
        <v>14</v>
      </c>
      <c r="E600" s="3" t="s">
        <v>18</v>
      </c>
      <c r="F600" s="3" t="s">
        <v>24</v>
      </c>
    </row>
    <row r="601">
      <c r="A601" s="3" t="s">
        <v>9</v>
      </c>
      <c r="B601" s="3" t="s">
        <v>10</v>
      </c>
      <c r="C601" s="3" t="s">
        <v>11</v>
      </c>
      <c r="D601" s="3" t="s">
        <v>12</v>
      </c>
      <c r="E601" s="3" t="s">
        <v>14</v>
      </c>
      <c r="F601" s="3" t="s">
        <v>17</v>
      </c>
    </row>
    <row r="602">
      <c r="A602" s="3" t="s">
        <v>9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18</v>
      </c>
      <c r="G602" s="3" t="s">
        <v>24</v>
      </c>
    </row>
    <row r="603">
      <c r="A603" s="3" t="s">
        <v>9</v>
      </c>
      <c r="B603" s="3" t="s">
        <v>10</v>
      </c>
      <c r="C603" s="3" t="s">
        <v>11</v>
      </c>
      <c r="D603" s="3" t="s">
        <v>12</v>
      </c>
      <c r="E603" s="3" t="s">
        <v>15</v>
      </c>
      <c r="F603" s="3" t="s">
        <v>16</v>
      </c>
      <c r="G603" s="3" t="s">
        <v>18</v>
      </c>
    </row>
    <row r="604">
      <c r="A604" s="3" t="s">
        <v>9</v>
      </c>
      <c r="B604" s="3" t="s">
        <v>10</v>
      </c>
      <c r="C604" s="3" t="s">
        <v>18</v>
      </c>
      <c r="D604" s="3" t="s">
        <v>24</v>
      </c>
    </row>
    <row r="605">
      <c r="A605" s="3" t="s">
        <v>9</v>
      </c>
      <c r="B605" s="3" t="s">
        <v>12</v>
      </c>
      <c r="C605" s="3" t="s">
        <v>13</v>
      </c>
      <c r="D605" s="3" t="s">
        <v>14</v>
      </c>
    </row>
    <row r="606">
      <c r="A606" s="3" t="s">
        <v>9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18</v>
      </c>
    </row>
    <row r="607">
      <c r="A607" s="3" t="s">
        <v>9</v>
      </c>
      <c r="B607" s="3" t="s">
        <v>10</v>
      </c>
      <c r="C607" s="3" t="s">
        <v>24</v>
      </c>
    </row>
    <row r="608">
      <c r="A608" s="3" t="s">
        <v>9</v>
      </c>
      <c r="B608" s="3" t="s">
        <v>13</v>
      </c>
      <c r="C608" s="3" t="s">
        <v>14</v>
      </c>
      <c r="D608" s="3" t="s">
        <v>15</v>
      </c>
      <c r="E608" s="3" t="s">
        <v>17</v>
      </c>
    </row>
    <row r="609">
      <c r="A609" s="3" t="s">
        <v>9</v>
      </c>
      <c r="B609" s="3" t="s">
        <v>11</v>
      </c>
      <c r="C609" s="3" t="s">
        <v>12</v>
      </c>
      <c r="D609" s="3" t="s">
        <v>18</v>
      </c>
    </row>
    <row r="610">
      <c r="A610" s="3" t="s">
        <v>9</v>
      </c>
      <c r="B610" s="3" t="s">
        <v>10</v>
      </c>
      <c r="C610" s="3" t="s">
        <v>24</v>
      </c>
    </row>
    <row r="611">
      <c r="A611" s="3" t="s">
        <v>10</v>
      </c>
      <c r="B611" s="3" t="s">
        <v>11</v>
      </c>
      <c r="C611" s="3" t="s">
        <v>12</v>
      </c>
      <c r="D611" s="3" t="s">
        <v>13</v>
      </c>
      <c r="E611" s="3" t="s">
        <v>14</v>
      </c>
      <c r="F611" s="3" t="s">
        <v>15</v>
      </c>
      <c r="G611" s="3" t="s">
        <v>16</v>
      </c>
      <c r="H611" s="3" t="s">
        <v>17</v>
      </c>
      <c r="I611" s="3" t="s">
        <v>18</v>
      </c>
    </row>
    <row r="612">
      <c r="A612" s="3" t="s">
        <v>10</v>
      </c>
      <c r="B612" s="3" t="s">
        <v>11</v>
      </c>
      <c r="C612" s="3" t="s">
        <v>12</v>
      </c>
      <c r="D612" s="3" t="s">
        <v>13</v>
      </c>
      <c r="E612" s="3" t="s">
        <v>14</v>
      </c>
      <c r="F612" s="3" t="s">
        <v>15</v>
      </c>
      <c r="G612" s="3" t="s">
        <v>16</v>
      </c>
      <c r="H612" s="3" t="s">
        <v>17</v>
      </c>
      <c r="I612" s="3" t="s">
        <v>18</v>
      </c>
    </row>
    <row r="613">
      <c r="A613" s="3" t="s">
        <v>10</v>
      </c>
      <c r="B613" s="3" t="s">
        <v>16</v>
      </c>
    </row>
    <row r="614">
      <c r="A614" s="3" t="s">
        <v>10</v>
      </c>
    </row>
    <row r="615">
      <c r="A615" s="3" t="s">
        <v>10</v>
      </c>
      <c r="B615" s="3" t="s">
        <v>14</v>
      </c>
      <c r="C615" s="3" t="s">
        <v>18</v>
      </c>
      <c r="D615" s="3" t="s">
        <v>24</v>
      </c>
    </row>
    <row r="616">
      <c r="A616" s="3" t="s">
        <v>11</v>
      </c>
      <c r="B616" s="3" t="s">
        <v>12</v>
      </c>
      <c r="C616" s="3" t="s">
        <v>15</v>
      </c>
    </row>
    <row r="617">
      <c r="A617" s="3" t="s">
        <v>11</v>
      </c>
      <c r="B617" s="3" t="s">
        <v>12</v>
      </c>
      <c r="C617" s="3" t="s">
        <v>15</v>
      </c>
      <c r="D617" s="3" t="s">
        <v>17</v>
      </c>
      <c r="E617" s="3" t="s">
        <v>18</v>
      </c>
    </row>
    <row r="618">
      <c r="A618" s="3" t="s">
        <v>11</v>
      </c>
      <c r="B618" s="3" t="s">
        <v>12</v>
      </c>
    </row>
    <row r="619">
      <c r="A619" s="3" t="s">
        <v>11</v>
      </c>
      <c r="B619" s="3" t="s">
        <v>12</v>
      </c>
      <c r="C619" s="3" t="s">
        <v>15</v>
      </c>
      <c r="D619" s="3" t="s">
        <v>16</v>
      </c>
      <c r="E619" s="3" t="s">
        <v>18</v>
      </c>
    </row>
    <row r="620">
      <c r="A620" s="3" t="s">
        <v>11</v>
      </c>
      <c r="B620" s="3" t="s">
        <v>13</v>
      </c>
      <c r="C620" s="3" t="s">
        <v>14</v>
      </c>
      <c r="D620" s="3" t="s">
        <v>18</v>
      </c>
    </row>
    <row r="621">
      <c r="A621" s="3" t="s">
        <v>11</v>
      </c>
      <c r="B621" s="3" t="s">
        <v>12</v>
      </c>
      <c r="C621" s="3" t="s">
        <v>13</v>
      </c>
      <c r="D621" s="3" t="s">
        <v>14</v>
      </c>
      <c r="E621" s="3" t="s">
        <v>17</v>
      </c>
      <c r="F621" s="3" t="s">
        <v>18</v>
      </c>
    </row>
    <row r="622">
      <c r="A622" s="3" t="s">
        <v>11</v>
      </c>
      <c r="B622" s="3" t="s">
        <v>12</v>
      </c>
      <c r="C622" s="3" t="s">
        <v>13</v>
      </c>
      <c r="D622" s="3" t="s">
        <v>14</v>
      </c>
    </row>
    <row r="623">
      <c r="A623" s="3" t="s">
        <v>11</v>
      </c>
      <c r="B623" s="3" t="s">
        <v>12</v>
      </c>
    </row>
    <row r="624">
      <c r="A624" s="3" t="s">
        <v>11</v>
      </c>
      <c r="B624" s="3" t="s">
        <v>12</v>
      </c>
    </row>
    <row r="625">
      <c r="A625" s="3" t="s">
        <v>11</v>
      </c>
      <c r="B625" s="3" t="s">
        <v>12</v>
      </c>
      <c r="C625" s="3" t="s">
        <v>13</v>
      </c>
      <c r="D625" s="3" t="s">
        <v>14</v>
      </c>
      <c r="E625" s="3" t="s">
        <v>15</v>
      </c>
    </row>
    <row r="626">
      <c r="A626" s="3" t="s">
        <v>11</v>
      </c>
      <c r="B626" s="3" t="s">
        <v>12</v>
      </c>
    </row>
    <row r="627">
      <c r="A627" s="3" t="s">
        <v>11</v>
      </c>
      <c r="B627" s="3" t="s">
        <v>12</v>
      </c>
      <c r="C627" s="3" t="s">
        <v>16</v>
      </c>
      <c r="D627" s="3" t="s">
        <v>17</v>
      </c>
    </row>
    <row r="628">
      <c r="A628" s="3" t="s">
        <v>11</v>
      </c>
      <c r="B628" s="3" t="s">
        <v>12</v>
      </c>
    </row>
    <row r="629">
      <c r="A629" s="3" t="s">
        <v>11</v>
      </c>
      <c r="B629" s="3" t="s">
        <v>12</v>
      </c>
      <c r="C629" s="3" t="s">
        <v>13</v>
      </c>
      <c r="D629" s="3" t="s">
        <v>14</v>
      </c>
    </row>
    <row r="630">
      <c r="A630" s="3" t="s">
        <v>11</v>
      </c>
    </row>
    <row r="631">
      <c r="A631" s="3" t="s">
        <v>12</v>
      </c>
      <c r="B631" s="3" t="s">
        <v>17</v>
      </c>
    </row>
    <row r="632">
      <c r="A632" s="3" t="s">
        <v>12</v>
      </c>
      <c r="B632" s="3" t="s">
        <v>13</v>
      </c>
      <c r="C632" s="3" t="s">
        <v>14</v>
      </c>
      <c r="D632" s="3" t="s">
        <v>17</v>
      </c>
      <c r="E632" s="3" t="s">
        <v>18</v>
      </c>
    </row>
    <row r="633">
      <c r="A633" s="3" t="s">
        <v>12</v>
      </c>
      <c r="B633" s="3" t="s">
        <v>16</v>
      </c>
    </row>
    <row r="634">
      <c r="A634" s="3" t="s">
        <v>13</v>
      </c>
      <c r="B634" s="3" t="s">
        <v>14</v>
      </c>
      <c r="C634" s="3" t="s">
        <v>15</v>
      </c>
      <c r="D634" s="3" t="s">
        <v>16</v>
      </c>
      <c r="E634" s="3" t="s">
        <v>17</v>
      </c>
      <c r="F634" s="3" t="s">
        <v>18</v>
      </c>
    </row>
    <row r="635">
      <c r="A635" s="3" t="s">
        <v>13</v>
      </c>
      <c r="B635" s="3" t="s">
        <v>14</v>
      </c>
      <c r="C635" s="3" t="s">
        <v>15</v>
      </c>
      <c r="D635" s="3" t="s">
        <v>16</v>
      </c>
      <c r="E635" s="3" t="s">
        <v>17</v>
      </c>
      <c r="F635" s="3" t="s">
        <v>18</v>
      </c>
    </row>
    <row r="636">
      <c r="A636" s="3" t="s">
        <v>13</v>
      </c>
      <c r="B636" s="3" t="s">
        <v>15</v>
      </c>
      <c r="C636" s="3" t="s">
        <v>17</v>
      </c>
    </row>
    <row r="637">
      <c r="A637" s="3" t="s">
        <v>13</v>
      </c>
    </row>
    <row r="638">
      <c r="A638" s="3" t="s">
        <v>13</v>
      </c>
      <c r="B638" s="3" t="s">
        <v>14</v>
      </c>
      <c r="C638" s="3" t="s">
        <v>18</v>
      </c>
    </row>
    <row r="639">
      <c r="A639" s="3" t="s">
        <v>13</v>
      </c>
      <c r="B639" s="3" t="s">
        <v>14</v>
      </c>
      <c r="C639" s="3" t="s">
        <v>17</v>
      </c>
      <c r="D639" s="3" t="s">
        <v>18</v>
      </c>
    </row>
    <row r="640">
      <c r="A640" s="3" t="s">
        <v>13</v>
      </c>
    </row>
    <row r="641">
      <c r="A641" s="3" t="s">
        <v>13</v>
      </c>
    </row>
    <row r="642">
      <c r="A642" s="3" t="s">
        <v>13</v>
      </c>
      <c r="B642" s="3" t="s">
        <v>14</v>
      </c>
    </row>
    <row r="643">
      <c r="A643" s="3" t="s">
        <v>13</v>
      </c>
      <c r="B643" s="3" t="s">
        <v>15</v>
      </c>
    </row>
    <row r="644">
      <c r="A644" s="3" t="s">
        <v>13</v>
      </c>
      <c r="B644" s="3" t="s">
        <v>14</v>
      </c>
      <c r="C644" s="3" t="s">
        <v>18</v>
      </c>
    </row>
    <row r="645">
      <c r="A645" s="3" t="s">
        <v>13</v>
      </c>
      <c r="B645" s="3" t="s">
        <v>14</v>
      </c>
    </row>
    <row r="646">
      <c r="A646" s="3" t="s">
        <v>14</v>
      </c>
      <c r="B646" s="3" t="s">
        <v>16</v>
      </c>
    </row>
    <row r="647">
      <c r="A647" s="3" t="s">
        <v>15</v>
      </c>
    </row>
    <row r="648">
      <c r="A648" s="3" t="s">
        <v>15</v>
      </c>
      <c r="B648" s="3" t="s">
        <v>16</v>
      </c>
    </row>
    <row r="649">
      <c r="A649" s="3" t="s">
        <v>15</v>
      </c>
      <c r="B649" s="3" t="s">
        <v>16</v>
      </c>
    </row>
    <row r="650">
      <c r="A650" s="3" t="s">
        <v>16</v>
      </c>
    </row>
    <row r="651">
      <c r="A651" s="3" t="s">
        <v>17</v>
      </c>
    </row>
    <row r="652">
      <c r="A652" s="3" t="s">
        <v>18</v>
      </c>
    </row>
    <row r="653">
      <c r="A653" s="3" t="s">
        <v>18</v>
      </c>
    </row>
    <row r="654">
      <c r="A654" s="3" t="s">
        <v>6</v>
      </c>
      <c r="B654" s="3" t="s">
        <v>7</v>
      </c>
      <c r="C654" s="3" t="s">
        <v>8</v>
      </c>
      <c r="D654" s="3" t="s">
        <v>11</v>
      </c>
      <c r="E654" s="3" t="s">
        <v>15</v>
      </c>
    </row>
    <row r="655">
      <c r="A655" s="3" t="s">
        <v>6</v>
      </c>
      <c r="B655" s="3" t="s">
        <v>7</v>
      </c>
      <c r="C655" s="3" t="s">
        <v>8</v>
      </c>
      <c r="D655" s="3" t="s">
        <v>11</v>
      </c>
      <c r="E655" s="3" t="s">
        <v>13</v>
      </c>
      <c r="F655" s="3" t="s">
        <v>17</v>
      </c>
    </row>
    <row r="656">
      <c r="A656" s="3" t="s">
        <v>6</v>
      </c>
      <c r="B656" s="3" t="s">
        <v>7</v>
      </c>
      <c r="C656" s="3" t="s">
        <v>11</v>
      </c>
      <c r="D656" s="3" t="s">
        <v>13</v>
      </c>
      <c r="E656" s="3" t="s">
        <v>14</v>
      </c>
      <c r="F656" s="3" t="s">
        <v>15</v>
      </c>
      <c r="G656" s="3" t="s">
        <v>17</v>
      </c>
    </row>
    <row r="657">
      <c r="A657" s="3" t="s">
        <v>6</v>
      </c>
      <c r="B657" s="3" t="s">
        <v>7</v>
      </c>
      <c r="C657" s="3" t="s">
        <v>8</v>
      </c>
      <c r="D657" s="3" t="s">
        <v>11</v>
      </c>
      <c r="E657" s="3" t="s">
        <v>12</v>
      </c>
      <c r="F657" s="3" t="s">
        <v>15</v>
      </c>
      <c r="G657" s="3" t="s">
        <v>16</v>
      </c>
      <c r="H657" s="3" t="s">
        <v>17</v>
      </c>
    </row>
    <row r="658">
      <c r="A658" s="3" t="s">
        <v>6</v>
      </c>
      <c r="B658" s="3" t="s">
        <v>7</v>
      </c>
      <c r="C658" s="3" t="s">
        <v>8</v>
      </c>
      <c r="D658" s="3" t="s">
        <v>9</v>
      </c>
      <c r="E658" s="3" t="s">
        <v>11</v>
      </c>
      <c r="F658" s="3" t="s">
        <v>12</v>
      </c>
      <c r="G658" s="3" t="s">
        <v>15</v>
      </c>
    </row>
    <row r="659">
      <c r="A659" s="3" t="s">
        <v>6</v>
      </c>
      <c r="B659" s="3" t="s">
        <v>7</v>
      </c>
      <c r="C659" s="3" t="s">
        <v>8</v>
      </c>
      <c r="D659" s="3" t="s">
        <v>9</v>
      </c>
      <c r="E659" s="3" t="s">
        <v>10</v>
      </c>
      <c r="F659" s="3" t="s">
        <v>11</v>
      </c>
      <c r="G659" s="3" t="s">
        <v>12</v>
      </c>
      <c r="H659" s="3" t="s">
        <v>15</v>
      </c>
      <c r="I659" s="3" t="s">
        <v>24</v>
      </c>
    </row>
    <row r="660">
      <c r="A660" s="3" t="s">
        <v>6</v>
      </c>
      <c r="B660" s="3" t="s">
        <v>7</v>
      </c>
      <c r="C660" s="3" t="s">
        <v>8</v>
      </c>
      <c r="D660" s="3" t="s">
        <v>11</v>
      </c>
      <c r="E660" s="3" t="s">
        <v>15</v>
      </c>
      <c r="F660" s="3" t="s">
        <v>17</v>
      </c>
    </row>
    <row r="661">
      <c r="A661" s="3" t="s">
        <v>6</v>
      </c>
      <c r="B661" s="3" t="s">
        <v>7</v>
      </c>
      <c r="C661" s="3" t="s">
        <v>8</v>
      </c>
      <c r="D661" s="3" t="s">
        <v>11</v>
      </c>
      <c r="E661" s="3" t="s">
        <v>15</v>
      </c>
      <c r="F661" s="3" t="s">
        <v>17</v>
      </c>
    </row>
    <row r="662">
      <c r="A662" s="3" t="s">
        <v>6</v>
      </c>
      <c r="B662" s="3" t="s">
        <v>7</v>
      </c>
      <c r="C662" s="3" t="s">
        <v>8</v>
      </c>
      <c r="D662" s="3" t="s">
        <v>11</v>
      </c>
      <c r="E662" s="3" t="s">
        <v>12</v>
      </c>
      <c r="F662" s="3" t="s">
        <v>13</v>
      </c>
      <c r="G662" s="3" t="s">
        <v>15</v>
      </c>
      <c r="H662" s="3" t="s">
        <v>17</v>
      </c>
    </row>
    <row r="663">
      <c r="A663" s="3" t="s">
        <v>6</v>
      </c>
      <c r="B663" s="3" t="s">
        <v>7</v>
      </c>
      <c r="C663" s="3" t="s">
        <v>11</v>
      </c>
      <c r="D663" s="3" t="s">
        <v>13</v>
      </c>
      <c r="E663" s="3" t="s">
        <v>15</v>
      </c>
      <c r="F663" s="3" t="s">
        <v>16</v>
      </c>
      <c r="G663" s="3" t="s">
        <v>17</v>
      </c>
    </row>
    <row r="664">
      <c r="A664" s="3" t="s">
        <v>6</v>
      </c>
      <c r="B664" s="3" t="s">
        <v>7</v>
      </c>
      <c r="C664" s="3" t="s">
        <v>8</v>
      </c>
      <c r="D664" s="3" t="s">
        <v>11</v>
      </c>
      <c r="E664" s="3" t="s">
        <v>13</v>
      </c>
      <c r="F664" s="3" t="s">
        <v>15</v>
      </c>
      <c r="G664" s="3" t="s">
        <v>17</v>
      </c>
    </row>
    <row r="665">
      <c r="A665" s="3" t="s">
        <v>6</v>
      </c>
      <c r="B665" s="3" t="s">
        <v>7</v>
      </c>
      <c r="C665" s="3" t="s">
        <v>8</v>
      </c>
      <c r="D665" s="3" t="s">
        <v>11</v>
      </c>
      <c r="E665" s="3" t="s">
        <v>13</v>
      </c>
      <c r="F665" s="3" t="s">
        <v>14</v>
      </c>
      <c r="G665" s="3" t="s">
        <v>15</v>
      </c>
      <c r="H665" s="3" t="s">
        <v>17</v>
      </c>
    </row>
    <row r="666">
      <c r="A666" s="3" t="s">
        <v>6</v>
      </c>
      <c r="B666" s="3" t="s">
        <v>7</v>
      </c>
      <c r="C666" s="3" t="s">
        <v>8</v>
      </c>
      <c r="D666" s="3" t="s">
        <v>9</v>
      </c>
      <c r="E666" s="3" t="s">
        <v>10</v>
      </c>
      <c r="F666" s="3" t="s">
        <v>15</v>
      </c>
      <c r="G666" s="3" t="s">
        <v>24</v>
      </c>
    </row>
    <row r="667">
      <c r="A667" s="3" t="s">
        <v>6</v>
      </c>
      <c r="B667" s="3" t="s">
        <v>7</v>
      </c>
      <c r="C667" s="3" t="s">
        <v>8</v>
      </c>
      <c r="D667" s="3" t="s">
        <v>11</v>
      </c>
      <c r="E667" s="3" t="s">
        <v>12</v>
      </c>
      <c r="F667" s="3" t="s">
        <v>15</v>
      </c>
      <c r="G667" s="3" t="s">
        <v>17</v>
      </c>
    </row>
    <row r="668">
      <c r="A668" s="3" t="s">
        <v>6</v>
      </c>
      <c r="B668" s="3" t="s">
        <v>7</v>
      </c>
      <c r="C668" s="3" t="s">
        <v>11</v>
      </c>
      <c r="D668" s="3" t="s">
        <v>12</v>
      </c>
      <c r="E668" s="3" t="s">
        <v>13</v>
      </c>
      <c r="F668" s="3" t="s">
        <v>15</v>
      </c>
    </row>
    <row r="669">
      <c r="A669" s="3" t="s">
        <v>6</v>
      </c>
      <c r="B669" s="3" t="s">
        <v>7</v>
      </c>
      <c r="C669" s="3" t="s">
        <v>13</v>
      </c>
      <c r="D669" s="3" t="s">
        <v>14</v>
      </c>
      <c r="E669" s="3" t="s">
        <v>15</v>
      </c>
      <c r="F669" s="3" t="s">
        <v>16</v>
      </c>
      <c r="G669" s="3" t="s">
        <v>17</v>
      </c>
      <c r="H669" s="3" t="s">
        <v>18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3" t="s">
        <v>11</v>
      </c>
      <c r="F670" s="3" t="s">
        <v>17</v>
      </c>
      <c r="G670" s="3" t="s">
        <v>24</v>
      </c>
    </row>
    <row r="671">
      <c r="A671" s="3" t="s">
        <v>6</v>
      </c>
      <c r="B671" s="3" t="s">
        <v>7</v>
      </c>
      <c r="C671" s="3" t="s">
        <v>8</v>
      </c>
      <c r="D671" s="3" t="s">
        <v>11</v>
      </c>
      <c r="E671" s="3" t="s">
        <v>12</v>
      </c>
      <c r="F671" s="3" t="s">
        <v>13</v>
      </c>
      <c r="G671" s="3" t="s">
        <v>14</v>
      </c>
      <c r="H671" s="3" t="s">
        <v>17</v>
      </c>
      <c r="I671" s="3" t="s">
        <v>18</v>
      </c>
    </row>
    <row r="672">
      <c r="A672" s="3" t="s">
        <v>6</v>
      </c>
      <c r="B672" s="3" t="s">
        <v>7</v>
      </c>
      <c r="C672" s="3" t="s">
        <v>8</v>
      </c>
      <c r="D672" s="3" t="s">
        <v>15</v>
      </c>
      <c r="E672" s="3" t="s">
        <v>16</v>
      </c>
      <c r="F672" s="3" t="s">
        <v>17</v>
      </c>
    </row>
    <row r="673">
      <c r="A673" s="3" t="s">
        <v>6</v>
      </c>
      <c r="B673" s="3" t="s">
        <v>7</v>
      </c>
      <c r="C673" s="3" t="s">
        <v>8</v>
      </c>
      <c r="D673" s="3" t="s">
        <v>11</v>
      </c>
      <c r="E673" s="3" t="s">
        <v>12</v>
      </c>
      <c r="F673" s="3" t="s">
        <v>15</v>
      </c>
      <c r="G673" s="3" t="s">
        <v>17</v>
      </c>
    </row>
    <row r="674">
      <c r="A674" s="3" t="s">
        <v>6</v>
      </c>
      <c r="B674" s="3" t="s">
        <v>7</v>
      </c>
      <c r="C674" s="3" t="s">
        <v>8</v>
      </c>
      <c r="D674" s="3" t="s">
        <v>9</v>
      </c>
      <c r="E674" s="3" t="s">
        <v>11</v>
      </c>
      <c r="F674" s="3" t="s">
        <v>12</v>
      </c>
      <c r="G674" s="3" t="s">
        <v>15</v>
      </c>
      <c r="H674" s="3" t="s">
        <v>17</v>
      </c>
    </row>
    <row r="675">
      <c r="A675" s="3" t="s">
        <v>6</v>
      </c>
      <c r="B675" s="3" t="s">
        <v>7</v>
      </c>
      <c r="C675" s="3" t="s">
        <v>8</v>
      </c>
      <c r="D675" s="3" t="s">
        <v>9</v>
      </c>
      <c r="E675" s="3" t="s">
        <v>11</v>
      </c>
      <c r="F675" s="3" t="s">
        <v>12</v>
      </c>
      <c r="G675" s="3" t="s">
        <v>24</v>
      </c>
    </row>
    <row r="676">
      <c r="A676" s="3" t="s">
        <v>6</v>
      </c>
      <c r="B676" s="3" t="s">
        <v>7</v>
      </c>
      <c r="C676" s="3" t="s">
        <v>8</v>
      </c>
      <c r="D676" s="3" t="s">
        <v>11</v>
      </c>
      <c r="E676" s="3" t="s">
        <v>13</v>
      </c>
      <c r="F676" s="3" t="s">
        <v>14</v>
      </c>
      <c r="G676" s="3" t="s">
        <v>17</v>
      </c>
    </row>
    <row r="677">
      <c r="A677" s="3" t="s">
        <v>6</v>
      </c>
      <c r="B677" s="3" t="s">
        <v>7</v>
      </c>
      <c r="C677" s="3" t="s">
        <v>8</v>
      </c>
      <c r="D677" s="3" t="s">
        <v>13</v>
      </c>
      <c r="E677" s="3" t="s">
        <v>14</v>
      </c>
      <c r="F677" s="3" t="s">
        <v>15</v>
      </c>
    </row>
    <row r="678">
      <c r="A678" s="3" t="s">
        <v>6</v>
      </c>
      <c r="B678" s="3" t="s">
        <v>7</v>
      </c>
      <c r="C678" s="3" t="s">
        <v>8</v>
      </c>
      <c r="D678" s="3" t="s">
        <v>11</v>
      </c>
      <c r="E678" s="3" t="s">
        <v>12</v>
      </c>
      <c r="F678" s="3" t="s">
        <v>13</v>
      </c>
      <c r="G678" s="3" t="s">
        <v>14</v>
      </c>
      <c r="H678" s="3" t="s">
        <v>17</v>
      </c>
    </row>
    <row r="679">
      <c r="A679" s="3" t="s">
        <v>6</v>
      </c>
      <c r="B679" s="3" t="s">
        <v>7</v>
      </c>
      <c r="C679" s="3" t="s">
        <v>8</v>
      </c>
      <c r="D679" s="3" t="s">
        <v>11</v>
      </c>
      <c r="E679" s="3" t="s">
        <v>15</v>
      </c>
      <c r="F679" s="3" t="s">
        <v>17</v>
      </c>
    </row>
    <row r="680">
      <c r="A680" s="3" t="s">
        <v>6</v>
      </c>
      <c r="B680" s="3" t="s">
        <v>7</v>
      </c>
      <c r="C680" s="3" t="s">
        <v>8</v>
      </c>
      <c r="D680" s="3" t="s">
        <v>9</v>
      </c>
      <c r="E680" s="3" t="s">
        <v>11</v>
      </c>
      <c r="F680" s="3" t="s">
        <v>15</v>
      </c>
      <c r="G680" s="3" t="s">
        <v>17</v>
      </c>
    </row>
    <row r="681">
      <c r="A681" s="3" t="s">
        <v>6</v>
      </c>
      <c r="B681" s="3" t="s">
        <v>7</v>
      </c>
      <c r="C681" s="3" t="s">
        <v>8</v>
      </c>
      <c r="D681" s="3" t="s">
        <v>11</v>
      </c>
      <c r="E681" s="3" t="s">
        <v>12</v>
      </c>
      <c r="F681" s="3" t="s">
        <v>15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3" t="s">
        <v>15</v>
      </c>
      <c r="F682" s="3" t="s">
        <v>16</v>
      </c>
      <c r="G682" s="3" t="s">
        <v>17</v>
      </c>
    </row>
    <row r="683">
      <c r="A683" s="3" t="s">
        <v>6</v>
      </c>
      <c r="B683" s="3" t="s">
        <v>7</v>
      </c>
      <c r="C683" s="3" t="s">
        <v>8</v>
      </c>
      <c r="D683" s="3" t="s">
        <v>11</v>
      </c>
      <c r="E683" s="3" t="s">
        <v>13</v>
      </c>
      <c r="F683" s="3" t="s">
        <v>14</v>
      </c>
      <c r="G683" s="3" t="s">
        <v>15</v>
      </c>
      <c r="H683" s="3" t="s">
        <v>17</v>
      </c>
    </row>
    <row r="684">
      <c r="A684" s="3" t="s">
        <v>6</v>
      </c>
      <c r="B684" s="3" t="s">
        <v>8</v>
      </c>
      <c r="C684" s="3" t="s">
        <v>9</v>
      </c>
      <c r="D684" s="3" t="s">
        <v>10</v>
      </c>
      <c r="E684" s="3" t="s">
        <v>11</v>
      </c>
      <c r="F684" s="3" t="s">
        <v>12</v>
      </c>
      <c r="G684" s="3" t="s">
        <v>18</v>
      </c>
      <c r="H684" s="3" t="s">
        <v>24</v>
      </c>
    </row>
    <row r="685">
      <c r="A685" s="3" t="s">
        <v>6</v>
      </c>
      <c r="B685" s="3" t="s">
        <v>7</v>
      </c>
      <c r="C685" s="3" t="s">
        <v>8</v>
      </c>
      <c r="D685" s="3" t="s">
        <v>11</v>
      </c>
      <c r="E685" s="3" t="s">
        <v>12</v>
      </c>
      <c r="F685" s="3" t="s">
        <v>13</v>
      </c>
      <c r="G685" s="3" t="s">
        <v>14</v>
      </c>
      <c r="H685" s="3" t="s">
        <v>17</v>
      </c>
    </row>
    <row r="686">
      <c r="A686" s="3" t="s">
        <v>6</v>
      </c>
      <c r="B686" s="3" t="s">
        <v>7</v>
      </c>
      <c r="C686" s="3" t="s">
        <v>8</v>
      </c>
      <c r="D686" s="3" t="s">
        <v>13</v>
      </c>
    </row>
    <row r="687">
      <c r="A687" s="3" t="s">
        <v>6</v>
      </c>
      <c r="B687" s="3" t="s">
        <v>7</v>
      </c>
      <c r="C687" s="3" t="s">
        <v>11</v>
      </c>
      <c r="D687" s="3" t="s">
        <v>13</v>
      </c>
      <c r="E687" s="3" t="s">
        <v>15</v>
      </c>
      <c r="F687" s="3" t="s">
        <v>16</v>
      </c>
      <c r="G687" s="3" t="s">
        <v>17</v>
      </c>
    </row>
    <row r="688">
      <c r="A688" s="3" t="s">
        <v>6</v>
      </c>
      <c r="B688" s="3" t="s">
        <v>7</v>
      </c>
      <c r="C688" s="3" t="s">
        <v>8</v>
      </c>
      <c r="D688" s="3" t="s">
        <v>11</v>
      </c>
      <c r="E688" s="3" t="s">
        <v>13</v>
      </c>
      <c r="F688" s="3" t="s">
        <v>14</v>
      </c>
      <c r="G688" s="3" t="s">
        <v>15</v>
      </c>
      <c r="H688" s="3" t="s">
        <v>17</v>
      </c>
    </row>
    <row r="689">
      <c r="A689" s="3" t="s">
        <v>6</v>
      </c>
      <c r="B689" s="3" t="s">
        <v>7</v>
      </c>
      <c r="C689" s="3" t="s">
        <v>8</v>
      </c>
      <c r="D689" s="3" t="s">
        <v>11</v>
      </c>
      <c r="E689" s="3" t="s">
        <v>12</v>
      </c>
      <c r="F689" s="3" t="s">
        <v>13</v>
      </c>
      <c r="G689" s="3" t="s">
        <v>14</v>
      </c>
      <c r="H689" s="3" t="s">
        <v>17</v>
      </c>
    </row>
    <row r="690">
      <c r="A690" s="3" t="s">
        <v>6</v>
      </c>
      <c r="B690" s="3" t="s">
        <v>7</v>
      </c>
      <c r="C690" s="3" t="s">
        <v>8</v>
      </c>
      <c r="D690" s="3" t="s">
        <v>11</v>
      </c>
      <c r="E690" s="3" t="s">
        <v>12</v>
      </c>
      <c r="F690" s="3" t="s">
        <v>15</v>
      </c>
      <c r="G690" s="3" t="s">
        <v>16</v>
      </c>
    </row>
    <row r="691">
      <c r="A691" s="3" t="s">
        <v>6</v>
      </c>
      <c r="B691" s="3" t="s">
        <v>7</v>
      </c>
      <c r="C691" s="3" t="s">
        <v>15</v>
      </c>
      <c r="D691" s="3" t="s">
        <v>16</v>
      </c>
      <c r="E691" s="3" t="s">
        <v>17</v>
      </c>
      <c r="F691" s="3" t="s">
        <v>18</v>
      </c>
    </row>
    <row r="692">
      <c r="A692" s="3" t="s">
        <v>6</v>
      </c>
      <c r="B692" s="3" t="s">
        <v>7</v>
      </c>
    </row>
    <row r="693">
      <c r="A693" s="3" t="s">
        <v>6</v>
      </c>
      <c r="B693" s="3" t="s">
        <v>8</v>
      </c>
      <c r="C693" s="3" t="s">
        <v>11</v>
      </c>
      <c r="D693" s="3" t="s">
        <v>12</v>
      </c>
      <c r="E693" s="3" t="s">
        <v>17</v>
      </c>
      <c r="F693" s="3" t="s">
        <v>18</v>
      </c>
    </row>
    <row r="694">
      <c r="A694" s="3" t="s">
        <v>6</v>
      </c>
      <c r="B694" s="3" t="s">
        <v>7</v>
      </c>
      <c r="C694" s="3" t="s">
        <v>8</v>
      </c>
      <c r="D694" s="3" t="s">
        <v>9</v>
      </c>
      <c r="E694" s="3" t="s">
        <v>10</v>
      </c>
      <c r="F694" s="3" t="s">
        <v>15</v>
      </c>
      <c r="G694" s="3" t="s">
        <v>16</v>
      </c>
      <c r="H694" s="3" t="s">
        <v>24</v>
      </c>
    </row>
    <row r="695">
      <c r="A695" s="3" t="s">
        <v>6</v>
      </c>
      <c r="B695" s="3" t="s">
        <v>7</v>
      </c>
      <c r="C695" s="3" t="s">
        <v>8</v>
      </c>
      <c r="D695" s="3" t="s">
        <v>9</v>
      </c>
      <c r="E695" s="3" t="s">
        <v>11</v>
      </c>
      <c r="F695" s="3" t="s">
        <v>12</v>
      </c>
      <c r="G695" s="3" t="s">
        <v>15</v>
      </c>
      <c r="H695" s="3" t="s">
        <v>17</v>
      </c>
      <c r="I695" s="3" t="s">
        <v>18</v>
      </c>
    </row>
    <row r="696">
      <c r="A696" s="3" t="s">
        <v>6</v>
      </c>
      <c r="B696" s="3" t="s">
        <v>7</v>
      </c>
      <c r="C696" s="3" t="s">
        <v>8</v>
      </c>
      <c r="D696" s="3" t="s">
        <v>11</v>
      </c>
      <c r="E696" s="3" t="s">
        <v>12</v>
      </c>
      <c r="F696" s="3" t="s">
        <v>15</v>
      </c>
      <c r="G696" s="3" t="s">
        <v>16</v>
      </c>
      <c r="H696" s="3" t="s">
        <v>17</v>
      </c>
      <c r="I696" s="3" t="s">
        <v>18</v>
      </c>
    </row>
    <row r="697">
      <c r="A697" s="3" t="s">
        <v>6</v>
      </c>
      <c r="B697" s="3" t="s">
        <v>8</v>
      </c>
      <c r="C697" s="3" t="s">
        <v>11</v>
      </c>
      <c r="D697" s="3" t="s">
        <v>12</v>
      </c>
      <c r="E697" s="3" t="s">
        <v>17</v>
      </c>
    </row>
    <row r="698">
      <c r="A698" s="3" t="s">
        <v>6</v>
      </c>
      <c r="B698" s="3" t="s">
        <v>7</v>
      </c>
      <c r="C698" s="3" t="s">
        <v>8</v>
      </c>
      <c r="D698" s="3" t="s">
        <v>11</v>
      </c>
      <c r="E698" s="3" t="s">
        <v>12</v>
      </c>
      <c r="F698" s="3" t="s">
        <v>17</v>
      </c>
      <c r="G698" s="3" t="s">
        <v>18</v>
      </c>
    </row>
    <row r="699">
      <c r="A699" s="3" t="s">
        <v>6</v>
      </c>
      <c r="B699" s="3" t="s">
        <v>7</v>
      </c>
      <c r="C699" s="3" t="s">
        <v>8</v>
      </c>
      <c r="D699" s="3" t="s">
        <v>13</v>
      </c>
      <c r="E699" s="3" t="s">
        <v>14</v>
      </c>
      <c r="F699" s="3" t="s">
        <v>17</v>
      </c>
      <c r="G699" s="3" t="s">
        <v>18</v>
      </c>
    </row>
    <row r="700">
      <c r="A700" s="3" t="s">
        <v>6</v>
      </c>
      <c r="B700" s="3" t="s">
        <v>7</v>
      </c>
      <c r="C700" s="3" t="s">
        <v>8</v>
      </c>
      <c r="D700" s="3" t="s">
        <v>9</v>
      </c>
      <c r="E700" s="3" t="s">
        <v>15</v>
      </c>
      <c r="F700" s="3" t="s">
        <v>17</v>
      </c>
    </row>
    <row r="701">
      <c r="A701" s="3" t="s">
        <v>6</v>
      </c>
      <c r="B701" s="3" t="s">
        <v>7</v>
      </c>
      <c r="C701" s="3" t="s">
        <v>8</v>
      </c>
      <c r="D701" s="3" t="s">
        <v>11</v>
      </c>
      <c r="E701" s="3" t="s">
        <v>15</v>
      </c>
      <c r="F701" s="3" t="s">
        <v>16</v>
      </c>
    </row>
    <row r="702">
      <c r="A702" s="3" t="s">
        <v>6</v>
      </c>
      <c r="B702" s="3" t="s">
        <v>7</v>
      </c>
      <c r="C702" s="3" t="s">
        <v>8</v>
      </c>
      <c r="D702" s="3" t="s">
        <v>11</v>
      </c>
      <c r="E702" s="3" t="s">
        <v>13</v>
      </c>
    </row>
    <row r="703">
      <c r="A703" s="3" t="s">
        <v>6</v>
      </c>
      <c r="B703" s="3" t="s">
        <v>7</v>
      </c>
      <c r="C703" s="3" t="s">
        <v>8</v>
      </c>
      <c r="D703" s="3" t="s">
        <v>13</v>
      </c>
      <c r="E703" s="3" t="s">
        <v>14</v>
      </c>
      <c r="F703" s="3" t="s">
        <v>17</v>
      </c>
      <c r="G703" s="3" t="s">
        <v>18</v>
      </c>
    </row>
    <row r="704">
      <c r="A704" s="3" t="s">
        <v>6</v>
      </c>
      <c r="B704" s="3" t="s">
        <v>7</v>
      </c>
      <c r="C704" s="3" t="s">
        <v>15</v>
      </c>
    </row>
    <row r="705">
      <c r="A705" s="3" t="s">
        <v>6</v>
      </c>
      <c r="B705" s="3" t="s">
        <v>7</v>
      </c>
      <c r="C705" s="3" t="s">
        <v>8</v>
      </c>
    </row>
    <row r="706">
      <c r="A706" s="3" t="s">
        <v>6</v>
      </c>
      <c r="B706" s="3" t="s">
        <v>7</v>
      </c>
      <c r="C706" s="3" t="s">
        <v>11</v>
      </c>
      <c r="D706" s="3" t="s">
        <v>12</v>
      </c>
      <c r="E706" s="3" t="s">
        <v>15</v>
      </c>
      <c r="F706" s="3" t="s">
        <v>17</v>
      </c>
    </row>
    <row r="707">
      <c r="A707" s="3" t="s">
        <v>6</v>
      </c>
      <c r="B707" s="3" t="s">
        <v>7</v>
      </c>
      <c r="C707" s="3" t="s">
        <v>11</v>
      </c>
      <c r="D707" s="3" t="s">
        <v>12</v>
      </c>
      <c r="E707" s="3" t="s">
        <v>13</v>
      </c>
      <c r="F707" s="3" t="s">
        <v>17</v>
      </c>
    </row>
    <row r="708">
      <c r="A708" s="3" t="s">
        <v>6</v>
      </c>
      <c r="B708" s="3" t="s">
        <v>7</v>
      </c>
      <c r="C708" s="3" t="s">
        <v>8</v>
      </c>
      <c r="D708" s="3" t="s">
        <v>9</v>
      </c>
      <c r="E708" s="3" t="s">
        <v>15</v>
      </c>
      <c r="F708" s="3" t="s">
        <v>17</v>
      </c>
      <c r="G708" s="3" t="s">
        <v>24</v>
      </c>
    </row>
    <row r="709">
      <c r="A709" s="3" t="s">
        <v>6</v>
      </c>
      <c r="B709" s="3" t="s">
        <v>8</v>
      </c>
      <c r="C709" s="3" t="s">
        <v>9</v>
      </c>
      <c r="D709" s="3" t="s">
        <v>10</v>
      </c>
      <c r="E709" s="3" t="s">
        <v>13</v>
      </c>
      <c r="F709" s="3" t="s">
        <v>14</v>
      </c>
      <c r="G709" s="3" t="s">
        <v>18</v>
      </c>
      <c r="H709" s="3" t="s">
        <v>24</v>
      </c>
    </row>
    <row r="710">
      <c r="A710" s="3" t="s">
        <v>6</v>
      </c>
      <c r="B710" s="3" t="s">
        <v>7</v>
      </c>
      <c r="C710" s="3" t="s">
        <v>11</v>
      </c>
      <c r="D710" s="3" t="s">
        <v>12</v>
      </c>
      <c r="E710" s="3" t="s">
        <v>17</v>
      </c>
    </row>
    <row r="711">
      <c r="A711" s="3" t="s">
        <v>6</v>
      </c>
      <c r="B711" s="3" t="s">
        <v>7</v>
      </c>
      <c r="C711" s="3" t="s">
        <v>8</v>
      </c>
      <c r="D711" s="3" t="s">
        <v>11</v>
      </c>
      <c r="E711" s="3" t="s">
        <v>16</v>
      </c>
      <c r="F711" s="3" t="s">
        <v>17</v>
      </c>
      <c r="G711" s="3" t="s">
        <v>18</v>
      </c>
    </row>
    <row r="712">
      <c r="A712" s="3" t="s">
        <v>6</v>
      </c>
      <c r="B712" s="3" t="s">
        <v>7</v>
      </c>
      <c r="C712" s="3" t="s">
        <v>15</v>
      </c>
    </row>
    <row r="713">
      <c r="A713" s="3" t="s">
        <v>6</v>
      </c>
      <c r="B713" s="3" t="s">
        <v>7</v>
      </c>
      <c r="C713" s="3" t="s">
        <v>13</v>
      </c>
      <c r="D713" s="3" t="s">
        <v>14</v>
      </c>
    </row>
    <row r="714">
      <c r="A714" s="3" t="s">
        <v>6</v>
      </c>
      <c r="B714" s="3" t="s">
        <v>7</v>
      </c>
      <c r="C714" s="3" t="s">
        <v>8</v>
      </c>
      <c r="D714" s="3" t="s">
        <v>11</v>
      </c>
      <c r="E714" s="3" t="s">
        <v>12</v>
      </c>
      <c r="F714" s="3" t="s">
        <v>13</v>
      </c>
      <c r="G714" s="3" t="s">
        <v>17</v>
      </c>
      <c r="H714" s="3" t="s">
        <v>18</v>
      </c>
    </row>
    <row r="715">
      <c r="A715" s="3" t="s">
        <v>6</v>
      </c>
      <c r="B715" s="3" t="s">
        <v>7</v>
      </c>
      <c r="C715" s="3" t="s">
        <v>8</v>
      </c>
      <c r="D715" s="3" t="s">
        <v>11</v>
      </c>
      <c r="E715" s="3" t="s">
        <v>12</v>
      </c>
      <c r="F715" s="3" t="s">
        <v>15</v>
      </c>
      <c r="G715" s="3" t="s">
        <v>16</v>
      </c>
      <c r="H715" s="3" t="s">
        <v>17</v>
      </c>
    </row>
    <row r="716">
      <c r="A716" s="3" t="s">
        <v>6</v>
      </c>
      <c r="B716" s="3" t="s">
        <v>7</v>
      </c>
      <c r="C716" s="3" t="s">
        <v>8</v>
      </c>
      <c r="D716" s="3" t="s">
        <v>11</v>
      </c>
      <c r="E716" s="3" t="s">
        <v>12</v>
      </c>
      <c r="F716" s="3" t="s">
        <v>13</v>
      </c>
      <c r="G716" s="3" t="s">
        <v>15</v>
      </c>
    </row>
    <row r="717">
      <c r="A717" s="3" t="s">
        <v>6</v>
      </c>
      <c r="B717" s="3" t="s">
        <v>7</v>
      </c>
      <c r="C717" s="3" t="s">
        <v>8</v>
      </c>
      <c r="D717" s="3" t="s">
        <v>9</v>
      </c>
      <c r="E717" s="3" t="s">
        <v>15</v>
      </c>
      <c r="F717" s="3" t="s">
        <v>16</v>
      </c>
    </row>
    <row r="718">
      <c r="A718" s="3" t="s">
        <v>6</v>
      </c>
      <c r="B718" s="3" t="s">
        <v>7</v>
      </c>
      <c r="C718" s="3" t="s">
        <v>15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3" t="s">
        <v>11</v>
      </c>
      <c r="F719" s="3" t="s">
        <v>12</v>
      </c>
      <c r="G719" s="3" t="s">
        <v>15</v>
      </c>
      <c r="H719" s="3" t="s">
        <v>17</v>
      </c>
    </row>
    <row r="720">
      <c r="A720" s="3" t="s">
        <v>6</v>
      </c>
      <c r="B720" s="3" t="s">
        <v>7</v>
      </c>
      <c r="C720" s="3" t="s">
        <v>8</v>
      </c>
      <c r="D720" s="3" t="s">
        <v>9</v>
      </c>
      <c r="E720" s="3" t="s">
        <v>13</v>
      </c>
      <c r="F720" s="3" t="s">
        <v>17</v>
      </c>
      <c r="G720" s="3" t="s">
        <v>18</v>
      </c>
      <c r="H720" s="3" t="s">
        <v>24</v>
      </c>
    </row>
    <row r="721">
      <c r="A721" s="3" t="s">
        <v>6</v>
      </c>
      <c r="B721" s="3" t="s">
        <v>7</v>
      </c>
      <c r="C721" s="3" t="s">
        <v>8</v>
      </c>
      <c r="D721" s="3" t="s">
        <v>11</v>
      </c>
      <c r="E721" s="3" t="s">
        <v>12</v>
      </c>
      <c r="F721" s="3" t="s">
        <v>13</v>
      </c>
      <c r="G721" s="3" t="s">
        <v>18</v>
      </c>
    </row>
    <row r="722">
      <c r="A722" s="3" t="s">
        <v>6</v>
      </c>
      <c r="B722" s="3" t="s">
        <v>7</v>
      </c>
      <c r="C722" s="3" t="s">
        <v>8</v>
      </c>
      <c r="D722" s="3" t="s">
        <v>11</v>
      </c>
      <c r="E722" s="3" t="s">
        <v>12</v>
      </c>
      <c r="F722" s="3" t="s">
        <v>13</v>
      </c>
    </row>
    <row r="723">
      <c r="A723" s="3" t="s">
        <v>6</v>
      </c>
      <c r="B723" s="3" t="s">
        <v>7</v>
      </c>
      <c r="C723" s="3" t="s">
        <v>8</v>
      </c>
      <c r="D723" s="3" t="s">
        <v>11</v>
      </c>
      <c r="E723" s="3" t="s">
        <v>13</v>
      </c>
      <c r="F723" s="3" t="s">
        <v>14</v>
      </c>
      <c r="G723" s="3" t="s">
        <v>17</v>
      </c>
      <c r="H723" s="3" t="s">
        <v>18</v>
      </c>
    </row>
    <row r="724">
      <c r="A724" s="3" t="s">
        <v>6</v>
      </c>
      <c r="B724" s="3" t="s">
        <v>7</v>
      </c>
      <c r="C724" s="3" t="s">
        <v>11</v>
      </c>
      <c r="D724" s="3" t="s">
        <v>13</v>
      </c>
    </row>
    <row r="725">
      <c r="A725" s="3" t="s">
        <v>6</v>
      </c>
      <c r="B725" s="3" t="s">
        <v>7</v>
      </c>
      <c r="C725" s="3" t="s">
        <v>11</v>
      </c>
      <c r="D725" s="3" t="s">
        <v>13</v>
      </c>
    </row>
    <row r="726">
      <c r="A726" s="3" t="s">
        <v>6</v>
      </c>
      <c r="B726" s="3" t="s">
        <v>11</v>
      </c>
      <c r="C726" s="3" t="s">
        <v>12</v>
      </c>
      <c r="D726" s="3" t="s">
        <v>13</v>
      </c>
      <c r="E726" s="3" t="s">
        <v>14</v>
      </c>
      <c r="F726" s="3" t="s">
        <v>15</v>
      </c>
      <c r="G726" s="3" t="s">
        <v>17</v>
      </c>
      <c r="H726" s="3" t="s">
        <v>18</v>
      </c>
    </row>
    <row r="727">
      <c r="A727" s="3" t="s">
        <v>6</v>
      </c>
      <c r="B727" s="3" t="s">
        <v>7</v>
      </c>
      <c r="C727" s="3" t="s">
        <v>8</v>
      </c>
      <c r="D727" s="3" t="s">
        <v>9</v>
      </c>
      <c r="E727" s="3" t="s">
        <v>11</v>
      </c>
      <c r="F727" s="3" t="s">
        <v>12</v>
      </c>
      <c r="G727" s="3" t="s">
        <v>15</v>
      </c>
      <c r="H727" s="3" t="s">
        <v>24</v>
      </c>
    </row>
    <row r="728">
      <c r="A728" s="3" t="s">
        <v>6</v>
      </c>
      <c r="B728" s="3" t="s">
        <v>7</v>
      </c>
      <c r="C728" s="3" t="s">
        <v>11</v>
      </c>
      <c r="D728" s="3" t="s">
        <v>13</v>
      </c>
      <c r="E728" s="3" t="s">
        <v>14</v>
      </c>
    </row>
    <row r="729">
      <c r="A729" s="3" t="s">
        <v>6</v>
      </c>
      <c r="B729" s="3" t="s">
        <v>7</v>
      </c>
      <c r="C729" s="3" t="s">
        <v>8</v>
      </c>
      <c r="D729" s="3" t="s">
        <v>13</v>
      </c>
      <c r="E729" s="3" t="s">
        <v>14</v>
      </c>
      <c r="F729" s="3" t="s">
        <v>17</v>
      </c>
    </row>
    <row r="730">
      <c r="A730" s="3" t="s">
        <v>6</v>
      </c>
      <c r="B730" s="3" t="s">
        <v>7</v>
      </c>
      <c r="C730" s="3" t="s">
        <v>8</v>
      </c>
      <c r="D730" s="3" t="s">
        <v>15</v>
      </c>
    </row>
    <row r="731">
      <c r="A731" s="3" t="s">
        <v>6</v>
      </c>
      <c r="B731" s="3" t="s">
        <v>7</v>
      </c>
      <c r="C731" s="3" t="s">
        <v>8</v>
      </c>
      <c r="D731" s="3" t="s">
        <v>11</v>
      </c>
      <c r="E731" s="3" t="s">
        <v>12</v>
      </c>
      <c r="F731" s="3" t="s">
        <v>15</v>
      </c>
      <c r="G731" s="3" t="s">
        <v>16</v>
      </c>
      <c r="H731" s="3" t="s">
        <v>17</v>
      </c>
    </row>
    <row r="732">
      <c r="A732" s="3" t="s">
        <v>6</v>
      </c>
      <c r="B732" s="3" t="s">
        <v>7</v>
      </c>
      <c r="C732" s="3" t="s">
        <v>8</v>
      </c>
      <c r="D732" s="3" t="s">
        <v>9</v>
      </c>
      <c r="E732" s="3" t="s">
        <v>15</v>
      </c>
      <c r="F732" s="3" t="s">
        <v>17</v>
      </c>
    </row>
    <row r="733">
      <c r="A733" s="3" t="s">
        <v>6</v>
      </c>
      <c r="B733" s="3" t="s">
        <v>11</v>
      </c>
      <c r="C733" s="3" t="s">
        <v>12</v>
      </c>
      <c r="D733" s="3" t="s">
        <v>17</v>
      </c>
    </row>
    <row r="734">
      <c r="A734" s="3" t="s">
        <v>6</v>
      </c>
      <c r="B734" s="3" t="s">
        <v>7</v>
      </c>
      <c r="C734" s="3" t="s">
        <v>8</v>
      </c>
      <c r="D734" s="3" t="s">
        <v>11</v>
      </c>
      <c r="E734" s="3" t="s">
        <v>12</v>
      </c>
      <c r="F734" s="3" t="s">
        <v>15</v>
      </c>
      <c r="G734" s="3" t="s">
        <v>16</v>
      </c>
      <c r="H734" s="3" t="s">
        <v>18</v>
      </c>
    </row>
    <row r="735">
      <c r="A735" s="3" t="s">
        <v>6</v>
      </c>
      <c r="B735" s="3" t="s">
        <v>7</v>
      </c>
      <c r="C735" s="3" t="s">
        <v>8</v>
      </c>
      <c r="D735" s="3" t="s">
        <v>9</v>
      </c>
      <c r="E735" s="3" t="s">
        <v>17</v>
      </c>
      <c r="F735" s="3" t="s">
        <v>18</v>
      </c>
      <c r="G735" s="3" t="s">
        <v>24</v>
      </c>
    </row>
    <row r="736">
      <c r="A736" s="3" t="s">
        <v>6</v>
      </c>
      <c r="B736" s="3" t="s">
        <v>11</v>
      </c>
      <c r="C736" s="3" t="s">
        <v>12</v>
      </c>
      <c r="D736" s="3" t="s">
        <v>13</v>
      </c>
      <c r="E736" s="3" t="s">
        <v>14</v>
      </c>
      <c r="F736" s="3" t="s">
        <v>15</v>
      </c>
      <c r="G736" s="3" t="s">
        <v>17</v>
      </c>
      <c r="H736" s="3" t="s">
        <v>18</v>
      </c>
    </row>
    <row r="737">
      <c r="A737" s="3" t="s">
        <v>6</v>
      </c>
      <c r="B737" s="3" t="s">
        <v>7</v>
      </c>
      <c r="C737" s="3" t="s">
        <v>11</v>
      </c>
      <c r="D737" s="3" t="s">
        <v>12</v>
      </c>
    </row>
    <row r="738">
      <c r="A738" s="3" t="s">
        <v>6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18</v>
      </c>
    </row>
    <row r="739">
      <c r="A739" s="3" t="s">
        <v>6</v>
      </c>
      <c r="B739" s="3" t="s">
        <v>13</v>
      </c>
    </row>
    <row r="740">
      <c r="A740" s="3" t="s">
        <v>6</v>
      </c>
      <c r="B740" s="3" t="s">
        <v>11</v>
      </c>
      <c r="C740" s="3" t="s">
        <v>12</v>
      </c>
      <c r="D740" s="3" t="s">
        <v>15</v>
      </c>
    </row>
    <row r="741">
      <c r="A741" s="3" t="s">
        <v>6</v>
      </c>
      <c r="B741" s="3" t="s">
        <v>13</v>
      </c>
      <c r="C741" s="3" t="s">
        <v>14</v>
      </c>
      <c r="D741" s="3" t="s">
        <v>15</v>
      </c>
      <c r="E741" s="3" t="s">
        <v>17</v>
      </c>
    </row>
    <row r="742">
      <c r="A742" s="3" t="s">
        <v>6</v>
      </c>
      <c r="B742" s="3" t="s">
        <v>11</v>
      </c>
      <c r="C742" s="3" t="s">
        <v>12</v>
      </c>
      <c r="D742" s="3" t="s">
        <v>13</v>
      </c>
      <c r="E742" s="3" t="s">
        <v>17</v>
      </c>
      <c r="F742" s="3" t="s">
        <v>18</v>
      </c>
    </row>
    <row r="743">
      <c r="A743" s="3" t="s">
        <v>6</v>
      </c>
      <c r="B743" s="3" t="s">
        <v>7</v>
      </c>
      <c r="C743" s="3" t="s">
        <v>8</v>
      </c>
      <c r="D743" s="3" t="s">
        <v>11</v>
      </c>
      <c r="E743" s="3" t="s">
        <v>15</v>
      </c>
      <c r="F743" s="3" t="s">
        <v>16</v>
      </c>
      <c r="G743" s="3" t="s">
        <v>17</v>
      </c>
    </row>
    <row r="744">
      <c r="A744" s="3" t="s">
        <v>6</v>
      </c>
      <c r="B744" s="3" t="s">
        <v>13</v>
      </c>
    </row>
    <row r="745">
      <c r="A745" s="3" t="s">
        <v>6</v>
      </c>
      <c r="B745" s="3" t="s">
        <v>7</v>
      </c>
      <c r="C745" s="3" t="s">
        <v>9</v>
      </c>
    </row>
    <row r="746">
      <c r="A746" s="3" t="s">
        <v>6</v>
      </c>
      <c r="B746" s="3" t="s">
        <v>7</v>
      </c>
      <c r="C746" s="3" t="s">
        <v>8</v>
      </c>
      <c r="D746" s="3" t="s">
        <v>11</v>
      </c>
      <c r="E746" s="3" t="s">
        <v>12</v>
      </c>
      <c r="F746" s="3" t="s">
        <v>14</v>
      </c>
      <c r="G746" s="3" t="s">
        <v>17</v>
      </c>
      <c r="H746" s="3" t="s">
        <v>18</v>
      </c>
      <c r="I746" s="3" t="s">
        <v>24</v>
      </c>
    </row>
    <row r="747">
      <c r="A747" s="3" t="s">
        <v>6</v>
      </c>
      <c r="B747" s="3" t="s">
        <v>7</v>
      </c>
    </row>
    <row r="748">
      <c r="A748" s="3" t="s">
        <v>6</v>
      </c>
      <c r="B748" s="3" t="s">
        <v>8</v>
      </c>
      <c r="C748" s="3" t="s">
        <v>9</v>
      </c>
      <c r="D748" s="3" t="s">
        <v>10</v>
      </c>
      <c r="E748" s="3" t="s">
        <v>13</v>
      </c>
      <c r="F748" s="3" t="s">
        <v>14</v>
      </c>
      <c r="G748" s="3" t="s">
        <v>17</v>
      </c>
      <c r="H748" s="3" t="s">
        <v>18</v>
      </c>
      <c r="I748" s="3" t="s">
        <v>24</v>
      </c>
    </row>
    <row r="749">
      <c r="A749" s="3" t="s">
        <v>6</v>
      </c>
      <c r="B749" s="3" t="s">
        <v>7</v>
      </c>
      <c r="C749" s="3" t="s">
        <v>8</v>
      </c>
      <c r="D749" s="3" t="s">
        <v>11</v>
      </c>
      <c r="E749" s="3" t="s">
        <v>12</v>
      </c>
      <c r="F749" s="3" t="s">
        <v>14</v>
      </c>
      <c r="G749" s="3" t="s">
        <v>15</v>
      </c>
      <c r="H749" s="3" t="s">
        <v>17</v>
      </c>
      <c r="I749" s="3" t="s">
        <v>18</v>
      </c>
    </row>
    <row r="750">
      <c r="A750" s="3" t="s">
        <v>6</v>
      </c>
      <c r="B750" s="3" t="s">
        <v>7</v>
      </c>
      <c r="C750" s="3" t="s">
        <v>15</v>
      </c>
    </row>
    <row r="751">
      <c r="A751" s="3" t="s">
        <v>6</v>
      </c>
      <c r="B751" s="3" t="s">
        <v>11</v>
      </c>
      <c r="C751" s="3" t="s">
        <v>12</v>
      </c>
    </row>
    <row r="752">
      <c r="A752" s="3" t="s">
        <v>6</v>
      </c>
      <c r="B752" s="3" t="s">
        <v>7</v>
      </c>
      <c r="C752" s="3" t="s">
        <v>8</v>
      </c>
      <c r="D752" s="3" t="s">
        <v>12</v>
      </c>
      <c r="E752" s="3" t="s">
        <v>15</v>
      </c>
      <c r="F752" s="3" t="s">
        <v>16</v>
      </c>
      <c r="G752" s="3" t="s">
        <v>17</v>
      </c>
      <c r="H752" s="3" t="s">
        <v>18</v>
      </c>
    </row>
    <row r="753">
      <c r="A753" s="3" t="s">
        <v>6</v>
      </c>
      <c r="B753" s="3" t="s">
        <v>7</v>
      </c>
      <c r="C753" s="3" t="s">
        <v>11</v>
      </c>
      <c r="D753" s="3" t="s">
        <v>12</v>
      </c>
      <c r="E753" s="3" t="s">
        <v>13</v>
      </c>
      <c r="F753" s="3" t="s">
        <v>14</v>
      </c>
      <c r="G753" s="3" t="s">
        <v>17</v>
      </c>
      <c r="H753" s="3" t="s">
        <v>18</v>
      </c>
    </row>
    <row r="754">
      <c r="A754" s="3" t="s">
        <v>6</v>
      </c>
      <c r="B754" s="3" t="s">
        <v>7</v>
      </c>
      <c r="C754" s="3" t="s">
        <v>8</v>
      </c>
      <c r="D754" s="3" t="s">
        <v>11</v>
      </c>
      <c r="E754" s="3" t="s">
        <v>12</v>
      </c>
      <c r="F754" s="3" t="s">
        <v>15</v>
      </c>
      <c r="G754" s="3" t="s">
        <v>16</v>
      </c>
    </row>
    <row r="755">
      <c r="A755" s="3" t="s">
        <v>6</v>
      </c>
      <c r="B755" s="3" t="s">
        <v>7</v>
      </c>
      <c r="C755" s="3" t="s">
        <v>13</v>
      </c>
      <c r="D755" s="3" t="s">
        <v>14</v>
      </c>
    </row>
    <row r="756">
      <c r="A756" s="3" t="s">
        <v>6</v>
      </c>
      <c r="B756" s="3" t="s">
        <v>7</v>
      </c>
      <c r="C756" s="3" t="s">
        <v>8</v>
      </c>
      <c r="D756" s="3" t="s">
        <v>11</v>
      </c>
      <c r="E756" s="3" t="s">
        <v>13</v>
      </c>
      <c r="F756" s="3" t="s">
        <v>17</v>
      </c>
    </row>
    <row r="757">
      <c r="A757" s="3" t="s">
        <v>6</v>
      </c>
      <c r="B757" s="3" t="s">
        <v>7</v>
      </c>
      <c r="C757" s="3" t="s">
        <v>11</v>
      </c>
      <c r="D757" s="3" t="s">
        <v>12</v>
      </c>
      <c r="E757" s="3" t="s">
        <v>13</v>
      </c>
      <c r="F757" s="3" t="s">
        <v>14</v>
      </c>
      <c r="G757" s="3" t="s">
        <v>15</v>
      </c>
      <c r="H757" s="3" t="s">
        <v>17</v>
      </c>
      <c r="I757" s="3" t="s">
        <v>18</v>
      </c>
    </row>
    <row r="758">
      <c r="A758" s="3" t="s">
        <v>6</v>
      </c>
      <c r="B758" s="3" t="s">
        <v>11</v>
      </c>
      <c r="C758" s="3" t="s">
        <v>13</v>
      </c>
    </row>
    <row r="759">
      <c r="A759" s="3" t="s">
        <v>6</v>
      </c>
      <c r="B759" s="3" t="s">
        <v>7</v>
      </c>
      <c r="C759" s="3" t="s">
        <v>13</v>
      </c>
      <c r="D759" s="3" t="s">
        <v>15</v>
      </c>
    </row>
    <row r="760">
      <c r="A760" s="3" t="s">
        <v>6</v>
      </c>
      <c r="B760" s="3" t="s">
        <v>7</v>
      </c>
      <c r="C760" s="3" t="s">
        <v>9</v>
      </c>
      <c r="D760" s="3" t="s">
        <v>11</v>
      </c>
      <c r="E760" s="3" t="s">
        <v>12</v>
      </c>
      <c r="F760" s="3" t="s">
        <v>15</v>
      </c>
      <c r="G760" s="3" t="s">
        <v>18</v>
      </c>
    </row>
    <row r="761">
      <c r="A761" s="3" t="s">
        <v>6</v>
      </c>
    </row>
    <row r="762">
      <c r="A762" s="3" t="s">
        <v>6</v>
      </c>
      <c r="B762" s="3" t="s">
        <v>8</v>
      </c>
      <c r="C762" s="3" t="s">
        <v>11</v>
      </c>
      <c r="D762" s="3" t="s">
        <v>12</v>
      </c>
      <c r="E762" s="3" t="s">
        <v>14</v>
      </c>
      <c r="F762" s="3" t="s">
        <v>17</v>
      </c>
    </row>
    <row r="763">
      <c r="A763" s="3" t="s">
        <v>6</v>
      </c>
      <c r="B763" s="3" t="s">
        <v>7</v>
      </c>
      <c r="C763" s="3" t="s">
        <v>11</v>
      </c>
      <c r="D763" s="3" t="s">
        <v>12</v>
      </c>
    </row>
    <row r="764">
      <c r="A764" s="3" t="s">
        <v>6</v>
      </c>
      <c r="B764" s="3" t="s">
        <v>12</v>
      </c>
      <c r="C764" s="3" t="s">
        <v>15</v>
      </c>
    </row>
    <row r="765">
      <c r="A765" s="3" t="s">
        <v>6</v>
      </c>
      <c r="B765" s="3" t="s">
        <v>7</v>
      </c>
      <c r="C765" s="3" t="s">
        <v>11</v>
      </c>
    </row>
    <row r="766">
      <c r="A766" s="3" t="s">
        <v>609</v>
      </c>
    </row>
    <row r="767">
      <c r="A767" s="3" t="s">
        <v>7</v>
      </c>
      <c r="B767" s="3" t="s">
        <v>8</v>
      </c>
      <c r="C767" s="3" t="s">
        <v>9</v>
      </c>
      <c r="D767" s="3" t="s">
        <v>11</v>
      </c>
      <c r="E767" s="3" t="s">
        <v>12</v>
      </c>
      <c r="F767" s="3" t="s">
        <v>15</v>
      </c>
      <c r="G767" s="3" t="s">
        <v>16</v>
      </c>
      <c r="H767" s="3" t="s">
        <v>17</v>
      </c>
    </row>
    <row r="768">
      <c r="A768" s="3" t="s">
        <v>7</v>
      </c>
      <c r="B768" s="3" t="s">
        <v>8</v>
      </c>
      <c r="C768" s="3" t="s">
        <v>9</v>
      </c>
      <c r="D768" s="3" t="s">
        <v>13</v>
      </c>
      <c r="E768" s="3" t="s">
        <v>14</v>
      </c>
      <c r="F768" s="3" t="s">
        <v>16</v>
      </c>
      <c r="G768" s="3" t="s">
        <v>17</v>
      </c>
      <c r="H768" s="3" t="s">
        <v>18</v>
      </c>
    </row>
    <row r="769">
      <c r="A769" s="3" t="s">
        <v>7</v>
      </c>
      <c r="B769" s="3" t="s">
        <v>11</v>
      </c>
      <c r="C769" s="3" t="s">
        <v>13</v>
      </c>
      <c r="D769" s="3" t="s">
        <v>14</v>
      </c>
      <c r="E769" s="3" t="s">
        <v>17</v>
      </c>
      <c r="F769" s="3" t="s">
        <v>18</v>
      </c>
      <c r="G769" s="3" t="s">
        <v>24</v>
      </c>
    </row>
    <row r="770">
      <c r="A770" s="3" t="s">
        <v>7</v>
      </c>
      <c r="B770" s="3" t="s">
        <v>13</v>
      </c>
      <c r="C770" s="3" t="s">
        <v>15</v>
      </c>
      <c r="D770" s="3" t="s">
        <v>17</v>
      </c>
    </row>
    <row r="771">
      <c r="A771" s="3" t="s">
        <v>7</v>
      </c>
      <c r="B771" s="3" t="s">
        <v>13</v>
      </c>
      <c r="C771" s="3" t="s">
        <v>14</v>
      </c>
      <c r="D771" s="3" t="s">
        <v>16</v>
      </c>
      <c r="E771" s="3" t="s">
        <v>17</v>
      </c>
      <c r="F771" s="3" t="s">
        <v>18</v>
      </c>
    </row>
    <row r="772">
      <c r="A772" s="3" t="s">
        <v>7</v>
      </c>
      <c r="B772" s="3" t="s">
        <v>8</v>
      </c>
      <c r="C772" s="3" t="s">
        <v>9</v>
      </c>
      <c r="D772" s="3" t="s">
        <v>13</v>
      </c>
      <c r="E772" s="3" t="s">
        <v>14</v>
      </c>
      <c r="F772" s="3" t="s">
        <v>17</v>
      </c>
      <c r="G772" s="3" t="s">
        <v>18</v>
      </c>
      <c r="H772" s="3" t="s">
        <v>24</v>
      </c>
    </row>
    <row r="773">
      <c r="A773" s="3" t="s">
        <v>7</v>
      </c>
      <c r="B773" s="3" t="s">
        <v>13</v>
      </c>
      <c r="C773" s="3" t="s">
        <v>14</v>
      </c>
      <c r="D773" s="3" t="s">
        <v>16</v>
      </c>
      <c r="E773" s="3" t="s">
        <v>17</v>
      </c>
      <c r="F773" s="3" t="s">
        <v>18</v>
      </c>
    </row>
    <row r="774">
      <c r="A774" s="3" t="s">
        <v>7</v>
      </c>
      <c r="B774" s="3" t="s">
        <v>11</v>
      </c>
      <c r="C774" s="3" t="s">
        <v>12</v>
      </c>
      <c r="D774" s="3" t="s">
        <v>13</v>
      </c>
      <c r="E774" s="3" t="s">
        <v>14</v>
      </c>
      <c r="F774" s="3" t="s">
        <v>15</v>
      </c>
      <c r="G774" s="3" t="s">
        <v>16</v>
      </c>
      <c r="H774" s="3" t="s">
        <v>17</v>
      </c>
      <c r="I774" s="3" t="s">
        <v>18</v>
      </c>
    </row>
    <row r="775">
      <c r="A775" s="3" t="s">
        <v>7</v>
      </c>
      <c r="B775" s="3" t="s">
        <v>8</v>
      </c>
      <c r="C775" s="3" t="s">
        <v>9</v>
      </c>
      <c r="D775" s="3" t="s">
        <v>11</v>
      </c>
      <c r="E775" s="3" t="s">
        <v>12</v>
      </c>
      <c r="F775" s="3" t="s">
        <v>15</v>
      </c>
      <c r="G775" s="3" t="s">
        <v>16</v>
      </c>
      <c r="H775" s="3" t="s">
        <v>17</v>
      </c>
      <c r="I775" s="3" t="s">
        <v>18</v>
      </c>
    </row>
    <row r="776">
      <c r="A776" s="3" t="s">
        <v>7</v>
      </c>
      <c r="B776" s="3" t="s">
        <v>9</v>
      </c>
      <c r="C776" s="3" t="s">
        <v>13</v>
      </c>
      <c r="D776" s="3" t="s">
        <v>14</v>
      </c>
      <c r="E776" s="3" t="s">
        <v>17</v>
      </c>
      <c r="F776" s="3" t="s">
        <v>18</v>
      </c>
      <c r="G776" s="3" t="s">
        <v>24</v>
      </c>
    </row>
    <row r="777">
      <c r="A777" s="3" t="s">
        <v>7</v>
      </c>
      <c r="B777" s="3" t="s">
        <v>8</v>
      </c>
      <c r="C777" s="3" t="s">
        <v>9</v>
      </c>
      <c r="D777" s="3" t="s">
        <v>11</v>
      </c>
      <c r="E777" s="3" t="s">
        <v>12</v>
      </c>
      <c r="F777" s="3" t="s">
        <v>15</v>
      </c>
      <c r="G777" s="3" t="s">
        <v>16</v>
      </c>
      <c r="H777" s="3" t="s">
        <v>17</v>
      </c>
      <c r="I777" s="3" t="s">
        <v>18</v>
      </c>
    </row>
    <row r="778">
      <c r="A778" s="3" t="s">
        <v>7</v>
      </c>
      <c r="B778" s="3" t="s">
        <v>9</v>
      </c>
      <c r="C778" s="3" t="s">
        <v>13</v>
      </c>
      <c r="D778" s="3" t="s">
        <v>14</v>
      </c>
      <c r="E778" s="3" t="s">
        <v>17</v>
      </c>
      <c r="F778" s="3" t="s">
        <v>18</v>
      </c>
    </row>
    <row r="779">
      <c r="A779" s="3" t="s">
        <v>7</v>
      </c>
      <c r="B779" s="3" t="s">
        <v>8</v>
      </c>
      <c r="C779" s="3" t="s">
        <v>9</v>
      </c>
      <c r="D779" s="3" t="s">
        <v>10</v>
      </c>
      <c r="E779" s="3" t="s">
        <v>12</v>
      </c>
      <c r="F779" s="3" t="s">
        <v>15</v>
      </c>
      <c r="G779" s="3" t="s">
        <v>16</v>
      </c>
      <c r="H779" s="3" t="s">
        <v>18</v>
      </c>
      <c r="I779" s="3" t="s">
        <v>24</v>
      </c>
    </row>
    <row r="780">
      <c r="A780" s="3" t="s">
        <v>7</v>
      </c>
      <c r="B780" s="3" t="s">
        <v>8</v>
      </c>
      <c r="C780" s="3" t="s">
        <v>9</v>
      </c>
      <c r="D780" s="3" t="s">
        <v>11</v>
      </c>
      <c r="E780" s="3" t="s">
        <v>12</v>
      </c>
      <c r="F780" s="3" t="s">
        <v>17</v>
      </c>
      <c r="G780" s="3" t="s">
        <v>18</v>
      </c>
    </row>
    <row r="781">
      <c r="A781" s="3" t="s">
        <v>7</v>
      </c>
      <c r="B781" s="3" t="s">
        <v>8</v>
      </c>
      <c r="C781" s="3" t="s">
        <v>9</v>
      </c>
      <c r="D781" s="3" t="s">
        <v>10</v>
      </c>
      <c r="E781" s="3" t="s">
        <v>11</v>
      </c>
      <c r="F781" s="3" t="s">
        <v>15</v>
      </c>
      <c r="G781" s="3" t="s">
        <v>16</v>
      </c>
      <c r="H781" s="3" t="s">
        <v>17</v>
      </c>
      <c r="I781" s="3" t="s">
        <v>18</v>
      </c>
    </row>
    <row r="782">
      <c r="A782" s="3" t="s">
        <v>7</v>
      </c>
    </row>
    <row r="783">
      <c r="A783" s="3" t="s">
        <v>7</v>
      </c>
      <c r="B783" s="3" t="s">
        <v>8</v>
      </c>
      <c r="C783" s="3" t="s">
        <v>13</v>
      </c>
      <c r="D783" s="3" t="s">
        <v>17</v>
      </c>
    </row>
    <row r="784">
      <c r="A784" s="3" t="s">
        <v>7</v>
      </c>
      <c r="B784" s="3" t="s">
        <v>17</v>
      </c>
    </row>
    <row r="785">
      <c r="A785" s="3" t="s">
        <v>7</v>
      </c>
      <c r="B785" s="3" t="s">
        <v>8</v>
      </c>
      <c r="C785" s="3" t="s">
        <v>13</v>
      </c>
      <c r="D785" s="3" t="s">
        <v>15</v>
      </c>
      <c r="E785" s="3" t="s">
        <v>17</v>
      </c>
    </row>
    <row r="786">
      <c r="A786" s="3" t="s">
        <v>7</v>
      </c>
      <c r="B786" s="3" t="s">
        <v>8</v>
      </c>
      <c r="C786" s="3" t="s">
        <v>15</v>
      </c>
      <c r="D786" s="3" t="s">
        <v>17</v>
      </c>
    </row>
    <row r="787">
      <c r="A787" s="3" t="s">
        <v>7</v>
      </c>
      <c r="B787" s="3" t="s">
        <v>8</v>
      </c>
      <c r="C787" s="3" t="s">
        <v>9</v>
      </c>
      <c r="D787" s="3" t="s">
        <v>10</v>
      </c>
      <c r="E787" s="3" t="s">
        <v>17</v>
      </c>
      <c r="F787" s="3" t="s">
        <v>18</v>
      </c>
      <c r="G787" s="3" t="s">
        <v>24</v>
      </c>
    </row>
    <row r="788">
      <c r="A788" s="3" t="s">
        <v>7</v>
      </c>
      <c r="B788" s="3" t="s">
        <v>13</v>
      </c>
      <c r="C788" s="3" t="s">
        <v>14</v>
      </c>
      <c r="D788" s="3" t="s">
        <v>17</v>
      </c>
      <c r="E788" s="3" t="s">
        <v>18</v>
      </c>
    </row>
    <row r="789">
      <c r="A789" s="3" t="s">
        <v>7</v>
      </c>
      <c r="B789" s="3" t="s">
        <v>8</v>
      </c>
      <c r="C789" s="3" t="s">
        <v>9</v>
      </c>
      <c r="D789" s="3" t="s">
        <v>15</v>
      </c>
      <c r="E789" s="3" t="s">
        <v>16</v>
      </c>
      <c r="F789" s="3" t="s">
        <v>18</v>
      </c>
      <c r="G789" s="3" t="s">
        <v>24</v>
      </c>
    </row>
    <row r="790">
      <c r="A790" s="3" t="s">
        <v>7</v>
      </c>
    </row>
    <row r="791">
      <c r="A791" s="3" t="s">
        <v>7</v>
      </c>
      <c r="B791" s="3" t="s">
        <v>8</v>
      </c>
      <c r="C791" s="3" t="s">
        <v>12</v>
      </c>
      <c r="D791" s="3" t="s">
        <v>15</v>
      </c>
    </row>
    <row r="792">
      <c r="A792" s="3" t="s">
        <v>7</v>
      </c>
      <c r="B792" s="3" t="s">
        <v>8</v>
      </c>
      <c r="C792" s="3" t="s">
        <v>9</v>
      </c>
      <c r="D792" s="3" t="s">
        <v>13</v>
      </c>
      <c r="E792" s="3" t="s">
        <v>14</v>
      </c>
      <c r="F792" s="3" t="s">
        <v>15</v>
      </c>
      <c r="G792" s="3" t="s">
        <v>16</v>
      </c>
      <c r="H792" s="3" t="s">
        <v>17</v>
      </c>
    </row>
    <row r="793">
      <c r="A793" s="3" t="s">
        <v>7</v>
      </c>
      <c r="B793" s="3" t="s">
        <v>8</v>
      </c>
      <c r="C793" s="3" t="s">
        <v>11</v>
      </c>
      <c r="D793" s="3" t="s">
        <v>12</v>
      </c>
      <c r="E793" s="3" t="s">
        <v>15</v>
      </c>
      <c r="F793" s="3" t="s">
        <v>16</v>
      </c>
    </row>
    <row r="794">
      <c r="A794" s="3" t="s">
        <v>7</v>
      </c>
      <c r="B794" s="3" t="s">
        <v>8</v>
      </c>
      <c r="C794" s="3" t="s">
        <v>9</v>
      </c>
      <c r="D794" s="3" t="s">
        <v>15</v>
      </c>
      <c r="E794" s="3" t="s">
        <v>16</v>
      </c>
      <c r="F794" s="3" t="s">
        <v>17</v>
      </c>
      <c r="G794" s="3" t="s">
        <v>18</v>
      </c>
    </row>
    <row r="795">
      <c r="A795" s="3" t="s">
        <v>7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18</v>
      </c>
    </row>
    <row r="796">
      <c r="A796" s="3" t="s">
        <v>7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</row>
    <row r="797">
      <c r="A797" s="3" t="s">
        <v>7</v>
      </c>
      <c r="B797" s="3" t="s">
        <v>15</v>
      </c>
    </row>
    <row r="798">
      <c r="A798" s="3" t="s">
        <v>7</v>
      </c>
      <c r="B798" s="3" t="s">
        <v>8</v>
      </c>
      <c r="C798" s="3" t="s">
        <v>9</v>
      </c>
      <c r="D798" s="3" t="s">
        <v>11</v>
      </c>
      <c r="E798" s="3" t="s">
        <v>12</v>
      </c>
      <c r="F798" s="3" t="s">
        <v>18</v>
      </c>
    </row>
    <row r="799">
      <c r="A799" s="3" t="s">
        <v>7</v>
      </c>
      <c r="B799" s="3" t="s">
        <v>11</v>
      </c>
      <c r="C799" s="3" t="s">
        <v>13</v>
      </c>
      <c r="D799" s="3" t="s">
        <v>14</v>
      </c>
      <c r="E799" s="3" t="s">
        <v>15</v>
      </c>
      <c r="F799" s="3" t="s">
        <v>16</v>
      </c>
      <c r="G799" s="3" t="s">
        <v>17</v>
      </c>
      <c r="H799" s="3" t="s">
        <v>18</v>
      </c>
    </row>
    <row r="800">
      <c r="A800" s="3" t="s">
        <v>7</v>
      </c>
      <c r="B800" s="3" t="s">
        <v>11</v>
      </c>
      <c r="C800" s="3" t="s">
        <v>12</v>
      </c>
      <c r="D800" s="3" t="s">
        <v>13</v>
      </c>
      <c r="E800" s="3" t="s">
        <v>14</v>
      </c>
      <c r="F800" s="3" t="s">
        <v>17</v>
      </c>
      <c r="G800" s="3" t="s">
        <v>18</v>
      </c>
    </row>
    <row r="801">
      <c r="A801" s="3" t="s">
        <v>7</v>
      </c>
      <c r="B801" s="3" t="s">
        <v>8</v>
      </c>
      <c r="C801" s="3" t="s">
        <v>9</v>
      </c>
      <c r="D801" s="3" t="s">
        <v>11</v>
      </c>
      <c r="E801" s="3" t="s">
        <v>12</v>
      </c>
      <c r="F801" s="3" t="s">
        <v>17</v>
      </c>
      <c r="G801" s="3" t="s">
        <v>18</v>
      </c>
    </row>
    <row r="802">
      <c r="A802" s="3" t="s">
        <v>7</v>
      </c>
      <c r="B802" s="3" t="s">
        <v>8</v>
      </c>
      <c r="C802" s="3" t="s">
        <v>15</v>
      </c>
    </row>
    <row r="803">
      <c r="A803" s="3" t="s">
        <v>7</v>
      </c>
      <c r="B803" s="3" t="s">
        <v>8</v>
      </c>
      <c r="C803" s="3" t="s">
        <v>9</v>
      </c>
      <c r="D803" s="3" t="s">
        <v>10</v>
      </c>
      <c r="E803" s="3" t="s">
        <v>11</v>
      </c>
      <c r="F803" s="3" t="s">
        <v>12</v>
      </c>
      <c r="G803" s="3" t="s">
        <v>18</v>
      </c>
      <c r="H803" s="3" t="s">
        <v>24</v>
      </c>
    </row>
    <row r="804">
      <c r="A804" s="3" t="s">
        <v>7</v>
      </c>
      <c r="B804" s="3" t="s">
        <v>8</v>
      </c>
      <c r="C804" s="3" t="s">
        <v>11</v>
      </c>
      <c r="D804" s="3" t="s">
        <v>12</v>
      </c>
      <c r="E804" s="3" t="s">
        <v>16</v>
      </c>
      <c r="F804" s="3" t="s">
        <v>17</v>
      </c>
      <c r="G804" s="3" t="s">
        <v>18</v>
      </c>
    </row>
    <row r="805">
      <c r="A805" s="3" t="s">
        <v>7</v>
      </c>
      <c r="B805" s="3" t="s">
        <v>8</v>
      </c>
      <c r="C805" s="3" t="s">
        <v>13</v>
      </c>
      <c r="D805" s="3" t="s">
        <v>14</v>
      </c>
    </row>
    <row r="806">
      <c r="A806" s="3" t="s">
        <v>7</v>
      </c>
      <c r="B806" s="3" t="s">
        <v>15</v>
      </c>
      <c r="C806" s="3" t="s">
        <v>16</v>
      </c>
    </row>
    <row r="807">
      <c r="A807" s="3" t="s">
        <v>7</v>
      </c>
      <c r="B807" s="3" t="s">
        <v>8</v>
      </c>
      <c r="C807" s="3" t="s">
        <v>9</v>
      </c>
      <c r="D807" s="3" t="s">
        <v>13</v>
      </c>
      <c r="E807" s="3" t="s">
        <v>14</v>
      </c>
      <c r="F807" s="3" t="s">
        <v>15</v>
      </c>
      <c r="G807" s="3" t="s">
        <v>17</v>
      </c>
      <c r="H807" s="3" t="s">
        <v>24</v>
      </c>
    </row>
    <row r="808">
      <c r="A808" s="3" t="s">
        <v>7</v>
      </c>
      <c r="B808" s="3" t="s">
        <v>8</v>
      </c>
      <c r="C808" s="3" t="s">
        <v>9</v>
      </c>
      <c r="D808" s="3" t="s">
        <v>11</v>
      </c>
      <c r="E808" s="3" t="s">
        <v>12</v>
      </c>
      <c r="F808" s="3" t="s">
        <v>18</v>
      </c>
    </row>
    <row r="809">
      <c r="A809" s="3" t="s">
        <v>7</v>
      </c>
      <c r="B809" s="3" t="s">
        <v>8</v>
      </c>
      <c r="C809" s="3" t="s">
        <v>9</v>
      </c>
      <c r="D809" s="3" t="s">
        <v>13</v>
      </c>
      <c r="E809" s="3" t="s">
        <v>14</v>
      </c>
      <c r="F809" s="3" t="s">
        <v>17</v>
      </c>
      <c r="G809" s="3" t="s">
        <v>18</v>
      </c>
      <c r="H809" s="3" t="s">
        <v>24</v>
      </c>
    </row>
    <row r="810">
      <c r="A810" s="3" t="s">
        <v>7</v>
      </c>
      <c r="B810" s="3" t="s">
        <v>8</v>
      </c>
      <c r="C810" s="3" t="s">
        <v>11</v>
      </c>
      <c r="D810" s="3" t="s">
        <v>12</v>
      </c>
      <c r="E810" s="3" t="s">
        <v>15</v>
      </c>
    </row>
    <row r="811">
      <c r="A811" s="3" t="s">
        <v>7</v>
      </c>
      <c r="B811" s="3" t="s">
        <v>8</v>
      </c>
      <c r="C811" s="3" t="s">
        <v>9</v>
      </c>
      <c r="D811" s="3" t="s">
        <v>11</v>
      </c>
      <c r="E811" s="3" t="s">
        <v>12</v>
      </c>
      <c r="F811" s="3" t="s">
        <v>15</v>
      </c>
      <c r="G811" s="3" t="s">
        <v>16</v>
      </c>
      <c r="H811" s="3" t="s">
        <v>17</v>
      </c>
    </row>
    <row r="812">
      <c r="A812" s="3" t="s">
        <v>7</v>
      </c>
      <c r="B812" s="3" t="s">
        <v>8</v>
      </c>
      <c r="C812" s="3" t="s">
        <v>11</v>
      </c>
      <c r="D812" s="3" t="s">
        <v>15</v>
      </c>
    </row>
    <row r="813">
      <c r="A813" s="3" t="s">
        <v>7</v>
      </c>
      <c r="B813" s="3" t="s">
        <v>8</v>
      </c>
      <c r="C813" s="3" t="s">
        <v>9</v>
      </c>
      <c r="D813" s="3" t="s">
        <v>10</v>
      </c>
      <c r="E813" s="3" t="s">
        <v>11</v>
      </c>
      <c r="F813" s="3" t="s">
        <v>15</v>
      </c>
      <c r="G813" s="3" t="s">
        <v>16</v>
      </c>
      <c r="H813" s="3" t="s">
        <v>17</v>
      </c>
      <c r="I813" s="3" t="s">
        <v>18</v>
      </c>
    </row>
    <row r="814">
      <c r="A814" s="3" t="s">
        <v>7</v>
      </c>
      <c r="B814" s="3" t="s">
        <v>12</v>
      </c>
    </row>
    <row r="815">
      <c r="A815" s="3" t="s">
        <v>8</v>
      </c>
      <c r="B815" s="3" t="s">
        <v>9</v>
      </c>
      <c r="C815" s="3" t="s">
        <v>10</v>
      </c>
      <c r="D815" s="3" t="s">
        <v>12</v>
      </c>
      <c r="E815" s="3" t="s">
        <v>13</v>
      </c>
      <c r="F815" s="3" t="s">
        <v>14</v>
      </c>
      <c r="G815" s="3" t="s">
        <v>18</v>
      </c>
      <c r="H815" s="3" t="s">
        <v>24</v>
      </c>
    </row>
    <row r="816">
      <c r="A816" s="3" t="s">
        <v>8</v>
      </c>
      <c r="B816" s="3" t="s">
        <v>9</v>
      </c>
      <c r="C816" s="3" t="s">
        <v>10</v>
      </c>
      <c r="D816" s="3" t="s">
        <v>15</v>
      </c>
      <c r="E816" s="3" t="s">
        <v>16</v>
      </c>
      <c r="F816" s="3" t="s">
        <v>24</v>
      </c>
    </row>
    <row r="817">
      <c r="A817" s="3" t="s">
        <v>8</v>
      </c>
      <c r="B817" s="3" t="s">
        <v>9</v>
      </c>
      <c r="C817" s="3" t="s">
        <v>10</v>
      </c>
      <c r="D817" s="3" t="s">
        <v>11</v>
      </c>
      <c r="E817" s="3" t="s">
        <v>12</v>
      </c>
      <c r="F817" s="3" t="s">
        <v>18</v>
      </c>
      <c r="G817" s="3" t="s">
        <v>24</v>
      </c>
    </row>
    <row r="818">
      <c r="A818" s="3" t="s">
        <v>8</v>
      </c>
      <c r="B818" s="3" t="s">
        <v>9</v>
      </c>
      <c r="C818" s="3" t="s">
        <v>10</v>
      </c>
      <c r="D818" s="3" t="s">
        <v>11</v>
      </c>
      <c r="E818" s="3" t="s">
        <v>12</v>
      </c>
      <c r="F818" s="3" t="s">
        <v>14</v>
      </c>
      <c r="G818" s="3" t="s">
        <v>17</v>
      </c>
      <c r="H818" s="3" t="s">
        <v>18</v>
      </c>
      <c r="I818" s="3" t="s">
        <v>24</v>
      </c>
    </row>
    <row r="819">
      <c r="A819" s="3" t="s">
        <v>8</v>
      </c>
      <c r="B819" s="3" t="s">
        <v>9</v>
      </c>
      <c r="C819" s="3" t="s">
        <v>10</v>
      </c>
      <c r="D819" s="3" t="s">
        <v>13</v>
      </c>
      <c r="E819" s="3" t="s">
        <v>14</v>
      </c>
      <c r="F819" s="3" t="s">
        <v>17</v>
      </c>
      <c r="G819" s="3" t="s">
        <v>18</v>
      </c>
      <c r="H819" s="3" t="s">
        <v>24</v>
      </c>
    </row>
    <row r="820">
      <c r="A820" s="3" t="s">
        <v>8</v>
      </c>
    </row>
    <row r="821">
      <c r="A821" s="3" t="s">
        <v>8</v>
      </c>
      <c r="B821" s="3" t="s">
        <v>9</v>
      </c>
      <c r="C821" s="3" t="s">
        <v>10</v>
      </c>
      <c r="D821" s="3" t="s">
        <v>11</v>
      </c>
      <c r="E821" s="3" t="s">
        <v>12</v>
      </c>
      <c r="F821" s="3" t="s">
        <v>17</v>
      </c>
      <c r="G821" s="3" t="s">
        <v>18</v>
      </c>
      <c r="H821" s="3" t="s">
        <v>24</v>
      </c>
    </row>
    <row r="822">
      <c r="A822" s="3" t="s">
        <v>8</v>
      </c>
      <c r="B822" s="3" t="s">
        <v>9</v>
      </c>
      <c r="C822" s="3" t="s">
        <v>10</v>
      </c>
      <c r="D822" s="3" t="s">
        <v>15</v>
      </c>
      <c r="E822" s="3" t="s">
        <v>24</v>
      </c>
    </row>
    <row r="823">
      <c r="A823" s="3" t="s">
        <v>8</v>
      </c>
      <c r="B823" s="3" t="s">
        <v>9</v>
      </c>
      <c r="C823" s="3" t="s">
        <v>13</v>
      </c>
      <c r="D823" s="3" t="s">
        <v>14</v>
      </c>
      <c r="E823" s="3" t="s">
        <v>18</v>
      </c>
    </row>
    <row r="824">
      <c r="A824" s="3" t="s">
        <v>8</v>
      </c>
      <c r="B824" s="3" t="s">
        <v>13</v>
      </c>
      <c r="C824" s="3" t="s">
        <v>14</v>
      </c>
      <c r="D824" s="3" t="s">
        <v>17</v>
      </c>
      <c r="E824" s="3" t="s">
        <v>18</v>
      </c>
    </row>
    <row r="825">
      <c r="A825" s="3" t="s">
        <v>8</v>
      </c>
      <c r="B825" s="3" t="s">
        <v>9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18</v>
      </c>
    </row>
    <row r="826">
      <c r="A826" s="3" t="s">
        <v>8</v>
      </c>
      <c r="B826" s="3" t="s">
        <v>9</v>
      </c>
      <c r="C826" s="3" t="s">
        <v>11</v>
      </c>
      <c r="D826" s="3" t="s">
        <v>12</v>
      </c>
      <c r="E826" s="3" t="s">
        <v>15</v>
      </c>
    </row>
    <row r="827">
      <c r="A827" s="3" t="s">
        <v>8</v>
      </c>
      <c r="B827" s="3" t="s">
        <v>9</v>
      </c>
      <c r="C827" s="3" t="s">
        <v>15</v>
      </c>
      <c r="D827" s="3" t="s">
        <v>16</v>
      </c>
      <c r="E827" s="3" t="s">
        <v>18</v>
      </c>
      <c r="F827" s="3" t="s">
        <v>24</v>
      </c>
    </row>
    <row r="828">
      <c r="A828" s="3" t="s">
        <v>8</v>
      </c>
      <c r="B828" s="3" t="s">
        <v>9</v>
      </c>
      <c r="C828" s="3" t="s">
        <v>11</v>
      </c>
      <c r="D828" s="3" t="s">
        <v>12</v>
      </c>
    </row>
    <row r="829">
      <c r="A829" s="3" t="s">
        <v>8</v>
      </c>
      <c r="B829" s="3" t="s">
        <v>9</v>
      </c>
      <c r="C829" s="3" t="s">
        <v>12</v>
      </c>
      <c r="D829" s="3" t="s">
        <v>16</v>
      </c>
      <c r="E829" s="3" t="s">
        <v>18</v>
      </c>
    </row>
    <row r="830">
      <c r="A830" s="3" t="s">
        <v>8</v>
      </c>
      <c r="B830" s="3" t="s">
        <v>9</v>
      </c>
      <c r="C830" s="3" t="s">
        <v>10</v>
      </c>
      <c r="D830" s="3" t="s">
        <v>14</v>
      </c>
      <c r="E830" s="3" t="s">
        <v>15</v>
      </c>
      <c r="F830" s="3" t="s">
        <v>16</v>
      </c>
      <c r="G830" s="3" t="s">
        <v>18</v>
      </c>
      <c r="H830" s="3" t="s">
        <v>24</v>
      </c>
    </row>
    <row r="831">
      <c r="A831" s="3" t="s">
        <v>8</v>
      </c>
      <c r="B831" s="3" t="s">
        <v>11</v>
      </c>
      <c r="C831" s="3" t="s">
        <v>12</v>
      </c>
      <c r="D831" s="3" t="s">
        <v>15</v>
      </c>
      <c r="E831" s="3" t="s">
        <v>17</v>
      </c>
    </row>
    <row r="832">
      <c r="A832" s="3" t="s">
        <v>9</v>
      </c>
      <c r="B832" s="3" t="s">
        <v>18</v>
      </c>
    </row>
    <row r="833">
      <c r="A833" s="3" t="s">
        <v>9</v>
      </c>
      <c r="B833" s="3" t="s">
        <v>12</v>
      </c>
      <c r="C833" s="3" t="s">
        <v>13</v>
      </c>
      <c r="D833" s="3" t="s">
        <v>14</v>
      </c>
      <c r="E833" s="3" t="s">
        <v>17</v>
      </c>
      <c r="F833" s="3" t="s">
        <v>18</v>
      </c>
      <c r="G833" s="3" t="s">
        <v>24</v>
      </c>
    </row>
    <row r="834">
      <c r="A834" s="3" t="s">
        <v>9</v>
      </c>
      <c r="B834" s="3" t="s">
        <v>15</v>
      </c>
      <c r="C834" s="3" t="s">
        <v>16</v>
      </c>
      <c r="D834" s="3" t="s">
        <v>17</v>
      </c>
      <c r="E834" s="3" t="s">
        <v>18</v>
      </c>
    </row>
    <row r="835">
      <c r="A835" s="3" t="s">
        <v>9</v>
      </c>
      <c r="B835" s="3" t="s">
        <v>15</v>
      </c>
      <c r="C835" s="3" t="s">
        <v>16</v>
      </c>
      <c r="D835" s="3" t="s">
        <v>17</v>
      </c>
      <c r="E835" s="3" t="s">
        <v>18</v>
      </c>
    </row>
    <row r="836">
      <c r="A836" s="3" t="s">
        <v>9</v>
      </c>
      <c r="B836" s="3" t="s">
        <v>18</v>
      </c>
    </row>
    <row r="837">
      <c r="A837" s="3" t="s">
        <v>9</v>
      </c>
      <c r="B837" s="3" t="s">
        <v>11</v>
      </c>
      <c r="C837" s="3" t="s">
        <v>12</v>
      </c>
      <c r="D837" s="3" t="s">
        <v>18</v>
      </c>
    </row>
    <row r="838">
      <c r="A838" s="3" t="s">
        <v>9</v>
      </c>
      <c r="B838" s="3" t="s">
        <v>13</v>
      </c>
      <c r="C838" s="3" t="s">
        <v>14</v>
      </c>
      <c r="D838" s="3" t="s">
        <v>17</v>
      </c>
      <c r="E838" s="3" t="s">
        <v>18</v>
      </c>
    </row>
    <row r="839">
      <c r="A839" s="3" t="s">
        <v>9</v>
      </c>
      <c r="B839" s="3" t="s">
        <v>13</v>
      </c>
      <c r="C839" s="3" t="s">
        <v>15</v>
      </c>
    </row>
    <row r="840">
      <c r="A840" s="3" t="s">
        <v>9</v>
      </c>
      <c r="B840" s="3" t="s">
        <v>15</v>
      </c>
      <c r="C840" s="3" t="s">
        <v>16</v>
      </c>
      <c r="D840" s="3" t="s">
        <v>18</v>
      </c>
    </row>
    <row r="841">
      <c r="A841" s="3" t="s">
        <v>9</v>
      </c>
      <c r="B841" s="3" t="s">
        <v>14</v>
      </c>
    </row>
    <row r="842">
      <c r="A842" s="3" t="s">
        <v>11</v>
      </c>
      <c r="B842" s="3" t="s">
        <v>12</v>
      </c>
      <c r="C842" s="3" t="s">
        <v>13</v>
      </c>
      <c r="D842" s="3" t="s">
        <v>14</v>
      </c>
      <c r="E842" s="3" t="s">
        <v>15</v>
      </c>
      <c r="F842" s="3" t="s">
        <v>17</v>
      </c>
      <c r="G842" s="3" t="s">
        <v>18</v>
      </c>
    </row>
    <row r="843">
      <c r="A843" s="3" t="s">
        <v>11</v>
      </c>
      <c r="B843" s="3" t="s">
        <v>12</v>
      </c>
      <c r="C843" s="3" t="s">
        <v>15</v>
      </c>
      <c r="D843" s="3" t="s">
        <v>16</v>
      </c>
      <c r="E843" s="3" t="s">
        <v>17</v>
      </c>
      <c r="F843" s="3" t="s">
        <v>18</v>
      </c>
    </row>
    <row r="844">
      <c r="A844" s="3" t="s">
        <v>11</v>
      </c>
      <c r="B844" s="3" t="s">
        <v>12</v>
      </c>
      <c r="C844" s="3" t="s">
        <v>13</v>
      </c>
      <c r="D844" s="3" t="s">
        <v>14</v>
      </c>
      <c r="E844" s="3" t="s">
        <v>17</v>
      </c>
      <c r="F844" s="3" t="s">
        <v>18</v>
      </c>
    </row>
    <row r="845">
      <c r="A845" s="3" t="s">
        <v>11</v>
      </c>
      <c r="B845" s="3" t="s">
        <v>12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18</v>
      </c>
    </row>
    <row r="846">
      <c r="A846" s="3" t="s">
        <v>11</v>
      </c>
      <c r="B846" s="3" t="s">
        <v>13</v>
      </c>
      <c r="C846" s="3" t="s">
        <v>14</v>
      </c>
      <c r="D846" s="3" t="s">
        <v>15</v>
      </c>
    </row>
    <row r="847">
      <c r="A847" s="3" t="s">
        <v>11</v>
      </c>
      <c r="B847" s="3" t="s">
        <v>12</v>
      </c>
      <c r="C847" s="3" t="s">
        <v>13</v>
      </c>
      <c r="D847" s="3" t="s">
        <v>14</v>
      </c>
      <c r="E847" s="3" t="s">
        <v>17</v>
      </c>
      <c r="F847" s="3" t="s">
        <v>18</v>
      </c>
    </row>
    <row r="848">
      <c r="A848" s="3" t="s">
        <v>11</v>
      </c>
      <c r="B848" s="3" t="s">
        <v>12</v>
      </c>
      <c r="C848" s="3" t="s">
        <v>13</v>
      </c>
      <c r="D848" s="3" t="s">
        <v>14</v>
      </c>
      <c r="E848" s="3" t="s">
        <v>17</v>
      </c>
    </row>
    <row r="849">
      <c r="A849" s="3" t="s">
        <v>11</v>
      </c>
      <c r="B849" s="3" t="s">
        <v>12</v>
      </c>
    </row>
    <row r="850">
      <c r="A850" s="3" t="s">
        <v>11</v>
      </c>
      <c r="B850" s="3" t="s">
        <v>12</v>
      </c>
    </row>
    <row r="851">
      <c r="A851" s="3" t="s">
        <v>11</v>
      </c>
      <c r="B851" s="3" t="s">
        <v>12</v>
      </c>
    </row>
    <row r="852">
      <c r="A852" s="3" t="s">
        <v>11</v>
      </c>
      <c r="B852" s="3" t="s">
        <v>12</v>
      </c>
      <c r="C852" s="3" t="s">
        <v>13</v>
      </c>
      <c r="D852" s="3" t="s">
        <v>14</v>
      </c>
      <c r="E852" s="3" t="s">
        <v>15</v>
      </c>
      <c r="F852" s="3" t="s">
        <v>17</v>
      </c>
      <c r="G852" s="3" t="s">
        <v>18</v>
      </c>
    </row>
    <row r="853">
      <c r="A853" s="3" t="s">
        <v>11</v>
      </c>
      <c r="B853" s="3" t="s">
        <v>12</v>
      </c>
      <c r="C853" s="3" t="s">
        <v>13</v>
      </c>
      <c r="D853" s="3" t="s">
        <v>14</v>
      </c>
      <c r="E853" s="3" t="s">
        <v>15</v>
      </c>
      <c r="F853" s="3" t="s">
        <v>16</v>
      </c>
      <c r="G853" s="3" t="s">
        <v>17</v>
      </c>
      <c r="H853" s="3" t="s">
        <v>18</v>
      </c>
    </row>
    <row r="854">
      <c r="A854" s="3" t="s">
        <v>11</v>
      </c>
    </row>
    <row r="855">
      <c r="A855" s="3" t="s">
        <v>11</v>
      </c>
      <c r="B855" s="3" t="s">
        <v>12</v>
      </c>
      <c r="C855" s="3" t="s">
        <v>15</v>
      </c>
      <c r="D855" s="3" t="s">
        <v>16</v>
      </c>
    </row>
    <row r="856">
      <c r="A856" s="3" t="s">
        <v>11</v>
      </c>
      <c r="B856" s="3" t="s">
        <v>13</v>
      </c>
      <c r="C856" s="3" t="s">
        <v>17</v>
      </c>
    </row>
    <row r="857">
      <c r="A857" s="3" t="s">
        <v>11</v>
      </c>
      <c r="B857" s="3" t="s">
        <v>13</v>
      </c>
      <c r="C857" s="3" t="s">
        <v>14</v>
      </c>
    </row>
    <row r="858">
      <c r="A858" s="3" t="s">
        <v>11</v>
      </c>
      <c r="B858" s="3" t="s">
        <v>12</v>
      </c>
      <c r="C858" s="3" t="s">
        <v>13</v>
      </c>
      <c r="D858" s="3" t="s">
        <v>15</v>
      </c>
    </row>
    <row r="859">
      <c r="A859" s="3" t="s">
        <v>12</v>
      </c>
      <c r="B859" s="3" t="s">
        <v>17</v>
      </c>
      <c r="C859" s="3" t="s">
        <v>24</v>
      </c>
    </row>
    <row r="860">
      <c r="A860" s="3" t="s">
        <v>12</v>
      </c>
      <c r="B860" s="3" t="s">
        <v>13</v>
      </c>
      <c r="C860" s="3" t="s">
        <v>14</v>
      </c>
      <c r="D860" s="3" t="s">
        <v>17</v>
      </c>
      <c r="E860" s="3" t="s">
        <v>18</v>
      </c>
    </row>
    <row r="861">
      <c r="A861" s="3" t="s">
        <v>12</v>
      </c>
    </row>
    <row r="862">
      <c r="A862" s="3" t="s">
        <v>13</v>
      </c>
      <c r="B862" s="3" t="s">
        <v>14</v>
      </c>
    </row>
    <row r="863">
      <c r="A863" s="3" t="s">
        <v>13</v>
      </c>
    </row>
    <row r="864">
      <c r="A864" s="3" t="s">
        <v>13</v>
      </c>
      <c r="B864" s="3" t="s">
        <v>14</v>
      </c>
      <c r="C864" s="3" t="s">
        <v>15</v>
      </c>
      <c r="D864" s="3" t="s">
        <v>17</v>
      </c>
    </row>
    <row r="865">
      <c r="A865" s="3" t="s">
        <v>13</v>
      </c>
      <c r="B865" s="3" t="s">
        <v>14</v>
      </c>
    </row>
    <row r="866">
      <c r="A866" s="3" t="s">
        <v>13</v>
      </c>
      <c r="B866" s="3" t="s">
        <v>14</v>
      </c>
    </row>
    <row r="867">
      <c r="A867" s="3" t="s">
        <v>13</v>
      </c>
      <c r="B867" s="3" t="s">
        <v>14</v>
      </c>
      <c r="C867" s="3" t="s">
        <v>15</v>
      </c>
    </row>
    <row r="868">
      <c r="A868" s="3" t="s">
        <v>13</v>
      </c>
      <c r="B868" s="3" t="s">
        <v>14</v>
      </c>
    </row>
    <row r="869">
      <c r="A869" s="3" t="s">
        <v>13</v>
      </c>
      <c r="B869" s="3" t="s">
        <v>14</v>
      </c>
    </row>
    <row r="870">
      <c r="A870" s="3" t="s">
        <v>13</v>
      </c>
      <c r="B870" s="3" t="s">
        <v>14</v>
      </c>
      <c r="C870" s="3" t="s">
        <v>15</v>
      </c>
      <c r="D870" s="3" t="s">
        <v>16</v>
      </c>
    </row>
    <row r="871">
      <c r="A871" s="3" t="s">
        <v>13</v>
      </c>
    </row>
    <row r="872">
      <c r="A872" s="3" t="s">
        <v>13</v>
      </c>
      <c r="B872" s="3" t="s">
        <v>14</v>
      </c>
    </row>
    <row r="873">
      <c r="A873" s="3" t="s">
        <v>13</v>
      </c>
      <c r="B873" s="3" t="s">
        <v>14</v>
      </c>
    </row>
    <row r="874">
      <c r="A874" s="3" t="s">
        <v>13</v>
      </c>
      <c r="B874" s="3" t="s">
        <v>14</v>
      </c>
    </row>
    <row r="875">
      <c r="A875" s="3" t="s">
        <v>13</v>
      </c>
    </row>
    <row r="876">
      <c r="A876" s="3" t="s">
        <v>13</v>
      </c>
      <c r="B876" s="3" t="s">
        <v>14</v>
      </c>
      <c r="C876" s="3" t="s">
        <v>15</v>
      </c>
    </row>
    <row r="877">
      <c r="A877" s="3" t="s">
        <v>14</v>
      </c>
    </row>
    <row r="878">
      <c r="A878" s="3" t="s">
        <v>15</v>
      </c>
    </row>
    <row r="879">
      <c r="A879" s="3" t="s">
        <v>15</v>
      </c>
    </row>
    <row r="880">
      <c r="A880" s="3" t="s">
        <v>15</v>
      </c>
      <c r="B880" s="3" t="s">
        <v>16</v>
      </c>
    </row>
    <row r="881">
      <c r="A881" s="3" t="s">
        <v>15</v>
      </c>
    </row>
    <row r="882">
      <c r="A882" s="3" t="s">
        <v>15</v>
      </c>
    </row>
    <row r="883">
      <c r="A883" s="3" t="s">
        <v>15</v>
      </c>
    </row>
    <row r="884">
      <c r="A884" s="3" t="s">
        <v>15</v>
      </c>
    </row>
    <row r="885">
      <c r="A885" s="3" t="s">
        <v>15</v>
      </c>
      <c r="B885" s="3" t="s">
        <v>16</v>
      </c>
    </row>
    <row r="886">
      <c r="A886" s="3" t="s">
        <v>15</v>
      </c>
    </row>
    <row r="887">
      <c r="A887" s="3" t="s">
        <v>15</v>
      </c>
    </row>
    <row r="888">
      <c r="A888" s="3" t="s">
        <v>16</v>
      </c>
    </row>
    <row r="889">
      <c r="A889" s="3" t="s">
        <v>6</v>
      </c>
      <c r="B889" s="3" t="s">
        <v>7</v>
      </c>
      <c r="C889" s="3" t="s">
        <v>8</v>
      </c>
      <c r="D889" s="3" t="s">
        <v>9</v>
      </c>
      <c r="E889" s="3" t="s">
        <v>15</v>
      </c>
      <c r="F889" s="3" t="s">
        <v>16</v>
      </c>
    </row>
    <row r="890">
      <c r="A890" s="3" t="s">
        <v>6</v>
      </c>
      <c r="B890" s="3" t="s">
        <v>7</v>
      </c>
    </row>
    <row r="891">
      <c r="A891" s="3" t="s">
        <v>6</v>
      </c>
      <c r="B891" s="3" t="s">
        <v>7</v>
      </c>
    </row>
    <row r="892">
      <c r="A892" s="3" t="s">
        <v>6</v>
      </c>
      <c r="B892" s="3" t="s">
        <v>7</v>
      </c>
      <c r="C892" s="3" t="s">
        <v>8</v>
      </c>
    </row>
    <row r="893">
      <c r="A893" s="3" t="s">
        <v>6</v>
      </c>
      <c r="B893" s="3" t="s">
        <v>7</v>
      </c>
      <c r="C893" s="3" t="s">
        <v>11</v>
      </c>
      <c r="D893" s="3" t="s">
        <v>12</v>
      </c>
      <c r="E893" s="3" t="s">
        <v>13</v>
      </c>
      <c r="F893" s="3" t="s">
        <v>15</v>
      </c>
    </row>
    <row r="894">
      <c r="A894" s="3" t="s">
        <v>6</v>
      </c>
      <c r="B894" s="3" t="s">
        <v>7</v>
      </c>
      <c r="C894" s="3" t="s">
        <v>8</v>
      </c>
      <c r="D894" s="3" t="s">
        <v>9</v>
      </c>
      <c r="E894" s="3" t="s">
        <v>12</v>
      </c>
    </row>
    <row r="895">
      <c r="A895" s="3" t="s">
        <v>6</v>
      </c>
      <c r="B895" s="3" t="s">
        <v>7</v>
      </c>
    </row>
    <row r="896">
      <c r="A896" s="3" t="s">
        <v>6</v>
      </c>
      <c r="B896" s="3" t="s">
        <v>7</v>
      </c>
      <c r="C896" s="3" t="s">
        <v>8</v>
      </c>
      <c r="D896" s="3" t="s">
        <v>15</v>
      </c>
      <c r="E896" s="3" t="s">
        <v>17</v>
      </c>
    </row>
    <row r="897">
      <c r="A897" s="3" t="s">
        <v>6</v>
      </c>
      <c r="B897" s="3" t="s">
        <v>7</v>
      </c>
      <c r="C897" s="3" t="s">
        <v>8</v>
      </c>
    </row>
    <row r="898">
      <c r="A898" s="3" t="s">
        <v>6</v>
      </c>
      <c r="B898" s="3" t="s">
        <v>7</v>
      </c>
      <c r="C898" s="3" t="s">
        <v>11</v>
      </c>
    </row>
    <row r="899">
      <c r="A899" s="3" t="s">
        <v>6</v>
      </c>
      <c r="B899" s="3" t="s">
        <v>15</v>
      </c>
    </row>
    <row r="900">
      <c r="A900" s="3" t="s">
        <v>6</v>
      </c>
      <c r="B900" s="3" t="s">
        <v>7</v>
      </c>
      <c r="C900" s="3" t="s">
        <v>8</v>
      </c>
      <c r="D900" s="3" t="s">
        <v>11</v>
      </c>
      <c r="E900" s="3" t="s">
        <v>15</v>
      </c>
    </row>
    <row r="901">
      <c r="A901" s="3" t="s">
        <v>6</v>
      </c>
      <c r="B901" s="3" t="s">
        <v>7</v>
      </c>
      <c r="C901" s="3" t="s">
        <v>15</v>
      </c>
    </row>
    <row r="902">
      <c r="A902" s="3" t="s">
        <v>6</v>
      </c>
      <c r="B902" s="3" t="s">
        <v>7</v>
      </c>
      <c r="C902" s="3" t="s">
        <v>8</v>
      </c>
      <c r="D902" s="3" t="s">
        <v>15</v>
      </c>
      <c r="E902" s="3" t="s">
        <v>16</v>
      </c>
      <c r="F902" s="3" t="s">
        <v>17</v>
      </c>
    </row>
    <row r="903">
      <c r="A903" s="3" t="s">
        <v>6</v>
      </c>
      <c r="B903" s="3" t="s">
        <v>7</v>
      </c>
    </row>
    <row r="904">
      <c r="A904" s="3" t="s">
        <v>6</v>
      </c>
    </row>
    <row r="905">
      <c r="A905" s="3" t="s">
        <v>6</v>
      </c>
      <c r="B905" s="3" t="s">
        <v>13</v>
      </c>
      <c r="C905" s="3" t="s">
        <v>15</v>
      </c>
      <c r="D905" s="3" t="s">
        <v>17</v>
      </c>
    </row>
    <row r="906">
      <c r="A906" s="3" t="s">
        <v>6</v>
      </c>
      <c r="B906" s="3" t="s">
        <v>7</v>
      </c>
      <c r="C906" s="3" t="s">
        <v>8</v>
      </c>
    </row>
    <row r="907">
      <c r="A907" s="3" t="s">
        <v>6</v>
      </c>
      <c r="B907" s="3" t="s">
        <v>7</v>
      </c>
      <c r="C907" s="3" t="s">
        <v>8</v>
      </c>
      <c r="D907" s="3" t="s">
        <v>11</v>
      </c>
    </row>
    <row r="908">
      <c r="A908" s="3" t="s">
        <v>6</v>
      </c>
      <c r="B908" s="3" t="s">
        <v>7</v>
      </c>
      <c r="C908" s="3" t="s">
        <v>15</v>
      </c>
      <c r="D908" s="3" t="s">
        <v>16</v>
      </c>
    </row>
    <row r="909">
      <c r="A909" s="3" t="s">
        <v>6</v>
      </c>
      <c r="B909" s="3" t="s">
        <v>7</v>
      </c>
      <c r="C909" s="3" t="s">
        <v>8</v>
      </c>
      <c r="D909" s="3" t="s">
        <v>15</v>
      </c>
      <c r="E909" s="3" t="s">
        <v>16</v>
      </c>
    </row>
    <row r="910">
      <c r="A910" s="3" t="s">
        <v>6</v>
      </c>
      <c r="B910" s="3" t="s">
        <v>7</v>
      </c>
      <c r="C910" s="3" t="s">
        <v>8</v>
      </c>
      <c r="D910" s="3" t="s">
        <v>15</v>
      </c>
      <c r="E910" s="3" t="s">
        <v>16</v>
      </c>
    </row>
    <row r="911">
      <c r="A911" s="3" t="s">
        <v>6</v>
      </c>
      <c r="B911" s="3" t="s">
        <v>7</v>
      </c>
      <c r="C911" s="3" t="s">
        <v>13</v>
      </c>
      <c r="D911" s="3" t="s">
        <v>24</v>
      </c>
    </row>
    <row r="912">
      <c r="A912" s="3" t="s">
        <v>6</v>
      </c>
      <c r="B912" s="3" t="s">
        <v>15</v>
      </c>
    </row>
    <row r="913">
      <c r="A913" s="3" t="s">
        <v>6</v>
      </c>
      <c r="B913" s="3" t="s">
        <v>7</v>
      </c>
    </row>
    <row r="914">
      <c r="A914" s="3" t="s">
        <v>6</v>
      </c>
      <c r="B914" s="3" t="s">
        <v>7</v>
      </c>
      <c r="C914" s="3" t="s">
        <v>8</v>
      </c>
      <c r="D914" s="3" t="s">
        <v>11</v>
      </c>
      <c r="E914" s="3" t="s">
        <v>15</v>
      </c>
    </row>
    <row r="915">
      <c r="A915" s="3" t="s">
        <v>6</v>
      </c>
      <c r="B915" s="3" t="s">
        <v>7</v>
      </c>
      <c r="C915" s="3" t="s">
        <v>8</v>
      </c>
      <c r="D915" s="3" t="s">
        <v>15</v>
      </c>
    </row>
    <row r="916">
      <c r="A916" s="3" t="s">
        <v>6</v>
      </c>
      <c r="B916" s="3" t="s">
        <v>7</v>
      </c>
      <c r="C916" s="3" t="s">
        <v>15</v>
      </c>
    </row>
    <row r="917">
      <c r="A917" s="3" t="s">
        <v>6</v>
      </c>
      <c r="B917" s="3" t="s">
        <v>7</v>
      </c>
      <c r="C917" s="3" t="s">
        <v>11</v>
      </c>
      <c r="D917" s="3" t="s">
        <v>15</v>
      </c>
    </row>
    <row r="918">
      <c r="A918" s="3" t="s">
        <v>6</v>
      </c>
      <c r="B918" s="3" t="s">
        <v>7</v>
      </c>
      <c r="C918" s="3" t="s">
        <v>11</v>
      </c>
      <c r="D918" s="3" t="s">
        <v>12</v>
      </c>
    </row>
    <row r="919">
      <c r="A919" s="3" t="s">
        <v>6</v>
      </c>
      <c r="B919" s="3" t="s">
        <v>7</v>
      </c>
      <c r="C919" s="3" t="s">
        <v>8</v>
      </c>
      <c r="D919" s="3" t="s">
        <v>15</v>
      </c>
    </row>
    <row r="920">
      <c r="A920" s="3" t="s">
        <v>6</v>
      </c>
      <c r="B920" s="3" t="s">
        <v>7</v>
      </c>
      <c r="C920" s="3" t="s">
        <v>11</v>
      </c>
      <c r="D920" s="3" t="s">
        <v>13</v>
      </c>
      <c r="E920" s="3" t="s">
        <v>14</v>
      </c>
      <c r="F920" s="3" t="s">
        <v>15</v>
      </c>
    </row>
    <row r="921">
      <c r="A921" s="3" t="s">
        <v>6</v>
      </c>
      <c r="B921" s="3" t="s">
        <v>7</v>
      </c>
      <c r="C921" s="3" t="s">
        <v>11</v>
      </c>
    </row>
    <row r="922">
      <c r="A922" s="3" t="s">
        <v>6</v>
      </c>
      <c r="B922" s="3" t="s">
        <v>7</v>
      </c>
      <c r="C922" s="3" t="s">
        <v>8</v>
      </c>
      <c r="D922" s="3" t="s">
        <v>9</v>
      </c>
      <c r="E922" s="3" t="s">
        <v>12</v>
      </c>
      <c r="F922" s="3" t="s">
        <v>15</v>
      </c>
    </row>
    <row r="923">
      <c r="A923" s="3" t="s">
        <v>6</v>
      </c>
      <c r="B923" s="3" t="s">
        <v>8</v>
      </c>
    </row>
    <row r="924">
      <c r="A924" s="3" t="s">
        <v>6</v>
      </c>
      <c r="B924" s="3" t="s">
        <v>7</v>
      </c>
      <c r="C924" s="3" t="s">
        <v>8</v>
      </c>
      <c r="D924" s="3" t="s">
        <v>13</v>
      </c>
      <c r="E924" s="3" t="s">
        <v>14</v>
      </c>
      <c r="F924" s="3" t="s">
        <v>18</v>
      </c>
    </row>
    <row r="925">
      <c r="A925" s="3" t="s">
        <v>6</v>
      </c>
      <c r="B925" s="3" t="s">
        <v>7</v>
      </c>
    </row>
    <row r="926">
      <c r="A926" s="3" t="s">
        <v>6</v>
      </c>
    </row>
    <row r="927">
      <c r="A927" s="3" t="s">
        <v>6</v>
      </c>
      <c r="B927" s="3" t="s">
        <v>15</v>
      </c>
    </row>
    <row r="928">
      <c r="A928" s="3" t="s">
        <v>6</v>
      </c>
      <c r="B928" s="3" t="s">
        <v>13</v>
      </c>
      <c r="C928" s="3" t="s">
        <v>14</v>
      </c>
      <c r="D928" s="3" t="s">
        <v>17</v>
      </c>
      <c r="E928" s="3" t="s">
        <v>18</v>
      </c>
    </row>
    <row r="929">
      <c r="A929" s="3" t="s">
        <v>6</v>
      </c>
      <c r="B929" s="3" t="s">
        <v>13</v>
      </c>
      <c r="C929" s="3" t="s">
        <v>14</v>
      </c>
      <c r="D929" s="3" t="s">
        <v>15</v>
      </c>
      <c r="E929" s="3" t="s">
        <v>17</v>
      </c>
    </row>
    <row r="930">
      <c r="A930" s="3" t="s">
        <v>6</v>
      </c>
      <c r="B930" s="3" t="s">
        <v>7</v>
      </c>
      <c r="C930" s="3" t="s">
        <v>11</v>
      </c>
      <c r="D930" s="3" t="s">
        <v>12</v>
      </c>
    </row>
    <row r="931">
      <c r="A931" s="3" t="s">
        <v>6</v>
      </c>
      <c r="B931" s="3" t="s">
        <v>7</v>
      </c>
      <c r="C931" s="3" t="s">
        <v>13</v>
      </c>
      <c r="D931" s="3" t="s">
        <v>15</v>
      </c>
    </row>
    <row r="932">
      <c r="A932" s="3" t="s">
        <v>6</v>
      </c>
      <c r="B932" s="3" t="s">
        <v>7</v>
      </c>
      <c r="C932" s="3" t="s">
        <v>8</v>
      </c>
      <c r="D932" s="3" t="s">
        <v>13</v>
      </c>
      <c r="E932" s="3" t="s">
        <v>17</v>
      </c>
    </row>
    <row r="933">
      <c r="A933" s="3" t="s">
        <v>6</v>
      </c>
      <c r="B933" s="3" t="s">
        <v>13</v>
      </c>
      <c r="C933" s="3" t="s">
        <v>14</v>
      </c>
    </row>
    <row r="934">
      <c r="A934" s="3" t="s">
        <v>6</v>
      </c>
      <c r="B934" s="3" t="s">
        <v>7</v>
      </c>
      <c r="C934" s="3" t="s">
        <v>8</v>
      </c>
    </row>
    <row r="935">
      <c r="A935" s="3" t="s">
        <v>6</v>
      </c>
      <c r="B935" s="3" t="s">
        <v>7</v>
      </c>
      <c r="C935" s="3" t="s">
        <v>8</v>
      </c>
      <c r="D935" s="3" t="s">
        <v>15</v>
      </c>
    </row>
    <row r="936">
      <c r="A936" s="3" t="s">
        <v>6</v>
      </c>
      <c r="B936" s="3" t="s">
        <v>15</v>
      </c>
      <c r="C936" s="3" t="s">
        <v>16</v>
      </c>
      <c r="D936" s="3" t="s">
        <v>17</v>
      </c>
      <c r="E936" s="3" t="s">
        <v>18</v>
      </c>
    </row>
    <row r="937">
      <c r="A937" s="3" t="s">
        <v>6</v>
      </c>
      <c r="B937" s="3" t="s">
        <v>7</v>
      </c>
      <c r="C937" s="3" t="s">
        <v>8</v>
      </c>
      <c r="D937" s="3" t="s">
        <v>13</v>
      </c>
      <c r="E937" s="3" t="s">
        <v>14</v>
      </c>
      <c r="F937" s="3" t="s">
        <v>17</v>
      </c>
    </row>
    <row r="938">
      <c r="A938" s="3" t="s">
        <v>6</v>
      </c>
      <c r="B938" s="3" t="s">
        <v>7</v>
      </c>
    </row>
    <row r="939">
      <c r="A939" s="3" t="s">
        <v>6</v>
      </c>
      <c r="B939" s="3" t="s">
        <v>14</v>
      </c>
    </row>
    <row r="940">
      <c r="A940" s="3" t="s">
        <v>6</v>
      </c>
      <c r="B940" s="3" t="s">
        <v>15</v>
      </c>
    </row>
    <row r="941">
      <c r="A941" s="3" t="s">
        <v>6</v>
      </c>
      <c r="B941" s="3" t="s">
        <v>14</v>
      </c>
      <c r="C941" s="3" t="s">
        <v>16</v>
      </c>
      <c r="D941" s="3" t="s">
        <v>18</v>
      </c>
    </row>
    <row r="942">
      <c r="A942" s="3" t="s">
        <v>6</v>
      </c>
      <c r="B942" s="3" t="s">
        <v>7</v>
      </c>
      <c r="C942" s="3" t="s">
        <v>8</v>
      </c>
      <c r="D942" s="3" t="s">
        <v>9</v>
      </c>
      <c r="E942" s="3" t="s">
        <v>13</v>
      </c>
      <c r="F942" s="3" t="s">
        <v>15</v>
      </c>
    </row>
    <row r="943">
      <c r="A943" s="3" t="s">
        <v>6</v>
      </c>
      <c r="B943" s="3" t="s">
        <v>7</v>
      </c>
      <c r="C943" s="3" t="s">
        <v>13</v>
      </c>
      <c r="D943" s="3" t="s">
        <v>14</v>
      </c>
      <c r="E943" s="3" t="s">
        <v>15</v>
      </c>
    </row>
    <row r="944">
      <c r="A944" s="3" t="s">
        <v>6</v>
      </c>
      <c r="B944" s="3" t="s">
        <v>7</v>
      </c>
      <c r="C944" s="3" t="s">
        <v>8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3" t="s">
        <v>10</v>
      </c>
      <c r="F945" s="3" t="s">
        <v>24</v>
      </c>
    </row>
    <row r="946">
      <c r="A946" s="3" t="s">
        <v>6</v>
      </c>
      <c r="B946" s="3" t="s">
        <v>7</v>
      </c>
      <c r="C946" s="3" t="s">
        <v>8</v>
      </c>
      <c r="D946" s="3" t="s">
        <v>9</v>
      </c>
      <c r="E946" s="3" t="s">
        <v>15</v>
      </c>
    </row>
    <row r="947">
      <c r="A947" s="3" t="s">
        <v>6</v>
      </c>
    </row>
    <row r="948">
      <c r="A948" s="3" t="s">
        <v>6</v>
      </c>
      <c r="B948" s="3" t="s">
        <v>7</v>
      </c>
      <c r="C948" s="3" t="s">
        <v>15</v>
      </c>
    </row>
    <row r="949">
      <c r="A949" s="3" t="s">
        <v>6</v>
      </c>
      <c r="B949" s="3" t="s">
        <v>7</v>
      </c>
      <c r="C949" s="3" t="s">
        <v>11</v>
      </c>
      <c r="D949" s="3" t="s">
        <v>12</v>
      </c>
    </row>
    <row r="950">
      <c r="A950" s="3" t="s">
        <v>6</v>
      </c>
      <c r="B950" s="3" t="s">
        <v>7</v>
      </c>
      <c r="C950" s="3" t="s">
        <v>8</v>
      </c>
      <c r="D950" s="3" t="s">
        <v>15</v>
      </c>
      <c r="E950" s="3" t="s">
        <v>16</v>
      </c>
      <c r="F950" s="3" t="s">
        <v>17</v>
      </c>
    </row>
    <row r="951">
      <c r="A951" s="3" t="s">
        <v>6</v>
      </c>
    </row>
    <row r="952">
      <c r="A952" s="3" t="s">
        <v>6</v>
      </c>
      <c r="B952" s="3" t="s">
        <v>7</v>
      </c>
    </row>
    <row r="953">
      <c r="A953" s="3" t="s">
        <v>6</v>
      </c>
      <c r="B953" s="3" t="s">
        <v>7</v>
      </c>
    </row>
    <row r="954">
      <c r="A954" s="3" t="s">
        <v>6</v>
      </c>
      <c r="B954" s="3" t="s">
        <v>7</v>
      </c>
      <c r="C954" s="3" t="s">
        <v>13</v>
      </c>
      <c r="D954" s="3" t="s">
        <v>14</v>
      </c>
      <c r="E954" s="3" t="s">
        <v>15</v>
      </c>
    </row>
    <row r="955">
      <c r="A955" s="3" t="s">
        <v>6</v>
      </c>
      <c r="B955" s="3" t="s">
        <v>7</v>
      </c>
      <c r="C955" s="3" t="s">
        <v>8</v>
      </c>
      <c r="D955" s="3" t="s">
        <v>15</v>
      </c>
      <c r="E955" s="3" t="s">
        <v>16</v>
      </c>
      <c r="F955" s="3" t="s">
        <v>17</v>
      </c>
    </row>
    <row r="956">
      <c r="A956" s="3" t="s">
        <v>6</v>
      </c>
      <c r="B956" s="3" t="s">
        <v>7</v>
      </c>
    </row>
    <row r="957">
      <c r="A957" s="3" t="s">
        <v>6</v>
      </c>
      <c r="B957" s="3" t="s">
        <v>7</v>
      </c>
    </row>
    <row r="958">
      <c r="A958" s="3" t="s">
        <v>6</v>
      </c>
      <c r="B958" s="3" t="s">
        <v>11</v>
      </c>
      <c r="C958" s="3" t="s">
        <v>15</v>
      </c>
      <c r="D958" s="3" t="s">
        <v>17</v>
      </c>
    </row>
    <row r="959">
      <c r="A959" s="3" t="s">
        <v>6</v>
      </c>
      <c r="B959" s="3" t="s">
        <v>7</v>
      </c>
      <c r="C959" s="3" t="s">
        <v>8</v>
      </c>
      <c r="D959" s="3" t="s">
        <v>15</v>
      </c>
    </row>
    <row r="960">
      <c r="A960" s="3" t="s">
        <v>6</v>
      </c>
      <c r="B960" s="3" t="s">
        <v>13</v>
      </c>
      <c r="C960" s="3" t="s">
        <v>14</v>
      </c>
    </row>
    <row r="961">
      <c r="A961" s="3" t="s">
        <v>6</v>
      </c>
      <c r="B961" s="3" t="s">
        <v>7</v>
      </c>
      <c r="C961" s="3" t="s">
        <v>11</v>
      </c>
      <c r="D961" s="3" t="s">
        <v>12</v>
      </c>
    </row>
    <row r="962">
      <c r="A962" s="3" t="s">
        <v>6</v>
      </c>
      <c r="B962" s="3" t="s">
        <v>7</v>
      </c>
      <c r="C962" s="3" t="s">
        <v>13</v>
      </c>
      <c r="D962" s="3" t="s">
        <v>14</v>
      </c>
      <c r="E962" s="3" t="s">
        <v>15</v>
      </c>
      <c r="F962" s="3" t="s">
        <v>17</v>
      </c>
    </row>
    <row r="963">
      <c r="A963" s="3" t="s">
        <v>6</v>
      </c>
      <c r="B963" s="3" t="s">
        <v>7</v>
      </c>
      <c r="C963" s="3" t="s">
        <v>11</v>
      </c>
      <c r="D963" s="3" t="s">
        <v>15</v>
      </c>
    </row>
    <row r="964">
      <c r="A964" s="3" t="s">
        <v>6</v>
      </c>
      <c r="B964" s="3" t="s">
        <v>7</v>
      </c>
    </row>
    <row r="965">
      <c r="A965" s="3" t="s">
        <v>6</v>
      </c>
      <c r="B965" s="3" t="s">
        <v>13</v>
      </c>
    </row>
    <row r="966">
      <c r="A966" s="3" t="s">
        <v>6</v>
      </c>
      <c r="B966" s="3" t="s">
        <v>7</v>
      </c>
      <c r="C966" s="3" t="s">
        <v>15</v>
      </c>
      <c r="D966" s="3" t="s">
        <v>16</v>
      </c>
    </row>
    <row r="967">
      <c r="A967" s="3" t="s">
        <v>6</v>
      </c>
      <c r="B967" s="3" t="s">
        <v>7</v>
      </c>
      <c r="C967" s="3" t="s">
        <v>12</v>
      </c>
      <c r="D967" s="3" t="s">
        <v>14</v>
      </c>
      <c r="E967" s="3" t="s">
        <v>15</v>
      </c>
      <c r="F967" s="3" t="s">
        <v>17</v>
      </c>
    </row>
    <row r="968">
      <c r="A968" s="3" t="s">
        <v>6</v>
      </c>
      <c r="B968" s="3" t="s">
        <v>8</v>
      </c>
      <c r="C968" s="3" t="s">
        <v>9</v>
      </c>
    </row>
    <row r="969">
      <c r="A969" s="3" t="s">
        <v>6</v>
      </c>
      <c r="B969" s="3" t="s">
        <v>7</v>
      </c>
      <c r="C969" s="3" t="s">
        <v>9</v>
      </c>
      <c r="D969" s="3" t="s">
        <v>13</v>
      </c>
      <c r="E969" s="3" t="s">
        <v>14</v>
      </c>
      <c r="F969" s="3" t="s">
        <v>15</v>
      </c>
    </row>
    <row r="970">
      <c r="A970" s="3" t="s">
        <v>6</v>
      </c>
      <c r="B970" s="3" t="s">
        <v>8</v>
      </c>
      <c r="C970" s="3" t="s">
        <v>9</v>
      </c>
      <c r="D970" s="3" t="s">
        <v>15</v>
      </c>
      <c r="E970" s="3" t="s">
        <v>24</v>
      </c>
    </row>
    <row r="971">
      <c r="A971" s="3" t="s">
        <v>6</v>
      </c>
    </row>
    <row r="972">
      <c r="A972" s="3" t="s">
        <v>6</v>
      </c>
      <c r="B972" s="3" t="s">
        <v>13</v>
      </c>
      <c r="C972" s="3" t="s">
        <v>14</v>
      </c>
    </row>
    <row r="973">
      <c r="A973" s="3" t="s">
        <v>6</v>
      </c>
    </row>
    <row r="974">
      <c r="A974" s="3" t="s">
        <v>6</v>
      </c>
      <c r="B974" s="3" t="s">
        <v>7</v>
      </c>
      <c r="C974" s="3" t="s">
        <v>15</v>
      </c>
    </row>
    <row r="975">
      <c r="A975" s="3" t="s">
        <v>6</v>
      </c>
      <c r="B975" s="3" t="s">
        <v>7</v>
      </c>
      <c r="C975" s="3" t="s">
        <v>13</v>
      </c>
      <c r="D975" s="3" t="s">
        <v>14</v>
      </c>
      <c r="E975" s="3" t="s">
        <v>15</v>
      </c>
      <c r="F975" s="3" t="s">
        <v>17</v>
      </c>
      <c r="G975" s="3" t="s">
        <v>18</v>
      </c>
    </row>
    <row r="976">
      <c r="A976" s="3" t="s">
        <v>6</v>
      </c>
      <c r="B976" s="3" t="s">
        <v>15</v>
      </c>
    </row>
    <row r="977">
      <c r="A977" s="3" t="s">
        <v>6</v>
      </c>
      <c r="B977" s="3" t="s">
        <v>7</v>
      </c>
    </row>
    <row r="978">
      <c r="A978" s="3" t="s">
        <v>6</v>
      </c>
      <c r="B978" s="3" t="s">
        <v>13</v>
      </c>
      <c r="C978" s="3" t="s">
        <v>17</v>
      </c>
      <c r="D978" s="3" t="s">
        <v>18</v>
      </c>
    </row>
    <row r="979">
      <c r="A979" s="3" t="s">
        <v>6</v>
      </c>
    </row>
    <row r="980">
      <c r="A980" s="3" t="s">
        <v>6</v>
      </c>
      <c r="B980" s="3" t="s">
        <v>7</v>
      </c>
      <c r="C980" s="3" t="s">
        <v>8</v>
      </c>
      <c r="D980" s="3" t="s">
        <v>9</v>
      </c>
      <c r="E980" s="3" t="s">
        <v>11</v>
      </c>
      <c r="F980" s="3" t="s">
        <v>12</v>
      </c>
    </row>
    <row r="981">
      <c r="A981" s="3" t="s">
        <v>6</v>
      </c>
      <c r="B981" s="3" t="s">
        <v>8</v>
      </c>
      <c r="C981" s="3" t="s">
        <v>11</v>
      </c>
      <c r="D981" s="3" t="s">
        <v>12</v>
      </c>
      <c r="E981" s="3" t="s">
        <v>15</v>
      </c>
      <c r="F981" s="3" t="s">
        <v>16</v>
      </c>
    </row>
    <row r="982">
      <c r="A982" s="3" t="s">
        <v>6</v>
      </c>
    </row>
    <row r="983">
      <c r="A983" s="3" t="s">
        <v>6</v>
      </c>
      <c r="B983" s="3" t="s">
        <v>8</v>
      </c>
      <c r="C983" s="3" t="s">
        <v>11</v>
      </c>
      <c r="D983" s="3" t="s">
        <v>12</v>
      </c>
      <c r="E983" s="3" t="s">
        <v>15</v>
      </c>
    </row>
    <row r="984">
      <c r="A984" s="3" t="s">
        <v>6</v>
      </c>
      <c r="B984" s="3" t="s">
        <v>13</v>
      </c>
    </row>
    <row r="985">
      <c r="A985" s="3" t="s">
        <v>609</v>
      </c>
    </row>
    <row r="986">
      <c r="A986" s="3" t="s">
        <v>7</v>
      </c>
      <c r="B986" s="3" t="s">
        <v>8</v>
      </c>
    </row>
    <row r="987">
      <c r="A987" s="3" t="s">
        <v>7</v>
      </c>
      <c r="B987" s="3" t="s">
        <v>8</v>
      </c>
      <c r="C987" s="3" t="s">
        <v>9</v>
      </c>
      <c r="D987" s="3" t="s">
        <v>11</v>
      </c>
      <c r="E987" s="3" t="s">
        <v>12</v>
      </c>
      <c r="F987" s="3" t="s">
        <v>18</v>
      </c>
    </row>
    <row r="988">
      <c r="A988" s="3" t="s">
        <v>7</v>
      </c>
      <c r="B988" s="3" t="s">
        <v>11</v>
      </c>
      <c r="C988" s="3" t="s">
        <v>15</v>
      </c>
    </row>
    <row r="989">
      <c r="A989" s="3" t="s">
        <v>7</v>
      </c>
      <c r="B989" s="3" t="s">
        <v>12</v>
      </c>
      <c r="C989" s="3" t="s">
        <v>17</v>
      </c>
    </row>
    <row r="990">
      <c r="A990" s="3" t="s">
        <v>7</v>
      </c>
      <c r="B990" s="3" t="s">
        <v>17</v>
      </c>
    </row>
    <row r="991">
      <c r="A991" s="3" t="s">
        <v>7</v>
      </c>
      <c r="B991" s="3" t="s">
        <v>8</v>
      </c>
      <c r="C991" s="3" t="s">
        <v>9</v>
      </c>
      <c r="D991" s="3" t="s">
        <v>15</v>
      </c>
      <c r="E991" s="3" t="s">
        <v>16</v>
      </c>
    </row>
    <row r="992">
      <c r="A992" s="3" t="s">
        <v>7</v>
      </c>
      <c r="B992" s="3" t="s">
        <v>8</v>
      </c>
      <c r="C992" s="3" t="s">
        <v>9</v>
      </c>
      <c r="D992" s="3" t="s">
        <v>17</v>
      </c>
      <c r="E992" s="3" t="s">
        <v>18</v>
      </c>
      <c r="F992" s="3" t="s">
        <v>24</v>
      </c>
    </row>
    <row r="993">
      <c r="A993" s="3" t="s">
        <v>7</v>
      </c>
      <c r="B993" s="3" t="s">
        <v>8</v>
      </c>
      <c r="C993" s="3" t="s">
        <v>9</v>
      </c>
      <c r="D993" s="3" t="s">
        <v>12</v>
      </c>
      <c r="E993" s="3" t="s">
        <v>17</v>
      </c>
      <c r="F993" s="3" t="s">
        <v>18</v>
      </c>
    </row>
    <row r="994">
      <c r="A994" s="3" t="s">
        <v>7</v>
      </c>
      <c r="B994" s="3" t="s">
        <v>11</v>
      </c>
      <c r="C994" s="3" t="s">
        <v>12</v>
      </c>
      <c r="D994" s="3" t="s">
        <v>13</v>
      </c>
      <c r="E994" s="3" t="s">
        <v>15</v>
      </c>
      <c r="F994" s="3" t="s">
        <v>17</v>
      </c>
    </row>
    <row r="995">
      <c r="A995" s="3" t="s">
        <v>7</v>
      </c>
      <c r="B995" s="3" t="s">
        <v>8</v>
      </c>
    </row>
    <row r="996">
      <c r="A996" s="3" t="s">
        <v>7</v>
      </c>
      <c r="B996" s="3" t="s">
        <v>8</v>
      </c>
      <c r="C996" s="3" t="s">
        <v>11</v>
      </c>
      <c r="D996" s="3" t="s">
        <v>12</v>
      </c>
      <c r="E996" s="3" t="s">
        <v>17</v>
      </c>
      <c r="F996" s="3" t="s">
        <v>18</v>
      </c>
    </row>
    <row r="997">
      <c r="A997" s="3" t="s">
        <v>7</v>
      </c>
      <c r="B997" s="3" t="s">
        <v>8</v>
      </c>
    </row>
    <row r="998">
      <c r="A998" s="3" t="s">
        <v>7</v>
      </c>
      <c r="B998" s="3" t="s">
        <v>8</v>
      </c>
      <c r="C998" s="3" t="s">
        <v>9</v>
      </c>
      <c r="D998" s="3" t="s">
        <v>10</v>
      </c>
      <c r="E998" s="3" t="s">
        <v>17</v>
      </c>
      <c r="F998" s="3" t="s">
        <v>24</v>
      </c>
    </row>
    <row r="999">
      <c r="A999" s="3" t="s">
        <v>7</v>
      </c>
      <c r="B999" s="3" t="s">
        <v>8</v>
      </c>
      <c r="C999" s="3" t="s">
        <v>11</v>
      </c>
      <c r="D999" s="3" t="s">
        <v>15</v>
      </c>
      <c r="E999" s="3" t="s">
        <v>16</v>
      </c>
    </row>
    <row r="1000">
      <c r="A1000" s="3" t="s">
        <v>7</v>
      </c>
    </row>
    <row r="1001">
      <c r="A1001" s="3" t="s">
        <v>7</v>
      </c>
    </row>
    <row r="1002">
      <c r="A1002" s="3" t="s">
        <v>7</v>
      </c>
      <c r="B1002" s="3" t="s">
        <v>8</v>
      </c>
      <c r="C1002" s="3" t="s">
        <v>12</v>
      </c>
      <c r="D1002" s="3" t="s">
        <v>14</v>
      </c>
      <c r="E1002" s="3" t="s">
        <v>15</v>
      </c>
      <c r="F1002" s="3" t="s">
        <v>18</v>
      </c>
    </row>
    <row r="1003">
      <c r="A1003" s="3" t="s">
        <v>7</v>
      </c>
      <c r="B1003" s="3" t="s">
        <v>15</v>
      </c>
    </row>
    <row r="1004">
      <c r="A1004" s="3" t="s">
        <v>7</v>
      </c>
      <c r="B1004" s="3" t="s">
        <v>8</v>
      </c>
      <c r="C1004" s="3" t="s">
        <v>11</v>
      </c>
      <c r="D1004" s="3" t="s">
        <v>12</v>
      </c>
    </row>
    <row r="1005">
      <c r="A1005" s="3" t="s">
        <v>7</v>
      </c>
      <c r="B1005" s="3" t="s">
        <v>14</v>
      </c>
      <c r="C1005" s="3" t="s">
        <v>17</v>
      </c>
    </row>
    <row r="1006">
      <c r="A1006" s="3" t="s">
        <v>7</v>
      </c>
      <c r="B1006" s="3" t="s">
        <v>8</v>
      </c>
      <c r="C1006" s="3" t="s">
        <v>11</v>
      </c>
      <c r="D1006" s="3" t="s">
        <v>12</v>
      </c>
      <c r="E1006" s="3" t="s">
        <v>17</v>
      </c>
      <c r="F1006" s="3" t="s">
        <v>18</v>
      </c>
    </row>
    <row r="1007">
      <c r="A1007" s="3" t="s">
        <v>7</v>
      </c>
      <c r="B1007" s="3" t="s">
        <v>9</v>
      </c>
      <c r="C1007" s="3" t="s">
        <v>11</v>
      </c>
      <c r="D1007" s="3" t="s">
        <v>12</v>
      </c>
      <c r="E1007" s="3" t="s">
        <v>15</v>
      </c>
    </row>
    <row r="1008">
      <c r="A1008" s="3" t="s">
        <v>7</v>
      </c>
      <c r="B1008" s="3" t="s">
        <v>13</v>
      </c>
      <c r="C1008" s="3" t="s">
        <v>14</v>
      </c>
    </row>
    <row r="1009">
      <c r="A1009" s="3" t="s">
        <v>7</v>
      </c>
    </row>
    <row r="1010">
      <c r="A1010" s="3" t="s">
        <v>7</v>
      </c>
      <c r="B1010" s="3" t="s">
        <v>9</v>
      </c>
      <c r="C1010" s="3" t="s">
        <v>11</v>
      </c>
      <c r="D1010" s="3" t="s">
        <v>12</v>
      </c>
    </row>
    <row r="1011">
      <c r="A1011" s="3" t="s">
        <v>7</v>
      </c>
      <c r="B1011" s="3" t="s">
        <v>8</v>
      </c>
      <c r="C1011" s="3" t="s">
        <v>15</v>
      </c>
      <c r="D1011" s="3" t="s">
        <v>16</v>
      </c>
    </row>
    <row r="1012">
      <c r="A1012" s="3" t="s">
        <v>7</v>
      </c>
      <c r="B1012" s="3" t="s">
        <v>8</v>
      </c>
    </row>
    <row r="1013">
      <c r="A1013" s="3" t="s">
        <v>7</v>
      </c>
      <c r="B1013" s="3" t="s">
        <v>14</v>
      </c>
    </row>
    <row r="1014">
      <c r="A1014" s="3" t="s">
        <v>8</v>
      </c>
      <c r="B1014" s="3" t="s">
        <v>9</v>
      </c>
      <c r="C1014" s="3" t="s">
        <v>12</v>
      </c>
      <c r="D1014" s="3" t="s">
        <v>16</v>
      </c>
      <c r="E1014" s="3" t="s">
        <v>17</v>
      </c>
      <c r="F1014" s="3" t="s">
        <v>18</v>
      </c>
    </row>
    <row r="1015">
      <c r="A1015" s="3" t="s">
        <v>8</v>
      </c>
      <c r="B1015" s="3" t="s">
        <v>24</v>
      </c>
    </row>
    <row r="1016">
      <c r="A1016" s="3" t="s">
        <v>8</v>
      </c>
      <c r="B1016" s="3" t="s">
        <v>9</v>
      </c>
      <c r="C1016" s="3" t="s">
        <v>10</v>
      </c>
      <c r="D1016" s="3" t="s">
        <v>15</v>
      </c>
      <c r="E1016" s="3" t="s">
        <v>16</v>
      </c>
      <c r="F1016" s="3" t="s">
        <v>24</v>
      </c>
    </row>
    <row r="1017">
      <c r="A1017" s="3" t="s">
        <v>8</v>
      </c>
      <c r="B1017" s="3" t="s">
        <v>9</v>
      </c>
      <c r="C1017" s="3" t="s">
        <v>11</v>
      </c>
      <c r="D1017" s="3" t="s">
        <v>15</v>
      </c>
      <c r="E1017" s="3" t="s">
        <v>17</v>
      </c>
    </row>
    <row r="1018">
      <c r="A1018" s="3" t="s">
        <v>8</v>
      </c>
      <c r="B1018" s="3" t="s">
        <v>9</v>
      </c>
      <c r="C1018" s="3" t="s">
        <v>10</v>
      </c>
      <c r="D1018" s="3" t="s">
        <v>16</v>
      </c>
      <c r="E1018" s="3" t="s">
        <v>18</v>
      </c>
      <c r="F1018" s="3" t="s">
        <v>24</v>
      </c>
    </row>
    <row r="1019">
      <c r="A1019" s="3" t="s">
        <v>8</v>
      </c>
      <c r="B1019" s="3" t="s">
        <v>9</v>
      </c>
      <c r="C1019" s="3" t="s">
        <v>11</v>
      </c>
      <c r="D1019" s="3" t="s">
        <v>15</v>
      </c>
      <c r="E1019" s="3" t="s">
        <v>16</v>
      </c>
      <c r="F1019" s="3" t="s">
        <v>24</v>
      </c>
    </row>
    <row r="1020">
      <c r="A1020" s="3" t="s">
        <v>8</v>
      </c>
      <c r="B1020" s="3" t="s">
        <v>9</v>
      </c>
      <c r="C1020" s="3" t="s">
        <v>10</v>
      </c>
      <c r="D1020" s="3" t="s">
        <v>15</v>
      </c>
      <c r="E1020" s="3" t="s">
        <v>16</v>
      </c>
      <c r="F1020" s="3" t="s">
        <v>24</v>
      </c>
    </row>
    <row r="1021">
      <c r="A1021" s="3" t="s">
        <v>8</v>
      </c>
      <c r="B1021" s="3" t="s">
        <v>9</v>
      </c>
      <c r="C1021" s="3" t="s">
        <v>10</v>
      </c>
      <c r="D1021" s="3" t="s">
        <v>12</v>
      </c>
      <c r="E1021" s="3" t="s">
        <v>18</v>
      </c>
      <c r="F1021" s="3" t="s">
        <v>24</v>
      </c>
    </row>
    <row r="1022">
      <c r="A1022" s="3" t="s">
        <v>8</v>
      </c>
      <c r="B1022" s="3" t="s">
        <v>9</v>
      </c>
      <c r="C1022" s="3" t="s">
        <v>11</v>
      </c>
      <c r="D1022" s="3" t="s">
        <v>12</v>
      </c>
      <c r="E1022" s="3" t="s">
        <v>16</v>
      </c>
      <c r="F1022" s="3" t="s">
        <v>17</v>
      </c>
      <c r="G1022" s="3" t="s">
        <v>18</v>
      </c>
    </row>
    <row r="1023">
      <c r="A1023" s="3" t="s">
        <v>8</v>
      </c>
      <c r="B1023" s="3" t="s">
        <v>9</v>
      </c>
      <c r="C1023" s="3" t="s">
        <v>15</v>
      </c>
      <c r="D1023" s="3" t="s">
        <v>16</v>
      </c>
      <c r="E1023" s="3" t="s">
        <v>24</v>
      </c>
    </row>
    <row r="1024">
      <c r="A1024" s="3" t="s">
        <v>8</v>
      </c>
      <c r="B1024" s="3" t="s">
        <v>9</v>
      </c>
    </row>
    <row r="1025">
      <c r="A1025" s="3" t="s">
        <v>8</v>
      </c>
      <c r="B1025" s="3" t="s">
        <v>15</v>
      </c>
    </row>
    <row r="1026">
      <c r="A1026" s="3" t="s">
        <v>8</v>
      </c>
      <c r="B1026" s="3" t="s">
        <v>11</v>
      </c>
      <c r="C1026" s="3" t="s">
        <v>12</v>
      </c>
      <c r="D1026" s="3" t="s">
        <v>14</v>
      </c>
      <c r="E1026" s="3" t="s">
        <v>17</v>
      </c>
      <c r="F1026" s="3" t="s">
        <v>18</v>
      </c>
    </row>
    <row r="1027">
      <c r="A1027" s="3" t="s">
        <v>8</v>
      </c>
      <c r="B1027" s="3" t="s">
        <v>9</v>
      </c>
      <c r="C1027" s="3" t="s">
        <v>10</v>
      </c>
      <c r="D1027" s="3" t="s">
        <v>24</v>
      </c>
    </row>
    <row r="1028">
      <c r="A1028" s="3" t="s">
        <v>8</v>
      </c>
      <c r="B1028" s="3" t="s">
        <v>9</v>
      </c>
      <c r="C1028" s="3" t="s">
        <v>10</v>
      </c>
      <c r="D1028" s="3" t="s">
        <v>16</v>
      </c>
      <c r="E1028" s="3" t="s">
        <v>24</v>
      </c>
    </row>
    <row r="1029">
      <c r="A1029" s="3" t="s">
        <v>8</v>
      </c>
      <c r="B1029" s="3" t="s">
        <v>9</v>
      </c>
      <c r="C1029" s="3" t="s">
        <v>15</v>
      </c>
      <c r="D1029" s="3" t="s">
        <v>16</v>
      </c>
    </row>
    <row r="1030">
      <c r="A1030" s="3" t="s">
        <v>8</v>
      </c>
      <c r="B1030" s="3" t="s">
        <v>11</v>
      </c>
      <c r="C1030" s="3" t="s">
        <v>12</v>
      </c>
      <c r="D1030" s="3" t="s">
        <v>13</v>
      </c>
      <c r="E1030" s="3" t="s">
        <v>14</v>
      </c>
      <c r="F1030" s="3" t="s">
        <v>17</v>
      </c>
    </row>
    <row r="1031">
      <c r="A1031" s="3" t="s">
        <v>8</v>
      </c>
      <c r="B1031" s="3" t="s">
        <v>9</v>
      </c>
      <c r="C1031" s="3" t="s">
        <v>10</v>
      </c>
      <c r="D1031" s="3" t="s">
        <v>14</v>
      </c>
      <c r="E1031" s="3" t="s">
        <v>18</v>
      </c>
      <c r="F1031" s="3" t="s">
        <v>24</v>
      </c>
    </row>
    <row r="1032">
      <c r="A1032" s="3" t="s">
        <v>8</v>
      </c>
      <c r="B1032" s="3" t="s">
        <v>9</v>
      </c>
      <c r="C1032" s="3" t="s">
        <v>14</v>
      </c>
      <c r="D1032" s="3" t="s">
        <v>16</v>
      </c>
      <c r="E1032" s="3" t="s">
        <v>24</v>
      </c>
    </row>
    <row r="1033">
      <c r="A1033" s="3" t="s">
        <v>8</v>
      </c>
      <c r="B1033" s="3" t="s">
        <v>11</v>
      </c>
      <c r="C1033" s="3" t="s">
        <v>12</v>
      </c>
      <c r="D1033" s="3" t="s">
        <v>14</v>
      </c>
      <c r="E1033" s="3" t="s">
        <v>17</v>
      </c>
      <c r="F1033" s="3" t="s">
        <v>18</v>
      </c>
    </row>
    <row r="1034">
      <c r="A1034" s="3" t="s">
        <v>8</v>
      </c>
      <c r="B1034" s="3" t="s">
        <v>9</v>
      </c>
      <c r="C1034" s="3" t="s">
        <v>12</v>
      </c>
      <c r="D1034" s="3" t="s">
        <v>16</v>
      </c>
      <c r="E1034" s="3" t="s">
        <v>17</v>
      </c>
      <c r="F1034" s="3" t="s">
        <v>18</v>
      </c>
    </row>
    <row r="1035">
      <c r="A1035" s="3" t="s">
        <v>8</v>
      </c>
    </row>
    <row r="1036">
      <c r="A1036" s="3" t="s">
        <v>8</v>
      </c>
      <c r="B1036" s="3" t="s">
        <v>9</v>
      </c>
    </row>
    <row r="1037">
      <c r="A1037" s="3" t="s">
        <v>8</v>
      </c>
      <c r="B1037" s="3" t="s">
        <v>9</v>
      </c>
      <c r="C1037" s="3" t="s">
        <v>10</v>
      </c>
      <c r="D1037" s="3" t="s">
        <v>11</v>
      </c>
      <c r="E1037" s="3" t="s">
        <v>12</v>
      </c>
      <c r="F1037" s="3" t="s">
        <v>24</v>
      </c>
    </row>
    <row r="1038">
      <c r="A1038" s="3" t="s">
        <v>8</v>
      </c>
      <c r="B1038" s="3" t="s">
        <v>16</v>
      </c>
      <c r="C1038" s="3" t="s">
        <v>17</v>
      </c>
      <c r="D1038" s="3" t="s">
        <v>18</v>
      </c>
      <c r="E1038" s="3" t="s">
        <v>24</v>
      </c>
    </row>
    <row r="1039">
      <c r="A1039" s="3" t="s">
        <v>8</v>
      </c>
      <c r="B1039" s="3" t="s">
        <v>11</v>
      </c>
      <c r="C1039" s="3" t="s">
        <v>12</v>
      </c>
      <c r="D1039" s="3" t="s">
        <v>17</v>
      </c>
      <c r="E1039" s="3" t="s">
        <v>18</v>
      </c>
    </row>
    <row r="1040">
      <c r="A1040" s="3" t="s">
        <v>8</v>
      </c>
      <c r="B1040" s="3" t="s">
        <v>9</v>
      </c>
      <c r="C1040" s="3" t="s">
        <v>12</v>
      </c>
      <c r="D1040" s="3" t="s">
        <v>17</v>
      </c>
      <c r="E1040" s="3" t="s">
        <v>18</v>
      </c>
    </row>
    <row r="1041">
      <c r="A1041" s="3" t="s">
        <v>8</v>
      </c>
      <c r="B1041" s="3" t="s">
        <v>11</v>
      </c>
      <c r="C1041" s="3" t="s">
        <v>12</v>
      </c>
      <c r="D1041" s="3" t="s">
        <v>17</v>
      </c>
      <c r="E1041" s="3" t="s">
        <v>18</v>
      </c>
    </row>
    <row r="1042">
      <c r="A1042" s="3" t="s">
        <v>8</v>
      </c>
      <c r="B1042" s="3" t="s">
        <v>13</v>
      </c>
      <c r="C1042" s="3" t="s">
        <v>18</v>
      </c>
      <c r="D1042" s="3" t="s">
        <v>24</v>
      </c>
    </row>
    <row r="1043">
      <c r="A1043" s="3" t="s">
        <v>8</v>
      </c>
      <c r="B1043" s="3" t="s">
        <v>9</v>
      </c>
      <c r="C1043" s="3" t="s">
        <v>10</v>
      </c>
      <c r="D1043" s="3" t="s">
        <v>24</v>
      </c>
    </row>
    <row r="1044">
      <c r="A1044" s="3" t="s">
        <v>8</v>
      </c>
      <c r="B1044" s="3" t="s">
        <v>11</v>
      </c>
      <c r="C1044" s="3" t="s">
        <v>12</v>
      </c>
      <c r="D1044" s="3" t="s">
        <v>17</v>
      </c>
    </row>
    <row r="1045">
      <c r="A1045" s="3" t="s">
        <v>8</v>
      </c>
      <c r="B1045" s="3" t="s">
        <v>12</v>
      </c>
    </row>
    <row r="1046">
      <c r="A1046" s="3" t="s">
        <v>9</v>
      </c>
      <c r="B1046" s="3" t="s">
        <v>12</v>
      </c>
      <c r="C1046" s="3" t="s">
        <v>13</v>
      </c>
      <c r="D1046" s="3" t="s">
        <v>16</v>
      </c>
      <c r="E1046" s="3" t="s">
        <v>17</v>
      </c>
      <c r="F1046" s="3" t="s">
        <v>18</v>
      </c>
    </row>
    <row r="1047">
      <c r="A1047" s="3" t="s">
        <v>9</v>
      </c>
      <c r="B1047" s="3" t="s">
        <v>13</v>
      </c>
      <c r="C1047" s="3" t="s">
        <v>14</v>
      </c>
      <c r="D1047" s="3" t="s">
        <v>16</v>
      </c>
      <c r="E1047" s="3" t="s">
        <v>17</v>
      </c>
      <c r="F1047" s="3" t="s">
        <v>18</v>
      </c>
    </row>
    <row r="1048">
      <c r="A1048" s="3" t="s">
        <v>9</v>
      </c>
      <c r="B1048" s="3" t="s">
        <v>16</v>
      </c>
      <c r="C1048" s="3" t="s">
        <v>17</v>
      </c>
      <c r="D1048" s="3" t="s">
        <v>18</v>
      </c>
    </row>
    <row r="1049">
      <c r="A1049" s="3" t="s">
        <v>9</v>
      </c>
      <c r="B1049" s="3" t="s">
        <v>10</v>
      </c>
      <c r="C1049" s="3" t="s">
        <v>15</v>
      </c>
      <c r="D1049" s="3" t="s">
        <v>16</v>
      </c>
      <c r="E1049" s="3" t="s">
        <v>18</v>
      </c>
      <c r="F1049" s="3" t="s">
        <v>24</v>
      </c>
    </row>
    <row r="1050">
      <c r="A1050" s="3" t="s">
        <v>9</v>
      </c>
      <c r="B1050" s="3" t="s">
        <v>15</v>
      </c>
      <c r="C1050" s="3" t="s">
        <v>17</v>
      </c>
      <c r="D1050" s="3" t="s">
        <v>18</v>
      </c>
      <c r="E1050" s="3" t="s">
        <v>24</v>
      </c>
    </row>
    <row r="1051">
      <c r="A1051" s="3" t="s">
        <v>9</v>
      </c>
      <c r="B1051" s="3" t="s">
        <v>17</v>
      </c>
      <c r="C1051" s="3" t="s">
        <v>18</v>
      </c>
    </row>
    <row r="1052">
      <c r="A1052" s="3" t="s">
        <v>9</v>
      </c>
      <c r="B1052" s="3" t="s">
        <v>10</v>
      </c>
      <c r="C1052" s="3" t="s">
        <v>12</v>
      </c>
      <c r="D1052" s="3" t="s">
        <v>16</v>
      </c>
    </row>
    <row r="1053">
      <c r="A1053" s="3" t="s">
        <v>9</v>
      </c>
      <c r="B1053" s="3" t="s">
        <v>10</v>
      </c>
      <c r="C1053" s="3" t="s">
        <v>24</v>
      </c>
    </row>
    <row r="1054">
      <c r="A1054" s="3" t="s">
        <v>9</v>
      </c>
      <c r="B1054" s="3" t="s">
        <v>10</v>
      </c>
      <c r="C1054" s="3" t="s">
        <v>24</v>
      </c>
    </row>
    <row r="1055">
      <c r="A1055" s="3" t="s">
        <v>9</v>
      </c>
      <c r="B1055" s="3" t="s">
        <v>13</v>
      </c>
      <c r="C1055" s="3" t="s">
        <v>14</v>
      </c>
      <c r="D1055" s="3" t="s">
        <v>17</v>
      </c>
      <c r="E1055" s="3" t="s">
        <v>18</v>
      </c>
    </row>
    <row r="1056">
      <c r="A1056" s="3" t="s">
        <v>9</v>
      </c>
      <c r="B1056" s="3" t="s">
        <v>10</v>
      </c>
      <c r="C1056" s="3" t="s">
        <v>18</v>
      </c>
      <c r="D1056" s="3" t="s">
        <v>24</v>
      </c>
    </row>
    <row r="1057">
      <c r="A1057" s="3" t="s">
        <v>9</v>
      </c>
      <c r="B1057" s="3" t="s">
        <v>13</v>
      </c>
      <c r="C1057" s="3" t="s">
        <v>14</v>
      </c>
      <c r="D1057" s="3" t="s">
        <v>18</v>
      </c>
      <c r="E1057" s="3" t="s">
        <v>24</v>
      </c>
    </row>
    <row r="1058">
      <c r="A1058" s="3" t="s">
        <v>9</v>
      </c>
      <c r="B1058" s="3" t="s">
        <v>13</v>
      </c>
      <c r="C1058" s="3" t="s">
        <v>14</v>
      </c>
      <c r="D1058" s="3" t="s">
        <v>17</v>
      </c>
      <c r="E1058" s="3" t="s">
        <v>18</v>
      </c>
      <c r="F1058" s="3" t="s">
        <v>24</v>
      </c>
    </row>
    <row r="1059">
      <c r="A1059" s="3" t="s">
        <v>10</v>
      </c>
      <c r="B1059" s="3" t="s">
        <v>18</v>
      </c>
    </row>
    <row r="1060">
      <c r="A1060" s="3" t="s">
        <v>10</v>
      </c>
    </row>
    <row r="1061">
      <c r="A1061" s="3" t="s">
        <v>10</v>
      </c>
    </row>
    <row r="1062">
      <c r="A1062" s="3" t="s">
        <v>10</v>
      </c>
    </row>
    <row r="1063">
      <c r="A1063" s="3" t="s">
        <v>10</v>
      </c>
      <c r="B1063" s="3" t="s">
        <v>14</v>
      </c>
      <c r="C1063" s="3" t="s">
        <v>16</v>
      </c>
      <c r="D1063" s="3" t="s">
        <v>18</v>
      </c>
    </row>
    <row r="1064">
      <c r="A1064" s="3" t="s">
        <v>10</v>
      </c>
      <c r="B1064" s="3" t="s">
        <v>15</v>
      </c>
      <c r="C1064" s="3" t="s">
        <v>16</v>
      </c>
    </row>
    <row r="1065">
      <c r="A1065" s="3" t="s">
        <v>10</v>
      </c>
    </row>
    <row r="1066">
      <c r="A1066" s="3" t="s">
        <v>10</v>
      </c>
      <c r="B1066" s="3" t="s">
        <v>12</v>
      </c>
      <c r="C1066" s="3" t="s">
        <v>18</v>
      </c>
    </row>
    <row r="1067">
      <c r="A1067" s="3" t="s">
        <v>11</v>
      </c>
      <c r="B1067" s="3" t="s">
        <v>12</v>
      </c>
    </row>
    <row r="1068">
      <c r="A1068" s="3" t="s">
        <v>11</v>
      </c>
      <c r="B1068" s="3" t="s">
        <v>15</v>
      </c>
      <c r="C1068" s="3" t="s">
        <v>17</v>
      </c>
    </row>
    <row r="1069">
      <c r="A1069" s="3" t="s">
        <v>11</v>
      </c>
      <c r="B1069" s="3" t="s">
        <v>12</v>
      </c>
      <c r="C1069" s="3" t="s">
        <v>13</v>
      </c>
      <c r="D1069" s="3" t="s">
        <v>14</v>
      </c>
      <c r="E1069" s="3" t="s">
        <v>17</v>
      </c>
    </row>
    <row r="1070">
      <c r="A1070" s="3" t="s">
        <v>11</v>
      </c>
      <c r="B1070" s="3" t="s">
        <v>13</v>
      </c>
      <c r="C1070" s="3" t="s">
        <v>14</v>
      </c>
      <c r="D1070" s="3" t="s">
        <v>16</v>
      </c>
      <c r="E1070" s="3" t="s">
        <v>17</v>
      </c>
      <c r="F1070" s="3" t="s">
        <v>18</v>
      </c>
    </row>
    <row r="1071">
      <c r="A1071" s="3" t="s">
        <v>11</v>
      </c>
      <c r="B1071" s="3" t="s">
        <v>12</v>
      </c>
      <c r="C1071" s="3" t="s">
        <v>13</v>
      </c>
      <c r="D1071" s="3" t="s">
        <v>15</v>
      </c>
      <c r="E1071" s="3" t="s">
        <v>16</v>
      </c>
      <c r="F1071" s="3" t="s">
        <v>17</v>
      </c>
    </row>
    <row r="1072">
      <c r="A1072" s="3" t="s">
        <v>11</v>
      </c>
      <c r="B1072" s="3" t="s">
        <v>12</v>
      </c>
      <c r="C1072" s="3" t="s">
        <v>13</v>
      </c>
      <c r="D1072" s="3" t="s">
        <v>14</v>
      </c>
      <c r="E1072" s="3" t="s">
        <v>17</v>
      </c>
      <c r="F1072" s="3" t="s">
        <v>18</v>
      </c>
    </row>
    <row r="1073">
      <c r="A1073" s="3" t="s">
        <v>11</v>
      </c>
      <c r="B1073" s="3" t="s">
        <v>12</v>
      </c>
      <c r="C1073" s="3" t="s">
        <v>15</v>
      </c>
      <c r="D1073" s="3" t="s">
        <v>16</v>
      </c>
    </row>
    <row r="1074">
      <c r="A1074" s="3" t="s">
        <v>11</v>
      </c>
      <c r="B1074" s="3" t="s">
        <v>12</v>
      </c>
    </row>
    <row r="1075">
      <c r="A1075" s="3" t="s">
        <v>11</v>
      </c>
      <c r="B1075" s="3" t="s">
        <v>12</v>
      </c>
      <c r="C1075" s="3" t="s">
        <v>16</v>
      </c>
      <c r="D1075" s="3" t="s">
        <v>17</v>
      </c>
    </row>
    <row r="1076">
      <c r="A1076" s="3" t="s">
        <v>11</v>
      </c>
      <c r="B1076" s="3" t="s">
        <v>12</v>
      </c>
      <c r="C1076" s="3" t="s">
        <v>13</v>
      </c>
      <c r="D1076" s="3" t="s">
        <v>14</v>
      </c>
      <c r="E1076" s="3" t="s">
        <v>17</v>
      </c>
    </row>
    <row r="1077">
      <c r="A1077" s="3" t="s">
        <v>11</v>
      </c>
      <c r="B1077" s="3" t="s">
        <v>12</v>
      </c>
    </row>
    <row r="1078">
      <c r="A1078" s="3" t="s">
        <v>11</v>
      </c>
      <c r="B1078" s="3" t="s">
        <v>12</v>
      </c>
      <c r="C1078" s="3" t="s">
        <v>18</v>
      </c>
    </row>
    <row r="1079">
      <c r="A1079" s="3" t="s">
        <v>11</v>
      </c>
      <c r="B1079" s="3" t="s">
        <v>13</v>
      </c>
      <c r="C1079" s="3" t="s">
        <v>14</v>
      </c>
      <c r="D1079" s="3" t="s">
        <v>17</v>
      </c>
      <c r="E1079" s="3" t="s">
        <v>18</v>
      </c>
    </row>
    <row r="1080">
      <c r="A1080" s="3" t="s">
        <v>11</v>
      </c>
      <c r="B1080" s="3" t="s">
        <v>12</v>
      </c>
    </row>
    <row r="1081">
      <c r="A1081" s="3" t="s">
        <v>11</v>
      </c>
      <c r="B1081" s="3" t="s">
        <v>12</v>
      </c>
      <c r="C1081" s="3" t="s">
        <v>13</v>
      </c>
      <c r="D1081" s="3" t="s">
        <v>14</v>
      </c>
      <c r="E1081" s="3" t="s">
        <v>15</v>
      </c>
      <c r="F1081" s="3" t="s">
        <v>17</v>
      </c>
    </row>
    <row r="1082">
      <c r="A1082" s="3" t="s">
        <v>11</v>
      </c>
      <c r="B1082" s="3" t="s">
        <v>16</v>
      </c>
    </row>
    <row r="1083">
      <c r="A1083" s="3" t="s">
        <v>11</v>
      </c>
      <c r="B1083" s="3" t="s">
        <v>14</v>
      </c>
      <c r="C1083" s="3" t="s">
        <v>15</v>
      </c>
      <c r="D1083" s="3" t="s">
        <v>16</v>
      </c>
      <c r="E1083" s="3" t="s">
        <v>17</v>
      </c>
      <c r="F1083" s="3" t="s">
        <v>18</v>
      </c>
    </row>
    <row r="1084">
      <c r="A1084" s="3" t="s">
        <v>11</v>
      </c>
      <c r="B1084" s="3" t="s">
        <v>12</v>
      </c>
      <c r="C1084" s="3" t="s">
        <v>13</v>
      </c>
    </row>
    <row r="1085">
      <c r="A1085" s="3" t="s">
        <v>11</v>
      </c>
      <c r="B1085" s="3" t="s">
        <v>12</v>
      </c>
      <c r="C1085" s="3" t="s">
        <v>15</v>
      </c>
      <c r="D1085" s="3" t="s">
        <v>16</v>
      </c>
      <c r="E1085" s="3" t="s">
        <v>17</v>
      </c>
    </row>
    <row r="1086">
      <c r="A1086" s="3" t="s">
        <v>11</v>
      </c>
      <c r="B1086" s="3" t="s">
        <v>13</v>
      </c>
      <c r="C1086" s="3" t="s">
        <v>14</v>
      </c>
    </row>
    <row r="1087">
      <c r="A1087" s="3" t="s">
        <v>11</v>
      </c>
      <c r="B1087" s="3" t="s">
        <v>12</v>
      </c>
    </row>
    <row r="1088">
      <c r="A1088" s="3" t="s">
        <v>11</v>
      </c>
    </row>
    <row r="1089">
      <c r="A1089" s="3" t="s">
        <v>11</v>
      </c>
      <c r="B1089" s="3" t="s">
        <v>12</v>
      </c>
      <c r="C1089" s="3" t="s">
        <v>13</v>
      </c>
      <c r="D1089" s="3" t="s">
        <v>14</v>
      </c>
      <c r="E1089" s="3" t="s">
        <v>17</v>
      </c>
      <c r="F1089" s="3" t="s">
        <v>18</v>
      </c>
    </row>
    <row r="1090">
      <c r="A1090" s="3" t="s">
        <v>11</v>
      </c>
      <c r="B1090" s="3" t="s">
        <v>12</v>
      </c>
      <c r="C1090" s="3" t="s">
        <v>16</v>
      </c>
    </row>
    <row r="1091">
      <c r="A1091" s="3" t="s">
        <v>11</v>
      </c>
      <c r="B1091" s="3" t="s">
        <v>13</v>
      </c>
      <c r="C1091" s="3" t="s">
        <v>14</v>
      </c>
      <c r="D1091" s="3" t="s">
        <v>17</v>
      </c>
    </row>
    <row r="1092">
      <c r="A1092" s="3" t="s">
        <v>11</v>
      </c>
      <c r="B1092" s="3" t="s">
        <v>17</v>
      </c>
    </row>
    <row r="1093">
      <c r="A1093" s="3" t="s">
        <v>11</v>
      </c>
    </row>
    <row r="1094">
      <c r="A1094" s="3" t="s">
        <v>11</v>
      </c>
      <c r="B1094" s="3" t="s">
        <v>15</v>
      </c>
      <c r="C1094" s="3" t="s">
        <v>16</v>
      </c>
    </row>
    <row r="1095">
      <c r="A1095" s="3" t="s">
        <v>11</v>
      </c>
    </row>
    <row r="1096">
      <c r="A1096" s="3" t="s">
        <v>11</v>
      </c>
      <c r="B1096" s="3" t="s">
        <v>12</v>
      </c>
      <c r="C1096" s="3" t="s">
        <v>14</v>
      </c>
      <c r="D1096" s="3" t="s">
        <v>17</v>
      </c>
      <c r="E1096" s="3" t="s">
        <v>18</v>
      </c>
    </row>
    <row r="1097">
      <c r="A1097" s="3" t="s">
        <v>11</v>
      </c>
      <c r="B1097" s="3" t="s">
        <v>15</v>
      </c>
    </row>
    <row r="1098">
      <c r="A1098" s="3" t="s">
        <v>12</v>
      </c>
      <c r="B1098" s="3" t="s">
        <v>16</v>
      </c>
      <c r="C1098" s="3" t="s">
        <v>18</v>
      </c>
      <c r="D1098" s="3" t="s">
        <v>24</v>
      </c>
    </row>
    <row r="1099">
      <c r="A1099" s="3" t="s">
        <v>12</v>
      </c>
      <c r="B1099" s="3" t="s">
        <v>15</v>
      </c>
      <c r="C1099" s="3" t="s">
        <v>16</v>
      </c>
    </row>
    <row r="1100">
      <c r="A1100" s="3" t="s">
        <v>12</v>
      </c>
    </row>
    <row r="1101">
      <c r="A1101" s="3" t="s">
        <v>12</v>
      </c>
      <c r="B1101" s="3" t="s">
        <v>13</v>
      </c>
      <c r="C1101" s="3" t="s">
        <v>14</v>
      </c>
    </row>
    <row r="1102">
      <c r="A1102" s="3" t="s">
        <v>12</v>
      </c>
    </row>
    <row r="1103">
      <c r="A1103" s="3" t="s">
        <v>12</v>
      </c>
      <c r="B1103" s="3" t="s">
        <v>15</v>
      </c>
    </row>
    <row r="1104">
      <c r="A1104" s="3" t="s">
        <v>13</v>
      </c>
      <c r="B1104" s="3" t="s">
        <v>14</v>
      </c>
    </row>
    <row r="1105">
      <c r="A1105" s="3" t="s">
        <v>13</v>
      </c>
      <c r="B1105" s="3" t="s">
        <v>14</v>
      </c>
      <c r="C1105" s="3" t="s">
        <v>15</v>
      </c>
      <c r="D1105" s="3" t="s">
        <v>16</v>
      </c>
      <c r="E1105" s="3" t="s">
        <v>17</v>
      </c>
      <c r="F1105" s="3" t="s">
        <v>18</v>
      </c>
    </row>
    <row r="1106">
      <c r="A1106" s="3" t="s">
        <v>13</v>
      </c>
      <c r="B1106" s="3" t="s">
        <v>14</v>
      </c>
      <c r="C1106" s="3" t="s">
        <v>16</v>
      </c>
      <c r="D1106" s="3" t="s">
        <v>17</v>
      </c>
      <c r="E1106" s="3" t="s">
        <v>18</v>
      </c>
    </row>
    <row r="1107">
      <c r="A1107" s="3" t="s">
        <v>13</v>
      </c>
      <c r="B1107" s="3" t="s">
        <v>14</v>
      </c>
      <c r="C1107" s="3" t="s">
        <v>17</v>
      </c>
      <c r="D1107" s="3" t="s">
        <v>18</v>
      </c>
    </row>
    <row r="1108">
      <c r="A1108" s="3" t="s">
        <v>13</v>
      </c>
      <c r="B1108" s="3" t="s">
        <v>14</v>
      </c>
      <c r="C1108" s="3" t="s">
        <v>17</v>
      </c>
      <c r="D1108" s="3" t="s">
        <v>18</v>
      </c>
      <c r="E1108" s="3" t="s">
        <v>24</v>
      </c>
    </row>
    <row r="1109">
      <c r="A1109" s="3" t="s">
        <v>13</v>
      </c>
      <c r="B1109" s="3" t="s">
        <v>14</v>
      </c>
    </row>
    <row r="1110">
      <c r="A1110" s="3" t="s">
        <v>13</v>
      </c>
      <c r="B1110" s="3" t="s">
        <v>14</v>
      </c>
    </row>
    <row r="1111">
      <c r="A1111" s="3" t="s">
        <v>13</v>
      </c>
      <c r="B1111" s="3" t="s">
        <v>14</v>
      </c>
      <c r="C1111" s="3" t="s">
        <v>16</v>
      </c>
      <c r="D1111" s="3" t="s">
        <v>17</v>
      </c>
      <c r="E1111" s="3" t="s">
        <v>18</v>
      </c>
    </row>
    <row r="1112">
      <c r="A1112" s="3" t="s">
        <v>13</v>
      </c>
      <c r="B1112" s="3" t="s">
        <v>14</v>
      </c>
    </row>
    <row r="1113">
      <c r="A1113" s="3" t="s">
        <v>13</v>
      </c>
    </row>
    <row r="1114">
      <c r="A1114" s="3" t="s">
        <v>13</v>
      </c>
      <c r="B1114" s="3" t="s">
        <v>14</v>
      </c>
    </row>
    <row r="1115">
      <c r="A1115" s="3" t="s">
        <v>13</v>
      </c>
    </row>
    <row r="1116">
      <c r="A1116" s="3" t="s">
        <v>13</v>
      </c>
    </row>
    <row r="1117">
      <c r="A1117" s="3" t="s">
        <v>13</v>
      </c>
      <c r="B1117" s="3" t="s">
        <v>14</v>
      </c>
      <c r="C1117" s="3" t="s">
        <v>16</v>
      </c>
      <c r="D1117" s="3" t="s">
        <v>17</v>
      </c>
      <c r="E1117" s="3" t="s">
        <v>18</v>
      </c>
    </row>
    <row r="1118">
      <c r="A1118" s="3" t="s">
        <v>13</v>
      </c>
    </row>
    <row r="1119">
      <c r="A1119" s="3" t="s">
        <v>13</v>
      </c>
      <c r="B1119" s="3" t="s">
        <v>14</v>
      </c>
    </row>
    <row r="1120">
      <c r="A1120" s="3" t="s">
        <v>13</v>
      </c>
    </row>
    <row r="1121">
      <c r="A1121" s="3" t="s">
        <v>13</v>
      </c>
      <c r="B1121" s="3" t="s">
        <v>14</v>
      </c>
    </row>
    <row r="1122">
      <c r="A1122" s="3" t="s">
        <v>13</v>
      </c>
    </row>
    <row r="1123">
      <c r="A1123" s="3" t="s">
        <v>13</v>
      </c>
      <c r="B1123" s="3" t="s">
        <v>14</v>
      </c>
      <c r="C1123" s="3" t="s">
        <v>17</v>
      </c>
    </row>
    <row r="1124">
      <c r="A1124" s="3" t="s">
        <v>13</v>
      </c>
      <c r="B1124" s="3" t="s">
        <v>17</v>
      </c>
    </row>
    <row r="1125">
      <c r="A1125" s="3" t="s">
        <v>13</v>
      </c>
    </row>
    <row r="1126">
      <c r="A1126" s="3" t="s">
        <v>13</v>
      </c>
      <c r="B1126" s="3" t="s">
        <v>14</v>
      </c>
    </row>
    <row r="1127">
      <c r="A1127" s="3" t="s">
        <v>13</v>
      </c>
      <c r="B1127" s="3" t="s">
        <v>15</v>
      </c>
      <c r="C1127" s="3" t="s">
        <v>16</v>
      </c>
    </row>
    <row r="1128">
      <c r="A1128" s="3" t="s">
        <v>13</v>
      </c>
    </row>
    <row r="1129">
      <c r="A1129" s="3" t="s">
        <v>13</v>
      </c>
      <c r="B1129" s="3" t="s">
        <v>14</v>
      </c>
    </row>
    <row r="1130">
      <c r="A1130" s="3" t="s">
        <v>13</v>
      </c>
      <c r="B1130" s="3" t="s">
        <v>14</v>
      </c>
    </row>
    <row r="1131">
      <c r="A1131" s="3" t="s">
        <v>13</v>
      </c>
      <c r="B1131" s="3" t="s">
        <v>14</v>
      </c>
    </row>
    <row r="1132">
      <c r="A1132" s="3" t="s">
        <v>13</v>
      </c>
      <c r="B1132" s="3" t="s">
        <v>14</v>
      </c>
    </row>
    <row r="1133">
      <c r="A1133" s="3" t="s">
        <v>13</v>
      </c>
    </row>
    <row r="1134">
      <c r="A1134" s="3" t="s">
        <v>13</v>
      </c>
    </row>
    <row r="1135">
      <c r="A1135" s="3" t="s">
        <v>13</v>
      </c>
    </row>
    <row r="1136">
      <c r="A1136" s="3" t="s">
        <v>13</v>
      </c>
      <c r="B1136" s="3" t="s">
        <v>14</v>
      </c>
    </row>
    <row r="1137">
      <c r="A1137" s="3" t="s">
        <v>13</v>
      </c>
    </row>
    <row r="1138">
      <c r="A1138" s="3" t="s">
        <v>13</v>
      </c>
    </row>
    <row r="1139">
      <c r="A1139" s="3" t="s">
        <v>14</v>
      </c>
      <c r="B1139" s="3" t="s">
        <v>16</v>
      </c>
    </row>
    <row r="1140">
      <c r="A1140" s="3" t="s">
        <v>14</v>
      </c>
    </row>
    <row r="1141">
      <c r="A1141" s="3" t="s">
        <v>14</v>
      </c>
    </row>
    <row r="1142">
      <c r="A1142" s="3" t="s">
        <v>14</v>
      </c>
      <c r="B1142" s="3" t="s">
        <v>18</v>
      </c>
    </row>
    <row r="1143">
      <c r="A1143" s="3" t="s">
        <v>14</v>
      </c>
      <c r="B1143" s="3" t="s">
        <v>18</v>
      </c>
    </row>
    <row r="1144">
      <c r="A1144" s="3" t="s">
        <v>14</v>
      </c>
    </row>
    <row r="1145">
      <c r="A1145" s="3" t="s">
        <v>14</v>
      </c>
    </row>
    <row r="1146">
      <c r="A1146" s="3" t="s">
        <v>14</v>
      </c>
      <c r="B1146" s="3" t="s">
        <v>16</v>
      </c>
    </row>
    <row r="1147">
      <c r="A1147" s="3" t="s">
        <v>14</v>
      </c>
    </row>
    <row r="1148">
      <c r="A1148" s="3" t="s">
        <v>14</v>
      </c>
    </row>
    <row r="1149">
      <c r="A1149" s="3" t="s">
        <v>14</v>
      </c>
    </row>
    <row r="1150">
      <c r="A1150" s="3" t="s">
        <v>15</v>
      </c>
      <c r="B1150" s="3" t="s">
        <v>16</v>
      </c>
    </row>
    <row r="1151">
      <c r="A1151" s="3" t="s">
        <v>15</v>
      </c>
      <c r="B1151" s="3" t="s">
        <v>16</v>
      </c>
    </row>
    <row r="1152">
      <c r="A1152" s="3" t="s">
        <v>15</v>
      </c>
    </row>
    <row r="1153">
      <c r="A1153" s="3" t="s">
        <v>15</v>
      </c>
      <c r="B1153" s="3" t="s">
        <v>16</v>
      </c>
    </row>
    <row r="1154">
      <c r="A1154" s="3" t="s">
        <v>15</v>
      </c>
    </row>
    <row r="1155">
      <c r="A1155" s="3" t="s">
        <v>15</v>
      </c>
    </row>
    <row r="1156">
      <c r="A1156" s="3" t="s">
        <v>15</v>
      </c>
      <c r="B1156" s="3" t="s">
        <v>16</v>
      </c>
      <c r="C1156" s="3" t="s">
        <v>17</v>
      </c>
    </row>
    <row r="1157">
      <c r="A1157" s="3" t="s">
        <v>15</v>
      </c>
    </row>
    <row r="1158">
      <c r="A1158" s="3" t="s">
        <v>15</v>
      </c>
    </row>
    <row r="1159">
      <c r="A1159" s="3" t="s">
        <v>15</v>
      </c>
      <c r="B1159" s="3" t="s">
        <v>16</v>
      </c>
    </row>
    <row r="1160">
      <c r="A1160" s="3" t="s">
        <v>15</v>
      </c>
    </row>
    <row r="1161">
      <c r="A1161" s="3" t="s">
        <v>15</v>
      </c>
    </row>
    <row r="1162">
      <c r="A1162" s="3" t="s">
        <v>15</v>
      </c>
    </row>
    <row r="1163">
      <c r="A1163" s="3" t="s">
        <v>16</v>
      </c>
    </row>
    <row r="1164">
      <c r="A1164" s="3" t="s">
        <v>16</v>
      </c>
    </row>
    <row r="1165">
      <c r="A1165" s="3" t="s">
        <v>16</v>
      </c>
    </row>
    <row r="1166">
      <c r="A1166" s="3" t="s">
        <v>16</v>
      </c>
    </row>
    <row r="1167">
      <c r="A1167" s="3" t="s">
        <v>16</v>
      </c>
    </row>
    <row r="1168">
      <c r="A1168" s="3" t="s">
        <v>16</v>
      </c>
    </row>
    <row r="1169">
      <c r="A1169" s="3" t="s">
        <v>16</v>
      </c>
    </row>
    <row r="1170">
      <c r="A1170" s="3" t="s">
        <v>6</v>
      </c>
      <c r="B1170" s="3" t="s">
        <v>7</v>
      </c>
      <c r="C1170" s="3" t="s">
        <v>8</v>
      </c>
      <c r="D1170" s="3" t="s">
        <v>15</v>
      </c>
      <c r="E1170" s="3" t="s">
        <v>16</v>
      </c>
      <c r="F1170" s="3" t="s">
        <v>17</v>
      </c>
    </row>
    <row r="1171">
      <c r="A1171" s="3" t="s">
        <v>6</v>
      </c>
      <c r="B1171" s="3" t="s">
        <v>7</v>
      </c>
      <c r="C1171" s="3" t="s">
        <v>11</v>
      </c>
      <c r="D1171" s="3" t="s">
        <v>15</v>
      </c>
    </row>
    <row r="1172">
      <c r="A1172" s="3" t="s">
        <v>6</v>
      </c>
      <c r="B1172" s="3" t="s">
        <v>7</v>
      </c>
      <c r="C1172" s="3" t="s">
        <v>15</v>
      </c>
      <c r="D1172" s="3" t="s">
        <v>16</v>
      </c>
    </row>
    <row r="1173">
      <c r="A1173" s="3" t="s">
        <v>6</v>
      </c>
      <c r="B1173" s="3" t="s">
        <v>7</v>
      </c>
      <c r="C1173" s="3" t="s">
        <v>8</v>
      </c>
      <c r="D1173" s="3" t="s">
        <v>11</v>
      </c>
      <c r="E1173" s="3" t="s">
        <v>12</v>
      </c>
      <c r="F1173" s="3" t="s">
        <v>15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3" t="s">
        <v>15</v>
      </c>
      <c r="F1174" s="3" t="s">
        <v>16</v>
      </c>
    </row>
    <row r="1175">
      <c r="A1175" s="3" t="s">
        <v>6</v>
      </c>
    </row>
    <row r="1176">
      <c r="A1176" s="3" t="s">
        <v>6</v>
      </c>
      <c r="B1176" s="3" t="s">
        <v>7</v>
      </c>
      <c r="C1176" s="3" t="s">
        <v>8</v>
      </c>
      <c r="D1176" s="3" t="s">
        <v>12</v>
      </c>
      <c r="E1176" s="3" t="s">
        <v>15</v>
      </c>
      <c r="F1176" s="3" t="s">
        <v>17</v>
      </c>
    </row>
    <row r="1177">
      <c r="A1177" s="3" t="s">
        <v>6</v>
      </c>
      <c r="B1177" s="3" t="s">
        <v>7</v>
      </c>
      <c r="C1177" s="3" t="s">
        <v>13</v>
      </c>
    </row>
    <row r="1178">
      <c r="A1178" s="3" t="s">
        <v>6</v>
      </c>
      <c r="B1178" s="3" t="s">
        <v>7</v>
      </c>
      <c r="C1178" s="3" t="s">
        <v>8</v>
      </c>
      <c r="D1178" s="3" t="s">
        <v>11</v>
      </c>
      <c r="E1178" s="3" t="s">
        <v>12</v>
      </c>
      <c r="F1178" s="3" t="s">
        <v>17</v>
      </c>
    </row>
    <row r="1179">
      <c r="A1179" s="3" t="s">
        <v>6</v>
      </c>
      <c r="B1179" s="3" t="s">
        <v>8</v>
      </c>
      <c r="C1179" s="3" t="s">
        <v>9</v>
      </c>
      <c r="D1179" s="3" t="s">
        <v>15</v>
      </c>
      <c r="E1179" s="3" t="s">
        <v>16</v>
      </c>
      <c r="F1179" s="3" t="s">
        <v>24</v>
      </c>
    </row>
    <row r="1180">
      <c r="A1180" s="3" t="s">
        <v>6</v>
      </c>
      <c r="B1180" s="3" t="s">
        <v>7</v>
      </c>
      <c r="C1180" s="3" t="s">
        <v>8</v>
      </c>
      <c r="D1180" s="3" t="s">
        <v>11</v>
      </c>
      <c r="E1180" s="3" t="s">
        <v>13</v>
      </c>
    </row>
    <row r="1181">
      <c r="A1181" s="3" t="s">
        <v>6</v>
      </c>
      <c r="B1181" s="3" t="s">
        <v>7</v>
      </c>
      <c r="C1181" s="3" t="s">
        <v>8</v>
      </c>
      <c r="D1181" s="3" t="s">
        <v>9</v>
      </c>
      <c r="E1181" s="3" t="s">
        <v>15</v>
      </c>
    </row>
    <row r="1182">
      <c r="A1182" s="3" t="s">
        <v>6</v>
      </c>
      <c r="B1182" s="3" t="s">
        <v>7</v>
      </c>
      <c r="C1182" s="3" t="s">
        <v>11</v>
      </c>
    </row>
    <row r="1183">
      <c r="A1183" s="3" t="s">
        <v>6</v>
      </c>
    </row>
    <row r="1184">
      <c r="A1184" s="3" t="s">
        <v>6</v>
      </c>
      <c r="B1184" s="3" t="s">
        <v>7</v>
      </c>
      <c r="C1184" s="3" t="s">
        <v>15</v>
      </c>
    </row>
    <row r="1185">
      <c r="A1185" s="3" t="s">
        <v>6</v>
      </c>
      <c r="B1185" s="3" t="s">
        <v>7</v>
      </c>
      <c r="C1185" s="3" t="s">
        <v>8</v>
      </c>
      <c r="D1185" s="3" t="s">
        <v>15</v>
      </c>
      <c r="E1185" s="3" t="s">
        <v>17</v>
      </c>
    </row>
    <row r="1186">
      <c r="A1186" s="3" t="s">
        <v>6</v>
      </c>
      <c r="B1186" s="3" t="s">
        <v>15</v>
      </c>
    </row>
    <row r="1187">
      <c r="A1187" s="3" t="s">
        <v>6</v>
      </c>
      <c r="B1187" s="3" t="s">
        <v>7</v>
      </c>
      <c r="C1187" s="3" t="s">
        <v>8</v>
      </c>
      <c r="D1187" s="3" t="s">
        <v>11</v>
      </c>
      <c r="E1187" s="3" t="s">
        <v>12</v>
      </c>
      <c r="F1187" s="3" t="s">
        <v>13</v>
      </c>
    </row>
    <row r="1188">
      <c r="A1188" s="3" t="s">
        <v>6</v>
      </c>
      <c r="B1188" s="3" t="s">
        <v>7</v>
      </c>
      <c r="C1188" s="3" t="s">
        <v>8</v>
      </c>
      <c r="D1188" s="3" t="s">
        <v>15</v>
      </c>
      <c r="E1188" s="3" t="s">
        <v>16</v>
      </c>
      <c r="F1188" s="3" t="s">
        <v>17</v>
      </c>
    </row>
    <row r="1189">
      <c r="A1189" s="3" t="s">
        <v>6</v>
      </c>
      <c r="B1189" s="3" t="s">
        <v>7</v>
      </c>
    </row>
    <row r="1190">
      <c r="A1190" s="3" t="s">
        <v>6</v>
      </c>
      <c r="B1190" s="3" t="s">
        <v>7</v>
      </c>
      <c r="C1190" s="3" t="s">
        <v>8</v>
      </c>
      <c r="D1190" s="3" t="s">
        <v>9</v>
      </c>
    </row>
    <row r="1191">
      <c r="A1191" s="3" t="s">
        <v>6</v>
      </c>
      <c r="B1191" s="3" t="s">
        <v>11</v>
      </c>
      <c r="C1191" s="3" t="s">
        <v>13</v>
      </c>
      <c r="D1191" s="3" t="s">
        <v>14</v>
      </c>
      <c r="E1191" s="3" t="s">
        <v>15</v>
      </c>
    </row>
    <row r="1192">
      <c r="A1192" s="3" t="s">
        <v>6</v>
      </c>
      <c r="B1192" s="3" t="s">
        <v>7</v>
      </c>
      <c r="C1192" s="3" t="s">
        <v>11</v>
      </c>
      <c r="D1192" s="3" t="s">
        <v>12</v>
      </c>
      <c r="E1192" s="3" t="s">
        <v>15</v>
      </c>
    </row>
    <row r="1193">
      <c r="A1193" s="3" t="s">
        <v>6</v>
      </c>
      <c r="B1193" s="3" t="s">
        <v>7</v>
      </c>
      <c r="C1193" s="3" t="s">
        <v>8</v>
      </c>
      <c r="D1193" s="3" t="s">
        <v>13</v>
      </c>
      <c r="E1193" s="3" t="s">
        <v>14</v>
      </c>
      <c r="F1193" s="3" t="s">
        <v>17</v>
      </c>
    </row>
    <row r="1194">
      <c r="A1194" s="3" t="s">
        <v>6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</row>
    <row r="1195">
      <c r="A1195" s="3" t="s">
        <v>6</v>
      </c>
      <c r="B1195" s="3" t="s">
        <v>13</v>
      </c>
      <c r="C1195" s="3" t="s">
        <v>14</v>
      </c>
      <c r="D1195" s="3" t="s">
        <v>16</v>
      </c>
      <c r="E1195" s="3" t="s">
        <v>17</v>
      </c>
      <c r="F1195" s="3" t="s">
        <v>18</v>
      </c>
    </row>
    <row r="1196">
      <c r="A1196" s="3" t="s">
        <v>6</v>
      </c>
      <c r="B1196" s="3" t="s">
        <v>7</v>
      </c>
      <c r="C1196" s="3" t="s">
        <v>8</v>
      </c>
      <c r="D1196" s="3" t="s">
        <v>9</v>
      </c>
      <c r="E1196" s="3" t="s">
        <v>24</v>
      </c>
    </row>
    <row r="1197">
      <c r="A1197" s="3" t="s">
        <v>6</v>
      </c>
      <c r="B1197" s="3" t="s">
        <v>7</v>
      </c>
      <c r="C1197" s="3" t="s">
        <v>13</v>
      </c>
      <c r="D1197" s="3" t="s">
        <v>14</v>
      </c>
      <c r="E1197" s="3" t="s">
        <v>18</v>
      </c>
    </row>
    <row r="1198">
      <c r="A1198" s="3" t="s">
        <v>6</v>
      </c>
      <c r="B1198" s="3" t="s">
        <v>13</v>
      </c>
      <c r="C1198" s="3" t="s">
        <v>14</v>
      </c>
      <c r="D1198" s="3" t="s">
        <v>15</v>
      </c>
      <c r="E1198" s="3" t="s">
        <v>17</v>
      </c>
    </row>
    <row r="1199">
      <c r="A1199" s="3" t="s">
        <v>6</v>
      </c>
      <c r="B1199" s="3" t="s">
        <v>7</v>
      </c>
      <c r="C1199" s="3" t="s">
        <v>11</v>
      </c>
    </row>
    <row r="1200">
      <c r="A1200" s="3" t="s">
        <v>6</v>
      </c>
      <c r="B1200" s="3" t="s">
        <v>7</v>
      </c>
      <c r="C1200" s="3" t="s">
        <v>11</v>
      </c>
    </row>
    <row r="1201">
      <c r="A1201" s="3" t="s">
        <v>6</v>
      </c>
      <c r="B1201" s="3" t="s">
        <v>7</v>
      </c>
      <c r="C1201" s="3" t="s">
        <v>11</v>
      </c>
      <c r="D1201" s="3" t="s">
        <v>12</v>
      </c>
    </row>
    <row r="1202">
      <c r="A1202" s="3" t="s">
        <v>6</v>
      </c>
      <c r="B1202" s="3" t="s">
        <v>7</v>
      </c>
      <c r="C1202" s="3" t="s">
        <v>11</v>
      </c>
      <c r="D1202" s="3" t="s">
        <v>12</v>
      </c>
    </row>
    <row r="1203">
      <c r="A1203" s="3" t="s">
        <v>6</v>
      </c>
      <c r="B1203" s="3" t="s">
        <v>8</v>
      </c>
      <c r="C1203" s="3" t="s">
        <v>15</v>
      </c>
      <c r="D1203" s="3" t="s">
        <v>17</v>
      </c>
    </row>
    <row r="1204">
      <c r="A1204" s="3" t="s">
        <v>6</v>
      </c>
      <c r="B1204" s="3" t="s">
        <v>7</v>
      </c>
      <c r="C1204" s="3" t="s">
        <v>11</v>
      </c>
      <c r="D1204" s="3" t="s">
        <v>15</v>
      </c>
      <c r="E1204" s="3" t="s">
        <v>16</v>
      </c>
    </row>
    <row r="1205">
      <c r="A1205" s="3" t="s">
        <v>6</v>
      </c>
      <c r="B1205" s="3" t="s">
        <v>8</v>
      </c>
      <c r="C1205" s="3" t="s">
        <v>9</v>
      </c>
    </row>
    <row r="1206">
      <c r="A1206" s="3" t="s">
        <v>6</v>
      </c>
      <c r="B1206" s="3" t="s">
        <v>7</v>
      </c>
      <c r="C1206" s="3" t="s">
        <v>8</v>
      </c>
      <c r="D1206" s="3" t="s">
        <v>11</v>
      </c>
      <c r="E1206" s="3" t="s">
        <v>12</v>
      </c>
    </row>
    <row r="1207">
      <c r="A1207" s="3" t="s">
        <v>6</v>
      </c>
      <c r="B1207" s="3" t="s">
        <v>7</v>
      </c>
      <c r="C1207" s="3" t="s">
        <v>8</v>
      </c>
      <c r="D1207" s="3" t="s">
        <v>9</v>
      </c>
      <c r="E1207" s="3" t="s">
        <v>15</v>
      </c>
      <c r="F1207" s="3" t="s">
        <v>17</v>
      </c>
    </row>
    <row r="1208">
      <c r="A1208" s="3" t="s">
        <v>6</v>
      </c>
      <c r="B1208" s="3" t="s">
        <v>7</v>
      </c>
      <c r="C1208" s="3" t="s">
        <v>8</v>
      </c>
    </row>
    <row r="1209">
      <c r="A1209" s="3" t="s">
        <v>6</v>
      </c>
      <c r="B1209" s="3" t="s">
        <v>7</v>
      </c>
      <c r="C1209" s="3" t="s">
        <v>9</v>
      </c>
      <c r="D1209" s="3" t="s">
        <v>13</v>
      </c>
      <c r="E1209" s="3" t="s">
        <v>14</v>
      </c>
      <c r="F1209" s="3" t="s">
        <v>15</v>
      </c>
    </row>
    <row r="1210">
      <c r="A1210" s="3" t="s">
        <v>6</v>
      </c>
      <c r="B1210" s="3" t="s">
        <v>7</v>
      </c>
    </row>
    <row r="1211">
      <c r="A1211" s="3" t="s">
        <v>6</v>
      </c>
      <c r="B1211" s="3" t="s">
        <v>7</v>
      </c>
      <c r="C1211" s="3" t="s">
        <v>11</v>
      </c>
      <c r="D1211" s="3" t="s">
        <v>15</v>
      </c>
    </row>
    <row r="1212">
      <c r="A1212" s="3" t="s">
        <v>6</v>
      </c>
      <c r="B1212" s="3" t="s">
        <v>13</v>
      </c>
      <c r="C1212" s="3" t="s">
        <v>15</v>
      </c>
    </row>
    <row r="1213">
      <c r="A1213" s="3" t="s">
        <v>6</v>
      </c>
      <c r="B1213" s="3" t="s">
        <v>7</v>
      </c>
      <c r="C1213" s="3" t="s">
        <v>8</v>
      </c>
      <c r="D1213" s="3" t="s">
        <v>15</v>
      </c>
      <c r="E1213" s="3" t="s">
        <v>16</v>
      </c>
      <c r="F1213" s="3" t="s">
        <v>17</v>
      </c>
    </row>
    <row r="1214">
      <c r="A1214" s="3" t="s">
        <v>6</v>
      </c>
      <c r="B1214" s="3" t="s">
        <v>7</v>
      </c>
      <c r="C1214" s="3" t="s">
        <v>11</v>
      </c>
      <c r="D1214" s="3" t="s">
        <v>12</v>
      </c>
      <c r="E1214" s="3" t="s">
        <v>15</v>
      </c>
      <c r="F1214" s="3" t="s">
        <v>17</v>
      </c>
    </row>
    <row r="1215">
      <c r="A1215" s="3" t="s">
        <v>6</v>
      </c>
      <c r="B1215" s="3" t="s">
        <v>7</v>
      </c>
      <c r="C1215" s="3" t="s">
        <v>8</v>
      </c>
      <c r="D1215" s="3" t="s">
        <v>9</v>
      </c>
      <c r="E1215" s="3" t="s">
        <v>12</v>
      </c>
    </row>
    <row r="1216">
      <c r="A1216" s="3" t="s">
        <v>6</v>
      </c>
      <c r="B1216" s="3" t="s">
        <v>7</v>
      </c>
      <c r="C1216" s="3" t="s">
        <v>15</v>
      </c>
    </row>
    <row r="1217">
      <c r="A1217" s="3" t="s">
        <v>6</v>
      </c>
      <c r="B1217" s="3" t="s">
        <v>7</v>
      </c>
      <c r="C1217" s="3" t="s">
        <v>11</v>
      </c>
      <c r="D1217" s="3" t="s">
        <v>12</v>
      </c>
      <c r="E1217" s="3" t="s">
        <v>15</v>
      </c>
    </row>
    <row r="1218">
      <c r="A1218" s="3" t="s">
        <v>6</v>
      </c>
      <c r="B1218" s="3" t="s">
        <v>13</v>
      </c>
      <c r="C1218" s="3" t="s">
        <v>14</v>
      </c>
      <c r="D1218" s="3" t="s">
        <v>15</v>
      </c>
      <c r="E1218" s="3" t="s">
        <v>16</v>
      </c>
    </row>
    <row r="1219">
      <c r="A1219" s="3" t="s">
        <v>6</v>
      </c>
      <c r="B1219" s="3" t="s">
        <v>7</v>
      </c>
      <c r="C1219" s="3" t="s">
        <v>11</v>
      </c>
      <c r="D1219" s="3" t="s">
        <v>12</v>
      </c>
      <c r="E1219" s="3" t="s">
        <v>24</v>
      </c>
    </row>
    <row r="1220">
      <c r="A1220" s="3" t="s">
        <v>6</v>
      </c>
      <c r="B1220" s="3" t="s">
        <v>7</v>
      </c>
      <c r="C1220" s="3" t="s">
        <v>8</v>
      </c>
      <c r="D1220" s="3" t="s">
        <v>11</v>
      </c>
      <c r="E1220" s="3" t="s">
        <v>12</v>
      </c>
      <c r="F1220" s="3" t="s">
        <v>15</v>
      </c>
    </row>
    <row r="1221">
      <c r="A1221" s="3" t="s">
        <v>6</v>
      </c>
      <c r="B1221" s="3" t="s">
        <v>7</v>
      </c>
      <c r="C1221" s="3" t="s">
        <v>8</v>
      </c>
      <c r="D1221" s="3" t="s">
        <v>9</v>
      </c>
    </row>
    <row r="1222">
      <c r="A1222" s="3" t="s">
        <v>6</v>
      </c>
      <c r="B1222" s="3" t="s">
        <v>7</v>
      </c>
      <c r="C1222" s="3" t="s">
        <v>11</v>
      </c>
      <c r="D1222" s="3" t="s">
        <v>12</v>
      </c>
      <c r="E1222" s="3" t="s">
        <v>14</v>
      </c>
      <c r="F1222" s="3" t="s">
        <v>17</v>
      </c>
    </row>
    <row r="1223">
      <c r="A1223" s="3" t="s">
        <v>6</v>
      </c>
      <c r="B1223" s="3" t="s">
        <v>7</v>
      </c>
      <c r="C1223" s="3" t="s">
        <v>13</v>
      </c>
    </row>
    <row r="1224">
      <c r="A1224" s="3" t="s">
        <v>6</v>
      </c>
      <c r="B1224" s="3" t="s">
        <v>7</v>
      </c>
    </row>
    <row r="1225">
      <c r="A1225" s="3" t="s">
        <v>6</v>
      </c>
      <c r="B1225" s="3" t="s">
        <v>7</v>
      </c>
    </row>
    <row r="1226">
      <c r="A1226" s="3" t="s">
        <v>6</v>
      </c>
    </row>
    <row r="1227">
      <c r="A1227" s="3" t="s">
        <v>6</v>
      </c>
      <c r="B1227" s="3" t="s">
        <v>8</v>
      </c>
      <c r="C1227" s="3" t="s">
        <v>9</v>
      </c>
      <c r="D1227" s="3" t="s">
        <v>15</v>
      </c>
      <c r="E1227" s="3" t="s">
        <v>16</v>
      </c>
      <c r="F1227" s="3" t="s">
        <v>24</v>
      </c>
    </row>
    <row r="1228">
      <c r="A1228" s="3" t="s">
        <v>6</v>
      </c>
      <c r="B1228" s="3" t="s">
        <v>7</v>
      </c>
      <c r="C1228" s="3" t="s">
        <v>8</v>
      </c>
    </row>
    <row r="1229">
      <c r="A1229" s="3" t="s">
        <v>6</v>
      </c>
      <c r="B1229" s="3" t="s">
        <v>10</v>
      </c>
    </row>
    <row r="1230">
      <c r="A1230" s="3" t="s">
        <v>6</v>
      </c>
      <c r="B1230" s="3" t="s">
        <v>15</v>
      </c>
      <c r="C1230" s="3" t="s">
        <v>16</v>
      </c>
    </row>
    <row r="1231">
      <c r="A1231" s="3" t="s">
        <v>6</v>
      </c>
      <c r="B1231" s="3" t="s">
        <v>13</v>
      </c>
      <c r="C1231" s="3" t="s">
        <v>14</v>
      </c>
    </row>
    <row r="1232">
      <c r="A1232" s="3" t="s">
        <v>6</v>
      </c>
      <c r="B1232" s="3" t="s">
        <v>13</v>
      </c>
      <c r="C1232" s="3" t="s">
        <v>14</v>
      </c>
    </row>
    <row r="1233">
      <c r="A1233" s="3" t="s">
        <v>6</v>
      </c>
      <c r="B1233" s="3" t="s">
        <v>7</v>
      </c>
      <c r="C1233" s="3" t="s">
        <v>13</v>
      </c>
      <c r="D1233" s="3" t="s">
        <v>14</v>
      </c>
    </row>
    <row r="1234">
      <c r="A1234" s="3" t="s">
        <v>6</v>
      </c>
      <c r="B1234" s="3" t="s">
        <v>11</v>
      </c>
      <c r="C1234" s="3" t="s">
        <v>12</v>
      </c>
      <c r="D1234" s="3" t="s">
        <v>15</v>
      </c>
    </row>
    <row r="1235">
      <c r="A1235" s="3" t="s">
        <v>6</v>
      </c>
    </row>
    <row r="1236">
      <c r="A1236" s="3" t="s">
        <v>6</v>
      </c>
      <c r="B1236" s="3" t="s">
        <v>15</v>
      </c>
    </row>
    <row r="1237">
      <c r="A1237" s="3" t="s">
        <v>6</v>
      </c>
      <c r="B1237" s="3" t="s">
        <v>15</v>
      </c>
      <c r="C1237" s="3" t="s">
        <v>16</v>
      </c>
    </row>
    <row r="1238">
      <c r="A1238" s="3" t="s">
        <v>6</v>
      </c>
      <c r="B1238" s="3" t="s">
        <v>16</v>
      </c>
    </row>
    <row r="1239">
      <c r="A1239" s="3" t="s">
        <v>6</v>
      </c>
      <c r="B1239" s="3" t="s">
        <v>7</v>
      </c>
      <c r="C1239" s="3" t="s">
        <v>8</v>
      </c>
      <c r="D1239" s="3" t="s">
        <v>15</v>
      </c>
      <c r="E1239" s="3" t="s">
        <v>16</v>
      </c>
    </row>
    <row r="1240">
      <c r="A1240" s="3" t="s">
        <v>6</v>
      </c>
      <c r="B1240" s="3" t="s">
        <v>11</v>
      </c>
      <c r="C1240" s="3" t="s">
        <v>12</v>
      </c>
    </row>
    <row r="1241">
      <c r="A1241" s="3" t="s">
        <v>6</v>
      </c>
      <c r="B1241" s="3" t="s">
        <v>7</v>
      </c>
      <c r="C1241" s="3" t="s">
        <v>11</v>
      </c>
      <c r="D1241" s="3" t="s">
        <v>12</v>
      </c>
      <c r="E1241" s="3" t="s">
        <v>13</v>
      </c>
      <c r="F1241" s="3" t="s">
        <v>17</v>
      </c>
    </row>
    <row r="1242">
      <c r="A1242" s="3" t="s">
        <v>6</v>
      </c>
      <c r="B1242" s="3" t="s">
        <v>7</v>
      </c>
      <c r="C1242" s="3" t="s">
        <v>8</v>
      </c>
      <c r="D1242" s="3" t="s">
        <v>11</v>
      </c>
      <c r="E1242" s="3" t="s">
        <v>12</v>
      </c>
      <c r="F1242" s="3" t="s">
        <v>15</v>
      </c>
    </row>
    <row r="1243">
      <c r="A1243" s="3" t="s">
        <v>6</v>
      </c>
      <c r="B1243" s="3" t="s">
        <v>11</v>
      </c>
      <c r="C1243" s="3" t="s">
        <v>12</v>
      </c>
    </row>
    <row r="1244">
      <c r="A1244" s="3" t="s">
        <v>6</v>
      </c>
      <c r="B1244" s="3" t="s">
        <v>11</v>
      </c>
      <c r="C1244" s="3" t="s">
        <v>12</v>
      </c>
      <c r="D1244" s="3" t="s">
        <v>15</v>
      </c>
      <c r="E1244" s="3" t="s">
        <v>17</v>
      </c>
    </row>
    <row r="1245">
      <c r="A1245" s="3" t="s">
        <v>609</v>
      </c>
    </row>
    <row r="1246">
      <c r="A1246" s="3" t="s">
        <v>7</v>
      </c>
      <c r="B1246" s="3" t="s">
        <v>11</v>
      </c>
      <c r="C1246" s="3" t="s">
        <v>13</v>
      </c>
      <c r="D1246" s="3" t="s">
        <v>14</v>
      </c>
      <c r="E1246" s="3" t="s">
        <v>17</v>
      </c>
      <c r="F1246" s="3" t="s">
        <v>18</v>
      </c>
    </row>
    <row r="1247">
      <c r="A1247" s="3" t="s">
        <v>7</v>
      </c>
      <c r="B1247" s="3" t="s">
        <v>9</v>
      </c>
      <c r="C1247" s="3" t="s">
        <v>12</v>
      </c>
      <c r="D1247" s="3" t="s">
        <v>15</v>
      </c>
      <c r="E1247" s="3" t="s">
        <v>17</v>
      </c>
    </row>
    <row r="1248">
      <c r="A1248" s="3" t="s">
        <v>7</v>
      </c>
      <c r="B1248" s="3" t="s">
        <v>8</v>
      </c>
      <c r="C1248" s="3" t="s">
        <v>9</v>
      </c>
      <c r="D1248" s="3" t="s">
        <v>14</v>
      </c>
      <c r="E1248" s="3" t="s">
        <v>17</v>
      </c>
      <c r="F1248" s="3" t="s">
        <v>18</v>
      </c>
    </row>
    <row r="1249">
      <c r="A1249" s="3" t="s">
        <v>7</v>
      </c>
      <c r="B1249" s="3" t="s">
        <v>8</v>
      </c>
      <c r="C1249" s="3" t="s">
        <v>11</v>
      </c>
      <c r="D1249" s="3" t="s">
        <v>12</v>
      </c>
      <c r="E1249" s="3" t="s">
        <v>15</v>
      </c>
      <c r="F1249" s="3" t="s">
        <v>17</v>
      </c>
    </row>
    <row r="1250">
      <c r="A1250" s="3" t="s">
        <v>7</v>
      </c>
      <c r="B1250" s="3" t="s">
        <v>8</v>
      </c>
      <c r="C1250" s="3" t="s">
        <v>9</v>
      </c>
      <c r="D1250" s="3" t="s">
        <v>11</v>
      </c>
      <c r="E1250" s="3" t="s">
        <v>12</v>
      </c>
      <c r="F1250" s="3" t="s">
        <v>24</v>
      </c>
    </row>
    <row r="1251">
      <c r="A1251" s="3" t="s">
        <v>7</v>
      </c>
      <c r="B1251" s="3" t="s">
        <v>8</v>
      </c>
      <c r="C1251" s="3" t="s">
        <v>9</v>
      </c>
      <c r="D1251" s="3" t="s">
        <v>10</v>
      </c>
      <c r="E1251" s="3" t="s">
        <v>17</v>
      </c>
      <c r="F1251" s="3" t="s">
        <v>24</v>
      </c>
    </row>
    <row r="1252">
      <c r="A1252" s="3" t="s">
        <v>7</v>
      </c>
      <c r="B1252" s="3" t="s">
        <v>9</v>
      </c>
      <c r="C1252" s="3" t="s">
        <v>11</v>
      </c>
      <c r="D1252" s="3" t="s">
        <v>12</v>
      </c>
      <c r="E1252" s="3" t="s">
        <v>17</v>
      </c>
      <c r="F1252" s="3" t="s">
        <v>18</v>
      </c>
    </row>
    <row r="1253">
      <c r="A1253" s="3" t="s">
        <v>7</v>
      </c>
      <c r="B1253" s="3" t="s">
        <v>9</v>
      </c>
      <c r="C1253" s="3" t="s">
        <v>13</v>
      </c>
      <c r="D1253" s="3" t="s">
        <v>14</v>
      </c>
      <c r="E1253" s="3" t="s">
        <v>17</v>
      </c>
      <c r="F1253" s="3" t="s">
        <v>18</v>
      </c>
    </row>
    <row r="1254">
      <c r="A1254" s="3" t="s">
        <v>7</v>
      </c>
      <c r="B1254" s="3" t="s">
        <v>10</v>
      </c>
      <c r="C1254" s="3" t="s">
        <v>12</v>
      </c>
    </row>
    <row r="1255">
      <c r="A1255" s="3" t="s">
        <v>7</v>
      </c>
      <c r="B1255" s="3" t="s">
        <v>16</v>
      </c>
    </row>
    <row r="1256">
      <c r="A1256" s="3" t="s">
        <v>7</v>
      </c>
      <c r="B1256" s="3" t="s">
        <v>8</v>
      </c>
    </row>
    <row r="1257">
      <c r="A1257" s="3" t="s">
        <v>7</v>
      </c>
      <c r="B1257" s="3" t="s">
        <v>8</v>
      </c>
      <c r="C1257" s="3" t="s">
        <v>9</v>
      </c>
      <c r="D1257" s="3" t="s">
        <v>15</v>
      </c>
      <c r="E1257" s="3" t="s">
        <v>16</v>
      </c>
    </row>
    <row r="1258">
      <c r="A1258" s="3" t="s">
        <v>7</v>
      </c>
      <c r="B1258" s="3" t="s">
        <v>11</v>
      </c>
      <c r="C1258" s="3" t="s">
        <v>13</v>
      </c>
      <c r="D1258" s="3" t="s">
        <v>15</v>
      </c>
      <c r="E1258" s="3" t="s">
        <v>16</v>
      </c>
      <c r="F1258" s="3" t="s">
        <v>17</v>
      </c>
    </row>
    <row r="1259">
      <c r="A1259" s="3" t="s">
        <v>7</v>
      </c>
      <c r="B1259" s="3" t="s">
        <v>11</v>
      </c>
      <c r="C1259" s="3" t="s">
        <v>12</v>
      </c>
      <c r="D1259" s="3" t="s">
        <v>13</v>
      </c>
      <c r="E1259" s="3" t="s">
        <v>15</v>
      </c>
      <c r="F1259" s="3" t="s">
        <v>17</v>
      </c>
    </row>
    <row r="1260">
      <c r="A1260" s="3" t="s">
        <v>7</v>
      </c>
      <c r="B1260" s="3" t="s">
        <v>8</v>
      </c>
      <c r="C1260" s="3" t="s">
        <v>9</v>
      </c>
      <c r="D1260" s="3" t="s">
        <v>15</v>
      </c>
      <c r="E1260" s="3" t="s">
        <v>16</v>
      </c>
      <c r="F1260" s="3" t="s">
        <v>24</v>
      </c>
    </row>
    <row r="1261">
      <c r="A1261" s="3" t="s">
        <v>7</v>
      </c>
      <c r="B1261" s="3" t="s">
        <v>11</v>
      </c>
      <c r="C1261" s="3" t="s">
        <v>12</v>
      </c>
      <c r="D1261" s="3" t="s">
        <v>13</v>
      </c>
      <c r="E1261" s="3" t="s">
        <v>15</v>
      </c>
      <c r="F1261" s="3" t="s">
        <v>17</v>
      </c>
    </row>
    <row r="1262">
      <c r="A1262" s="3" t="s">
        <v>7</v>
      </c>
      <c r="B1262" s="3" t="s">
        <v>8</v>
      </c>
      <c r="C1262" s="3" t="s">
        <v>9</v>
      </c>
      <c r="D1262" s="3" t="s">
        <v>16</v>
      </c>
    </row>
    <row r="1263">
      <c r="A1263" s="3" t="s">
        <v>7</v>
      </c>
      <c r="B1263" s="3" t="s">
        <v>8</v>
      </c>
    </row>
    <row r="1264">
      <c r="A1264" s="3" t="s">
        <v>7</v>
      </c>
      <c r="B1264" s="3" t="s">
        <v>15</v>
      </c>
    </row>
    <row r="1265">
      <c r="A1265" s="3" t="s">
        <v>7</v>
      </c>
      <c r="B1265" s="3" t="s">
        <v>8</v>
      </c>
      <c r="C1265" s="3" t="s">
        <v>13</v>
      </c>
      <c r="D1265" s="3" t="s">
        <v>14</v>
      </c>
      <c r="E1265" s="3" t="s">
        <v>17</v>
      </c>
    </row>
    <row r="1266">
      <c r="A1266" s="3" t="s">
        <v>7</v>
      </c>
      <c r="B1266" s="3" t="s">
        <v>8</v>
      </c>
      <c r="C1266" s="3" t="s">
        <v>15</v>
      </c>
      <c r="D1266" s="3" t="s">
        <v>16</v>
      </c>
      <c r="E1266" s="3" t="s">
        <v>17</v>
      </c>
    </row>
    <row r="1267">
      <c r="A1267" s="3" t="s">
        <v>7</v>
      </c>
      <c r="B1267" s="3" t="s">
        <v>11</v>
      </c>
    </row>
    <row r="1268">
      <c r="A1268" s="3" t="s">
        <v>7</v>
      </c>
      <c r="B1268" s="3" t="s">
        <v>8</v>
      </c>
      <c r="C1268" s="3" t="s">
        <v>15</v>
      </c>
      <c r="D1268" s="3" t="s">
        <v>16</v>
      </c>
    </row>
    <row r="1269">
      <c r="A1269" s="3" t="s">
        <v>7</v>
      </c>
      <c r="B1269" s="3" t="s">
        <v>15</v>
      </c>
    </row>
    <row r="1270">
      <c r="A1270" s="3" t="s">
        <v>7</v>
      </c>
      <c r="B1270" s="3" t="s">
        <v>15</v>
      </c>
      <c r="C1270" s="3" t="s">
        <v>16</v>
      </c>
    </row>
    <row r="1271">
      <c r="A1271" s="3" t="s">
        <v>7</v>
      </c>
      <c r="B1271" s="3" t="s">
        <v>8</v>
      </c>
      <c r="C1271" s="3" t="s">
        <v>11</v>
      </c>
      <c r="D1271" s="3" t="s">
        <v>12</v>
      </c>
      <c r="E1271" s="3" t="s">
        <v>15</v>
      </c>
      <c r="F1271" s="3" t="s">
        <v>17</v>
      </c>
    </row>
    <row r="1272">
      <c r="A1272" s="3" t="s">
        <v>7</v>
      </c>
      <c r="B1272" s="3" t="s">
        <v>15</v>
      </c>
      <c r="C1272" s="3" t="s">
        <v>17</v>
      </c>
    </row>
    <row r="1273">
      <c r="A1273" s="3" t="s">
        <v>7</v>
      </c>
      <c r="B1273" s="3" t="s">
        <v>8</v>
      </c>
      <c r="C1273" s="3" t="s">
        <v>9</v>
      </c>
      <c r="D1273" s="3" t="s">
        <v>10</v>
      </c>
      <c r="E1273" s="3" t="s">
        <v>18</v>
      </c>
      <c r="F1273" s="3" t="s">
        <v>24</v>
      </c>
    </row>
    <row r="1274">
      <c r="A1274" s="3" t="s">
        <v>7</v>
      </c>
      <c r="B1274" s="3" t="s">
        <v>8</v>
      </c>
      <c r="C1274" s="3" t="s">
        <v>11</v>
      </c>
      <c r="D1274" s="3" t="s">
        <v>12</v>
      </c>
      <c r="E1274" s="3" t="s">
        <v>17</v>
      </c>
      <c r="F1274" s="3" t="s">
        <v>18</v>
      </c>
    </row>
    <row r="1275">
      <c r="A1275" s="3" t="s">
        <v>8</v>
      </c>
      <c r="B1275" s="3" t="s">
        <v>9</v>
      </c>
      <c r="C1275" s="3" t="s">
        <v>12</v>
      </c>
      <c r="D1275" s="3" t="s">
        <v>17</v>
      </c>
      <c r="E1275" s="3" t="s">
        <v>18</v>
      </c>
      <c r="F1275" s="3" t="s">
        <v>24</v>
      </c>
    </row>
    <row r="1276">
      <c r="A1276" s="3" t="s">
        <v>8</v>
      </c>
      <c r="B1276" s="3" t="s">
        <v>9</v>
      </c>
      <c r="C1276" s="3" t="s">
        <v>10</v>
      </c>
      <c r="D1276" s="3" t="s">
        <v>15</v>
      </c>
      <c r="E1276" s="3" t="s">
        <v>16</v>
      </c>
      <c r="F1276" s="3" t="s">
        <v>24</v>
      </c>
    </row>
    <row r="1277">
      <c r="A1277" s="3" t="s">
        <v>8</v>
      </c>
      <c r="B1277" s="3" t="s">
        <v>9</v>
      </c>
      <c r="C1277" s="3" t="s">
        <v>12</v>
      </c>
      <c r="D1277" s="3" t="s">
        <v>16</v>
      </c>
      <c r="E1277" s="3" t="s">
        <v>18</v>
      </c>
      <c r="F1277" s="3" t="s">
        <v>24</v>
      </c>
    </row>
    <row r="1278">
      <c r="A1278" s="3" t="s">
        <v>8</v>
      </c>
      <c r="B1278" s="3" t="s">
        <v>9</v>
      </c>
      <c r="C1278" s="3" t="s">
        <v>10</v>
      </c>
      <c r="D1278" s="3" t="s">
        <v>17</v>
      </c>
      <c r="E1278" s="3" t="s">
        <v>18</v>
      </c>
      <c r="F1278" s="3" t="s">
        <v>24</v>
      </c>
    </row>
    <row r="1279">
      <c r="A1279" s="3" t="s">
        <v>8</v>
      </c>
      <c r="B1279" s="3" t="s">
        <v>9</v>
      </c>
      <c r="C1279" s="3" t="s">
        <v>10</v>
      </c>
      <c r="D1279" s="3" t="s">
        <v>16</v>
      </c>
      <c r="E1279" s="3" t="s">
        <v>18</v>
      </c>
      <c r="F1279" s="3" t="s">
        <v>24</v>
      </c>
    </row>
    <row r="1280">
      <c r="A1280" s="3" t="s">
        <v>8</v>
      </c>
      <c r="B1280" s="3" t="s">
        <v>9</v>
      </c>
      <c r="C1280" s="3" t="s">
        <v>10</v>
      </c>
      <c r="D1280" s="3" t="s">
        <v>14</v>
      </c>
      <c r="E1280" s="3" t="s">
        <v>18</v>
      </c>
      <c r="F1280" s="3" t="s">
        <v>24</v>
      </c>
    </row>
    <row r="1281">
      <c r="A1281" s="3" t="s">
        <v>8</v>
      </c>
      <c r="B1281" s="3" t="s">
        <v>9</v>
      </c>
      <c r="C1281" s="3" t="s">
        <v>10</v>
      </c>
      <c r="D1281" s="3" t="s">
        <v>12</v>
      </c>
      <c r="E1281" s="3" t="s">
        <v>17</v>
      </c>
      <c r="F1281" s="3" t="s">
        <v>18</v>
      </c>
    </row>
    <row r="1282">
      <c r="A1282" s="3" t="s">
        <v>8</v>
      </c>
      <c r="B1282" s="3" t="s">
        <v>9</v>
      </c>
      <c r="C1282" s="3" t="s">
        <v>10</v>
      </c>
      <c r="D1282" s="3" t="s">
        <v>18</v>
      </c>
      <c r="E1282" s="3" t="s">
        <v>24</v>
      </c>
    </row>
    <row r="1283">
      <c r="A1283" s="3" t="s">
        <v>8</v>
      </c>
      <c r="B1283" s="3" t="s">
        <v>9</v>
      </c>
      <c r="C1283" s="3" t="s">
        <v>17</v>
      </c>
      <c r="D1283" s="3" t="s">
        <v>18</v>
      </c>
      <c r="E1283" s="3" t="s">
        <v>24</v>
      </c>
    </row>
    <row r="1284">
      <c r="A1284" s="3" t="s">
        <v>8</v>
      </c>
      <c r="B1284" s="3" t="s">
        <v>9</v>
      </c>
      <c r="C1284" s="3" t="s">
        <v>10</v>
      </c>
      <c r="D1284" s="3" t="s">
        <v>17</v>
      </c>
      <c r="E1284" s="3" t="s">
        <v>18</v>
      </c>
    </row>
    <row r="1285">
      <c r="A1285" s="3" t="s">
        <v>8</v>
      </c>
      <c r="B1285" s="3" t="s">
        <v>9</v>
      </c>
      <c r="C1285" s="3" t="s">
        <v>10</v>
      </c>
      <c r="D1285" s="3" t="s">
        <v>18</v>
      </c>
      <c r="E1285" s="3" t="s">
        <v>24</v>
      </c>
    </row>
    <row r="1286">
      <c r="A1286" s="3" t="s">
        <v>8</v>
      </c>
      <c r="B1286" s="3" t="s">
        <v>11</v>
      </c>
      <c r="C1286" s="3" t="s">
        <v>12</v>
      </c>
      <c r="D1286" s="3" t="s">
        <v>13</v>
      </c>
      <c r="E1286" s="3" t="s">
        <v>14</v>
      </c>
      <c r="F1286" s="3" t="s">
        <v>15</v>
      </c>
    </row>
    <row r="1287">
      <c r="A1287" s="3" t="s">
        <v>8</v>
      </c>
      <c r="B1287" s="3" t="s">
        <v>9</v>
      </c>
      <c r="C1287" s="3" t="s">
        <v>11</v>
      </c>
      <c r="D1287" s="3" t="s">
        <v>12</v>
      </c>
      <c r="E1287" s="3" t="s">
        <v>18</v>
      </c>
      <c r="F1287" s="3" t="s">
        <v>24</v>
      </c>
    </row>
    <row r="1288">
      <c r="A1288" s="3" t="s">
        <v>8</v>
      </c>
      <c r="B1288" s="3" t="s">
        <v>9</v>
      </c>
      <c r="C1288" s="3" t="s">
        <v>15</v>
      </c>
      <c r="D1288" s="3" t="s">
        <v>16</v>
      </c>
      <c r="E1288" s="3" t="s">
        <v>17</v>
      </c>
      <c r="F1288" s="3" t="s">
        <v>18</v>
      </c>
    </row>
    <row r="1289">
      <c r="A1289" s="3" t="s">
        <v>8</v>
      </c>
      <c r="B1289" s="3" t="s">
        <v>9</v>
      </c>
      <c r="C1289" s="3" t="s">
        <v>18</v>
      </c>
      <c r="D1289" s="3" t="s">
        <v>24</v>
      </c>
    </row>
    <row r="1290">
      <c r="A1290" s="3" t="s">
        <v>8</v>
      </c>
      <c r="B1290" s="3" t="s">
        <v>16</v>
      </c>
      <c r="C1290" s="3" t="s">
        <v>17</v>
      </c>
      <c r="D1290" s="3" t="s">
        <v>18</v>
      </c>
    </row>
    <row r="1291">
      <c r="A1291" s="3" t="s">
        <v>8</v>
      </c>
      <c r="B1291" s="3" t="s">
        <v>9</v>
      </c>
      <c r="C1291" s="3" t="s">
        <v>10</v>
      </c>
      <c r="D1291" s="3" t="s">
        <v>17</v>
      </c>
      <c r="E1291" s="3" t="s">
        <v>18</v>
      </c>
      <c r="F1291" s="3" t="s">
        <v>24</v>
      </c>
    </row>
    <row r="1292">
      <c r="A1292" s="3" t="s">
        <v>8</v>
      </c>
      <c r="B1292" s="3" t="s">
        <v>9</v>
      </c>
      <c r="C1292" s="3" t="s">
        <v>10</v>
      </c>
      <c r="D1292" s="3" t="s">
        <v>12</v>
      </c>
      <c r="E1292" s="3" t="s">
        <v>18</v>
      </c>
      <c r="F1292" s="3" t="s">
        <v>24</v>
      </c>
    </row>
    <row r="1293">
      <c r="A1293" s="3" t="s">
        <v>8</v>
      </c>
      <c r="B1293" s="3" t="s">
        <v>11</v>
      </c>
      <c r="C1293" s="3" t="s">
        <v>12</v>
      </c>
      <c r="D1293" s="3" t="s">
        <v>15</v>
      </c>
      <c r="E1293" s="3" t="s">
        <v>17</v>
      </c>
      <c r="F1293" s="3" t="s">
        <v>18</v>
      </c>
    </row>
    <row r="1294">
      <c r="A1294" s="3" t="s">
        <v>8</v>
      </c>
      <c r="B1294" s="3" t="s">
        <v>9</v>
      </c>
    </row>
    <row r="1295">
      <c r="A1295" s="3" t="s">
        <v>8</v>
      </c>
      <c r="B1295" s="3" t="s">
        <v>11</v>
      </c>
      <c r="C1295" s="3" t="s">
        <v>12</v>
      </c>
      <c r="D1295" s="3" t="s">
        <v>13</v>
      </c>
      <c r="E1295" s="3" t="s">
        <v>14</v>
      </c>
      <c r="F1295" s="3" t="s">
        <v>18</v>
      </c>
    </row>
    <row r="1296">
      <c r="A1296" s="3" t="s">
        <v>8</v>
      </c>
      <c r="B1296" s="3" t="s">
        <v>12</v>
      </c>
    </row>
    <row r="1297">
      <c r="A1297" s="3" t="s">
        <v>8</v>
      </c>
      <c r="B1297" s="3" t="s">
        <v>9</v>
      </c>
      <c r="C1297" s="3" t="s">
        <v>10</v>
      </c>
      <c r="D1297" s="3" t="s">
        <v>24</v>
      </c>
    </row>
    <row r="1298">
      <c r="A1298" s="3" t="s">
        <v>8</v>
      </c>
      <c r="B1298" s="3" t="s">
        <v>9</v>
      </c>
      <c r="C1298" s="3" t="s">
        <v>13</v>
      </c>
      <c r="D1298" s="3" t="s">
        <v>24</v>
      </c>
    </row>
    <row r="1299">
      <c r="A1299" s="3" t="s">
        <v>8</v>
      </c>
      <c r="B1299" s="3" t="s">
        <v>11</v>
      </c>
      <c r="C1299" s="3" t="s">
        <v>12</v>
      </c>
      <c r="D1299" s="3" t="s">
        <v>17</v>
      </c>
    </row>
    <row r="1300">
      <c r="A1300" s="3" t="s">
        <v>8</v>
      </c>
      <c r="B1300" s="3" t="s">
        <v>9</v>
      </c>
      <c r="C1300" s="3" t="s">
        <v>11</v>
      </c>
      <c r="D1300" s="3" t="s">
        <v>12</v>
      </c>
    </row>
    <row r="1301">
      <c r="A1301" s="3" t="s">
        <v>8</v>
      </c>
      <c r="B1301" s="3" t="s">
        <v>11</v>
      </c>
      <c r="C1301" s="3" t="s">
        <v>18</v>
      </c>
    </row>
    <row r="1302">
      <c r="A1302" s="3" t="s">
        <v>8</v>
      </c>
    </row>
    <row r="1303">
      <c r="A1303" s="3" t="s">
        <v>8</v>
      </c>
      <c r="B1303" s="3" t="s">
        <v>11</v>
      </c>
      <c r="C1303" s="3" t="s">
        <v>12</v>
      </c>
    </row>
    <row r="1304">
      <c r="A1304" s="3" t="s">
        <v>8</v>
      </c>
      <c r="B1304" s="3" t="s">
        <v>11</v>
      </c>
      <c r="C1304" s="3" t="s">
        <v>12</v>
      </c>
      <c r="D1304" s="3" t="s">
        <v>15</v>
      </c>
      <c r="E1304" s="3" t="s">
        <v>16</v>
      </c>
      <c r="F1304" s="3" t="s">
        <v>17</v>
      </c>
    </row>
    <row r="1305">
      <c r="A1305" s="3" t="s">
        <v>8</v>
      </c>
    </row>
    <row r="1306">
      <c r="A1306" s="3" t="s">
        <v>8</v>
      </c>
      <c r="B1306" s="3" t="s">
        <v>12</v>
      </c>
      <c r="C1306" s="3" t="s">
        <v>16</v>
      </c>
      <c r="D1306" s="3" t="s">
        <v>24</v>
      </c>
    </row>
    <row r="1307">
      <c r="A1307" s="3" t="s">
        <v>9</v>
      </c>
      <c r="B1307" s="3" t="s">
        <v>12</v>
      </c>
      <c r="C1307" s="3" t="s">
        <v>15</v>
      </c>
      <c r="D1307" s="3" t="s">
        <v>16</v>
      </c>
      <c r="E1307" s="3" t="s">
        <v>17</v>
      </c>
      <c r="F1307" s="3" t="s">
        <v>18</v>
      </c>
    </row>
    <row r="1308">
      <c r="A1308" s="3" t="s">
        <v>9</v>
      </c>
      <c r="B1308" s="3" t="s">
        <v>15</v>
      </c>
      <c r="C1308" s="3" t="s">
        <v>16</v>
      </c>
      <c r="D1308" s="3" t="s">
        <v>17</v>
      </c>
      <c r="E1308" s="3" t="s">
        <v>18</v>
      </c>
      <c r="F1308" s="3" t="s">
        <v>24</v>
      </c>
    </row>
    <row r="1309">
      <c r="A1309" s="3" t="s">
        <v>9</v>
      </c>
      <c r="B1309" s="3" t="s">
        <v>14</v>
      </c>
      <c r="C1309" s="3" t="s">
        <v>15</v>
      </c>
      <c r="D1309" s="3" t="s">
        <v>16</v>
      </c>
      <c r="E1309" s="3" t="s">
        <v>17</v>
      </c>
      <c r="F1309" s="3" t="s">
        <v>18</v>
      </c>
    </row>
    <row r="1310">
      <c r="A1310" s="3" t="s">
        <v>9</v>
      </c>
      <c r="B1310" s="3" t="s">
        <v>14</v>
      </c>
      <c r="C1310" s="3" t="s">
        <v>15</v>
      </c>
      <c r="D1310" s="3" t="s">
        <v>16</v>
      </c>
      <c r="E1310" s="3" t="s">
        <v>18</v>
      </c>
      <c r="F1310" s="3" t="s">
        <v>24</v>
      </c>
    </row>
    <row r="1311">
      <c r="A1311" s="3" t="s">
        <v>10</v>
      </c>
      <c r="B1311" s="3" t="s">
        <v>15</v>
      </c>
      <c r="C1311" s="3" t="s">
        <v>16</v>
      </c>
    </row>
    <row r="1312">
      <c r="A1312" s="3" t="s">
        <v>10</v>
      </c>
      <c r="B1312" s="3" t="s">
        <v>16</v>
      </c>
      <c r="C1312" s="3" t="s">
        <v>18</v>
      </c>
      <c r="D1312" s="3" t="s">
        <v>24</v>
      </c>
    </row>
    <row r="1313">
      <c r="A1313" s="3" t="s">
        <v>10</v>
      </c>
      <c r="B1313" s="3" t="s">
        <v>13</v>
      </c>
      <c r="C1313" s="3" t="s">
        <v>14</v>
      </c>
    </row>
    <row r="1314">
      <c r="A1314" s="3" t="s">
        <v>10</v>
      </c>
      <c r="B1314" s="3" t="s">
        <v>13</v>
      </c>
      <c r="C1314" s="3" t="s">
        <v>14</v>
      </c>
      <c r="D1314" s="3" t="s">
        <v>24</v>
      </c>
    </row>
    <row r="1315">
      <c r="A1315" s="3" t="s">
        <v>10</v>
      </c>
    </row>
    <row r="1316">
      <c r="A1316" s="3" t="s">
        <v>10</v>
      </c>
    </row>
    <row r="1317">
      <c r="A1317" s="3" t="s">
        <v>10</v>
      </c>
    </row>
    <row r="1318">
      <c r="A1318" s="3" t="s">
        <v>11</v>
      </c>
      <c r="B1318" s="3" t="s">
        <v>12</v>
      </c>
      <c r="C1318" s="3" t="s">
        <v>15</v>
      </c>
    </row>
    <row r="1319">
      <c r="A1319" s="3" t="s">
        <v>11</v>
      </c>
      <c r="B1319" s="3" t="s">
        <v>12</v>
      </c>
      <c r="C1319" s="3" t="s">
        <v>13</v>
      </c>
      <c r="D1319" s="3" t="s">
        <v>14</v>
      </c>
      <c r="E1319" s="3" t="s">
        <v>17</v>
      </c>
      <c r="F1319" s="3" t="s">
        <v>18</v>
      </c>
    </row>
    <row r="1320">
      <c r="A1320" s="3" t="s">
        <v>11</v>
      </c>
      <c r="B1320" s="3" t="s">
        <v>15</v>
      </c>
    </row>
    <row r="1321">
      <c r="A1321" s="3" t="s">
        <v>11</v>
      </c>
      <c r="B1321" s="3" t="s">
        <v>12</v>
      </c>
      <c r="C1321" s="3" t="s">
        <v>15</v>
      </c>
      <c r="D1321" s="3" t="s">
        <v>16</v>
      </c>
      <c r="E1321" s="3" t="s">
        <v>17</v>
      </c>
    </row>
    <row r="1322">
      <c r="A1322" s="3" t="s">
        <v>11</v>
      </c>
      <c r="B1322" s="3" t="s">
        <v>12</v>
      </c>
      <c r="C1322" s="3" t="s">
        <v>15</v>
      </c>
    </row>
    <row r="1323">
      <c r="A1323" s="3" t="s">
        <v>11</v>
      </c>
      <c r="B1323" s="3" t="s">
        <v>14</v>
      </c>
      <c r="C1323" s="3" t="s">
        <v>15</v>
      </c>
      <c r="D1323" s="3" t="s">
        <v>16</v>
      </c>
      <c r="E1323" s="3" t="s">
        <v>17</v>
      </c>
      <c r="F1323" s="3" t="s">
        <v>18</v>
      </c>
    </row>
    <row r="1324">
      <c r="A1324" s="3" t="s">
        <v>11</v>
      </c>
      <c r="B1324" s="3" t="s">
        <v>12</v>
      </c>
      <c r="C1324" s="3" t="s">
        <v>16</v>
      </c>
      <c r="D1324" s="3" t="s">
        <v>17</v>
      </c>
      <c r="E1324" s="3" t="s">
        <v>18</v>
      </c>
    </row>
    <row r="1325">
      <c r="A1325" s="3" t="s">
        <v>11</v>
      </c>
      <c r="B1325" s="3" t="s">
        <v>12</v>
      </c>
      <c r="C1325" s="3" t="s">
        <v>15</v>
      </c>
      <c r="D1325" s="3" t="s">
        <v>18</v>
      </c>
    </row>
    <row r="1326">
      <c r="A1326" s="3" t="s">
        <v>11</v>
      </c>
      <c r="B1326" s="3" t="s">
        <v>12</v>
      </c>
      <c r="C1326" s="3" t="s">
        <v>15</v>
      </c>
      <c r="D1326" s="3" t="s">
        <v>18</v>
      </c>
    </row>
    <row r="1327">
      <c r="A1327" s="3" t="s">
        <v>11</v>
      </c>
      <c r="B1327" s="3" t="s">
        <v>15</v>
      </c>
      <c r="C1327" s="3" t="s">
        <v>16</v>
      </c>
      <c r="D1327" s="3" t="s">
        <v>17</v>
      </c>
    </row>
    <row r="1328">
      <c r="A1328" s="3" t="s">
        <v>11</v>
      </c>
      <c r="B1328" s="3" t="s">
        <v>13</v>
      </c>
      <c r="C1328" s="3" t="s">
        <v>14</v>
      </c>
      <c r="D1328" s="3" t="s">
        <v>16</v>
      </c>
      <c r="E1328" s="3" t="s">
        <v>17</v>
      </c>
      <c r="F1328" s="3" t="s">
        <v>18</v>
      </c>
    </row>
    <row r="1329">
      <c r="A1329" s="3" t="s">
        <v>11</v>
      </c>
      <c r="B1329" s="3" t="s">
        <v>12</v>
      </c>
      <c r="C1329" s="3" t="s">
        <v>17</v>
      </c>
    </row>
    <row r="1330">
      <c r="A1330" s="3" t="s">
        <v>11</v>
      </c>
      <c r="B1330" s="3" t="s">
        <v>12</v>
      </c>
      <c r="C1330" s="3" t="s">
        <v>13</v>
      </c>
      <c r="D1330" s="3" t="s">
        <v>14</v>
      </c>
      <c r="E1330" s="3" t="s">
        <v>18</v>
      </c>
    </row>
    <row r="1331">
      <c r="A1331" s="3" t="s">
        <v>11</v>
      </c>
      <c r="B1331" s="3" t="s">
        <v>12</v>
      </c>
      <c r="C1331" s="3" t="s">
        <v>15</v>
      </c>
      <c r="D1331" s="3" t="s">
        <v>16</v>
      </c>
      <c r="E1331" s="3" t="s">
        <v>17</v>
      </c>
      <c r="F1331" s="3" t="s">
        <v>18</v>
      </c>
    </row>
    <row r="1332">
      <c r="A1332" s="3" t="s">
        <v>11</v>
      </c>
      <c r="B1332" s="3" t="s">
        <v>12</v>
      </c>
      <c r="C1332" s="3" t="s">
        <v>13</v>
      </c>
      <c r="D1332" s="3" t="s">
        <v>14</v>
      </c>
      <c r="E1332" s="3" t="s">
        <v>17</v>
      </c>
      <c r="F1332" s="3" t="s">
        <v>18</v>
      </c>
    </row>
    <row r="1333">
      <c r="A1333" s="3" t="s">
        <v>11</v>
      </c>
      <c r="B1333" s="3" t="s">
        <v>12</v>
      </c>
    </row>
    <row r="1334">
      <c r="A1334" s="3" t="s">
        <v>11</v>
      </c>
      <c r="B1334" s="3" t="s">
        <v>12</v>
      </c>
      <c r="C1334" s="3" t="s">
        <v>13</v>
      </c>
      <c r="D1334" s="3" t="s">
        <v>15</v>
      </c>
    </row>
    <row r="1335">
      <c r="A1335" s="3" t="s">
        <v>11</v>
      </c>
    </row>
    <row r="1336">
      <c r="A1336" s="3" t="s">
        <v>11</v>
      </c>
    </row>
    <row r="1337">
      <c r="A1337" s="3" t="s">
        <v>11</v>
      </c>
      <c r="B1337" s="3" t="s">
        <v>12</v>
      </c>
      <c r="C1337" s="3" t="s">
        <v>16</v>
      </c>
      <c r="D1337" s="3" t="s">
        <v>18</v>
      </c>
      <c r="E1337" s="3" t="s">
        <v>24</v>
      </c>
    </row>
    <row r="1338">
      <c r="A1338" s="3" t="s">
        <v>11</v>
      </c>
      <c r="B1338" s="3" t="s">
        <v>12</v>
      </c>
    </row>
    <row r="1339">
      <c r="A1339" s="3" t="s">
        <v>11</v>
      </c>
    </row>
    <row r="1340">
      <c r="A1340" s="3" t="s">
        <v>11</v>
      </c>
      <c r="B1340" s="3" t="s">
        <v>12</v>
      </c>
      <c r="C1340" s="3" t="s">
        <v>13</v>
      </c>
    </row>
    <row r="1341">
      <c r="A1341" s="3" t="s">
        <v>11</v>
      </c>
    </row>
    <row r="1342">
      <c r="A1342" s="3" t="s">
        <v>11</v>
      </c>
      <c r="B1342" s="3" t="s">
        <v>15</v>
      </c>
      <c r="C1342" s="3" t="s">
        <v>16</v>
      </c>
    </row>
    <row r="1343">
      <c r="A1343" s="3" t="s">
        <v>11</v>
      </c>
      <c r="B1343" s="3" t="s">
        <v>12</v>
      </c>
      <c r="C1343" s="3" t="s">
        <v>13</v>
      </c>
      <c r="D1343" s="3" t="s">
        <v>18</v>
      </c>
    </row>
    <row r="1344">
      <c r="A1344" s="3" t="s">
        <v>11</v>
      </c>
    </row>
    <row r="1345">
      <c r="A1345" s="3" t="s">
        <v>11</v>
      </c>
    </row>
    <row r="1346">
      <c r="A1346" s="3" t="s">
        <v>11</v>
      </c>
      <c r="B1346" s="3" t="s">
        <v>13</v>
      </c>
      <c r="C1346" s="3" t="s">
        <v>17</v>
      </c>
    </row>
    <row r="1347">
      <c r="A1347" s="3" t="s">
        <v>11</v>
      </c>
      <c r="B1347" s="3" t="s">
        <v>15</v>
      </c>
    </row>
    <row r="1348">
      <c r="A1348" s="3" t="s">
        <v>12</v>
      </c>
      <c r="B1348" s="3" t="s">
        <v>15</v>
      </c>
      <c r="C1348" s="3" t="s">
        <v>16</v>
      </c>
      <c r="D1348" s="3" t="s">
        <v>17</v>
      </c>
      <c r="E1348" s="3" t="s">
        <v>18</v>
      </c>
      <c r="F1348" s="3" t="s">
        <v>24</v>
      </c>
    </row>
    <row r="1349">
      <c r="A1349" s="3" t="s">
        <v>12</v>
      </c>
    </row>
    <row r="1350">
      <c r="A1350" s="3" t="s">
        <v>12</v>
      </c>
      <c r="B1350" s="3" t="s">
        <v>18</v>
      </c>
    </row>
    <row r="1351">
      <c r="A1351" s="3" t="s">
        <v>12</v>
      </c>
      <c r="B1351" s="3" t="s">
        <v>13</v>
      </c>
      <c r="C1351" s="3" t="s">
        <v>14</v>
      </c>
    </row>
    <row r="1352">
      <c r="A1352" s="3" t="s">
        <v>12</v>
      </c>
    </row>
    <row r="1353">
      <c r="A1353" s="3" t="s">
        <v>13</v>
      </c>
      <c r="B1353" s="3" t="s">
        <v>14</v>
      </c>
      <c r="C1353" s="3" t="s">
        <v>16</v>
      </c>
      <c r="D1353" s="3" t="s">
        <v>17</v>
      </c>
      <c r="E1353" s="3" t="s">
        <v>18</v>
      </c>
    </row>
    <row r="1354">
      <c r="A1354" s="3" t="s">
        <v>13</v>
      </c>
      <c r="B1354" s="3" t="s">
        <v>14</v>
      </c>
      <c r="C1354" s="3" t="s">
        <v>15</v>
      </c>
      <c r="D1354" s="3" t="s">
        <v>17</v>
      </c>
    </row>
    <row r="1355">
      <c r="A1355" s="3" t="s">
        <v>13</v>
      </c>
      <c r="B1355" s="3" t="s">
        <v>14</v>
      </c>
      <c r="C1355" s="3" t="s">
        <v>17</v>
      </c>
    </row>
    <row r="1356">
      <c r="A1356" s="3" t="s">
        <v>13</v>
      </c>
      <c r="B1356" s="3" t="s">
        <v>14</v>
      </c>
    </row>
    <row r="1357">
      <c r="A1357" s="3" t="s">
        <v>13</v>
      </c>
      <c r="B1357" s="3" t="s">
        <v>14</v>
      </c>
      <c r="C1357" s="3" t="s">
        <v>17</v>
      </c>
    </row>
    <row r="1358">
      <c r="A1358" s="3" t="s">
        <v>13</v>
      </c>
      <c r="B1358" s="3" t="s">
        <v>14</v>
      </c>
      <c r="C1358" s="3" t="s">
        <v>17</v>
      </c>
    </row>
    <row r="1359">
      <c r="A1359" s="3" t="s">
        <v>13</v>
      </c>
      <c r="B1359" s="3" t="s">
        <v>14</v>
      </c>
    </row>
    <row r="1360">
      <c r="A1360" s="3" t="s">
        <v>13</v>
      </c>
      <c r="B1360" s="3" t="s">
        <v>14</v>
      </c>
    </row>
    <row r="1361">
      <c r="A1361" s="3" t="s">
        <v>13</v>
      </c>
      <c r="B1361" s="3" t="s">
        <v>14</v>
      </c>
    </row>
    <row r="1362">
      <c r="A1362" s="3" t="s">
        <v>13</v>
      </c>
      <c r="B1362" s="3" t="s">
        <v>14</v>
      </c>
      <c r="C1362" s="3" t="s">
        <v>17</v>
      </c>
      <c r="D1362" s="3" t="s">
        <v>18</v>
      </c>
    </row>
    <row r="1363">
      <c r="A1363" s="3" t="s">
        <v>13</v>
      </c>
      <c r="B1363" s="3" t="s">
        <v>14</v>
      </c>
    </row>
    <row r="1364">
      <c r="A1364" s="3" t="s">
        <v>13</v>
      </c>
      <c r="B1364" s="3" t="s">
        <v>14</v>
      </c>
      <c r="C1364" s="3" t="s">
        <v>17</v>
      </c>
      <c r="D1364" s="3" t="s">
        <v>18</v>
      </c>
    </row>
    <row r="1365">
      <c r="A1365" s="3" t="s">
        <v>13</v>
      </c>
      <c r="B1365" s="3" t="s">
        <v>14</v>
      </c>
    </row>
    <row r="1366">
      <c r="A1366" s="3" t="s">
        <v>13</v>
      </c>
      <c r="B1366" s="3" t="s">
        <v>14</v>
      </c>
      <c r="C1366" s="3" t="s">
        <v>16</v>
      </c>
      <c r="D1366" s="3" t="s">
        <v>17</v>
      </c>
      <c r="E1366" s="3" t="s">
        <v>18</v>
      </c>
    </row>
    <row r="1367">
      <c r="A1367" s="3" t="s">
        <v>13</v>
      </c>
      <c r="B1367" s="3" t="s">
        <v>14</v>
      </c>
    </row>
    <row r="1368">
      <c r="A1368" s="3" t="s">
        <v>13</v>
      </c>
      <c r="B1368" s="3" t="s">
        <v>14</v>
      </c>
    </row>
    <row r="1369">
      <c r="A1369" s="3" t="s">
        <v>13</v>
      </c>
      <c r="B1369" s="3" t="s">
        <v>14</v>
      </c>
    </row>
    <row r="1370">
      <c r="A1370" s="3" t="s">
        <v>13</v>
      </c>
      <c r="B1370" s="3" t="s">
        <v>14</v>
      </c>
    </row>
    <row r="1371">
      <c r="A1371" s="3" t="s">
        <v>13</v>
      </c>
      <c r="B1371" s="3" t="s">
        <v>14</v>
      </c>
    </row>
    <row r="1372">
      <c r="A1372" s="3" t="s">
        <v>13</v>
      </c>
    </row>
    <row r="1373">
      <c r="A1373" s="3" t="s">
        <v>13</v>
      </c>
      <c r="B1373" s="3" t="s">
        <v>15</v>
      </c>
    </row>
    <row r="1374">
      <c r="A1374" s="3" t="s">
        <v>13</v>
      </c>
      <c r="B1374" s="3" t="s">
        <v>14</v>
      </c>
      <c r="C1374" s="3" t="s">
        <v>15</v>
      </c>
      <c r="D1374" s="3" t="s">
        <v>16</v>
      </c>
      <c r="E1374" s="3" t="s">
        <v>17</v>
      </c>
      <c r="F1374" s="3" t="s">
        <v>18</v>
      </c>
    </row>
    <row r="1375">
      <c r="A1375" s="3" t="s">
        <v>13</v>
      </c>
    </row>
    <row r="1376">
      <c r="A1376" s="3" t="s">
        <v>13</v>
      </c>
    </row>
    <row r="1377">
      <c r="A1377" s="3" t="s">
        <v>13</v>
      </c>
      <c r="B1377" s="3" t="s">
        <v>14</v>
      </c>
    </row>
    <row r="1378">
      <c r="A1378" s="3" t="s">
        <v>13</v>
      </c>
      <c r="B1378" s="3" t="s">
        <v>14</v>
      </c>
      <c r="C1378" s="3" t="s">
        <v>16</v>
      </c>
      <c r="D1378" s="3" t="s">
        <v>17</v>
      </c>
      <c r="E1378" s="3" t="s">
        <v>18</v>
      </c>
    </row>
    <row r="1379">
      <c r="A1379" s="3" t="s">
        <v>13</v>
      </c>
      <c r="B1379" s="3" t="s">
        <v>14</v>
      </c>
    </row>
    <row r="1380">
      <c r="A1380" s="3" t="s">
        <v>13</v>
      </c>
    </row>
    <row r="1381">
      <c r="A1381" s="3" t="s">
        <v>13</v>
      </c>
      <c r="B1381" s="3" t="s">
        <v>14</v>
      </c>
    </row>
    <row r="1382">
      <c r="A1382" s="3" t="s">
        <v>13</v>
      </c>
    </row>
    <row r="1383">
      <c r="A1383" s="3" t="s">
        <v>13</v>
      </c>
    </row>
    <row r="1384">
      <c r="A1384" s="3" t="s">
        <v>13</v>
      </c>
    </row>
    <row r="1385">
      <c r="A1385" s="3" t="s">
        <v>13</v>
      </c>
      <c r="B1385" s="3" t="s">
        <v>14</v>
      </c>
    </row>
    <row r="1386">
      <c r="A1386" s="3" t="s">
        <v>13</v>
      </c>
      <c r="B1386" s="3" t="s">
        <v>14</v>
      </c>
    </row>
    <row r="1387">
      <c r="A1387" s="3" t="s">
        <v>13</v>
      </c>
      <c r="B1387" s="3" t="s">
        <v>14</v>
      </c>
    </row>
    <row r="1388">
      <c r="A1388" s="3" t="s">
        <v>13</v>
      </c>
    </row>
    <row r="1389">
      <c r="A1389" s="3" t="s">
        <v>13</v>
      </c>
      <c r="B1389" s="3" t="s">
        <v>14</v>
      </c>
    </row>
    <row r="1390">
      <c r="A1390" s="3" t="s">
        <v>13</v>
      </c>
      <c r="B1390" s="3" t="s">
        <v>14</v>
      </c>
    </row>
    <row r="1391">
      <c r="A1391" s="3" t="s">
        <v>14</v>
      </c>
    </row>
    <row r="1392">
      <c r="A1392" s="3" t="s">
        <v>14</v>
      </c>
    </row>
    <row r="1393">
      <c r="A1393" s="3" t="s">
        <v>14</v>
      </c>
    </row>
    <row r="1394">
      <c r="A1394" s="3" t="s">
        <v>14</v>
      </c>
    </row>
    <row r="1395">
      <c r="A1395" s="3" t="s">
        <v>14</v>
      </c>
    </row>
    <row r="1396">
      <c r="A1396" s="3" t="s">
        <v>14</v>
      </c>
    </row>
    <row r="1397">
      <c r="A1397" s="3" t="s">
        <v>14</v>
      </c>
      <c r="B1397" s="3" t="s">
        <v>15</v>
      </c>
      <c r="C1397" s="3" t="s">
        <v>16</v>
      </c>
      <c r="D1397" s="3" t="s">
        <v>18</v>
      </c>
      <c r="E1397" s="3" t="s">
        <v>24</v>
      </c>
    </row>
    <row r="1398">
      <c r="A1398" s="3" t="s">
        <v>14</v>
      </c>
    </row>
    <row r="1399">
      <c r="A1399" s="3" t="s">
        <v>15</v>
      </c>
      <c r="B1399" s="3" t="s">
        <v>16</v>
      </c>
    </row>
    <row r="1400">
      <c r="A1400" s="3" t="s">
        <v>15</v>
      </c>
    </row>
    <row r="1401">
      <c r="A1401" s="3" t="s">
        <v>15</v>
      </c>
      <c r="B1401" s="3" t="s">
        <v>16</v>
      </c>
      <c r="C1401" s="3" t="s">
        <v>17</v>
      </c>
      <c r="D1401" s="3" t="s">
        <v>18</v>
      </c>
    </row>
    <row r="1402">
      <c r="A1402" s="3" t="s">
        <v>15</v>
      </c>
    </row>
    <row r="1403">
      <c r="A1403" s="3" t="s">
        <v>15</v>
      </c>
    </row>
    <row r="1404">
      <c r="A1404" s="3" t="s">
        <v>15</v>
      </c>
      <c r="B1404" s="3" t="s">
        <v>16</v>
      </c>
      <c r="C1404" s="3" t="s">
        <v>24</v>
      </c>
    </row>
    <row r="1405">
      <c r="A1405" s="3" t="s">
        <v>15</v>
      </c>
      <c r="B1405" s="3" t="s">
        <v>16</v>
      </c>
    </row>
    <row r="1406">
      <c r="A1406" s="3" t="s">
        <v>15</v>
      </c>
      <c r="B1406" s="3" t="s">
        <v>16</v>
      </c>
    </row>
    <row r="1407">
      <c r="A1407" s="3" t="s">
        <v>15</v>
      </c>
    </row>
    <row r="1408">
      <c r="A1408" s="3" t="s">
        <v>15</v>
      </c>
      <c r="B1408" s="3" t="s">
        <v>16</v>
      </c>
    </row>
    <row r="1409">
      <c r="A1409" s="3" t="s">
        <v>15</v>
      </c>
    </row>
    <row r="1410">
      <c r="A1410" s="3" t="s">
        <v>15</v>
      </c>
    </row>
    <row r="1411">
      <c r="A1411" s="3" t="s">
        <v>15</v>
      </c>
    </row>
    <row r="1412">
      <c r="A1412" s="3" t="s">
        <v>15</v>
      </c>
      <c r="B1412" s="3" t="s">
        <v>16</v>
      </c>
    </row>
    <row r="1413">
      <c r="A1413" s="3" t="s">
        <v>15</v>
      </c>
    </row>
    <row r="1414">
      <c r="A1414" s="3" t="s">
        <v>15</v>
      </c>
    </row>
    <row r="1415">
      <c r="A1415" s="3" t="s">
        <v>15</v>
      </c>
    </row>
    <row r="1416">
      <c r="A1416" s="3" t="s">
        <v>15</v>
      </c>
    </row>
    <row r="1417">
      <c r="A1417" s="3" t="s">
        <v>16</v>
      </c>
    </row>
    <row r="1418">
      <c r="A1418" s="3" t="s">
        <v>16</v>
      </c>
    </row>
    <row r="1419">
      <c r="A1419" s="3" t="s">
        <v>16</v>
      </c>
    </row>
    <row r="1420">
      <c r="A1420" s="3" t="s">
        <v>16</v>
      </c>
    </row>
    <row r="1421">
      <c r="A1421" s="3" t="s">
        <v>16</v>
      </c>
    </row>
    <row r="1422">
      <c r="A1422" s="3" t="s">
        <v>16</v>
      </c>
    </row>
    <row r="1423">
      <c r="A1423" s="3" t="s">
        <v>16</v>
      </c>
    </row>
    <row r="1424">
      <c r="A1424" s="3" t="s">
        <v>17</v>
      </c>
      <c r="B1424" s="3" t="s">
        <v>24</v>
      </c>
    </row>
    <row r="1425">
      <c r="A1425" s="3" t="s">
        <v>6</v>
      </c>
      <c r="B1425" s="3" t="s">
        <v>7</v>
      </c>
      <c r="C1425" s="3" t="s">
        <v>11</v>
      </c>
      <c r="D1425" s="3" t="s">
        <v>15</v>
      </c>
    </row>
    <row r="1426">
      <c r="A1426" s="3" t="s">
        <v>6</v>
      </c>
      <c r="B1426" s="3" t="s">
        <v>8</v>
      </c>
      <c r="C1426" s="3" t="s">
        <v>11</v>
      </c>
      <c r="D1426" s="3" t="s">
        <v>12</v>
      </c>
      <c r="E1426" s="3" t="s">
        <v>17</v>
      </c>
    </row>
    <row r="1427">
      <c r="A1427" s="3" t="s">
        <v>6</v>
      </c>
      <c r="B1427" s="3" t="s">
        <v>7</v>
      </c>
      <c r="C1427" s="3" t="s">
        <v>8</v>
      </c>
      <c r="D1427" s="3" t="s">
        <v>11</v>
      </c>
      <c r="E1427" s="3" t="s">
        <v>15</v>
      </c>
      <c r="F1427" s="3" t="s">
        <v>17</v>
      </c>
    </row>
    <row r="1428">
      <c r="A1428" s="3" t="s">
        <v>6</v>
      </c>
      <c r="B1428" s="3" t="s">
        <v>7</v>
      </c>
      <c r="C1428" s="3" t="s">
        <v>11</v>
      </c>
      <c r="D1428" s="3" t="s">
        <v>13</v>
      </c>
      <c r="E1428" s="3" t="s">
        <v>15</v>
      </c>
    </row>
    <row r="1429">
      <c r="A1429" s="3" t="s">
        <v>6</v>
      </c>
      <c r="B1429" s="3" t="s">
        <v>10</v>
      </c>
      <c r="C1429" s="3" t="s">
        <v>11</v>
      </c>
      <c r="D1429" s="3" t="s">
        <v>12</v>
      </c>
      <c r="E1429" s="3" t="s">
        <v>13</v>
      </c>
      <c r="F1429" s="3" t="s">
        <v>14</v>
      </c>
      <c r="G1429" s="3" t="s">
        <v>18</v>
      </c>
    </row>
    <row r="1430">
      <c r="A1430" s="3" t="s">
        <v>6</v>
      </c>
      <c r="B1430" s="3" t="s">
        <v>7</v>
      </c>
      <c r="C1430" s="3" t="s">
        <v>8</v>
      </c>
      <c r="D1430" s="3" t="s">
        <v>11</v>
      </c>
      <c r="E1430" s="3" t="s">
        <v>12</v>
      </c>
      <c r="F1430" s="3" t="s">
        <v>15</v>
      </c>
    </row>
    <row r="1431">
      <c r="A1431" s="3" t="s">
        <v>6</v>
      </c>
      <c r="B1431" s="3" t="s">
        <v>7</v>
      </c>
      <c r="C1431" s="3" t="s">
        <v>8</v>
      </c>
      <c r="D1431" s="3" t="s">
        <v>11</v>
      </c>
      <c r="E1431" s="3" t="s">
        <v>15</v>
      </c>
      <c r="F1431" s="3" t="s">
        <v>17</v>
      </c>
    </row>
    <row r="1432">
      <c r="A1432" s="3" t="s">
        <v>6</v>
      </c>
      <c r="B1432" s="3" t="s">
        <v>7</v>
      </c>
      <c r="C1432" s="3" t="s">
        <v>9</v>
      </c>
      <c r="D1432" s="3" t="s">
        <v>11</v>
      </c>
      <c r="E1432" s="3" t="s">
        <v>12</v>
      </c>
      <c r="F1432" s="3" t="s">
        <v>13</v>
      </c>
      <c r="G1432" s="3" t="s">
        <v>15</v>
      </c>
      <c r="H1432" s="3" t="s">
        <v>17</v>
      </c>
      <c r="I1432" s="3" t="s">
        <v>18</v>
      </c>
    </row>
    <row r="1433">
      <c r="A1433" s="3" t="s">
        <v>6</v>
      </c>
      <c r="B1433" s="3" t="s">
        <v>7</v>
      </c>
      <c r="C1433" s="3" t="s">
        <v>8</v>
      </c>
      <c r="D1433" s="3" t="s">
        <v>11</v>
      </c>
      <c r="E1433" s="3" t="s">
        <v>12</v>
      </c>
      <c r="F1433" s="3" t="s">
        <v>15</v>
      </c>
      <c r="G1433" s="3" t="s">
        <v>17</v>
      </c>
    </row>
    <row r="1434">
      <c r="A1434" s="3" t="s">
        <v>6</v>
      </c>
      <c r="B1434" s="3" t="s">
        <v>7</v>
      </c>
      <c r="C1434" s="3" t="s">
        <v>8</v>
      </c>
      <c r="D1434" s="3" t="s">
        <v>12</v>
      </c>
      <c r="E1434" s="3" t="s">
        <v>13</v>
      </c>
      <c r="F1434" s="3" t="s">
        <v>14</v>
      </c>
      <c r="G1434" s="3" t="s">
        <v>15</v>
      </c>
      <c r="H1434" s="3" t="s">
        <v>16</v>
      </c>
    </row>
    <row r="1435">
      <c r="A1435" s="3" t="s">
        <v>6</v>
      </c>
      <c r="B1435" s="3" t="s">
        <v>7</v>
      </c>
      <c r="C1435" s="3" t="s">
        <v>15</v>
      </c>
    </row>
    <row r="1436">
      <c r="A1436" s="3" t="s">
        <v>6</v>
      </c>
      <c r="B1436" s="3" t="s">
        <v>7</v>
      </c>
      <c r="C1436" s="3" t="s">
        <v>13</v>
      </c>
      <c r="D1436" s="3" t="s">
        <v>14</v>
      </c>
      <c r="E1436" s="3" t="s">
        <v>15</v>
      </c>
    </row>
    <row r="1437">
      <c r="A1437" s="3" t="s">
        <v>6</v>
      </c>
      <c r="B1437" s="3" t="s">
        <v>7</v>
      </c>
      <c r="C1437" s="3" t="s">
        <v>8</v>
      </c>
      <c r="D1437" s="3" t="s">
        <v>11</v>
      </c>
      <c r="E1437" s="3" t="s">
        <v>15</v>
      </c>
      <c r="F1437" s="3" t="s">
        <v>16</v>
      </c>
      <c r="G1437" s="3" t="s">
        <v>17</v>
      </c>
    </row>
    <row r="1438">
      <c r="A1438" s="3" t="s">
        <v>6</v>
      </c>
      <c r="B1438" s="3" t="s">
        <v>7</v>
      </c>
      <c r="C1438" s="3" t="s">
        <v>8</v>
      </c>
      <c r="D1438" s="3" t="s">
        <v>11</v>
      </c>
      <c r="E1438" s="3" t="s">
        <v>13</v>
      </c>
      <c r="F1438" s="3" t="s">
        <v>14</v>
      </c>
      <c r="G1438" s="3" t="s">
        <v>17</v>
      </c>
    </row>
    <row r="1439">
      <c r="A1439" s="3" t="s">
        <v>6</v>
      </c>
      <c r="B1439" s="3" t="s">
        <v>7</v>
      </c>
      <c r="C1439" s="3" t="s">
        <v>8</v>
      </c>
      <c r="D1439" s="3" t="s">
        <v>11</v>
      </c>
      <c r="E1439" s="3" t="s">
        <v>15</v>
      </c>
      <c r="F1439" s="3" t="s">
        <v>17</v>
      </c>
    </row>
    <row r="1440">
      <c r="A1440" s="3" t="s">
        <v>6</v>
      </c>
      <c r="B1440" s="3" t="s">
        <v>7</v>
      </c>
      <c r="C1440" s="3" t="s">
        <v>8</v>
      </c>
      <c r="D1440" s="3" t="s">
        <v>11</v>
      </c>
      <c r="E1440" s="3" t="s">
        <v>12</v>
      </c>
      <c r="F1440" s="3" t="s">
        <v>15</v>
      </c>
    </row>
    <row r="1441">
      <c r="A1441" s="3" t="s">
        <v>6</v>
      </c>
      <c r="B1441" s="3" t="s">
        <v>7</v>
      </c>
      <c r="C1441" s="3" t="s">
        <v>8</v>
      </c>
      <c r="D1441" s="3" t="s">
        <v>15</v>
      </c>
      <c r="E1441" s="3" t="s">
        <v>17</v>
      </c>
    </row>
    <row r="1442">
      <c r="A1442" s="3" t="s">
        <v>6</v>
      </c>
      <c r="B1442" s="3" t="s">
        <v>7</v>
      </c>
      <c r="C1442" s="3" t="s">
        <v>14</v>
      </c>
      <c r="D1442" s="3" t="s">
        <v>17</v>
      </c>
    </row>
    <row r="1443">
      <c r="A1443" s="3" t="s">
        <v>6</v>
      </c>
      <c r="B1443" s="3" t="s">
        <v>7</v>
      </c>
      <c r="C1443" s="3" t="s">
        <v>13</v>
      </c>
      <c r="D1443" s="3" t="s">
        <v>15</v>
      </c>
      <c r="E1443" s="3" t="s">
        <v>17</v>
      </c>
    </row>
    <row r="1444">
      <c r="A1444" s="3" t="s">
        <v>6</v>
      </c>
      <c r="B1444" s="3" t="s">
        <v>7</v>
      </c>
      <c r="C1444" s="3" t="s">
        <v>11</v>
      </c>
      <c r="D1444" s="3" t="s">
        <v>12</v>
      </c>
    </row>
    <row r="1445">
      <c r="A1445" s="3" t="s">
        <v>6</v>
      </c>
      <c r="B1445" s="3" t="s">
        <v>7</v>
      </c>
      <c r="C1445" s="3" t="s">
        <v>11</v>
      </c>
      <c r="D1445" s="3" t="s">
        <v>12</v>
      </c>
    </row>
    <row r="1446">
      <c r="A1446" s="3" t="s">
        <v>6</v>
      </c>
      <c r="B1446" s="3" t="s">
        <v>7</v>
      </c>
      <c r="C1446" s="3" t="s">
        <v>8</v>
      </c>
      <c r="D1446" s="3" t="s">
        <v>11</v>
      </c>
      <c r="E1446" s="3" t="s">
        <v>15</v>
      </c>
      <c r="F1446" s="3" t="s">
        <v>16</v>
      </c>
      <c r="G1446" s="3" t="s">
        <v>17</v>
      </c>
    </row>
    <row r="1447">
      <c r="A1447" s="3" t="s">
        <v>6</v>
      </c>
      <c r="B1447" s="3" t="s">
        <v>7</v>
      </c>
      <c r="C1447" s="3" t="s">
        <v>15</v>
      </c>
      <c r="D1447" s="3" t="s">
        <v>16</v>
      </c>
      <c r="E1447" s="3" t="s">
        <v>17</v>
      </c>
    </row>
    <row r="1448">
      <c r="A1448" s="3" t="s">
        <v>6</v>
      </c>
      <c r="B1448" s="3" t="s">
        <v>7</v>
      </c>
      <c r="C1448" s="3" t="s">
        <v>8</v>
      </c>
      <c r="D1448" s="3" t="s">
        <v>15</v>
      </c>
      <c r="E1448" s="3" t="s">
        <v>16</v>
      </c>
      <c r="F1448" s="3" t="s">
        <v>17</v>
      </c>
    </row>
    <row r="1449">
      <c r="A1449" s="3" t="s">
        <v>6</v>
      </c>
      <c r="B1449" s="3" t="s">
        <v>7</v>
      </c>
      <c r="C1449" s="3" t="s">
        <v>8</v>
      </c>
      <c r="D1449" s="3" t="s">
        <v>11</v>
      </c>
      <c r="E1449" s="3" t="s">
        <v>12</v>
      </c>
      <c r="F1449" s="3" t="s">
        <v>13</v>
      </c>
      <c r="G1449" s="3" t="s">
        <v>15</v>
      </c>
      <c r="H1449" s="3" t="s">
        <v>16</v>
      </c>
      <c r="I1449" s="3" t="s">
        <v>17</v>
      </c>
    </row>
    <row r="1450">
      <c r="A1450" s="3" t="s">
        <v>6</v>
      </c>
      <c r="B1450" s="3" t="s">
        <v>7</v>
      </c>
      <c r="C1450" s="3" t="s">
        <v>8</v>
      </c>
      <c r="D1450" s="3" t="s">
        <v>15</v>
      </c>
      <c r="E1450" s="3" t="s">
        <v>17</v>
      </c>
    </row>
    <row r="1451">
      <c r="A1451" s="3" t="s">
        <v>6</v>
      </c>
      <c r="B1451" s="3" t="s">
        <v>7</v>
      </c>
      <c r="C1451" s="3" t="s">
        <v>11</v>
      </c>
      <c r="D1451" s="3" t="s">
        <v>13</v>
      </c>
      <c r="E1451" s="3" t="s">
        <v>14</v>
      </c>
      <c r="F1451" s="3" t="s">
        <v>15</v>
      </c>
    </row>
    <row r="1452">
      <c r="A1452" s="3" t="s">
        <v>6</v>
      </c>
      <c r="B1452" s="3" t="s">
        <v>7</v>
      </c>
      <c r="C1452" s="3" t="s">
        <v>11</v>
      </c>
      <c r="D1452" s="3" t="s">
        <v>13</v>
      </c>
      <c r="E1452" s="3" t="s">
        <v>15</v>
      </c>
    </row>
    <row r="1453">
      <c r="A1453" s="3" t="s">
        <v>6</v>
      </c>
      <c r="B1453" s="3" t="s">
        <v>7</v>
      </c>
      <c r="C1453" s="3" t="s">
        <v>8</v>
      </c>
      <c r="D1453" s="3" t="s">
        <v>11</v>
      </c>
      <c r="E1453" s="3" t="s">
        <v>13</v>
      </c>
    </row>
    <row r="1454">
      <c r="A1454" s="3" t="s">
        <v>6</v>
      </c>
      <c r="B1454" s="3" t="s">
        <v>7</v>
      </c>
      <c r="C1454" s="3" t="s">
        <v>15</v>
      </c>
      <c r="D1454" s="3" t="s">
        <v>16</v>
      </c>
      <c r="E1454" s="3" t="s">
        <v>17</v>
      </c>
    </row>
    <row r="1455">
      <c r="A1455" s="3" t="s">
        <v>6</v>
      </c>
      <c r="B1455" s="3" t="s">
        <v>7</v>
      </c>
      <c r="C1455" s="3" t="s">
        <v>8</v>
      </c>
      <c r="D1455" s="3" t="s">
        <v>9</v>
      </c>
      <c r="E1455" s="3" t="s">
        <v>13</v>
      </c>
      <c r="F1455" s="3" t="s">
        <v>17</v>
      </c>
    </row>
    <row r="1456">
      <c r="A1456" s="3" t="s">
        <v>6</v>
      </c>
      <c r="B1456" s="3" t="s">
        <v>11</v>
      </c>
      <c r="C1456" s="3" t="s">
        <v>15</v>
      </c>
    </row>
    <row r="1457">
      <c r="A1457" s="3" t="s">
        <v>6</v>
      </c>
      <c r="B1457" s="3" t="s">
        <v>13</v>
      </c>
      <c r="C1457" s="3" t="s">
        <v>15</v>
      </c>
      <c r="D1457" s="3" t="s">
        <v>17</v>
      </c>
    </row>
    <row r="1458">
      <c r="A1458" s="3" t="s">
        <v>6</v>
      </c>
      <c r="B1458" s="3" t="s">
        <v>7</v>
      </c>
      <c r="C1458" s="3" t="s">
        <v>8</v>
      </c>
    </row>
    <row r="1459">
      <c r="A1459" s="3" t="s">
        <v>6</v>
      </c>
      <c r="B1459" s="3" t="s">
        <v>7</v>
      </c>
      <c r="C1459" s="3" t="s">
        <v>8</v>
      </c>
      <c r="D1459" s="3" t="s">
        <v>11</v>
      </c>
      <c r="E1459" s="3" t="s">
        <v>12</v>
      </c>
      <c r="F1459" s="3" t="s">
        <v>15</v>
      </c>
    </row>
    <row r="1460">
      <c r="A1460" s="3" t="s">
        <v>6</v>
      </c>
      <c r="B1460" s="3" t="s">
        <v>7</v>
      </c>
      <c r="C1460" s="3" t="s">
        <v>8</v>
      </c>
      <c r="D1460" s="3" t="s">
        <v>9</v>
      </c>
      <c r="E1460" s="3" t="s">
        <v>13</v>
      </c>
      <c r="F1460" s="3" t="s">
        <v>15</v>
      </c>
      <c r="G1460" s="3" t="s">
        <v>16</v>
      </c>
      <c r="H1460" s="3" t="s">
        <v>17</v>
      </c>
    </row>
    <row r="1461">
      <c r="A1461" s="3" t="s">
        <v>6</v>
      </c>
      <c r="B1461" s="3" t="s">
        <v>8</v>
      </c>
      <c r="C1461" s="3" t="s">
        <v>14</v>
      </c>
      <c r="D1461" s="3" t="s">
        <v>18</v>
      </c>
    </row>
    <row r="1462">
      <c r="A1462" s="3" t="s">
        <v>6</v>
      </c>
      <c r="B1462" s="3" t="s">
        <v>7</v>
      </c>
      <c r="C1462" s="3" t="s">
        <v>11</v>
      </c>
      <c r="D1462" s="3" t="s">
        <v>15</v>
      </c>
    </row>
    <row r="1463">
      <c r="A1463" s="3" t="s">
        <v>6</v>
      </c>
      <c r="B1463" s="3" t="s">
        <v>7</v>
      </c>
      <c r="C1463" s="3" t="s">
        <v>11</v>
      </c>
      <c r="D1463" s="3" t="s">
        <v>13</v>
      </c>
    </row>
    <row r="1464">
      <c r="A1464" s="3" t="s">
        <v>6</v>
      </c>
      <c r="B1464" s="3" t="s">
        <v>7</v>
      </c>
      <c r="C1464" s="3" t="s">
        <v>8</v>
      </c>
      <c r="D1464" s="3" t="s">
        <v>11</v>
      </c>
      <c r="E1464" s="3" t="s">
        <v>12</v>
      </c>
      <c r="F1464" s="3" t="s">
        <v>15</v>
      </c>
      <c r="G1464" s="3" t="s">
        <v>16</v>
      </c>
      <c r="H1464" s="3" t="s">
        <v>17</v>
      </c>
    </row>
    <row r="1465">
      <c r="A1465" s="3" t="s">
        <v>6</v>
      </c>
      <c r="B1465" s="3" t="s">
        <v>7</v>
      </c>
      <c r="C1465" s="3" t="s">
        <v>13</v>
      </c>
      <c r="D1465" s="3" t="s">
        <v>15</v>
      </c>
    </row>
    <row r="1466">
      <c r="A1466" s="3" t="s">
        <v>6</v>
      </c>
      <c r="B1466" s="3" t="s">
        <v>7</v>
      </c>
      <c r="C1466" s="3" t="s">
        <v>15</v>
      </c>
    </row>
    <row r="1467">
      <c r="A1467" s="3" t="s">
        <v>6</v>
      </c>
      <c r="B1467" s="3" t="s">
        <v>7</v>
      </c>
      <c r="C1467" s="3" t="s">
        <v>8</v>
      </c>
      <c r="D1467" s="3" t="s">
        <v>9</v>
      </c>
    </row>
    <row r="1468">
      <c r="A1468" s="3" t="s">
        <v>6</v>
      </c>
      <c r="B1468" s="3" t="s">
        <v>7</v>
      </c>
      <c r="C1468" s="3" t="s">
        <v>8</v>
      </c>
      <c r="D1468" s="3" t="s">
        <v>13</v>
      </c>
      <c r="E1468" s="3" t="s">
        <v>14</v>
      </c>
      <c r="F1468" s="3" t="s">
        <v>17</v>
      </c>
    </row>
    <row r="1469">
      <c r="A1469" s="3" t="s">
        <v>6</v>
      </c>
      <c r="B1469" s="3" t="s">
        <v>7</v>
      </c>
      <c r="C1469" s="3" t="s">
        <v>8</v>
      </c>
      <c r="D1469" s="3" t="s">
        <v>11</v>
      </c>
      <c r="E1469" s="3" t="s">
        <v>15</v>
      </c>
    </row>
    <row r="1470">
      <c r="A1470" s="3" t="s">
        <v>6</v>
      </c>
      <c r="B1470" s="3" t="s">
        <v>7</v>
      </c>
      <c r="C1470" s="3" t="s">
        <v>15</v>
      </c>
      <c r="D1470" s="3" t="s">
        <v>17</v>
      </c>
      <c r="E1470" s="3" t="s">
        <v>18</v>
      </c>
      <c r="F1470" s="3" t="s">
        <v>24</v>
      </c>
    </row>
    <row r="1471">
      <c r="A1471" s="3" t="s">
        <v>6</v>
      </c>
      <c r="B1471" s="3" t="s">
        <v>7</v>
      </c>
      <c r="C1471" s="3" t="s">
        <v>8</v>
      </c>
      <c r="D1471" s="3" t="s">
        <v>11</v>
      </c>
      <c r="E1471" s="3" t="s">
        <v>12</v>
      </c>
      <c r="F1471" s="3" t="s">
        <v>15</v>
      </c>
      <c r="G1471" s="3" t="s">
        <v>16</v>
      </c>
      <c r="H1471" s="3" t="s">
        <v>17</v>
      </c>
    </row>
    <row r="1472">
      <c r="A1472" s="3" t="s">
        <v>6</v>
      </c>
      <c r="B1472" s="3" t="s">
        <v>7</v>
      </c>
      <c r="C1472" s="3" t="s">
        <v>11</v>
      </c>
      <c r="D1472" s="3" t="s">
        <v>15</v>
      </c>
      <c r="E1472" s="3" t="s">
        <v>17</v>
      </c>
    </row>
    <row r="1473">
      <c r="A1473" s="3" t="s">
        <v>6</v>
      </c>
      <c r="B1473" s="3" t="s">
        <v>7</v>
      </c>
      <c r="C1473" s="3" t="s">
        <v>8</v>
      </c>
      <c r="D1473" s="3" t="s">
        <v>11</v>
      </c>
      <c r="E1473" s="3" t="s">
        <v>12</v>
      </c>
      <c r="F1473" s="3" t="s">
        <v>15</v>
      </c>
    </row>
    <row r="1474">
      <c r="A1474" s="3" t="s">
        <v>6</v>
      </c>
      <c r="B1474" s="3" t="s">
        <v>7</v>
      </c>
      <c r="C1474" s="3" t="s">
        <v>14</v>
      </c>
      <c r="D1474" s="3" t="s">
        <v>17</v>
      </c>
    </row>
    <row r="1475">
      <c r="A1475" s="3" t="s">
        <v>6</v>
      </c>
      <c r="B1475" s="3" t="s">
        <v>7</v>
      </c>
      <c r="C1475" s="3" t="s">
        <v>11</v>
      </c>
      <c r="D1475" s="3" t="s">
        <v>15</v>
      </c>
    </row>
    <row r="1476">
      <c r="A1476" s="3" t="s">
        <v>6</v>
      </c>
      <c r="B1476" s="3" t="s">
        <v>7</v>
      </c>
      <c r="C1476" s="3" t="s">
        <v>11</v>
      </c>
      <c r="D1476" s="3" t="s">
        <v>13</v>
      </c>
      <c r="E1476" s="3" t="s">
        <v>14</v>
      </c>
      <c r="F1476" s="3" t="s">
        <v>15</v>
      </c>
      <c r="G1476" s="3" t="s">
        <v>18</v>
      </c>
    </row>
    <row r="1477">
      <c r="A1477" s="3" t="s">
        <v>6</v>
      </c>
      <c r="B1477" s="3" t="s">
        <v>7</v>
      </c>
    </row>
    <row r="1478">
      <c r="A1478" s="3" t="s">
        <v>6</v>
      </c>
      <c r="B1478" s="3" t="s">
        <v>7</v>
      </c>
      <c r="C1478" s="3" t="s">
        <v>8</v>
      </c>
      <c r="D1478" s="3" t="s">
        <v>11</v>
      </c>
      <c r="E1478" s="3" t="s">
        <v>13</v>
      </c>
      <c r="F1478" s="3" t="s">
        <v>15</v>
      </c>
      <c r="G1478" s="3" t="s">
        <v>16</v>
      </c>
      <c r="H1478" s="3" t="s">
        <v>17</v>
      </c>
    </row>
    <row r="1479">
      <c r="A1479" s="3" t="s">
        <v>6</v>
      </c>
      <c r="B1479" s="3" t="s">
        <v>7</v>
      </c>
      <c r="C1479" s="3" t="s">
        <v>8</v>
      </c>
      <c r="D1479" s="3" t="s">
        <v>9</v>
      </c>
      <c r="E1479" s="3" t="s">
        <v>11</v>
      </c>
    </row>
    <row r="1480">
      <c r="A1480" s="3" t="s">
        <v>6</v>
      </c>
      <c r="B1480" s="3" t="s">
        <v>7</v>
      </c>
      <c r="C1480" s="3" t="s">
        <v>8</v>
      </c>
      <c r="D1480" s="3" t="s">
        <v>9</v>
      </c>
      <c r="E1480" s="3" t="s">
        <v>10</v>
      </c>
      <c r="F1480" s="3" t="s">
        <v>11</v>
      </c>
      <c r="G1480" s="3" t="s">
        <v>12</v>
      </c>
      <c r="H1480" s="3" t="s">
        <v>17</v>
      </c>
    </row>
    <row r="1481">
      <c r="A1481" s="3" t="s">
        <v>6</v>
      </c>
      <c r="B1481" s="3" t="s">
        <v>7</v>
      </c>
      <c r="C1481" s="3" t="s">
        <v>13</v>
      </c>
      <c r="D1481" s="3" t="s">
        <v>14</v>
      </c>
      <c r="E1481" s="3" t="s">
        <v>17</v>
      </c>
    </row>
    <row r="1482">
      <c r="A1482" s="3" t="s">
        <v>6</v>
      </c>
      <c r="B1482" s="3" t="s">
        <v>7</v>
      </c>
      <c r="C1482" s="3" t="s">
        <v>11</v>
      </c>
    </row>
    <row r="1483">
      <c r="A1483" s="3" t="s">
        <v>6</v>
      </c>
      <c r="B1483" s="3" t="s">
        <v>7</v>
      </c>
      <c r="C1483" s="3" t="s">
        <v>11</v>
      </c>
      <c r="D1483" s="3" t="s">
        <v>12</v>
      </c>
      <c r="E1483" s="3" t="s">
        <v>13</v>
      </c>
      <c r="F1483" s="3" t="s">
        <v>15</v>
      </c>
      <c r="G1483" s="3" t="s">
        <v>17</v>
      </c>
    </row>
    <row r="1484">
      <c r="A1484" s="3" t="s">
        <v>6</v>
      </c>
      <c r="B1484" s="3" t="s">
        <v>7</v>
      </c>
      <c r="C1484" s="3" t="s">
        <v>11</v>
      </c>
      <c r="D1484" s="3" t="s">
        <v>17</v>
      </c>
    </row>
    <row r="1485">
      <c r="A1485" s="3" t="s">
        <v>6</v>
      </c>
      <c r="B1485" s="3" t="s">
        <v>7</v>
      </c>
      <c r="C1485" s="3" t="s">
        <v>8</v>
      </c>
      <c r="D1485" s="3" t="s">
        <v>11</v>
      </c>
      <c r="E1485" s="3" t="s">
        <v>12</v>
      </c>
      <c r="F1485" s="3" t="s">
        <v>15</v>
      </c>
      <c r="G1485" s="3" t="s">
        <v>16</v>
      </c>
    </row>
    <row r="1486">
      <c r="A1486" s="3" t="s">
        <v>6</v>
      </c>
      <c r="B1486" s="3" t="s">
        <v>7</v>
      </c>
      <c r="C1486" s="3" t="s">
        <v>13</v>
      </c>
    </row>
    <row r="1487">
      <c r="A1487" s="3" t="s">
        <v>6</v>
      </c>
      <c r="B1487" s="3" t="s">
        <v>7</v>
      </c>
      <c r="C1487" s="3" t="s">
        <v>11</v>
      </c>
      <c r="D1487" s="3" t="s">
        <v>12</v>
      </c>
      <c r="E1487" s="3" t="s">
        <v>15</v>
      </c>
      <c r="F1487" s="3" t="s">
        <v>16</v>
      </c>
      <c r="G1487" s="3" t="s">
        <v>17</v>
      </c>
    </row>
    <row r="1488">
      <c r="A1488" s="3" t="s">
        <v>6</v>
      </c>
      <c r="B1488" s="3" t="s">
        <v>7</v>
      </c>
      <c r="C1488" s="3" t="s">
        <v>8</v>
      </c>
      <c r="D1488" s="3" t="s">
        <v>11</v>
      </c>
      <c r="E1488" s="3" t="s">
        <v>12</v>
      </c>
      <c r="F1488" s="3" t="s">
        <v>15</v>
      </c>
      <c r="G1488" s="3" t="s">
        <v>17</v>
      </c>
    </row>
    <row r="1489">
      <c r="A1489" s="3" t="s">
        <v>6</v>
      </c>
      <c r="B1489" s="3" t="s">
        <v>11</v>
      </c>
      <c r="C1489" s="3" t="s">
        <v>12</v>
      </c>
      <c r="D1489" s="3" t="s">
        <v>17</v>
      </c>
      <c r="E1489" s="3" t="s">
        <v>18</v>
      </c>
    </row>
    <row r="1490">
      <c r="A1490" s="3" t="s">
        <v>6</v>
      </c>
      <c r="B1490" s="3" t="s">
        <v>7</v>
      </c>
      <c r="C1490" s="3" t="s">
        <v>8</v>
      </c>
    </row>
    <row r="1491">
      <c r="A1491" s="3" t="s">
        <v>6</v>
      </c>
      <c r="B1491" s="3" t="s">
        <v>11</v>
      </c>
      <c r="C1491" s="3" t="s">
        <v>12</v>
      </c>
      <c r="D1491" s="3" t="s">
        <v>13</v>
      </c>
    </row>
    <row r="1492">
      <c r="A1492" s="3" t="s">
        <v>6</v>
      </c>
      <c r="B1492" s="3" t="s">
        <v>7</v>
      </c>
      <c r="C1492" s="3" t="s">
        <v>15</v>
      </c>
      <c r="D1492" s="3" t="s">
        <v>16</v>
      </c>
      <c r="E1492" s="3" t="s">
        <v>17</v>
      </c>
    </row>
    <row r="1493">
      <c r="A1493" s="3" t="s">
        <v>6</v>
      </c>
      <c r="B1493" s="3" t="s">
        <v>7</v>
      </c>
      <c r="C1493" s="3" t="s">
        <v>8</v>
      </c>
      <c r="D1493" s="3" t="s">
        <v>9</v>
      </c>
      <c r="E1493" s="3" t="s">
        <v>10</v>
      </c>
      <c r="F1493" s="3" t="s">
        <v>18</v>
      </c>
    </row>
    <row r="1494">
      <c r="A1494" s="3" t="s">
        <v>6</v>
      </c>
      <c r="B1494" s="3" t="s">
        <v>7</v>
      </c>
      <c r="C1494" s="3" t="s">
        <v>11</v>
      </c>
      <c r="D1494" s="3" t="s">
        <v>12</v>
      </c>
      <c r="E1494" s="3" t="s">
        <v>15</v>
      </c>
      <c r="F1494" s="3" t="s">
        <v>16</v>
      </c>
    </row>
    <row r="1495">
      <c r="A1495" s="3" t="s">
        <v>6</v>
      </c>
      <c r="B1495" s="3" t="s">
        <v>7</v>
      </c>
    </row>
    <row r="1496">
      <c r="A1496" s="3" t="s">
        <v>6</v>
      </c>
      <c r="B1496" s="3" t="s">
        <v>13</v>
      </c>
      <c r="C1496" s="3" t="s">
        <v>14</v>
      </c>
      <c r="D1496" s="3" t="s">
        <v>15</v>
      </c>
      <c r="E1496" s="3" t="s">
        <v>18</v>
      </c>
    </row>
    <row r="1497">
      <c r="A1497" s="3" t="s">
        <v>6</v>
      </c>
      <c r="B1497" s="3" t="s">
        <v>7</v>
      </c>
      <c r="C1497" s="3" t="s">
        <v>8</v>
      </c>
      <c r="D1497" s="3" t="s">
        <v>9</v>
      </c>
      <c r="E1497" s="3" t="s">
        <v>13</v>
      </c>
      <c r="F1497" s="3" t="s">
        <v>17</v>
      </c>
    </row>
    <row r="1498">
      <c r="A1498" s="3" t="s">
        <v>6</v>
      </c>
      <c r="B1498" s="3" t="s">
        <v>7</v>
      </c>
      <c r="C1498" s="3" t="s">
        <v>11</v>
      </c>
    </row>
    <row r="1499">
      <c r="A1499" s="3" t="s">
        <v>6</v>
      </c>
      <c r="B1499" s="3" t="s">
        <v>8</v>
      </c>
      <c r="C1499" s="3" t="s">
        <v>12</v>
      </c>
    </row>
    <row r="1500">
      <c r="A1500" s="3" t="s">
        <v>6</v>
      </c>
      <c r="B1500" s="3" t="s">
        <v>7</v>
      </c>
      <c r="C1500" s="3" t="s">
        <v>11</v>
      </c>
      <c r="D1500" s="3" t="s">
        <v>15</v>
      </c>
      <c r="E1500" s="3" t="s">
        <v>16</v>
      </c>
      <c r="F1500" s="3" t="s">
        <v>17</v>
      </c>
    </row>
    <row r="1501">
      <c r="A1501" s="3" t="s">
        <v>6</v>
      </c>
      <c r="B1501" s="3" t="s">
        <v>8</v>
      </c>
      <c r="C1501" s="3" t="s">
        <v>9</v>
      </c>
    </row>
    <row r="1502">
      <c r="A1502" s="3" t="s">
        <v>6</v>
      </c>
      <c r="B1502" s="3" t="s">
        <v>13</v>
      </c>
      <c r="C1502" s="3" t="s">
        <v>15</v>
      </c>
    </row>
    <row r="1503">
      <c r="A1503" s="3" t="s">
        <v>6</v>
      </c>
      <c r="B1503" s="3" t="s">
        <v>11</v>
      </c>
      <c r="C1503" s="3" t="s">
        <v>13</v>
      </c>
      <c r="D1503" s="3" t="s">
        <v>14</v>
      </c>
      <c r="E1503" s="3" t="s">
        <v>15</v>
      </c>
      <c r="F1503" s="3" t="s">
        <v>18</v>
      </c>
    </row>
    <row r="1504">
      <c r="A1504" s="3" t="s">
        <v>6</v>
      </c>
      <c r="B1504" s="3" t="s">
        <v>7</v>
      </c>
      <c r="C1504" s="3" t="s">
        <v>8</v>
      </c>
      <c r="D1504" s="3" t="s">
        <v>11</v>
      </c>
      <c r="E1504" s="3" t="s">
        <v>15</v>
      </c>
    </row>
    <row r="1505">
      <c r="A1505" s="3" t="s">
        <v>6</v>
      </c>
      <c r="B1505" s="3" t="s">
        <v>11</v>
      </c>
      <c r="C1505" s="3" t="s">
        <v>12</v>
      </c>
      <c r="D1505" s="3" t="s">
        <v>15</v>
      </c>
      <c r="E1505" s="3" t="s">
        <v>17</v>
      </c>
    </row>
    <row r="1506">
      <c r="A1506" s="3" t="s">
        <v>6</v>
      </c>
      <c r="B1506" s="3" t="s">
        <v>7</v>
      </c>
      <c r="C1506" s="3" t="s">
        <v>8</v>
      </c>
      <c r="D1506" s="3" t="s">
        <v>11</v>
      </c>
      <c r="E1506" s="3" t="s">
        <v>13</v>
      </c>
      <c r="F1506" s="3" t="s">
        <v>17</v>
      </c>
    </row>
    <row r="1507">
      <c r="A1507" s="3" t="s">
        <v>6</v>
      </c>
      <c r="B1507" s="3" t="s">
        <v>7</v>
      </c>
      <c r="C1507" s="3" t="s">
        <v>11</v>
      </c>
    </row>
    <row r="1508">
      <c r="A1508" s="3" t="s">
        <v>6</v>
      </c>
      <c r="B1508" s="3" t="s">
        <v>7</v>
      </c>
      <c r="C1508" s="3" t="s">
        <v>8</v>
      </c>
    </row>
    <row r="1509">
      <c r="A1509" s="3" t="s">
        <v>6</v>
      </c>
      <c r="B1509" s="3" t="s">
        <v>7</v>
      </c>
      <c r="C1509" s="3" t="s">
        <v>8</v>
      </c>
      <c r="D1509" s="3" t="s">
        <v>15</v>
      </c>
      <c r="E1509" s="3" t="s">
        <v>16</v>
      </c>
    </row>
    <row r="1510">
      <c r="A1510" s="3" t="s">
        <v>6</v>
      </c>
      <c r="B1510" s="3" t="s">
        <v>13</v>
      </c>
      <c r="C1510" s="3" t="s">
        <v>14</v>
      </c>
    </row>
    <row r="1511">
      <c r="A1511" s="3" t="s">
        <v>6</v>
      </c>
      <c r="B1511" s="3" t="s">
        <v>7</v>
      </c>
      <c r="C1511" s="3" t="s">
        <v>11</v>
      </c>
      <c r="D1511" s="3" t="s">
        <v>12</v>
      </c>
      <c r="E1511" s="3" t="s">
        <v>15</v>
      </c>
      <c r="F1511" s="3" t="s">
        <v>16</v>
      </c>
    </row>
    <row r="1512">
      <c r="A1512" s="3" t="s">
        <v>6</v>
      </c>
      <c r="B1512" s="3" t="s">
        <v>7</v>
      </c>
      <c r="C1512" s="3" t="s">
        <v>17</v>
      </c>
    </row>
    <row r="1513">
      <c r="A1513" s="3" t="s">
        <v>6</v>
      </c>
    </row>
    <row r="1514">
      <c r="A1514" s="3" t="s">
        <v>6</v>
      </c>
      <c r="B1514" s="3" t="s">
        <v>7</v>
      </c>
      <c r="C1514" s="3" t="s">
        <v>15</v>
      </c>
    </row>
    <row r="1515">
      <c r="A1515" s="3" t="s">
        <v>6</v>
      </c>
      <c r="B1515" s="3" t="s">
        <v>7</v>
      </c>
      <c r="C1515" s="3" t="s">
        <v>13</v>
      </c>
      <c r="D1515" s="3" t="s">
        <v>14</v>
      </c>
      <c r="E1515" s="3" t="s">
        <v>17</v>
      </c>
    </row>
    <row r="1516">
      <c r="A1516" s="3" t="s">
        <v>6</v>
      </c>
      <c r="B1516" s="3" t="s">
        <v>7</v>
      </c>
      <c r="C1516" s="3" t="s">
        <v>8</v>
      </c>
      <c r="D1516" s="3" t="s">
        <v>15</v>
      </c>
      <c r="E1516" s="3" t="s">
        <v>16</v>
      </c>
      <c r="F1516" s="3" t="s">
        <v>17</v>
      </c>
    </row>
    <row r="1517">
      <c r="A1517" s="3" t="s">
        <v>6</v>
      </c>
      <c r="B1517" s="3" t="s">
        <v>11</v>
      </c>
      <c r="C1517" s="3" t="s">
        <v>15</v>
      </c>
    </row>
    <row r="1518">
      <c r="A1518" s="3" t="s">
        <v>6</v>
      </c>
      <c r="B1518" s="3" t="s">
        <v>7</v>
      </c>
      <c r="C1518" s="3" t="s">
        <v>8</v>
      </c>
      <c r="D1518" s="3" t="s">
        <v>15</v>
      </c>
      <c r="E1518" s="3" t="s">
        <v>16</v>
      </c>
      <c r="F1518" s="3" t="s">
        <v>17</v>
      </c>
    </row>
    <row r="1519">
      <c r="A1519" s="3" t="s">
        <v>6</v>
      </c>
      <c r="B1519" s="3" t="s">
        <v>7</v>
      </c>
      <c r="C1519" s="3" t="s">
        <v>11</v>
      </c>
    </row>
    <row r="1520">
      <c r="A1520" s="3" t="s">
        <v>6</v>
      </c>
      <c r="B1520" s="3" t="s">
        <v>7</v>
      </c>
      <c r="C1520" s="3" t="s">
        <v>13</v>
      </c>
    </row>
    <row r="1521">
      <c r="A1521" s="3" t="s">
        <v>6</v>
      </c>
      <c r="B1521" s="3" t="s">
        <v>13</v>
      </c>
      <c r="C1521" s="3" t="s">
        <v>15</v>
      </c>
    </row>
    <row r="1522">
      <c r="A1522" s="3" t="s">
        <v>6</v>
      </c>
      <c r="B1522" s="3" t="s">
        <v>11</v>
      </c>
      <c r="C1522" s="3" t="s">
        <v>13</v>
      </c>
    </row>
    <row r="1523">
      <c r="A1523" s="3" t="s">
        <v>6</v>
      </c>
      <c r="B1523" s="3" t="s">
        <v>15</v>
      </c>
    </row>
    <row r="1524">
      <c r="A1524" s="3" t="s">
        <v>6</v>
      </c>
      <c r="B1524" s="3" t="s">
        <v>7</v>
      </c>
      <c r="C1524" s="3" t="s">
        <v>8</v>
      </c>
      <c r="D1524" s="3" t="s">
        <v>13</v>
      </c>
      <c r="E1524" s="3" t="s">
        <v>14</v>
      </c>
      <c r="F1524" s="3" t="s">
        <v>17</v>
      </c>
      <c r="G1524" s="3" t="s">
        <v>18</v>
      </c>
    </row>
    <row r="1525">
      <c r="A1525" s="3" t="s">
        <v>6</v>
      </c>
      <c r="B1525" s="3" t="s">
        <v>11</v>
      </c>
      <c r="C1525" s="3" t="s">
        <v>16</v>
      </c>
    </row>
    <row r="1526">
      <c r="A1526" s="3" t="s">
        <v>6</v>
      </c>
      <c r="B1526" s="3" t="s">
        <v>10</v>
      </c>
      <c r="C1526" s="3" t="s">
        <v>18</v>
      </c>
    </row>
    <row r="1527">
      <c r="A1527" s="3" t="s">
        <v>6</v>
      </c>
      <c r="B1527" s="3" t="s">
        <v>16</v>
      </c>
    </row>
    <row r="1528">
      <c r="A1528" s="3" t="s">
        <v>6</v>
      </c>
      <c r="B1528" s="3" t="s">
        <v>15</v>
      </c>
      <c r="C1528" s="3" t="s">
        <v>16</v>
      </c>
    </row>
    <row r="1529">
      <c r="A1529" s="3" t="s">
        <v>6</v>
      </c>
      <c r="B1529" s="3" t="s">
        <v>7</v>
      </c>
      <c r="C1529" s="3" t="s">
        <v>11</v>
      </c>
    </row>
    <row r="1530">
      <c r="A1530" s="3" t="s">
        <v>6</v>
      </c>
      <c r="B1530" s="3" t="s">
        <v>13</v>
      </c>
      <c r="C1530" s="3" t="s">
        <v>14</v>
      </c>
    </row>
    <row r="1531">
      <c r="A1531" s="3" t="s">
        <v>6</v>
      </c>
      <c r="B1531" s="3" t="s">
        <v>11</v>
      </c>
      <c r="C1531" s="3" t="s">
        <v>13</v>
      </c>
    </row>
    <row r="1532">
      <c r="A1532" s="3" t="s">
        <v>6</v>
      </c>
      <c r="B1532" s="3" t="s">
        <v>16</v>
      </c>
    </row>
    <row r="1533">
      <c r="A1533" s="3" t="s">
        <v>6</v>
      </c>
      <c r="B1533" s="3" t="s">
        <v>7</v>
      </c>
      <c r="C1533" s="3" t="s">
        <v>13</v>
      </c>
    </row>
    <row r="1534">
      <c r="A1534" s="3" t="s">
        <v>6</v>
      </c>
      <c r="B1534" s="3" t="s">
        <v>15</v>
      </c>
      <c r="C1534" s="3" t="s">
        <v>17</v>
      </c>
    </row>
    <row r="1535">
      <c r="A1535" s="3" t="s">
        <v>6</v>
      </c>
      <c r="B1535" s="3" t="s">
        <v>11</v>
      </c>
    </row>
    <row r="1536">
      <c r="A1536" s="3" t="s">
        <v>6</v>
      </c>
      <c r="B1536" s="3" t="s">
        <v>11</v>
      </c>
    </row>
    <row r="1537">
      <c r="A1537" s="3" t="s">
        <v>6</v>
      </c>
      <c r="B1537" s="3" t="s">
        <v>15</v>
      </c>
      <c r="C1537" s="3" t="s">
        <v>16</v>
      </c>
    </row>
    <row r="1538">
      <c r="A1538" s="3" t="s">
        <v>6</v>
      </c>
      <c r="B1538" s="3" t="s">
        <v>7</v>
      </c>
      <c r="C1538" s="3" t="s">
        <v>15</v>
      </c>
    </row>
    <row r="1539">
      <c r="A1539" s="3" t="s">
        <v>6</v>
      </c>
      <c r="B1539" s="3" t="s">
        <v>13</v>
      </c>
      <c r="C1539" s="3" t="s">
        <v>14</v>
      </c>
    </row>
    <row r="1540">
      <c r="A1540" s="3" t="s">
        <v>6</v>
      </c>
      <c r="B1540" s="3" t="s">
        <v>15</v>
      </c>
    </row>
    <row r="1541">
      <c r="A1541" s="3" t="s">
        <v>6</v>
      </c>
      <c r="B1541" s="3" t="s">
        <v>11</v>
      </c>
      <c r="C1541" s="3" t="s">
        <v>15</v>
      </c>
    </row>
    <row r="1542">
      <c r="A1542" s="3" t="s">
        <v>6</v>
      </c>
      <c r="B1542" s="3" t="s">
        <v>13</v>
      </c>
      <c r="C1542" s="3" t="s">
        <v>14</v>
      </c>
    </row>
    <row r="1543">
      <c r="A1543" s="3" t="s">
        <v>6</v>
      </c>
      <c r="B1543" s="3" t="s">
        <v>10</v>
      </c>
      <c r="C1543" s="3" t="s">
        <v>11</v>
      </c>
    </row>
    <row r="1544">
      <c r="A1544" s="3" t="s">
        <v>6</v>
      </c>
      <c r="B1544" s="3" t="s">
        <v>13</v>
      </c>
      <c r="C1544" s="3" t="s">
        <v>14</v>
      </c>
    </row>
    <row r="1545">
      <c r="A1545" s="3" t="s">
        <v>6</v>
      </c>
      <c r="B1545" s="3" t="s">
        <v>7</v>
      </c>
    </row>
    <row r="1546">
      <c r="A1546" s="3" t="s">
        <v>609</v>
      </c>
    </row>
    <row r="1547">
      <c r="A1547" s="3" t="s">
        <v>7</v>
      </c>
      <c r="B1547" s="3" t="s">
        <v>8</v>
      </c>
      <c r="C1547" s="3" t="s">
        <v>9</v>
      </c>
      <c r="D1547" s="3" t="s">
        <v>11</v>
      </c>
      <c r="E1547" s="3" t="s">
        <v>12</v>
      </c>
      <c r="F1547" s="3" t="s">
        <v>15</v>
      </c>
      <c r="G1547" s="3" t="s">
        <v>16</v>
      </c>
      <c r="H1547" s="3" t="s">
        <v>18</v>
      </c>
    </row>
    <row r="1548">
      <c r="A1548" s="3" t="s">
        <v>7</v>
      </c>
      <c r="B1548" s="3" t="s">
        <v>12</v>
      </c>
      <c r="C1548" s="3" t="s">
        <v>15</v>
      </c>
      <c r="D1548" s="3" t="s">
        <v>16</v>
      </c>
    </row>
    <row r="1549">
      <c r="A1549" s="3" t="s">
        <v>7</v>
      </c>
      <c r="B1549" s="3" t="s">
        <v>11</v>
      </c>
      <c r="C1549" s="3" t="s">
        <v>13</v>
      </c>
      <c r="D1549" s="3" t="s">
        <v>14</v>
      </c>
      <c r="E1549" s="3" t="s">
        <v>15</v>
      </c>
      <c r="F1549" s="3" t="s">
        <v>17</v>
      </c>
      <c r="G1549" s="3" t="s">
        <v>18</v>
      </c>
    </row>
    <row r="1550">
      <c r="A1550" s="3" t="s">
        <v>7</v>
      </c>
      <c r="B1550" s="3" t="s">
        <v>16</v>
      </c>
      <c r="C1550" s="3" t="s">
        <v>17</v>
      </c>
    </row>
    <row r="1551">
      <c r="A1551" s="3" t="s">
        <v>7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</row>
    <row r="1552">
      <c r="A1552" s="3" t="s">
        <v>7</v>
      </c>
      <c r="B1552" s="3" t="s">
        <v>9</v>
      </c>
      <c r="C1552" s="3" t="s">
        <v>11</v>
      </c>
      <c r="D1552" s="3" t="s">
        <v>12</v>
      </c>
      <c r="E1552" s="3" t="s">
        <v>13</v>
      </c>
      <c r="F1552" s="3" t="s">
        <v>14</v>
      </c>
      <c r="G1552" s="3" t="s">
        <v>15</v>
      </c>
      <c r="H1552" s="3" t="s">
        <v>17</v>
      </c>
      <c r="I1552" s="3" t="s">
        <v>18</v>
      </c>
    </row>
    <row r="1553">
      <c r="A1553" s="3" t="s">
        <v>7</v>
      </c>
      <c r="B1553" s="3" t="s">
        <v>8</v>
      </c>
      <c r="C1553" s="3" t="s">
        <v>9</v>
      </c>
      <c r="D1553" s="3" t="s">
        <v>11</v>
      </c>
      <c r="E1553" s="3" t="s">
        <v>12</v>
      </c>
      <c r="F1553" s="3" t="s">
        <v>15</v>
      </c>
      <c r="G1553" s="3" t="s">
        <v>16</v>
      </c>
      <c r="H1553" s="3" t="s">
        <v>17</v>
      </c>
      <c r="I1553" s="3" t="s">
        <v>18</v>
      </c>
      <c r="J1553" s="3" t="s">
        <v>24</v>
      </c>
    </row>
    <row r="1554">
      <c r="A1554" s="3" t="s">
        <v>7</v>
      </c>
      <c r="B1554" s="3" t="s">
        <v>14</v>
      </c>
      <c r="C1554" s="3" t="s">
        <v>16</v>
      </c>
      <c r="D1554" s="3" t="s">
        <v>17</v>
      </c>
    </row>
    <row r="1555">
      <c r="A1555" s="3" t="s">
        <v>7</v>
      </c>
      <c r="B1555" s="3" t="s">
        <v>8</v>
      </c>
      <c r="C1555" s="3" t="s">
        <v>11</v>
      </c>
      <c r="D1555" s="3" t="s">
        <v>12</v>
      </c>
      <c r="E1555" s="3" t="s">
        <v>17</v>
      </c>
      <c r="F1555" s="3" t="s">
        <v>18</v>
      </c>
    </row>
    <row r="1556">
      <c r="A1556" s="3" t="s">
        <v>7</v>
      </c>
      <c r="B1556" s="3" t="s">
        <v>8</v>
      </c>
      <c r="C1556" s="3" t="s">
        <v>9</v>
      </c>
      <c r="D1556" s="3" t="s">
        <v>11</v>
      </c>
      <c r="E1556" s="3" t="s">
        <v>12</v>
      </c>
      <c r="F1556" s="3" t="s">
        <v>15</v>
      </c>
      <c r="G1556" s="3" t="s">
        <v>16</v>
      </c>
      <c r="H1556" s="3" t="s">
        <v>18</v>
      </c>
      <c r="I1556" s="3" t="s">
        <v>24</v>
      </c>
    </row>
    <row r="1557">
      <c r="A1557" s="3" t="s">
        <v>7</v>
      </c>
      <c r="B1557" s="3" t="s">
        <v>8</v>
      </c>
      <c r="C1557" s="3" t="s">
        <v>9</v>
      </c>
      <c r="D1557" s="3" t="s">
        <v>11</v>
      </c>
      <c r="E1557" s="3" t="s">
        <v>18</v>
      </c>
      <c r="F1557" s="3" t="s">
        <v>24</v>
      </c>
    </row>
    <row r="1558">
      <c r="A1558" s="3" t="s">
        <v>7</v>
      </c>
      <c r="B1558" s="3" t="s">
        <v>8</v>
      </c>
      <c r="C1558" s="3" t="s">
        <v>15</v>
      </c>
      <c r="D1558" s="3" t="s">
        <v>16</v>
      </c>
    </row>
    <row r="1559">
      <c r="A1559" s="3" t="s">
        <v>7</v>
      </c>
      <c r="B1559" s="3" t="s">
        <v>8</v>
      </c>
      <c r="C1559" s="3" t="s">
        <v>9</v>
      </c>
      <c r="D1559" s="3" t="s">
        <v>13</v>
      </c>
      <c r="E1559" s="3" t="s">
        <v>14</v>
      </c>
      <c r="F1559" s="3" t="s">
        <v>17</v>
      </c>
      <c r="G1559" s="3" t="s">
        <v>18</v>
      </c>
      <c r="H1559" s="3" t="s">
        <v>24</v>
      </c>
    </row>
    <row r="1560">
      <c r="A1560" s="3" t="s">
        <v>7</v>
      </c>
      <c r="B1560" s="3" t="s">
        <v>8</v>
      </c>
      <c r="C1560" s="3" t="s">
        <v>12</v>
      </c>
      <c r="D1560" s="3" t="s">
        <v>14</v>
      </c>
      <c r="E1560" s="3" t="s">
        <v>15</v>
      </c>
      <c r="F1560" s="3" t="s">
        <v>16</v>
      </c>
      <c r="G1560" s="3" t="s">
        <v>18</v>
      </c>
    </row>
    <row r="1561">
      <c r="A1561" s="3" t="s">
        <v>7</v>
      </c>
      <c r="B1561" s="3" t="s">
        <v>9</v>
      </c>
      <c r="C1561" s="3" t="s">
        <v>12</v>
      </c>
      <c r="D1561" s="3" t="s">
        <v>14</v>
      </c>
      <c r="E1561" s="3" t="s">
        <v>15</v>
      </c>
      <c r="F1561" s="3" t="s">
        <v>16</v>
      </c>
      <c r="G1561" s="3" t="s">
        <v>17</v>
      </c>
      <c r="H1561" s="3" t="s">
        <v>18</v>
      </c>
      <c r="I1561" s="3" t="s">
        <v>24</v>
      </c>
    </row>
    <row r="1562">
      <c r="A1562" s="3" t="s">
        <v>7</v>
      </c>
      <c r="B1562" s="3" t="s">
        <v>11</v>
      </c>
      <c r="C1562" s="3" t="s">
        <v>12</v>
      </c>
      <c r="D1562" s="3" t="s">
        <v>15</v>
      </c>
      <c r="E1562" s="3" t="s">
        <v>16</v>
      </c>
      <c r="F1562" s="3" t="s">
        <v>17</v>
      </c>
    </row>
    <row r="1563">
      <c r="A1563" s="3" t="s">
        <v>7</v>
      </c>
      <c r="B1563" s="3" t="s">
        <v>10</v>
      </c>
    </row>
    <row r="1564">
      <c r="A1564" s="3" t="s">
        <v>7</v>
      </c>
      <c r="B1564" s="3" t="s">
        <v>11</v>
      </c>
      <c r="C1564" s="3" t="s">
        <v>12</v>
      </c>
      <c r="D1564" s="3" t="s">
        <v>15</v>
      </c>
    </row>
    <row r="1565">
      <c r="A1565" s="3" t="s">
        <v>7</v>
      </c>
      <c r="B1565" s="3" t="s">
        <v>8</v>
      </c>
      <c r="C1565" s="3" t="s">
        <v>9</v>
      </c>
      <c r="D1565" s="3" t="s">
        <v>10</v>
      </c>
      <c r="E1565" s="3" t="s">
        <v>11</v>
      </c>
      <c r="F1565" s="3" t="s">
        <v>12</v>
      </c>
      <c r="G1565" s="3" t="s">
        <v>17</v>
      </c>
      <c r="H1565" s="3" t="s">
        <v>24</v>
      </c>
    </row>
    <row r="1566">
      <c r="A1566" s="3" t="s">
        <v>7</v>
      </c>
      <c r="B1566" s="3" t="s">
        <v>8</v>
      </c>
      <c r="C1566" s="3" t="s">
        <v>14</v>
      </c>
    </row>
    <row r="1567">
      <c r="A1567" s="3" t="s">
        <v>7</v>
      </c>
      <c r="B1567" s="3" t="s">
        <v>9</v>
      </c>
      <c r="C1567" s="3" t="s">
        <v>10</v>
      </c>
      <c r="D1567" s="3" t="s">
        <v>15</v>
      </c>
      <c r="E1567" s="3" t="s">
        <v>16</v>
      </c>
      <c r="F1567" s="3" t="s">
        <v>24</v>
      </c>
    </row>
    <row r="1568">
      <c r="A1568" s="3" t="s">
        <v>7</v>
      </c>
      <c r="B1568" s="3" t="s">
        <v>13</v>
      </c>
      <c r="C1568" s="3" t="s">
        <v>14</v>
      </c>
    </row>
    <row r="1569">
      <c r="A1569" s="3" t="s">
        <v>7</v>
      </c>
      <c r="B1569" s="3" t="s">
        <v>11</v>
      </c>
      <c r="C1569" s="3" t="s">
        <v>12</v>
      </c>
      <c r="D1569" s="3" t="s">
        <v>15</v>
      </c>
      <c r="E1569" s="3" t="s">
        <v>16</v>
      </c>
    </row>
    <row r="1570">
      <c r="A1570" s="3" t="s">
        <v>7</v>
      </c>
      <c r="B1570" s="3" t="s">
        <v>13</v>
      </c>
      <c r="C1570" s="3" t="s">
        <v>15</v>
      </c>
      <c r="D1570" s="3" t="s">
        <v>16</v>
      </c>
      <c r="E1570" s="3" t="s">
        <v>17</v>
      </c>
    </row>
    <row r="1571">
      <c r="A1571" s="3" t="s">
        <v>7</v>
      </c>
      <c r="B1571" s="3" t="s">
        <v>8</v>
      </c>
      <c r="C1571" s="3" t="s">
        <v>9</v>
      </c>
    </row>
    <row r="1572">
      <c r="A1572" s="3" t="s">
        <v>7</v>
      </c>
      <c r="B1572" s="3" t="s">
        <v>13</v>
      </c>
      <c r="C1572" s="3" t="s">
        <v>14</v>
      </c>
    </row>
    <row r="1573">
      <c r="A1573" s="3" t="s">
        <v>7</v>
      </c>
      <c r="B1573" s="3" t="s">
        <v>11</v>
      </c>
    </row>
    <row r="1574">
      <c r="A1574" s="3" t="s">
        <v>7</v>
      </c>
      <c r="B1574" s="3" t="s">
        <v>12</v>
      </c>
      <c r="C1574" s="3" t="s">
        <v>17</v>
      </c>
    </row>
    <row r="1575">
      <c r="A1575" s="3" t="s">
        <v>7</v>
      </c>
      <c r="B1575" s="3" t="s">
        <v>13</v>
      </c>
      <c r="C1575" s="3" t="s">
        <v>15</v>
      </c>
    </row>
    <row r="1576">
      <c r="A1576" s="3" t="s">
        <v>7</v>
      </c>
      <c r="B1576" s="3" t="s">
        <v>11</v>
      </c>
      <c r="C1576" s="3" t="s">
        <v>17</v>
      </c>
    </row>
    <row r="1577">
      <c r="A1577" s="3" t="s">
        <v>7</v>
      </c>
      <c r="B1577" s="3" t="s">
        <v>11</v>
      </c>
      <c r="C1577" s="3" t="s">
        <v>12</v>
      </c>
    </row>
    <row r="1578">
      <c r="A1578" s="3" t="s">
        <v>7</v>
      </c>
      <c r="B1578" s="3" t="s">
        <v>15</v>
      </c>
      <c r="C1578" s="3" t="s">
        <v>16</v>
      </c>
    </row>
    <row r="1579">
      <c r="A1579" s="3" t="s">
        <v>7</v>
      </c>
      <c r="B1579" s="3" t="s">
        <v>13</v>
      </c>
      <c r="C1579" s="3" t="s">
        <v>14</v>
      </c>
    </row>
    <row r="1580">
      <c r="A1580" s="3" t="s">
        <v>7</v>
      </c>
      <c r="B1580" s="3" t="s">
        <v>12</v>
      </c>
      <c r="C1580" s="3" t="s">
        <v>17</v>
      </c>
    </row>
    <row r="1581">
      <c r="A1581" s="3" t="s">
        <v>8</v>
      </c>
      <c r="B1581" s="3" t="s">
        <v>9</v>
      </c>
      <c r="C1581" s="3" t="s">
        <v>11</v>
      </c>
      <c r="D1581" s="3" t="s">
        <v>16</v>
      </c>
      <c r="E1581" s="3" t="s">
        <v>18</v>
      </c>
    </row>
    <row r="1582">
      <c r="A1582" s="3" t="s">
        <v>8</v>
      </c>
      <c r="B1582" s="3" t="s">
        <v>9</v>
      </c>
      <c r="C1582" s="3" t="s">
        <v>15</v>
      </c>
      <c r="D1582" s="3" t="s">
        <v>16</v>
      </c>
      <c r="E1582" s="3" t="s">
        <v>24</v>
      </c>
    </row>
    <row r="1583">
      <c r="A1583" s="3" t="s">
        <v>8</v>
      </c>
      <c r="B1583" s="3" t="s">
        <v>13</v>
      </c>
      <c r="C1583" s="3" t="s">
        <v>14</v>
      </c>
      <c r="D1583" s="3" t="s">
        <v>16</v>
      </c>
      <c r="E1583" s="3" t="s">
        <v>17</v>
      </c>
      <c r="F1583" s="3" t="s">
        <v>18</v>
      </c>
    </row>
    <row r="1584">
      <c r="A1584" s="3" t="s">
        <v>8</v>
      </c>
      <c r="B1584" s="3" t="s">
        <v>11</v>
      </c>
      <c r="C1584" s="3" t="s">
        <v>14</v>
      </c>
      <c r="D1584" s="3" t="s">
        <v>16</v>
      </c>
      <c r="E1584" s="3" t="s">
        <v>18</v>
      </c>
    </row>
    <row r="1585">
      <c r="A1585" s="3" t="s">
        <v>8</v>
      </c>
      <c r="B1585" s="3" t="s">
        <v>9</v>
      </c>
      <c r="C1585" s="3" t="s">
        <v>10</v>
      </c>
      <c r="D1585" s="3" t="s">
        <v>12</v>
      </c>
      <c r="E1585" s="3" t="s">
        <v>14</v>
      </c>
      <c r="F1585" s="3" t="s">
        <v>24</v>
      </c>
    </row>
    <row r="1586">
      <c r="A1586" s="3" t="s">
        <v>8</v>
      </c>
      <c r="B1586" s="3" t="s">
        <v>10</v>
      </c>
      <c r="C1586" s="3" t="s">
        <v>11</v>
      </c>
      <c r="D1586" s="3" t="s">
        <v>12</v>
      </c>
      <c r="E1586" s="3" t="s">
        <v>13</v>
      </c>
      <c r="F1586" s="3" t="s">
        <v>14</v>
      </c>
      <c r="G1586" s="3" t="s">
        <v>18</v>
      </c>
      <c r="H1586" s="3" t="s">
        <v>24</v>
      </c>
    </row>
    <row r="1587">
      <c r="A1587" s="3" t="s">
        <v>8</v>
      </c>
      <c r="B1587" s="3" t="s">
        <v>9</v>
      </c>
      <c r="C1587" s="3" t="s">
        <v>10</v>
      </c>
      <c r="D1587" s="3" t="s">
        <v>12</v>
      </c>
      <c r="E1587" s="3" t="s">
        <v>16</v>
      </c>
      <c r="F1587" s="3" t="s">
        <v>18</v>
      </c>
      <c r="G1587" s="3" t="s">
        <v>24</v>
      </c>
    </row>
    <row r="1588">
      <c r="A1588" s="3" t="s">
        <v>8</v>
      </c>
      <c r="B1588" s="3" t="s">
        <v>9</v>
      </c>
      <c r="C1588" s="3" t="s">
        <v>10</v>
      </c>
      <c r="D1588" s="3" t="s">
        <v>11</v>
      </c>
      <c r="E1588" s="3" t="s">
        <v>12</v>
      </c>
      <c r="F1588" s="3" t="s">
        <v>15</v>
      </c>
      <c r="G1588" s="3" t="s">
        <v>16</v>
      </c>
    </row>
    <row r="1589">
      <c r="A1589" s="3" t="s">
        <v>8</v>
      </c>
      <c r="B1589" s="3" t="s">
        <v>9</v>
      </c>
      <c r="C1589" s="3" t="s">
        <v>10</v>
      </c>
      <c r="D1589" s="3" t="s">
        <v>17</v>
      </c>
      <c r="E1589" s="3" t="s">
        <v>18</v>
      </c>
      <c r="F1589" s="3" t="s">
        <v>24</v>
      </c>
    </row>
    <row r="1590">
      <c r="A1590" s="3" t="s">
        <v>8</v>
      </c>
      <c r="B1590" s="3" t="s">
        <v>9</v>
      </c>
      <c r="C1590" s="3" t="s">
        <v>10</v>
      </c>
      <c r="D1590" s="3" t="s">
        <v>12</v>
      </c>
      <c r="E1590" s="3" t="s">
        <v>16</v>
      </c>
      <c r="F1590" s="3" t="s">
        <v>17</v>
      </c>
      <c r="G1590" s="3" t="s">
        <v>18</v>
      </c>
      <c r="H1590" s="3" t="s">
        <v>24</v>
      </c>
    </row>
    <row r="1591">
      <c r="A1591" s="3" t="s">
        <v>8</v>
      </c>
      <c r="B1591" s="3" t="s">
        <v>9</v>
      </c>
      <c r="C1591" s="3" t="s">
        <v>10</v>
      </c>
      <c r="D1591" s="3" t="s">
        <v>15</v>
      </c>
      <c r="E1591" s="3" t="s">
        <v>16</v>
      </c>
      <c r="F1591" s="3" t="s">
        <v>17</v>
      </c>
      <c r="G1591" s="3" t="s">
        <v>24</v>
      </c>
    </row>
    <row r="1592">
      <c r="A1592" s="3" t="s">
        <v>8</v>
      </c>
      <c r="B1592" s="3" t="s">
        <v>11</v>
      </c>
      <c r="C1592" s="3" t="s">
        <v>12</v>
      </c>
      <c r="D1592" s="3" t="s">
        <v>17</v>
      </c>
      <c r="E1592" s="3" t="s">
        <v>24</v>
      </c>
    </row>
    <row r="1593">
      <c r="A1593" s="3" t="s">
        <v>8</v>
      </c>
      <c r="B1593" s="3" t="s">
        <v>9</v>
      </c>
      <c r="C1593" s="3" t="s">
        <v>11</v>
      </c>
      <c r="D1593" s="3" t="s">
        <v>12</v>
      </c>
      <c r="E1593" s="3" t="s">
        <v>17</v>
      </c>
    </row>
    <row r="1594">
      <c r="A1594" s="3" t="s">
        <v>8</v>
      </c>
      <c r="B1594" s="3" t="s">
        <v>15</v>
      </c>
      <c r="C1594" s="3" t="s">
        <v>17</v>
      </c>
    </row>
    <row r="1595">
      <c r="A1595" s="3" t="s">
        <v>8</v>
      </c>
      <c r="B1595" s="3" t="s">
        <v>9</v>
      </c>
      <c r="C1595" s="3" t="s">
        <v>15</v>
      </c>
      <c r="D1595" s="3" t="s">
        <v>16</v>
      </c>
      <c r="E1595" s="3" t="s">
        <v>18</v>
      </c>
    </row>
    <row r="1596">
      <c r="A1596" s="3" t="s">
        <v>8</v>
      </c>
      <c r="B1596" s="3" t="s">
        <v>9</v>
      </c>
      <c r="C1596" s="3" t="s">
        <v>10</v>
      </c>
      <c r="D1596" s="3" t="s">
        <v>11</v>
      </c>
      <c r="E1596" s="3" t="s">
        <v>12</v>
      </c>
      <c r="F1596" s="3" t="s">
        <v>18</v>
      </c>
      <c r="G1596" s="3" t="s">
        <v>24</v>
      </c>
    </row>
    <row r="1597">
      <c r="A1597" s="3" t="s">
        <v>8</v>
      </c>
      <c r="B1597" s="3" t="s">
        <v>11</v>
      </c>
      <c r="C1597" s="3" t="s">
        <v>12</v>
      </c>
      <c r="D1597" s="3" t="s">
        <v>15</v>
      </c>
      <c r="E1597" s="3" t="s">
        <v>16</v>
      </c>
      <c r="F1597" s="3" t="s">
        <v>17</v>
      </c>
    </row>
    <row r="1598">
      <c r="A1598" s="3" t="s">
        <v>8</v>
      </c>
      <c r="B1598" s="3" t="s">
        <v>9</v>
      </c>
      <c r="C1598" s="3" t="s">
        <v>13</v>
      </c>
      <c r="D1598" s="3" t="s">
        <v>15</v>
      </c>
      <c r="E1598" s="3" t="s">
        <v>17</v>
      </c>
    </row>
    <row r="1599">
      <c r="A1599" s="3" t="s">
        <v>8</v>
      </c>
      <c r="B1599" s="3" t="s">
        <v>9</v>
      </c>
      <c r="C1599" s="3" t="s">
        <v>10</v>
      </c>
      <c r="D1599" s="3" t="s">
        <v>11</v>
      </c>
      <c r="E1599" s="3" t="s">
        <v>12</v>
      </c>
      <c r="F1599" s="3" t="s">
        <v>15</v>
      </c>
      <c r="G1599" s="3" t="s">
        <v>16</v>
      </c>
      <c r="H1599" s="3" t="s">
        <v>17</v>
      </c>
      <c r="I1599" s="3" t="s">
        <v>18</v>
      </c>
      <c r="J1599" s="3" t="s">
        <v>24</v>
      </c>
    </row>
    <row r="1600">
      <c r="A1600" s="3" t="s">
        <v>8</v>
      </c>
      <c r="B1600" s="3" t="s">
        <v>9</v>
      </c>
      <c r="C1600" s="3" t="s">
        <v>11</v>
      </c>
      <c r="D1600" s="3" t="s">
        <v>12</v>
      </c>
      <c r="E1600" s="3" t="s">
        <v>16</v>
      </c>
      <c r="F1600" s="3" t="s">
        <v>17</v>
      </c>
    </row>
    <row r="1601">
      <c r="A1601" s="3" t="s">
        <v>8</v>
      </c>
      <c r="B1601" s="3" t="s">
        <v>11</v>
      </c>
      <c r="C1601" s="3" t="s">
        <v>12</v>
      </c>
      <c r="D1601" s="3" t="s">
        <v>13</v>
      </c>
      <c r="E1601" s="3" t="s">
        <v>14</v>
      </c>
      <c r="F1601" s="3" t="s">
        <v>16</v>
      </c>
      <c r="G1601" s="3" t="s">
        <v>17</v>
      </c>
      <c r="H1601" s="3" t="s">
        <v>18</v>
      </c>
    </row>
    <row r="1602">
      <c r="A1602" s="3" t="s">
        <v>8</v>
      </c>
      <c r="B1602" s="3" t="s">
        <v>13</v>
      </c>
      <c r="C1602" s="3" t="s">
        <v>14</v>
      </c>
    </row>
    <row r="1603">
      <c r="A1603" s="3" t="s">
        <v>8</v>
      </c>
      <c r="B1603" s="3" t="s">
        <v>9</v>
      </c>
      <c r="C1603" s="3" t="s">
        <v>10</v>
      </c>
      <c r="D1603" s="3" t="s">
        <v>15</v>
      </c>
      <c r="E1603" s="3" t="s">
        <v>16</v>
      </c>
      <c r="F1603" s="3" t="s">
        <v>24</v>
      </c>
    </row>
    <row r="1604">
      <c r="A1604" s="3" t="s">
        <v>8</v>
      </c>
      <c r="B1604" s="3" t="s">
        <v>9</v>
      </c>
      <c r="C1604" s="3" t="s">
        <v>10</v>
      </c>
      <c r="D1604" s="3" t="s">
        <v>12</v>
      </c>
      <c r="E1604" s="3" t="s">
        <v>13</v>
      </c>
      <c r="F1604" s="3" t="s">
        <v>14</v>
      </c>
      <c r="G1604" s="3" t="s">
        <v>16</v>
      </c>
      <c r="H1604" s="3" t="s">
        <v>17</v>
      </c>
      <c r="I1604" s="3" t="s">
        <v>18</v>
      </c>
      <c r="J1604" s="3" t="s">
        <v>24</v>
      </c>
    </row>
    <row r="1605">
      <c r="A1605" s="3" t="s">
        <v>8</v>
      </c>
      <c r="B1605" s="3" t="s">
        <v>9</v>
      </c>
      <c r="C1605" s="3" t="s">
        <v>13</v>
      </c>
    </row>
    <row r="1606">
      <c r="A1606" s="3" t="s">
        <v>8</v>
      </c>
      <c r="B1606" s="3" t="s">
        <v>9</v>
      </c>
      <c r="C1606" s="3" t="s">
        <v>10</v>
      </c>
      <c r="D1606" s="3" t="s">
        <v>24</v>
      </c>
    </row>
    <row r="1607">
      <c r="A1607" s="3" t="s">
        <v>8</v>
      </c>
      <c r="B1607" s="3" t="s">
        <v>9</v>
      </c>
      <c r="C1607" s="3" t="s">
        <v>11</v>
      </c>
      <c r="D1607" s="3" t="s">
        <v>12</v>
      </c>
      <c r="E1607" s="3" t="s">
        <v>17</v>
      </c>
      <c r="F1607" s="3" t="s">
        <v>18</v>
      </c>
    </row>
    <row r="1608">
      <c r="A1608" s="3" t="s">
        <v>8</v>
      </c>
      <c r="B1608" s="3" t="s">
        <v>9</v>
      </c>
      <c r="C1608" s="3" t="s">
        <v>13</v>
      </c>
      <c r="D1608" s="3" t="s">
        <v>14</v>
      </c>
      <c r="E1608" s="3" t="s">
        <v>17</v>
      </c>
      <c r="F1608" s="3" t="s">
        <v>18</v>
      </c>
    </row>
    <row r="1609">
      <c r="A1609" s="3" t="s">
        <v>8</v>
      </c>
      <c r="B1609" s="3" t="s">
        <v>15</v>
      </c>
      <c r="C1609" s="3" t="s">
        <v>16</v>
      </c>
      <c r="D1609" s="3" t="s">
        <v>17</v>
      </c>
    </row>
    <row r="1610">
      <c r="A1610" s="3" t="s">
        <v>8</v>
      </c>
      <c r="B1610" s="3" t="s">
        <v>11</v>
      </c>
      <c r="C1610" s="3" t="s">
        <v>12</v>
      </c>
      <c r="D1610" s="3" t="s">
        <v>15</v>
      </c>
      <c r="E1610" s="3" t="s">
        <v>17</v>
      </c>
    </row>
    <row r="1611">
      <c r="A1611" s="3" t="s">
        <v>8</v>
      </c>
      <c r="B1611" s="3" t="s">
        <v>9</v>
      </c>
      <c r="C1611" s="3" t="s">
        <v>15</v>
      </c>
    </row>
    <row r="1612">
      <c r="A1612" s="3" t="s">
        <v>8</v>
      </c>
      <c r="B1612" s="3" t="s">
        <v>9</v>
      </c>
      <c r="C1612" s="3" t="s">
        <v>14</v>
      </c>
      <c r="D1612" s="3" t="s">
        <v>16</v>
      </c>
      <c r="E1612" s="3" t="s">
        <v>17</v>
      </c>
      <c r="F1612" s="3" t="s">
        <v>18</v>
      </c>
    </row>
    <row r="1613">
      <c r="A1613" s="3" t="s">
        <v>8</v>
      </c>
      <c r="B1613" s="3" t="s">
        <v>11</v>
      </c>
      <c r="C1613" s="3" t="s">
        <v>12</v>
      </c>
    </row>
    <row r="1614">
      <c r="A1614" s="3" t="s">
        <v>8</v>
      </c>
      <c r="B1614" s="3" t="s">
        <v>11</v>
      </c>
      <c r="C1614" s="3" t="s">
        <v>12</v>
      </c>
    </row>
    <row r="1615">
      <c r="A1615" s="3" t="s">
        <v>8</v>
      </c>
      <c r="B1615" s="3" t="s">
        <v>11</v>
      </c>
      <c r="C1615" s="3" t="s">
        <v>12</v>
      </c>
    </row>
    <row r="1616">
      <c r="A1616" s="3" t="s">
        <v>8</v>
      </c>
      <c r="B1616" s="3" t="s">
        <v>18</v>
      </c>
      <c r="C1616" s="3" t="s">
        <v>24</v>
      </c>
    </row>
    <row r="1617">
      <c r="A1617" s="3" t="s">
        <v>8</v>
      </c>
      <c r="B1617" s="3" t="s">
        <v>10</v>
      </c>
      <c r="C1617" s="3" t="s">
        <v>24</v>
      </c>
    </row>
    <row r="1618">
      <c r="A1618" s="3" t="s">
        <v>8</v>
      </c>
      <c r="B1618" s="3" t="s">
        <v>13</v>
      </c>
    </row>
    <row r="1619">
      <c r="A1619" s="3" t="s">
        <v>8</v>
      </c>
      <c r="B1619" s="3" t="s">
        <v>15</v>
      </c>
    </row>
    <row r="1620">
      <c r="A1620" s="3" t="s">
        <v>9</v>
      </c>
      <c r="B1620" s="3" t="s">
        <v>10</v>
      </c>
      <c r="C1620" s="3" t="s">
        <v>11</v>
      </c>
      <c r="D1620" s="3" t="s">
        <v>12</v>
      </c>
    </row>
    <row r="1621">
      <c r="A1621" s="3" t="s">
        <v>9</v>
      </c>
      <c r="B1621" s="3" t="s">
        <v>10</v>
      </c>
      <c r="C1621" s="3" t="s">
        <v>14</v>
      </c>
      <c r="D1621" s="3" t="s">
        <v>17</v>
      </c>
      <c r="E1621" s="3" t="s">
        <v>18</v>
      </c>
      <c r="F1621" s="3" t="s">
        <v>24</v>
      </c>
    </row>
    <row r="1622">
      <c r="A1622" s="3" t="s">
        <v>9</v>
      </c>
      <c r="B1622" s="3" t="s">
        <v>13</v>
      </c>
      <c r="C1622" s="3" t="s">
        <v>16</v>
      </c>
      <c r="D1622" s="3" t="s">
        <v>18</v>
      </c>
    </row>
    <row r="1623">
      <c r="A1623" s="3" t="s">
        <v>9</v>
      </c>
      <c r="B1623" s="3" t="s">
        <v>13</v>
      </c>
      <c r="C1623" s="3" t="s">
        <v>14</v>
      </c>
      <c r="D1623" s="3" t="s">
        <v>18</v>
      </c>
      <c r="E1623" s="3" t="s">
        <v>24</v>
      </c>
    </row>
    <row r="1624">
      <c r="A1624" s="3" t="s">
        <v>9</v>
      </c>
      <c r="B1624" s="3" t="s">
        <v>10</v>
      </c>
      <c r="C1624" s="3" t="s">
        <v>15</v>
      </c>
    </row>
    <row r="1625">
      <c r="A1625" s="3" t="s">
        <v>9</v>
      </c>
      <c r="B1625" s="3" t="s">
        <v>10</v>
      </c>
      <c r="C1625" s="3" t="s">
        <v>17</v>
      </c>
      <c r="D1625" s="3" t="s">
        <v>18</v>
      </c>
      <c r="E1625" s="3" t="s">
        <v>24</v>
      </c>
    </row>
    <row r="1626">
      <c r="A1626" s="3" t="s">
        <v>9</v>
      </c>
      <c r="B1626" s="3" t="s">
        <v>11</v>
      </c>
      <c r="C1626" s="3" t="s">
        <v>15</v>
      </c>
      <c r="D1626" s="3" t="s">
        <v>16</v>
      </c>
    </row>
    <row r="1627">
      <c r="A1627" s="3" t="s">
        <v>9</v>
      </c>
      <c r="B1627" s="3" t="s">
        <v>10</v>
      </c>
      <c r="C1627" s="3" t="s">
        <v>11</v>
      </c>
      <c r="D1627" s="3" t="s">
        <v>12</v>
      </c>
      <c r="E1627" s="3" t="s">
        <v>18</v>
      </c>
      <c r="F1627" s="3" t="s">
        <v>24</v>
      </c>
    </row>
    <row r="1628">
      <c r="A1628" s="3" t="s">
        <v>9</v>
      </c>
      <c r="B1628" s="3" t="s">
        <v>11</v>
      </c>
      <c r="C1628" s="3" t="s">
        <v>12</v>
      </c>
      <c r="D1628" s="3" t="s">
        <v>15</v>
      </c>
      <c r="E1628" s="3" t="s">
        <v>16</v>
      </c>
      <c r="F1628" s="3" t="s">
        <v>17</v>
      </c>
      <c r="G1628" s="3" t="s">
        <v>18</v>
      </c>
      <c r="H1628" s="3" t="s">
        <v>24</v>
      </c>
    </row>
    <row r="1629">
      <c r="A1629" s="3" t="s">
        <v>9</v>
      </c>
      <c r="B1629" s="3" t="s">
        <v>15</v>
      </c>
      <c r="C1629" s="3" t="s">
        <v>16</v>
      </c>
      <c r="D1629" s="3" t="s">
        <v>18</v>
      </c>
    </row>
    <row r="1630">
      <c r="A1630" s="3" t="s">
        <v>9</v>
      </c>
      <c r="B1630" s="3" t="s">
        <v>11</v>
      </c>
      <c r="C1630" s="3" t="s">
        <v>12</v>
      </c>
      <c r="D1630" s="3" t="s">
        <v>17</v>
      </c>
      <c r="E1630" s="3" t="s">
        <v>18</v>
      </c>
    </row>
    <row r="1631">
      <c r="A1631" s="3" t="s">
        <v>9</v>
      </c>
      <c r="B1631" s="3" t="s">
        <v>10</v>
      </c>
      <c r="C1631" s="3" t="s">
        <v>13</v>
      </c>
      <c r="D1631" s="3" t="s">
        <v>14</v>
      </c>
      <c r="E1631" s="3" t="s">
        <v>17</v>
      </c>
      <c r="F1631" s="3" t="s">
        <v>18</v>
      </c>
      <c r="G1631" s="3" t="s">
        <v>24</v>
      </c>
    </row>
    <row r="1632">
      <c r="A1632" s="3" t="s">
        <v>9</v>
      </c>
      <c r="B1632" s="3" t="s">
        <v>11</v>
      </c>
      <c r="C1632" s="3" t="s">
        <v>12</v>
      </c>
      <c r="D1632" s="3" t="s">
        <v>24</v>
      </c>
    </row>
    <row r="1633">
      <c r="A1633" s="3" t="s">
        <v>9</v>
      </c>
      <c r="B1633" s="3" t="s">
        <v>14</v>
      </c>
      <c r="C1633" s="3" t="s">
        <v>17</v>
      </c>
      <c r="D1633" s="3" t="s">
        <v>18</v>
      </c>
      <c r="E1633" s="3" t="s">
        <v>24</v>
      </c>
    </row>
    <row r="1634">
      <c r="A1634" s="3" t="s">
        <v>9</v>
      </c>
      <c r="B1634" s="3" t="s">
        <v>10</v>
      </c>
      <c r="C1634" s="3" t="s">
        <v>17</v>
      </c>
    </row>
    <row r="1635">
      <c r="A1635" s="3" t="s">
        <v>9</v>
      </c>
      <c r="B1635" s="3" t="s">
        <v>10</v>
      </c>
      <c r="C1635" s="3" t="s">
        <v>11</v>
      </c>
      <c r="D1635" s="3" t="s">
        <v>12</v>
      </c>
      <c r="E1635" s="3" t="s">
        <v>15</v>
      </c>
      <c r="F1635" s="3" t="s">
        <v>16</v>
      </c>
      <c r="G1635" s="3" t="s">
        <v>17</v>
      </c>
      <c r="H1635" s="3" t="s">
        <v>18</v>
      </c>
    </row>
    <row r="1636">
      <c r="A1636" s="3" t="s">
        <v>9</v>
      </c>
      <c r="B1636" s="3" t="s">
        <v>11</v>
      </c>
      <c r="C1636" s="3" t="s">
        <v>16</v>
      </c>
    </row>
    <row r="1637">
      <c r="A1637" s="3" t="s">
        <v>9</v>
      </c>
      <c r="B1637" s="3" t="s">
        <v>10</v>
      </c>
      <c r="C1637" s="3" t="s">
        <v>14</v>
      </c>
      <c r="D1637" s="3" t="s">
        <v>17</v>
      </c>
      <c r="E1637" s="3" t="s">
        <v>18</v>
      </c>
      <c r="F1637" s="3" t="s">
        <v>24</v>
      </c>
    </row>
    <row r="1638">
      <c r="A1638" s="3" t="s">
        <v>9</v>
      </c>
      <c r="B1638" s="3" t="s">
        <v>14</v>
      </c>
    </row>
    <row r="1639">
      <c r="A1639" s="3" t="s">
        <v>10</v>
      </c>
      <c r="B1639" s="3" t="s">
        <v>12</v>
      </c>
      <c r="C1639" s="3" t="s">
        <v>17</v>
      </c>
    </row>
    <row r="1640">
      <c r="A1640" s="3" t="s">
        <v>10</v>
      </c>
      <c r="B1640" s="3" t="s">
        <v>12</v>
      </c>
      <c r="C1640" s="3" t="s">
        <v>17</v>
      </c>
    </row>
    <row r="1641">
      <c r="A1641" s="3" t="s">
        <v>10</v>
      </c>
      <c r="B1641" s="3" t="s">
        <v>13</v>
      </c>
      <c r="C1641" s="3" t="s">
        <v>14</v>
      </c>
      <c r="D1641" s="3" t="s">
        <v>17</v>
      </c>
      <c r="E1641" s="3" t="s">
        <v>18</v>
      </c>
    </row>
    <row r="1642">
      <c r="A1642" s="3" t="s">
        <v>10</v>
      </c>
      <c r="B1642" s="3" t="s">
        <v>11</v>
      </c>
      <c r="C1642" s="3" t="s">
        <v>12</v>
      </c>
      <c r="D1642" s="3" t="s">
        <v>16</v>
      </c>
      <c r="E1642" s="3" t="s">
        <v>17</v>
      </c>
      <c r="F1642" s="3" t="s">
        <v>18</v>
      </c>
    </row>
    <row r="1643">
      <c r="A1643" s="3" t="s">
        <v>10</v>
      </c>
    </row>
    <row r="1644">
      <c r="A1644" s="3" t="s">
        <v>10</v>
      </c>
      <c r="B1644" s="3" t="s">
        <v>11</v>
      </c>
      <c r="C1644" s="3" t="s">
        <v>12</v>
      </c>
      <c r="D1644" s="3" t="s">
        <v>16</v>
      </c>
    </row>
    <row r="1645">
      <c r="A1645" s="3" t="s">
        <v>10</v>
      </c>
    </row>
    <row r="1646">
      <c r="A1646" s="3" t="s">
        <v>10</v>
      </c>
      <c r="B1646" s="3" t="s">
        <v>14</v>
      </c>
      <c r="C1646" s="3" t="s">
        <v>16</v>
      </c>
      <c r="D1646" s="3" t="s">
        <v>17</v>
      </c>
    </row>
    <row r="1647">
      <c r="A1647" s="3" t="s">
        <v>10</v>
      </c>
      <c r="B1647" s="3" t="s">
        <v>12</v>
      </c>
    </row>
    <row r="1648">
      <c r="A1648" s="3" t="s">
        <v>10</v>
      </c>
      <c r="B1648" s="3" t="s">
        <v>13</v>
      </c>
      <c r="C1648" s="3" t="s">
        <v>14</v>
      </c>
    </row>
    <row r="1649">
      <c r="A1649" s="3" t="s">
        <v>10</v>
      </c>
      <c r="B1649" s="3" t="s">
        <v>11</v>
      </c>
      <c r="C1649" s="3" t="s">
        <v>12</v>
      </c>
      <c r="D1649" s="3" t="s">
        <v>14</v>
      </c>
      <c r="E1649" s="3" t="s">
        <v>16</v>
      </c>
      <c r="F1649" s="3" t="s">
        <v>17</v>
      </c>
      <c r="G1649" s="3" t="s">
        <v>18</v>
      </c>
      <c r="H1649" s="3" t="s">
        <v>24</v>
      </c>
    </row>
    <row r="1650">
      <c r="A1650" s="3" t="s">
        <v>11</v>
      </c>
      <c r="B1650" s="3" t="s">
        <v>12</v>
      </c>
      <c r="C1650" s="3" t="s">
        <v>15</v>
      </c>
      <c r="D1650" s="3" t="s">
        <v>17</v>
      </c>
    </row>
    <row r="1651">
      <c r="A1651" s="3" t="s">
        <v>11</v>
      </c>
      <c r="B1651" s="3" t="s">
        <v>12</v>
      </c>
      <c r="C1651" s="3" t="s">
        <v>17</v>
      </c>
    </row>
    <row r="1652">
      <c r="A1652" s="3" t="s">
        <v>11</v>
      </c>
      <c r="B1652" s="3" t="s">
        <v>12</v>
      </c>
      <c r="C1652" s="3" t="s">
        <v>15</v>
      </c>
      <c r="D1652" s="3" t="s">
        <v>16</v>
      </c>
      <c r="E1652" s="3" t="s">
        <v>17</v>
      </c>
      <c r="F1652" s="3" t="s">
        <v>18</v>
      </c>
      <c r="G1652" s="3" t="s">
        <v>24</v>
      </c>
    </row>
    <row r="1653">
      <c r="A1653" s="3" t="s">
        <v>11</v>
      </c>
      <c r="B1653" s="3" t="s">
        <v>12</v>
      </c>
      <c r="C1653" s="3" t="s">
        <v>15</v>
      </c>
    </row>
    <row r="1654">
      <c r="A1654" s="3" t="s">
        <v>11</v>
      </c>
      <c r="B1654" s="3" t="s">
        <v>12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18</v>
      </c>
      <c r="H1654" s="3" t="s">
        <v>24</v>
      </c>
    </row>
    <row r="1655">
      <c r="A1655" s="3" t="s">
        <v>11</v>
      </c>
      <c r="B1655" s="3" t="s">
        <v>12</v>
      </c>
      <c r="C1655" s="3" t="s">
        <v>13</v>
      </c>
      <c r="D1655" s="3" t="s">
        <v>14</v>
      </c>
      <c r="E1655" s="3" t="s">
        <v>17</v>
      </c>
      <c r="F1655" s="3" t="s">
        <v>18</v>
      </c>
    </row>
    <row r="1656">
      <c r="A1656" s="3" t="s">
        <v>11</v>
      </c>
      <c r="B1656" s="3" t="s">
        <v>12</v>
      </c>
      <c r="C1656" s="3" t="s">
        <v>13</v>
      </c>
      <c r="D1656" s="3" t="s">
        <v>15</v>
      </c>
      <c r="E1656" s="3" t="s">
        <v>16</v>
      </c>
      <c r="F1656" s="3" t="s">
        <v>17</v>
      </c>
    </row>
    <row r="1657">
      <c r="A1657" s="3" t="s">
        <v>11</v>
      </c>
      <c r="B1657" s="3" t="s">
        <v>12</v>
      </c>
      <c r="C1657" s="3" t="s">
        <v>13</v>
      </c>
      <c r="D1657" s="3" t="s">
        <v>14</v>
      </c>
      <c r="E1657" s="3" t="s">
        <v>15</v>
      </c>
      <c r="F1657" s="3" t="s">
        <v>16</v>
      </c>
      <c r="G1657" s="3" t="s">
        <v>17</v>
      </c>
      <c r="H1657" s="3" t="s">
        <v>18</v>
      </c>
    </row>
    <row r="1658">
      <c r="A1658" s="3" t="s">
        <v>11</v>
      </c>
      <c r="B1658" s="3" t="s">
        <v>12</v>
      </c>
      <c r="C1658" s="3" t="s">
        <v>17</v>
      </c>
      <c r="D1658" s="3" t="s">
        <v>18</v>
      </c>
    </row>
    <row r="1659">
      <c r="A1659" s="3" t="s">
        <v>11</v>
      </c>
      <c r="B1659" s="3" t="s">
        <v>12</v>
      </c>
      <c r="C1659" s="3" t="s">
        <v>13</v>
      </c>
    </row>
    <row r="1660">
      <c r="A1660" s="3" t="s">
        <v>11</v>
      </c>
      <c r="B1660" s="3" t="s">
        <v>12</v>
      </c>
      <c r="C1660" s="3" t="s">
        <v>13</v>
      </c>
      <c r="D1660" s="3" t="s">
        <v>14</v>
      </c>
      <c r="E1660" s="3" t="s">
        <v>15</v>
      </c>
      <c r="F1660" s="3" t="s">
        <v>17</v>
      </c>
      <c r="G1660" s="3" t="s">
        <v>18</v>
      </c>
    </row>
    <row r="1661">
      <c r="A1661" s="3" t="s">
        <v>11</v>
      </c>
      <c r="B1661" s="3" t="s">
        <v>12</v>
      </c>
      <c r="C1661" s="3" t="s">
        <v>15</v>
      </c>
      <c r="D1661" s="3" t="s">
        <v>17</v>
      </c>
    </row>
    <row r="1662">
      <c r="A1662" s="3" t="s">
        <v>11</v>
      </c>
      <c r="B1662" s="3" t="s">
        <v>12</v>
      </c>
      <c r="C1662" s="3" t="s">
        <v>13</v>
      </c>
      <c r="D1662" s="3" t="s">
        <v>14</v>
      </c>
      <c r="E1662" s="3" t="s">
        <v>17</v>
      </c>
    </row>
    <row r="1663">
      <c r="A1663" s="3" t="s">
        <v>11</v>
      </c>
      <c r="B1663" s="3" t="s">
        <v>12</v>
      </c>
      <c r="C1663" s="3" t="s">
        <v>13</v>
      </c>
      <c r="D1663" s="3" t="s">
        <v>14</v>
      </c>
      <c r="E1663" s="3" t="s">
        <v>17</v>
      </c>
    </row>
    <row r="1664">
      <c r="A1664" s="3" t="s">
        <v>11</v>
      </c>
      <c r="B1664" s="3" t="s">
        <v>12</v>
      </c>
      <c r="C1664" s="3" t="s">
        <v>13</v>
      </c>
      <c r="D1664" s="3" t="s">
        <v>14</v>
      </c>
      <c r="E1664" s="3" t="s">
        <v>17</v>
      </c>
      <c r="F1664" s="3" t="s">
        <v>18</v>
      </c>
    </row>
    <row r="1665">
      <c r="A1665" s="3" t="s">
        <v>11</v>
      </c>
      <c r="B1665" s="3" t="s">
        <v>12</v>
      </c>
      <c r="C1665" s="3" t="s">
        <v>15</v>
      </c>
      <c r="D1665" s="3" t="s">
        <v>16</v>
      </c>
    </row>
    <row r="1666">
      <c r="A1666" s="3" t="s">
        <v>11</v>
      </c>
      <c r="B1666" s="3" t="s">
        <v>15</v>
      </c>
      <c r="C1666" s="3" t="s">
        <v>16</v>
      </c>
    </row>
    <row r="1667">
      <c r="A1667" s="3" t="s">
        <v>11</v>
      </c>
      <c r="B1667" s="3" t="s">
        <v>15</v>
      </c>
      <c r="C1667" s="3" t="s">
        <v>16</v>
      </c>
      <c r="D1667" s="3" t="s">
        <v>17</v>
      </c>
    </row>
    <row r="1668">
      <c r="A1668" s="3" t="s">
        <v>11</v>
      </c>
      <c r="B1668" s="3" t="s">
        <v>12</v>
      </c>
      <c r="C1668" s="3" t="s">
        <v>15</v>
      </c>
      <c r="D1668" s="3" t="s">
        <v>16</v>
      </c>
    </row>
    <row r="1669">
      <c r="A1669" s="3" t="s">
        <v>11</v>
      </c>
      <c r="B1669" s="3" t="s">
        <v>12</v>
      </c>
      <c r="C1669" s="3" t="s">
        <v>13</v>
      </c>
      <c r="D1669" s="3" t="s">
        <v>14</v>
      </c>
      <c r="E1669" s="3" t="s">
        <v>15</v>
      </c>
      <c r="F1669" s="3" t="s">
        <v>17</v>
      </c>
      <c r="G1669" s="3" t="s">
        <v>18</v>
      </c>
    </row>
    <row r="1670">
      <c r="A1670" s="3" t="s">
        <v>11</v>
      </c>
      <c r="B1670" s="3" t="s">
        <v>12</v>
      </c>
      <c r="C1670" s="3" t="s">
        <v>13</v>
      </c>
      <c r="D1670" s="3" t="s">
        <v>14</v>
      </c>
      <c r="E1670" s="3" t="s">
        <v>17</v>
      </c>
    </row>
    <row r="1671">
      <c r="A1671" s="3" t="s">
        <v>11</v>
      </c>
      <c r="B1671" s="3" t="s">
        <v>12</v>
      </c>
      <c r="C1671" s="3" t="s">
        <v>17</v>
      </c>
      <c r="D1671" s="3" t="s">
        <v>18</v>
      </c>
    </row>
    <row r="1672">
      <c r="A1672" s="3" t="s">
        <v>11</v>
      </c>
      <c r="B1672" s="3" t="s">
        <v>14</v>
      </c>
      <c r="C1672" s="3" t="s">
        <v>16</v>
      </c>
    </row>
    <row r="1673">
      <c r="A1673" s="3" t="s">
        <v>11</v>
      </c>
      <c r="B1673" s="3" t="s">
        <v>12</v>
      </c>
      <c r="C1673" s="3" t="s">
        <v>13</v>
      </c>
      <c r="D1673" s="3" t="s">
        <v>14</v>
      </c>
      <c r="E1673" s="3" t="s">
        <v>15</v>
      </c>
      <c r="F1673" s="3" t="s">
        <v>17</v>
      </c>
    </row>
    <row r="1674">
      <c r="A1674" s="3" t="s">
        <v>11</v>
      </c>
      <c r="B1674" s="3" t="s">
        <v>14</v>
      </c>
      <c r="C1674" s="3" t="s">
        <v>15</v>
      </c>
    </row>
    <row r="1675">
      <c r="A1675" s="3" t="s">
        <v>11</v>
      </c>
      <c r="B1675" s="3" t="s">
        <v>15</v>
      </c>
      <c r="C1675" s="3" t="s">
        <v>16</v>
      </c>
      <c r="D1675" s="3" t="s">
        <v>17</v>
      </c>
    </row>
    <row r="1676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17</v>
      </c>
      <c r="F1676" s="3" t="s">
        <v>18</v>
      </c>
    </row>
    <row r="1677">
      <c r="A1677" s="3" t="s">
        <v>11</v>
      </c>
      <c r="B1677" s="3" t="s">
        <v>12</v>
      </c>
      <c r="C1677" s="3" t="s">
        <v>15</v>
      </c>
    </row>
    <row r="1678">
      <c r="A1678" s="3" t="s">
        <v>11</v>
      </c>
      <c r="B1678" s="3" t="s">
        <v>12</v>
      </c>
      <c r="C1678" s="3" t="s">
        <v>13</v>
      </c>
    </row>
    <row r="1679">
      <c r="A1679" s="3" t="s">
        <v>11</v>
      </c>
      <c r="B1679" s="3" t="s">
        <v>15</v>
      </c>
      <c r="C1679" s="3" t="s">
        <v>16</v>
      </c>
    </row>
    <row r="1680">
      <c r="A1680" s="3" t="s">
        <v>11</v>
      </c>
      <c r="B1680" s="3" t="s">
        <v>12</v>
      </c>
      <c r="C1680" s="3" t="s">
        <v>13</v>
      </c>
      <c r="D1680" s="3" t="s">
        <v>14</v>
      </c>
      <c r="E1680" s="3" t="s">
        <v>17</v>
      </c>
      <c r="F1680" s="3" t="s">
        <v>18</v>
      </c>
    </row>
    <row r="1681">
      <c r="A1681" s="3" t="s">
        <v>11</v>
      </c>
      <c r="B1681" s="3" t="s">
        <v>13</v>
      </c>
      <c r="C1681" s="3" t="s">
        <v>14</v>
      </c>
      <c r="D1681" s="3" t="s">
        <v>15</v>
      </c>
      <c r="E1681" s="3" t="s">
        <v>17</v>
      </c>
      <c r="F1681" s="3" t="s">
        <v>18</v>
      </c>
    </row>
    <row r="1682">
      <c r="A1682" s="3" t="s">
        <v>11</v>
      </c>
      <c r="B1682" s="3" t="s">
        <v>12</v>
      </c>
      <c r="C1682" s="3" t="s">
        <v>15</v>
      </c>
      <c r="D1682" s="3" t="s">
        <v>16</v>
      </c>
      <c r="E1682" s="3" t="s">
        <v>17</v>
      </c>
      <c r="F1682" s="3" t="s">
        <v>18</v>
      </c>
    </row>
    <row r="1683">
      <c r="A1683" s="3" t="s">
        <v>11</v>
      </c>
      <c r="B1683" s="3" t="s">
        <v>13</v>
      </c>
      <c r="C1683" s="3" t="s">
        <v>17</v>
      </c>
    </row>
    <row r="1684">
      <c r="A1684" s="3" t="s">
        <v>11</v>
      </c>
      <c r="B1684" s="3" t="s">
        <v>13</v>
      </c>
      <c r="C1684" s="3" t="s">
        <v>14</v>
      </c>
      <c r="D1684" s="3" t="s">
        <v>17</v>
      </c>
    </row>
    <row r="1685">
      <c r="A1685" s="3" t="s">
        <v>11</v>
      </c>
      <c r="B1685" s="3" t="s">
        <v>13</v>
      </c>
      <c r="C1685" s="3" t="s">
        <v>14</v>
      </c>
    </row>
    <row r="1686">
      <c r="A1686" s="3" t="s">
        <v>11</v>
      </c>
      <c r="B1686" s="3" t="s">
        <v>12</v>
      </c>
      <c r="C1686" s="3" t="s">
        <v>15</v>
      </c>
      <c r="D1686" s="3" t="s">
        <v>16</v>
      </c>
    </row>
    <row r="1687">
      <c r="A1687" s="3" t="s">
        <v>11</v>
      </c>
    </row>
    <row r="1688">
      <c r="A1688" s="3" t="s">
        <v>11</v>
      </c>
      <c r="B1688" s="3" t="s">
        <v>13</v>
      </c>
      <c r="C1688" s="3" t="s">
        <v>14</v>
      </c>
      <c r="D1688" s="3" t="s">
        <v>15</v>
      </c>
      <c r="E1688" s="3" t="s">
        <v>17</v>
      </c>
    </row>
    <row r="1689">
      <c r="A1689" s="3" t="s">
        <v>11</v>
      </c>
      <c r="B1689" s="3" t="s">
        <v>12</v>
      </c>
      <c r="C1689" s="3" t="s">
        <v>18</v>
      </c>
    </row>
    <row r="1690">
      <c r="A1690" s="3" t="s">
        <v>11</v>
      </c>
      <c r="B1690" s="3" t="s">
        <v>12</v>
      </c>
      <c r="C1690" s="3" t="s">
        <v>13</v>
      </c>
      <c r="D1690" s="3" t="s">
        <v>14</v>
      </c>
      <c r="E1690" s="3" t="s">
        <v>17</v>
      </c>
    </row>
    <row r="1691">
      <c r="A1691" s="3" t="s">
        <v>11</v>
      </c>
      <c r="B1691" s="3" t="s">
        <v>12</v>
      </c>
      <c r="C1691" s="3" t="s">
        <v>15</v>
      </c>
    </row>
    <row r="1692">
      <c r="A1692" s="3" t="s">
        <v>11</v>
      </c>
      <c r="B1692" s="3" t="s">
        <v>12</v>
      </c>
      <c r="C1692" s="3" t="s">
        <v>13</v>
      </c>
      <c r="D1692" s="3" t="s">
        <v>14</v>
      </c>
      <c r="E1692" s="3" t="s">
        <v>18</v>
      </c>
    </row>
    <row r="1693">
      <c r="A1693" s="3" t="s">
        <v>11</v>
      </c>
      <c r="B1693" s="3" t="s">
        <v>12</v>
      </c>
      <c r="C1693" s="3" t="s">
        <v>13</v>
      </c>
      <c r="D1693" s="3" t="s">
        <v>14</v>
      </c>
    </row>
    <row r="1694">
      <c r="A1694" s="3" t="s">
        <v>11</v>
      </c>
      <c r="B1694" s="3" t="s">
        <v>12</v>
      </c>
      <c r="C1694" s="3" t="s">
        <v>14</v>
      </c>
    </row>
    <row r="1695">
      <c r="A1695" s="3" t="s">
        <v>11</v>
      </c>
      <c r="B1695" s="3" t="s">
        <v>12</v>
      </c>
      <c r="C1695" s="3" t="s">
        <v>16</v>
      </c>
    </row>
    <row r="1696">
      <c r="A1696" s="3" t="s">
        <v>11</v>
      </c>
      <c r="B1696" s="3" t="s">
        <v>16</v>
      </c>
    </row>
    <row r="1697">
      <c r="A1697" s="3" t="s">
        <v>11</v>
      </c>
      <c r="B1697" s="3" t="s">
        <v>12</v>
      </c>
    </row>
    <row r="1698">
      <c r="A1698" s="3" t="s">
        <v>11</v>
      </c>
      <c r="B1698" s="3" t="s">
        <v>14</v>
      </c>
      <c r="C1698" s="3" t="s">
        <v>15</v>
      </c>
      <c r="D1698" s="3" t="s">
        <v>16</v>
      </c>
      <c r="E1698" s="3" t="s">
        <v>18</v>
      </c>
    </row>
    <row r="1699">
      <c r="A1699" s="3" t="s">
        <v>11</v>
      </c>
    </row>
    <row r="1700">
      <c r="A1700" s="3" t="s">
        <v>12</v>
      </c>
      <c r="B1700" s="3" t="s">
        <v>17</v>
      </c>
    </row>
    <row r="1701">
      <c r="A1701" s="3" t="s">
        <v>12</v>
      </c>
      <c r="B1701" s="3" t="s">
        <v>13</v>
      </c>
      <c r="C1701" s="3" t="s">
        <v>14</v>
      </c>
      <c r="D1701" s="3" t="s">
        <v>17</v>
      </c>
      <c r="E1701" s="3" t="s">
        <v>18</v>
      </c>
    </row>
    <row r="1702">
      <c r="A1702" s="3" t="s">
        <v>12</v>
      </c>
      <c r="B1702" s="3" t="s">
        <v>13</v>
      </c>
      <c r="C1702" s="3" t="s">
        <v>14</v>
      </c>
      <c r="D1702" s="3" t="s">
        <v>16</v>
      </c>
      <c r="E1702" s="3" t="s">
        <v>17</v>
      </c>
      <c r="F1702" s="3" t="s">
        <v>18</v>
      </c>
    </row>
    <row r="1703">
      <c r="A1703" s="3" t="s">
        <v>12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18</v>
      </c>
    </row>
    <row r="1704">
      <c r="A1704" s="3" t="s">
        <v>12</v>
      </c>
      <c r="B1704" s="3" t="s">
        <v>14</v>
      </c>
      <c r="C1704" s="3" t="s">
        <v>15</v>
      </c>
      <c r="D1704" s="3" t="s">
        <v>16</v>
      </c>
      <c r="E1704" s="3" t="s">
        <v>18</v>
      </c>
    </row>
    <row r="1705">
      <c r="A1705" s="3" t="s">
        <v>12</v>
      </c>
      <c r="B1705" s="3" t="s">
        <v>13</v>
      </c>
      <c r="C1705" s="3" t="s">
        <v>14</v>
      </c>
      <c r="D1705" s="3" t="s">
        <v>17</v>
      </c>
      <c r="E1705" s="3" t="s">
        <v>18</v>
      </c>
    </row>
    <row r="1706">
      <c r="A1706" s="3" t="s">
        <v>12</v>
      </c>
      <c r="B1706" s="3" t="s">
        <v>13</v>
      </c>
      <c r="C1706" s="3" t="s">
        <v>14</v>
      </c>
    </row>
    <row r="1707">
      <c r="A1707" s="3" t="s">
        <v>12</v>
      </c>
      <c r="B1707" s="3" t="s">
        <v>15</v>
      </c>
      <c r="C1707" s="3" t="s">
        <v>16</v>
      </c>
    </row>
    <row r="1708">
      <c r="A1708" s="3" t="s">
        <v>13</v>
      </c>
      <c r="B1708" s="3" t="s">
        <v>14</v>
      </c>
      <c r="C1708" s="3" t="s">
        <v>17</v>
      </c>
      <c r="D1708" s="3" t="s">
        <v>18</v>
      </c>
    </row>
    <row r="1709">
      <c r="A1709" s="3" t="s">
        <v>13</v>
      </c>
      <c r="B1709" s="3" t="s">
        <v>14</v>
      </c>
      <c r="C1709" s="3" t="s">
        <v>17</v>
      </c>
    </row>
    <row r="1710">
      <c r="A1710" s="3" t="s">
        <v>13</v>
      </c>
      <c r="B1710" s="3" t="s">
        <v>14</v>
      </c>
      <c r="C1710" s="3" t="s">
        <v>16</v>
      </c>
      <c r="D1710" s="3" t="s">
        <v>17</v>
      </c>
      <c r="E1710" s="3" t="s">
        <v>18</v>
      </c>
    </row>
    <row r="1711">
      <c r="A1711" s="3" t="s">
        <v>13</v>
      </c>
      <c r="B1711" s="3" t="s">
        <v>14</v>
      </c>
      <c r="C1711" s="3" t="s">
        <v>17</v>
      </c>
    </row>
    <row r="1712">
      <c r="A1712" s="3" t="s">
        <v>13</v>
      </c>
      <c r="B1712" s="3" t="s">
        <v>14</v>
      </c>
      <c r="C1712" s="3" t="s">
        <v>15</v>
      </c>
      <c r="D1712" s="3" t="s">
        <v>17</v>
      </c>
      <c r="E1712" s="3" t="s">
        <v>18</v>
      </c>
    </row>
    <row r="1713">
      <c r="A1713" s="3" t="s">
        <v>13</v>
      </c>
      <c r="B1713" s="3" t="s">
        <v>14</v>
      </c>
      <c r="C1713" s="3" t="s">
        <v>15</v>
      </c>
      <c r="D1713" s="3" t="s">
        <v>16</v>
      </c>
    </row>
    <row r="1714">
      <c r="A1714" s="3" t="s">
        <v>13</v>
      </c>
      <c r="B1714" s="3" t="s">
        <v>14</v>
      </c>
      <c r="C1714" s="3" t="s">
        <v>17</v>
      </c>
    </row>
    <row r="1715">
      <c r="A1715" s="3" t="s">
        <v>13</v>
      </c>
      <c r="B1715" s="3" t="s">
        <v>14</v>
      </c>
      <c r="C1715" s="3" t="s">
        <v>15</v>
      </c>
      <c r="D1715" s="3" t="s">
        <v>17</v>
      </c>
    </row>
    <row r="1716">
      <c r="A1716" s="3" t="s">
        <v>13</v>
      </c>
      <c r="B1716" s="3" t="s">
        <v>14</v>
      </c>
      <c r="C1716" s="3" t="s">
        <v>17</v>
      </c>
    </row>
    <row r="1717">
      <c r="A1717" s="3" t="s">
        <v>13</v>
      </c>
    </row>
    <row r="1718">
      <c r="A1718" s="3" t="s">
        <v>13</v>
      </c>
      <c r="B1718" s="3" t="s">
        <v>16</v>
      </c>
      <c r="C1718" s="3" t="s">
        <v>24</v>
      </c>
    </row>
    <row r="1719">
      <c r="A1719" s="3" t="s">
        <v>13</v>
      </c>
      <c r="B1719" s="3" t="s">
        <v>14</v>
      </c>
      <c r="C1719" s="3" t="s">
        <v>15</v>
      </c>
      <c r="D1719" s="3" t="s">
        <v>17</v>
      </c>
    </row>
    <row r="1720">
      <c r="A1720" s="3" t="s">
        <v>13</v>
      </c>
      <c r="B1720" s="3" t="s">
        <v>14</v>
      </c>
    </row>
    <row r="1721">
      <c r="A1721" s="3" t="s">
        <v>13</v>
      </c>
      <c r="B1721" s="3" t="s">
        <v>14</v>
      </c>
      <c r="C1721" s="3" t="s">
        <v>17</v>
      </c>
    </row>
    <row r="1722">
      <c r="A1722" s="3" t="s">
        <v>13</v>
      </c>
      <c r="B1722" s="3" t="s">
        <v>15</v>
      </c>
    </row>
    <row r="1723">
      <c r="A1723" s="3" t="s">
        <v>13</v>
      </c>
      <c r="B1723" s="3" t="s">
        <v>15</v>
      </c>
      <c r="C1723" s="3" t="s">
        <v>17</v>
      </c>
    </row>
    <row r="1724">
      <c r="A1724" s="3" t="s">
        <v>13</v>
      </c>
      <c r="B1724" s="3" t="s">
        <v>14</v>
      </c>
      <c r="C1724" s="3" t="s">
        <v>18</v>
      </c>
    </row>
    <row r="1725">
      <c r="A1725" s="3" t="s">
        <v>13</v>
      </c>
      <c r="B1725" s="3" t="s">
        <v>14</v>
      </c>
      <c r="C1725" s="3" t="s">
        <v>17</v>
      </c>
    </row>
    <row r="1726">
      <c r="A1726" s="3" t="s">
        <v>13</v>
      </c>
      <c r="B1726" s="3" t="s">
        <v>14</v>
      </c>
      <c r="C1726" s="3" t="s">
        <v>17</v>
      </c>
    </row>
    <row r="1727">
      <c r="A1727" s="3" t="s">
        <v>13</v>
      </c>
      <c r="B1727" s="3" t="s">
        <v>14</v>
      </c>
      <c r="C1727" s="3" t="s">
        <v>15</v>
      </c>
      <c r="D1727" s="3" t="s">
        <v>16</v>
      </c>
    </row>
    <row r="1728">
      <c r="A1728" s="3" t="s">
        <v>13</v>
      </c>
      <c r="B1728" s="3" t="s">
        <v>15</v>
      </c>
      <c r="C1728" s="3" t="s">
        <v>17</v>
      </c>
    </row>
    <row r="1729">
      <c r="A1729" s="3" t="s">
        <v>13</v>
      </c>
      <c r="B1729" s="3" t="s">
        <v>14</v>
      </c>
      <c r="C1729" s="3" t="s">
        <v>15</v>
      </c>
    </row>
    <row r="1730">
      <c r="A1730" s="3" t="s">
        <v>13</v>
      </c>
      <c r="B1730" s="3" t="s">
        <v>14</v>
      </c>
      <c r="C1730" s="3" t="s">
        <v>17</v>
      </c>
    </row>
    <row r="1731">
      <c r="A1731" s="3" t="s">
        <v>13</v>
      </c>
      <c r="B1731" s="3" t="s">
        <v>16</v>
      </c>
      <c r="C1731" s="3" t="s">
        <v>17</v>
      </c>
    </row>
    <row r="1732">
      <c r="A1732" s="3" t="s">
        <v>13</v>
      </c>
      <c r="B1732" s="3" t="s">
        <v>14</v>
      </c>
      <c r="C1732" s="3" t="s">
        <v>17</v>
      </c>
    </row>
    <row r="1733">
      <c r="A1733" s="3" t="s">
        <v>13</v>
      </c>
      <c r="B1733" s="3" t="s">
        <v>14</v>
      </c>
      <c r="C1733" s="3" t="s">
        <v>16</v>
      </c>
      <c r="D1733" s="3" t="s">
        <v>17</v>
      </c>
      <c r="E1733" s="3" t="s">
        <v>18</v>
      </c>
    </row>
    <row r="1734">
      <c r="A1734" s="3" t="s">
        <v>13</v>
      </c>
      <c r="B1734" s="3" t="s">
        <v>14</v>
      </c>
      <c r="C1734" s="3" t="s">
        <v>18</v>
      </c>
    </row>
    <row r="1735">
      <c r="A1735" s="3" t="s">
        <v>13</v>
      </c>
      <c r="B1735" s="3" t="s">
        <v>14</v>
      </c>
      <c r="C1735" s="3" t="s">
        <v>15</v>
      </c>
    </row>
    <row r="1736">
      <c r="A1736" s="3" t="s">
        <v>13</v>
      </c>
      <c r="B1736" s="3" t="s">
        <v>14</v>
      </c>
      <c r="C1736" s="3" t="s">
        <v>16</v>
      </c>
    </row>
    <row r="1737">
      <c r="A1737" s="3" t="s">
        <v>13</v>
      </c>
      <c r="B1737" s="3" t="s">
        <v>14</v>
      </c>
    </row>
    <row r="1738">
      <c r="A1738" s="3" t="s">
        <v>13</v>
      </c>
      <c r="B1738" s="3" t="s">
        <v>15</v>
      </c>
      <c r="C1738" s="3" t="s">
        <v>16</v>
      </c>
    </row>
    <row r="1739">
      <c r="A1739" s="3" t="s">
        <v>13</v>
      </c>
      <c r="B1739" s="3" t="s">
        <v>15</v>
      </c>
      <c r="C1739" s="3" t="s">
        <v>18</v>
      </c>
    </row>
    <row r="1740">
      <c r="A1740" s="3" t="s">
        <v>13</v>
      </c>
      <c r="B1740" s="3" t="s">
        <v>15</v>
      </c>
    </row>
    <row r="1741">
      <c r="A1741" s="3" t="s">
        <v>13</v>
      </c>
    </row>
    <row r="1742">
      <c r="A1742" s="3" t="s">
        <v>14</v>
      </c>
    </row>
    <row r="1743">
      <c r="A1743" s="3" t="s">
        <v>14</v>
      </c>
      <c r="B1743" s="3" t="s">
        <v>15</v>
      </c>
      <c r="C1743" s="3" t="s">
        <v>16</v>
      </c>
      <c r="D1743" s="3" t="s">
        <v>18</v>
      </c>
    </row>
    <row r="1744">
      <c r="A1744" s="3" t="s">
        <v>14</v>
      </c>
    </row>
    <row r="1745">
      <c r="A1745" s="3" t="s">
        <v>14</v>
      </c>
      <c r="B1745" s="3" t="s">
        <v>16</v>
      </c>
      <c r="C1745" s="3" t="s">
        <v>17</v>
      </c>
      <c r="D1745" s="3" t="s">
        <v>18</v>
      </c>
    </row>
    <row r="1746">
      <c r="A1746" s="3" t="s">
        <v>14</v>
      </c>
      <c r="B1746" s="3" t="s">
        <v>16</v>
      </c>
      <c r="C1746" s="3" t="s">
        <v>17</v>
      </c>
      <c r="D1746" s="3" t="s">
        <v>18</v>
      </c>
      <c r="E1746" s="3" t="s">
        <v>24</v>
      </c>
    </row>
    <row r="1747">
      <c r="A1747" s="3" t="s">
        <v>14</v>
      </c>
      <c r="B1747" s="3" t="s">
        <v>15</v>
      </c>
      <c r="C1747" s="3" t="s">
        <v>16</v>
      </c>
    </row>
    <row r="1748">
      <c r="A1748" s="3" t="s">
        <v>14</v>
      </c>
      <c r="B1748" s="3" t="s">
        <v>17</v>
      </c>
      <c r="C1748" s="3" t="s">
        <v>18</v>
      </c>
    </row>
    <row r="1749">
      <c r="A1749" s="3" t="s">
        <v>14</v>
      </c>
      <c r="B1749" s="3" t="s">
        <v>17</v>
      </c>
      <c r="C1749" s="3" t="s">
        <v>24</v>
      </c>
    </row>
    <row r="1750">
      <c r="A1750" s="3" t="s">
        <v>15</v>
      </c>
      <c r="B1750" s="3" t="s">
        <v>16</v>
      </c>
      <c r="C1750" s="3" t="s">
        <v>17</v>
      </c>
    </row>
    <row r="1751">
      <c r="A1751" s="3" t="s">
        <v>15</v>
      </c>
      <c r="B1751" s="3" t="s">
        <v>16</v>
      </c>
      <c r="C1751" s="3" t="s">
        <v>17</v>
      </c>
    </row>
    <row r="1752">
      <c r="A1752" s="3" t="s">
        <v>15</v>
      </c>
    </row>
    <row r="1753">
      <c r="A1753" s="3" t="s">
        <v>15</v>
      </c>
    </row>
    <row r="1754">
      <c r="A1754" s="3" t="s">
        <v>15</v>
      </c>
    </row>
    <row r="1755">
      <c r="A1755" s="3" t="s">
        <v>15</v>
      </c>
    </row>
    <row r="1756">
      <c r="A1756" s="3" t="s">
        <v>16</v>
      </c>
    </row>
    <row r="1757">
      <c r="A1757" s="3" t="s">
        <v>16</v>
      </c>
    </row>
    <row r="1758">
      <c r="A1758" s="3" t="s">
        <v>16</v>
      </c>
    </row>
    <row r="1759">
      <c r="A1759" s="3" t="s">
        <v>6</v>
      </c>
      <c r="B1759" s="3" t="s">
        <v>7</v>
      </c>
      <c r="C1759" s="3" t="s">
        <v>8</v>
      </c>
      <c r="D1759" s="3" t="s">
        <v>11</v>
      </c>
      <c r="E1759" s="3" t="s">
        <v>12</v>
      </c>
    </row>
    <row r="1760">
      <c r="A1760" s="3" t="s">
        <v>6</v>
      </c>
      <c r="B1760" s="3" t="s">
        <v>9</v>
      </c>
      <c r="C1760" s="3" t="s">
        <v>15</v>
      </c>
    </row>
    <row r="1761">
      <c r="A1761" s="3" t="s">
        <v>6</v>
      </c>
      <c r="B1761" s="3" t="s">
        <v>7</v>
      </c>
      <c r="C1761" s="3" t="s">
        <v>8</v>
      </c>
      <c r="D1761" s="3" t="s">
        <v>11</v>
      </c>
      <c r="E1761" s="3" t="s">
        <v>13</v>
      </c>
      <c r="F1761" s="3" t="s">
        <v>15</v>
      </c>
      <c r="G1761" s="3" t="s">
        <v>17</v>
      </c>
    </row>
    <row r="1762">
      <c r="A1762" s="3" t="s">
        <v>6</v>
      </c>
      <c r="B1762" s="3" t="s">
        <v>7</v>
      </c>
      <c r="C1762" s="3" t="s">
        <v>8</v>
      </c>
      <c r="D1762" s="3" t="s">
        <v>11</v>
      </c>
      <c r="E1762" s="3" t="s">
        <v>13</v>
      </c>
      <c r="F1762" s="3" t="s">
        <v>14</v>
      </c>
      <c r="G1762" s="3" t="s">
        <v>18</v>
      </c>
    </row>
    <row r="1763">
      <c r="A1763" s="3" t="s">
        <v>6</v>
      </c>
      <c r="B1763" s="3" t="s">
        <v>7</v>
      </c>
      <c r="C1763" s="3" t="s">
        <v>8</v>
      </c>
      <c r="D1763" s="3" t="s">
        <v>11</v>
      </c>
      <c r="E1763" s="3" t="s">
        <v>15</v>
      </c>
      <c r="F1763" s="3" t="s">
        <v>17</v>
      </c>
    </row>
    <row r="1764">
      <c r="A1764" s="3" t="s">
        <v>6</v>
      </c>
      <c r="B1764" s="3" t="s">
        <v>7</v>
      </c>
      <c r="C1764" s="3" t="s">
        <v>11</v>
      </c>
      <c r="D1764" s="3" t="s">
        <v>15</v>
      </c>
    </row>
    <row r="1765">
      <c r="A1765" s="3" t="s">
        <v>6</v>
      </c>
      <c r="B1765" s="3" t="s">
        <v>7</v>
      </c>
      <c r="C1765" s="3" t="s">
        <v>11</v>
      </c>
      <c r="D1765" s="3" t="s">
        <v>12</v>
      </c>
      <c r="E1765" s="3" t="s">
        <v>13</v>
      </c>
      <c r="F1765" s="3" t="s">
        <v>15</v>
      </c>
    </row>
    <row r="1766">
      <c r="A1766" s="3" t="s">
        <v>6</v>
      </c>
      <c r="B1766" s="3" t="s">
        <v>7</v>
      </c>
      <c r="C1766" s="3" t="s">
        <v>8</v>
      </c>
      <c r="D1766" s="3" t="s">
        <v>11</v>
      </c>
      <c r="E1766" s="3" t="s">
        <v>12</v>
      </c>
      <c r="F1766" s="3" t="s">
        <v>18</v>
      </c>
    </row>
    <row r="1767">
      <c r="A1767" s="3" t="s">
        <v>6</v>
      </c>
      <c r="B1767" s="3" t="s">
        <v>7</v>
      </c>
      <c r="C1767" s="3" t="s">
        <v>8</v>
      </c>
      <c r="D1767" s="3" t="s">
        <v>15</v>
      </c>
    </row>
    <row r="1768">
      <c r="A1768" s="3" t="s">
        <v>6</v>
      </c>
      <c r="B1768" s="3" t="s">
        <v>8</v>
      </c>
      <c r="C1768" s="3" t="s">
        <v>12</v>
      </c>
      <c r="D1768" s="3" t="s">
        <v>13</v>
      </c>
      <c r="E1768" s="3" t="s">
        <v>14</v>
      </c>
      <c r="F1768" s="3" t="s">
        <v>17</v>
      </c>
      <c r="G1768" s="3" t="s">
        <v>18</v>
      </c>
    </row>
    <row r="1769">
      <c r="A1769" s="3" t="s">
        <v>6</v>
      </c>
      <c r="B1769" s="3" t="s">
        <v>7</v>
      </c>
      <c r="C1769" s="3" t="s">
        <v>11</v>
      </c>
      <c r="D1769" s="3" t="s">
        <v>12</v>
      </c>
      <c r="E1769" s="3" t="s">
        <v>13</v>
      </c>
      <c r="F1769" s="3" t="s">
        <v>15</v>
      </c>
      <c r="G1769" s="3" t="s">
        <v>17</v>
      </c>
    </row>
    <row r="1770">
      <c r="A1770" s="3" t="s">
        <v>6</v>
      </c>
      <c r="B1770" s="3" t="s">
        <v>7</v>
      </c>
      <c r="C1770" s="3" t="s">
        <v>8</v>
      </c>
      <c r="D1770" s="3" t="s">
        <v>9</v>
      </c>
      <c r="E1770" s="3" t="s">
        <v>10</v>
      </c>
      <c r="F1770" s="3" t="s">
        <v>11</v>
      </c>
      <c r="G1770" s="3" t="s">
        <v>12</v>
      </c>
      <c r="H1770" s="3" t="s">
        <v>24</v>
      </c>
    </row>
    <row r="1771">
      <c r="A1771" s="3" t="s">
        <v>6</v>
      </c>
      <c r="B1771" s="3" t="s">
        <v>7</v>
      </c>
      <c r="C1771" s="3" t="s">
        <v>13</v>
      </c>
      <c r="D1771" s="3" t="s">
        <v>14</v>
      </c>
    </row>
    <row r="1772">
      <c r="A1772" s="3" t="s">
        <v>6</v>
      </c>
      <c r="B1772" s="3" t="s">
        <v>8</v>
      </c>
      <c r="C1772" s="3" t="s">
        <v>11</v>
      </c>
      <c r="D1772" s="3" t="s">
        <v>15</v>
      </c>
    </row>
    <row r="1773">
      <c r="A1773" s="3" t="s">
        <v>6</v>
      </c>
      <c r="B1773" s="3" t="s">
        <v>7</v>
      </c>
      <c r="C1773" s="3" t="s">
        <v>8</v>
      </c>
      <c r="D1773" s="3" t="s">
        <v>11</v>
      </c>
      <c r="E1773" s="3" t="s">
        <v>15</v>
      </c>
    </row>
    <row r="1774">
      <c r="A1774" s="3" t="s">
        <v>6</v>
      </c>
      <c r="B1774" s="3" t="s">
        <v>7</v>
      </c>
      <c r="C1774" s="3" t="s">
        <v>9</v>
      </c>
    </row>
    <row r="1775">
      <c r="A1775" s="3" t="s">
        <v>6</v>
      </c>
      <c r="B1775" s="3" t="s">
        <v>7</v>
      </c>
      <c r="C1775" s="3" t="s">
        <v>8</v>
      </c>
      <c r="D1775" s="3" t="s">
        <v>11</v>
      </c>
      <c r="E1775" s="3" t="s">
        <v>12</v>
      </c>
      <c r="F1775" s="3" t="s">
        <v>15</v>
      </c>
      <c r="G1775" s="3" t="s">
        <v>24</v>
      </c>
    </row>
    <row r="1776">
      <c r="A1776" s="3" t="s">
        <v>6</v>
      </c>
      <c r="B1776" s="3" t="s">
        <v>7</v>
      </c>
      <c r="C1776" s="3" t="s">
        <v>8</v>
      </c>
      <c r="D1776" s="3" t="s">
        <v>11</v>
      </c>
    </row>
    <row r="1777">
      <c r="A1777" s="3" t="s">
        <v>6</v>
      </c>
      <c r="B1777" s="3" t="s">
        <v>7</v>
      </c>
      <c r="C1777" s="3" t="s">
        <v>8</v>
      </c>
      <c r="D1777" s="3" t="s">
        <v>11</v>
      </c>
      <c r="E1777" s="3" t="s">
        <v>12</v>
      </c>
      <c r="F1777" s="3" t="s">
        <v>15</v>
      </c>
      <c r="G1777" s="3" t="s">
        <v>16</v>
      </c>
      <c r="H1777" s="3" t="s">
        <v>17</v>
      </c>
    </row>
    <row r="1778">
      <c r="A1778" s="3" t="s">
        <v>6</v>
      </c>
      <c r="B1778" s="3" t="s">
        <v>7</v>
      </c>
      <c r="C1778" s="3" t="s">
        <v>11</v>
      </c>
      <c r="D1778" s="3" t="s">
        <v>12</v>
      </c>
    </row>
    <row r="1779">
      <c r="A1779" s="3" t="s">
        <v>6</v>
      </c>
      <c r="B1779" s="3" t="s">
        <v>9</v>
      </c>
      <c r="C1779" s="3" t="s">
        <v>11</v>
      </c>
      <c r="D1779" s="3" t="s">
        <v>12</v>
      </c>
    </row>
    <row r="1780">
      <c r="A1780" s="3" t="s">
        <v>6</v>
      </c>
      <c r="B1780" s="3" t="s">
        <v>7</v>
      </c>
      <c r="C1780" s="3" t="s">
        <v>11</v>
      </c>
    </row>
    <row r="1781">
      <c r="A1781" s="3" t="s">
        <v>6</v>
      </c>
      <c r="B1781" s="3" t="s">
        <v>7</v>
      </c>
      <c r="C1781" s="3" t="s">
        <v>8</v>
      </c>
      <c r="D1781" s="3" t="s">
        <v>14</v>
      </c>
      <c r="E1781" s="3" t="s">
        <v>15</v>
      </c>
      <c r="F1781" s="3" t="s">
        <v>17</v>
      </c>
    </row>
    <row r="1782">
      <c r="A1782" s="3" t="s">
        <v>6</v>
      </c>
      <c r="B1782" s="3" t="s">
        <v>7</v>
      </c>
      <c r="C1782" s="3" t="s">
        <v>8</v>
      </c>
      <c r="D1782" s="3" t="s">
        <v>11</v>
      </c>
      <c r="E1782" s="3" t="s">
        <v>12</v>
      </c>
      <c r="F1782" s="3" t="s">
        <v>15</v>
      </c>
      <c r="G1782" s="3" t="s">
        <v>17</v>
      </c>
    </row>
    <row r="1783">
      <c r="A1783" s="3" t="s">
        <v>6</v>
      </c>
      <c r="B1783" s="3" t="s">
        <v>7</v>
      </c>
      <c r="C1783" s="3" t="s">
        <v>9</v>
      </c>
      <c r="D1783" s="3" t="s">
        <v>13</v>
      </c>
      <c r="E1783" s="3" t="s">
        <v>18</v>
      </c>
    </row>
    <row r="1784">
      <c r="A1784" s="3" t="s">
        <v>6</v>
      </c>
      <c r="B1784" s="3" t="s">
        <v>8</v>
      </c>
      <c r="C1784" s="3" t="s">
        <v>13</v>
      </c>
      <c r="D1784" s="3" t="s">
        <v>14</v>
      </c>
      <c r="E1784" s="3" t="s">
        <v>15</v>
      </c>
      <c r="F1784" s="3" t="s">
        <v>17</v>
      </c>
    </row>
    <row r="1785">
      <c r="A1785" s="3" t="s">
        <v>6</v>
      </c>
      <c r="B1785" s="3" t="s">
        <v>7</v>
      </c>
      <c r="C1785" s="3" t="s">
        <v>8</v>
      </c>
      <c r="D1785" s="3" t="s">
        <v>11</v>
      </c>
      <c r="E1785" s="3" t="s">
        <v>15</v>
      </c>
      <c r="F1785" s="3" t="s">
        <v>16</v>
      </c>
    </row>
    <row r="1786">
      <c r="A1786" s="3" t="s">
        <v>6</v>
      </c>
      <c r="B1786" s="3" t="s">
        <v>7</v>
      </c>
      <c r="C1786" s="3" t="s">
        <v>11</v>
      </c>
      <c r="D1786" s="3" t="s">
        <v>16</v>
      </c>
      <c r="E1786" s="3" t="s">
        <v>17</v>
      </c>
    </row>
    <row r="1787">
      <c r="A1787" s="3" t="s">
        <v>6</v>
      </c>
      <c r="B1787" s="3" t="s">
        <v>9</v>
      </c>
      <c r="C1787" s="3" t="s">
        <v>15</v>
      </c>
      <c r="D1787" s="3" t="s">
        <v>17</v>
      </c>
    </row>
    <row r="1788">
      <c r="A1788" s="3" t="s">
        <v>6</v>
      </c>
      <c r="B1788" s="3" t="s">
        <v>7</v>
      </c>
      <c r="C1788" s="3" t="s">
        <v>13</v>
      </c>
      <c r="D1788" s="3" t="s">
        <v>14</v>
      </c>
      <c r="E1788" s="3" t="s">
        <v>15</v>
      </c>
      <c r="F1788" s="3" t="s">
        <v>17</v>
      </c>
      <c r="G1788" s="3" t="s">
        <v>18</v>
      </c>
    </row>
    <row r="1789">
      <c r="A1789" s="3" t="s">
        <v>6</v>
      </c>
      <c r="B1789" s="3" t="s">
        <v>8</v>
      </c>
      <c r="C1789" s="3" t="s">
        <v>12</v>
      </c>
      <c r="D1789" s="3" t="s">
        <v>13</v>
      </c>
      <c r="E1789" s="3" t="s">
        <v>14</v>
      </c>
      <c r="F1789" s="3" t="s">
        <v>18</v>
      </c>
      <c r="G1789" s="3" t="s">
        <v>24</v>
      </c>
    </row>
    <row r="1790">
      <c r="A1790" s="3" t="s">
        <v>6</v>
      </c>
      <c r="B1790" s="3" t="s">
        <v>7</v>
      </c>
      <c r="C1790" s="3" t="s">
        <v>8</v>
      </c>
      <c r="D1790" s="3" t="s">
        <v>9</v>
      </c>
      <c r="E1790" s="3" t="s">
        <v>15</v>
      </c>
      <c r="F1790" s="3" t="s">
        <v>16</v>
      </c>
      <c r="G1790" s="3" t="s">
        <v>17</v>
      </c>
    </row>
    <row r="1791">
      <c r="A1791" s="3" t="s">
        <v>6</v>
      </c>
      <c r="B1791" s="3" t="s">
        <v>7</v>
      </c>
      <c r="C1791" s="3" t="s">
        <v>8</v>
      </c>
      <c r="D1791" s="3" t="s">
        <v>11</v>
      </c>
      <c r="E1791" s="3" t="s">
        <v>12</v>
      </c>
      <c r="F1791" s="3" t="s">
        <v>15</v>
      </c>
    </row>
    <row r="1792">
      <c r="A1792" s="3" t="s">
        <v>6</v>
      </c>
      <c r="B1792" s="3" t="s">
        <v>7</v>
      </c>
      <c r="C1792" s="3" t="s">
        <v>8</v>
      </c>
      <c r="D1792" s="3" t="s">
        <v>13</v>
      </c>
      <c r="E1792" s="3" t="s">
        <v>17</v>
      </c>
    </row>
    <row r="1793">
      <c r="A1793" s="3" t="s">
        <v>6</v>
      </c>
      <c r="B1793" s="3" t="s">
        <v>7</v>
      </c>
      <c r="C1793" s="3" t="s">
        <v>8</v>
      </c>
      <c r="D1793" s="3" t="s">
        <v>9</v>
      </c>
      <c r="E1793" s="3" t="s">
        <v>15</v>
      </c>
      <c r="F1793" s="3" t="s">
        <v>17</v>
      </c>
      <c r="G1793" s="3" t="s">
        <v>18</v>
      </c>
    </row>
    <row r="1794">
      <c r="A1794" s="3" t="s">
        <v>6</v>
      </c>
      <c r="B1794" s="3" t="s">
        <v>7</v>
      </c>
      <c r="C1794" s="3" t="s">
        <v>8</v>
      </c>
    </row>
    <row r="1795">
      <c r="A1795" s="3" t="s">
        <v>6</v>
      </c>
      <c r="B1795" s="3" t="s">
        <v>7</v>
      </c>
      <c r="C1795" s="3" t="s">
        <v>8</v>
      </c>
      <c r="D1795" s="3" t="s">
        <v>9</v>
      </c>
      <c r="E1795" s="3" t="s">
        <v>11</v>
      </c>
      <c r="F1795" s="3" t="s">
        <v>12</v>
      </c>
      <c r="G1795" s="3" t="s">
        <v>15</v>
      </c>
    </row>
    <row r="1796">
      <c r="A1796" s="3" t="s">
        <v>6</v>
      </c>
      <c r="B1796" s="3" t="s">
        <v>8</v>
      </c>
      <c r="C1796" s="3" t="s">
        <v>11</v>
      </c>
      <c r="D1796" s="3" t="s">
        <v>12</v>
      </c>
      <c r="E1796" s="3" t="s">
        <v>15</v>
      </c>
    </row>
    <row r="1797">
      <c r="A1797" s="3" t="s">
        <v>6</v>
      </c>
      <c r="B1797" s="3" t="s">
        <v>7</v>
      </c>
      <c r="C1797" s="3" t="s">
        <v>8</v>
      </c>
      <c r="D1797" s="3" t="s">
        <v>11</v>
      </c>
      <c r="E1797" s="3" t="s">
        <v>15</v>
      </c>
      <c r="F1797" s="3" t="s">
        <v>16</v>
      </c>
      <c r="G1797" s="3" t="s">
        <v>18</v>
      </c>
    </row>
    <row r="1798">
      <c r="A1798" s="3" t="s">
        <v>6</v>
      </c>
      <c r="B1798" s="3" t="s">
        <v>7</v>
      </c>
      <c r="C1798" s="3" t="s">
        <v>8</v>
      </c>
      <c r="D1798" s="3" t="s">
        <v>11</v>
      </c>
      <c r="E1798" s="3" t="s">
        <v>15</v>
      </c>
    </row>
    <row r="1799">
      <c r="A1799" s="3" t="s">
        <v>6</v>
      </c>
      <c r="B1799" s="3" t="s">
        <v>7</v>
      </c>
      <c r="C1799" s="3" t="s">
        <v>8</v>
      </c>
      <c r="D1799" s="3" t="s">
        <v>11</v>
      </c>
      <c r="E1799" s="3" t="s">
        <v>12</v>
      </c>
      <c r="F1799" s="3" t="s">
        <v>15</v>
      </c>
      <c r="G1799" s="3" t="s">
        <v>17</v>
      </c>
    </row>
    <row r="1800">
      <c r="A1800" s="3" t="s">
        <v>6</v>
      </c>
      <c r="B1800" s="3" t="s">
        <v>7</v>
      </c>
      <c r="C1800" s="3" t="s">
        <v>11</v>
      </c>
      <c r="D1800" s="3" t="s">
        <v>13</v>
      </c>
      <c r="E1800" s="3" t="s">
        <v>14</v>
      </c>
      <c r="F1800" s="3" t="s">
        <v>17</v>
      </c>
    </row>
    <row r="1801">
      <c r="A1801" s="3" t="s">
        <v>6</v>
      </c>
      <c r="B1801" s="3" t="s">
        <v>7</v>
      </c>
      <c r="C1801" s="3" t="s">
        <v>11</v>
      </c>
      <c r="D1801" s="3" t="s">
        <v>12</v>
      </c>
      <c r="E1801" s="3" t="s">
        <v>15</v>
      </c>
    </row>
    <row r="1802">
      <c r="A1802" s="3" t="s">
        <v>6</v>
      </c>
      <c r="B1802" s="3" t="s">
        <v>7</v>
      </c>
      <c r="C1802" s="3" t="s">
        <v>13</v>
      </c>
      <c r="D1802" s="3" t="s">
        <v>14</v>
      </c>
      <c r="E1802" s="3" t="s">
        <v>15</v>
      </c>
      <c r="F1802" s="3" t="s">
        <v>17</v>
      </c>
      <c r="G1802" s="3" t="s">
        <v>18</v>
      </c>
    </row>
    <row r="1803">
      <c r="A1803" s="3" t="s">
        <v>6</v>
      </c>
      <c r="B1803" s="3" t="s">
        <v>7</v>
      </c>
      <c r="C1803" s="3" t="s">
        <v>8</v>
      </c>
      <c r="D1803" s="3" t="s">
        <v>9</v>
      </c>
      <c r="E1803" s="3" t="s">
        <v>17</v>
      </c>
      <c r="F1803" s="3" t="s">
        <v>18</v>
      </c>
      <c r="G1803" s="3" t="s">
        <v>24</v>
      </c>
    </row>
    <row r="1804">
      <c r="A1804" s="3" t="s">
        <v>6</v>
      </c>
      <c r="B1804" s="3" t="s">
        <v>7</v>
      </c>
      <c r="C1804" s="3" t="s">
        <v>8</v>
      </c>
      <c r="D1804" s="3" t="s">
        <v>13</v>
      </c>
      <c r="E1804" s="3" t="s">
        <v>14</v>
      </c>
    </row>
    <row r="1805">
      <c r="A1805" s="3" t="s">
        <v>6</v>
      </c>
      <c r="B1805" s="3" t="s">
        <v>7</v>
      </c>
      <c r="C1805" s="3" t="s">
        <v>8</v>
      </c>
      <c r="D1805" s="3" t="s">
        <v>9</v>
      </c>
      <c r="E1805" s="3" t="s">
        <v>13</v>
      </c>
      <c r="F1805" s="3" t="s">
        <v>14</v>
      </c>
      <c r="G1805" s="3" t="s">
        <v>17</v>
      </c>
      <c r="H1805" s="3" t="s">
        <v>18</v>
      </c>
    </row>
    <row r="1806">
      <c r="A1806" s="3" t="s">
        <v>6</v>
      </c>
      <c r="B1806" s="3" t="s">
        <v>7</v>
      </c>
      <c r="C1806" s="3" t="s">
        <v>8</v>
      </c>
      <c r="D1806" s="3" t="s">
        <v>13</v>
      </c>
      <c r="E1806" s="3" t="s">
        <v>14</v>
      </c>
      <c r="F1806" s="3" t="s">
        <v>15</v>
      </c>
      <c r="G1806" s="3" t="s">
        <v>17</v>
      </c>
    </row>
    <row r="1807">
      <c r="A1807" s="3" t="s">
        <v>6</v>
      </c>
      <c r="B1807" s="3" t="s">
        <v>7</v>
      </c>
      <c r="C1807" s="3" t="s">
        <v>8</v>
      </c>
      <c r="D1807" s="3" t="s">
        <v>11</v>
      </c>
      <c r="E1807" s="3" t="s">
        <v>17</v>
      </c>
    </row>
    <row r="1808">
      <c r="A1808" s="3" t="s">
        <v>6</v>
      </c>
      <c r="B1808" s="3" t="s">
        <v>7</v>
      </c>
      <c r="C1808" s="3" t="s">
        <v>8</v>
      </c>
      <c r="D1808" s="3" t="s">
        <v>11</v>
      </c>
      <c r="E1808" s="3" t="s">
        <v>12</v>
      </c>
      <c r="F1808" s="3" t="s">
        <v>15</v>
      </c>
      <c r="G1808" s="3" t="s">
        <v>16</v>
      </c>
      <c r="H1808" s="3" t="s">
        <v>24</v>
      </c>
    </row>
    <row r="1809">
      <c r="A1809" s="3" t="s">
        <v>6</v>
      </c>
      <c r="B1809" s="3" t="s">
        <v>7</v>
      </c>
      <c r="C1809" s="3" t="s">
        <v>8</v>
      </c>
      <c r="D1809" s="3" t="s">
        <v>9</v>
      </c>
      <c r="E1809" s="3" t="s">
        <v>15</v>
      </c>
      <c r="F1809" s="3" t="s">
        <v>16</v>
      </c>
      <c r="G1809" s="3" t="s">
        <v>17</v>
      </c>
      <c r="H1809" s="3" t="s">
        <v>18</v>
      </c>
    </row>
    <row r="1810">
      <c r="A1810" s="3" t="s">
        <v>6</v>
      </c>
      <c r="B1810" s="3" t="s">
        <v>7</v>
      </c>
      <c r="C1810" s="3" t="s">
        <v>8</v>
      </c>
      <c r="D1810" s="3" t="s">
        <v>12</v>
      </c>
      <c r="E1810" s="3" t="s">
        <v>15</v>
      </c>
    </row>
    <row r="1811">
      <c r="A1811" s="3" t="s">
        <v>6</v>
      </c>
      <c r="B1811" s="3" t="s">
        <v>7</v>
      </c>
      <c r="C1811" s="3" t="s">
        <v>8</v>
      </c>
      <c r="D1811" s="3" t="s">
        <v>10</v>
      </c>
      <c r="E1811" s="3" t="s">
        <v>14</v>
      </c>
      <c r="F1811" s="3" t="s">
        <v>17</v>
      </c>
      <c r="G1811" s="3" t="s">
        <v>18</v>
      </c>
      <c r="H1811" s="3" t="s">
        <v>24</v>
      </c>
    </row>
    <row r="1812">
      <c r="A1812" s="3" t="s">
        <v>6</v>
      </c>
      <c r="B1812" s="3" t="s">
        <v>7</v>
      </c>
      <c r="C1812" s="3" t="s">
        <v>8</v>
      </c>
      <c r="D1812" s="3" t="s">
        <v>9</v>
      </c>
    </row>
    <row r="1813">
      <c r="A1813" s="3" t="s">
        <v>6</v>
      </c>
      <c r="B1813" s="3" t="s">
        <v>8</v>
      </c>
      <c r="C1813" s="3" t="s">
        <v>15</v>
      </c>
      <c r="D1813" s="3" t="s">
        <v>16</v>
      </c>
    </row>
    <row r="1814">
      <c r="A1814" s="3" t="s">
        <v>6</v>
      </c>
      <c r="B1814" s="3" t="s">
        <v>7</v>
      </c>
      <c r="C1814" s="3" t="s">
        <v>13</v>
      </c>
      <c r="D1814" s="3" t="s">
        <v>14</v>
      </c>
    </row>
    <row r="1815">
      <c r="A1815" s="3" t="s">
        <v>6</v>
      </c>
      <c r="B1815" s="3" t="s">
        <v>7</v>
      </c>
      <c r="C1815" s="3" t="s">
        <v>8</v>
      </c>
      <c r="D1815" s="3" t="s">
        <v>15</v>
      </c>
    </row>
    <row r="1816">
      <c r="A1816" s="3" t="s">
        <v>6</v>
      </c>
      <c r="B1816" s="3" t="s">
        <v>8</v>
      </c>
      <c r="C1816" s="3" t="s">
        <v>11</v>
      </c>
      <c r="D1816" s="3" t="s">
        <v>12</v>
      </c>
      <c r="E1816" s="3" t="s">
        <v>13</v>
      </c>
      <c r="F1816" s="3" t="s">
        <v>17</v>
      </c>
      <c r="G1816" s="3" t="s">
        <v>18</v>
      </c>
    </row>
    <row r="1817">
      <c r="A1817" s="3" t="s">
        <v>6</v>
      </c>
      <c r="B1817" s="3" t="s">
        <v>7</v>
      </c>
      <c r="C1817" s="3" t="s">
        <v>8</v>
      </c>
      <c r="D1817" s="3" t="s">
        <v>11</v>
      </c>
      <c r="E1817" s="3" t="s">
        <v>12</v>
      </c>
      <c r="F1817" s="3" t="s">
        <v>17</v>
      </c>
    </row>
    <row r="1818">
      <c r="A1818" s="3" t="s">
        <v>6</v>
      </c>
      <c r="B1818" s="3" t="s">
        <v>7</v>
      </c>
      <c r="C1818" s="3" t="s">
        <v>13</v>
      </c>
      <c r="D1818" s="3" t="s">
        <v>14</v>
      </c>
    </row>
    <row r="1819">
      <c r="A1819" s="3" t="s">
        <v>6</v>
      </c>
      <c r="B1819" s="3" t="s">
        <v>7</v>
      </c>
      <c r="C1819" s="3" t="s">
        <v>9</v>
      </c>
      <c r="D1819" s="3" t="s">
        <v>15</v>
      </c>
      <c r="E1819" s="3" t="s">
        <v>16</v>
      </c>
    </row>
    <row r="1820">
      <c r="A1820" s="3" t="s">
        <v>6</v>
      </c>
      <c r="B1820" s="3" t="s">
        <v>7</v>
      </c>
      <c r="C1820" s="3" t="s">
        <v>8</v>
      </c>
      <c r="D1820" s="3" t="s">
        <v>13</v>
      </c>
    </row>
    <row r="1821">
      <c r="A1821" s="3" t="s">
        <v>6</v>
      </c>
      <c r="B1821" s="3" t="s">
        <v>7</v>
      </c>
      <c r="C1821" s="3" t="s">
        <v>11</v>
      </c>
    </row>
    <row r="1822">
      <c r="A1822" s="3" t="s">
        <v>6</v>
      </c>
      <c r="B1822" s="3" t="s">
        <v>7</v>
      </c>
      <c r="C1822" s="3" t="s">
        <v>8</v>
      </c>
      <c r="D1822" s="3" t="s">
        <v>13</v>
      </c>
      <c r="E1822" s="3" t="s">
        <v>14</v>
      </c>
      <c r="F1822" s="3" t="s">
        <v>17</v>
      </c>
    </row>
    <row r="1823">
      <c r="A1823" s="3" t="s">
        <v>6</v>
      </c>
      <c r="B1823" s="3" t="s">
        <v>7</v>
      </c>
      <c r="C1823" s="3" t="s">
        <v>8</v>
      </c>
      <c r="D1823" s="3" t="s">
        <v>11</v>
      </c>
      <c r="E1823" s="3" t="s">
        <v>12</v>
      </c>
      <c r="F1823" s="3" t="s">
        <v>13</v>
      </c>
      <c r="G1823" s="3" t="s">
        <v>14</v>
      </c>
      <c r="H1823" s="3" t="s">
        <v>15</v>
      </c>
      <c r="I1823" s="3" t="s">
        <v>17</v>
      </c>
    </row>
    <row r="1824">
      <c r="A1824" s="3" t="s">
        <v>6</v>
      </c>
      <c r="B1824" s="3" t="s">
        <v>12</v>
      </c>
      <c r="C1824" s="3" t="s">
        <v>13</v>
      </c>
      <c r="D1824" s="3" t="s">
        <v>14</v>
      </c>
      <c r="E1824" s="3" t="s">
        <v>18</v>
      </c>
    </row>
    <row r="1825">
      <c r="A1825" s="3" t="s">
        <v>6</v>
      </c>
      <c r="B1825" s="3" t="s">
        <v>8</v>
      </c>
      <c r="C1825" s="3" t="s">
        <v>9</v>
      </c>
      <c r="D1825" s="3" t="s">
        <v>24</v>
      </c>
    </row>
    <row r="1826">
      <c r="A1826" s="3" t="s">
        <v>6</v>
      </c>
      <c r="B1826" s="3" t="s">
        <v>7</v>
      </c>
      <c r="C1826" s="3" t="s">
        <v>11</v>
      </c>
      <c r="D1826" s="3" t="s">
        <v>15</v>
      </c>
      <c r="E1826" s="3" t="s">
        <v>17</v>
      </c>
    </row>
    <row r="1827">
      <c r="A1827" s="3" t="s">
        <v>6</v>
      </c>
      <c r="B1827" s="3" t="s">
        <v>11</v>
      </c>
    </row>
    <row r="1828">
      <c r="A1828" s="3" t="s">
        <v>6</v>
      </c>
      <c r="B1828" s="3" t="s">
        <v>7</v>
      </c>
      <c r="C1828" s="3" t="s">
        <v>8</v>
      </c>
      <c r="D1828" s="3" t="s">
        <v>11</v>
      </c>
      <c r="E1828" s="3" t="s">
        <v>12</v>
      </c>
      <c r="F1828" s="3" t="s">
        <v>15</v>
      </c>
      <c r="G1828" s="3" t="s">
        <v>16</v>
      </c>
    </row>
    <row r="1829">
      <c r="A1829" s="3" t="s">
        <v>6</v>
      </c>
      <c r="B1829" s="3" t="s">
        <v>7</v>
      </c>
      <c r="C1829" s="3" t="s">
        <v>10</v>
      </c>
      <c r="D1829" s="3" t="s">
        <v>11</v>
      </c>
      <c r="E1829" s="3" t="s">
        <v>12</v>
      </c>
    </row>
    <row r="1830">
      <c r="A1830" s="3" t="s">
        <v>6</v>
      </c>
      <c r="B1830" s="3" t="s">
        <v>7</v>
      </c>
      <c r="C1830" s="3" t="s">
        <v>8</v>
      </c>
      <c r="D1830" s="3" t="s">
        <v>9</v>
      </c>
      <c r="E1830" s="3" t="s">
        <v>10</v>
      </c>
      <c r="F1830" s="3" t="s">
        <v>11</v>
      </c>
      <c r="G1830" s="3" t="s">
        <v>12</v>
      </c>
      <c r="H1830" s="3" t="s">
        <v>15</v>
      </c>
      <c r="I1830" s="3" t="s">
        <v>17</v>
      </c>
      <c r="J1830" s="3" t="s">
        <v>18</v>
      </c>
    </row>
    <row r="1831">
      <c r="A1831" s="3" t="s">
        <v>6</v>
      </c>
      <c r="B1831" s="3" t="s">
        <v>7</v>
      </c>
      <c r="C1831" s="3" t="s">
        <v>8</v>
      </c>
      <c r="D1831" s="3" t="s">
        <v>9</v>
      </c>
      <c r="E1831" s="3" t="s">
        <v>15</v>
      </c>
      <c r="F1831" s="3" t="s">
        <v>16</v>
      </c>
      <c r="G1831" s="3" t="s">
        <v>24</v>
      </c>
    </row>
    <row r="1832">
      <c r="A1832" s="3" t="s">
        <v>6</v>
      </c>
      <c r="B1832" s="3" t="s">
        <v>15</v>
      </c>
      <c r="C1832" s="3" t="s">
        <v>16</v>
      </c>
    </row>
    <row r="1833">
      <c r="A1833" s="3" t="s">
        <v>6</v>
      </c>
      <c r="B1833" s="3" t="s">
        <v>7</v>
      </c>
      <c r="C1833" s="3" t="s">
        <v>8</v>
      </c>
    </row>
    <row r="1834">
      <c r="A1834" s="3" t="s">
        <v>6</v>
      </c>
      <c r="B1834" s="3" t="s">
        <v>7</v>
      </c>
      <c r="C1834" s="3" t="s">
        <v>8</v>
      </c>
    </row>
    <row r="1835">
      <c r="A1835" s="3" t="s">
        <v>6</v>
      </c>
      <c r="B1835" s="3" t="s">
        <v>7</v>
      </c>
      <c r="C1835" s="3" t="s">
        <v>8</v>
      </c>
    </row>
    <row r="1836">
      <c r="A1836" s="3" t="s">
        <v>6</v>
      </c>
      <c r="B1836" s="3" t="s">
        <v>13</v>
      </c>
      <c r="C1836" s="3" t="s">
        <v>14</v>
      </c>
    </row>
    <row r="1837">
      <c r="A1837" s="3" t="s">
        <v>6</v>
      </c>
      <c r="B1837" s="3" t="s">
        <v>7</v>
      </c>
      <c r="C1837" s="3" t="s">
        <v>15</v>
      </c>
    </row>
    <row r="1838">
      <c r="A1838" s="3" t="s">
        <v>6</v>
      </c>
      <c r="B1838" s="3" t="s">
        <v>11</v>
      </c>
      <c r="C1838" s="3" t="s">
        <v>15</v>
      </c>
      <c r="D1838" s="3" t="s">
        <v>16</v>
      </c>
    </row>
    <row r="1839">
      <c r="A1839" s="3" t="s">
        <v>6</v>
      </c>
      <c r="B1839" s="3" t="s">
        <v>7</v>
      </c>
      <c r="C1839" s="3" t="s">
        <v>8</v>
      </c>
      <c r="D1839" s="3" t="s">
        <v>14</v>
      </c>
      <c r="E1839" s="3" t="s">
        <v>17</v>
      </c>
    </row>
    <row r="1840">
      <c r="A1840" s="3" t="s">
        <v>6</v>
      </c>
      <c r="B1840" s="3" t="s">
        <v>7</v>
      </c>
      <c r="C1840" s="3" t="s">
        <v>15</v>
      </c>
      <c r="D1840" s="3" t="s">
        <v>17</v>
      </c>
    </row>
    <row r="1841">
      <c r="A1841" s="3" t="s">
        <v>6</v>
      </c>
      <c r="B1841" s="3" t="s">
        <v>7</v>
      </c>
      <c r="C1841" s="3" t="s">
        <v>8</v>
      </c>
      <c r="D1841" s="3" t="s">
        <v>9</v>
      </c>
      <c r="E1841" s="3" t="s">
        <v>10</v>
      </c>
      <c r="F1841" s="3" t="s">
        <v>11</v>
      </c>
      <c r="G1841" s="3" t="s">
        <v>12</v>
      </c>
      <c r="H1841" s="3" t="s">
        <v>18</v>
      </c>
      <c r="I1841" s="3" t="s">
        <v>24</v>
      </c>
    </row>
    <row r="1842">
      <c r="A1842" s="3" t="s">
        <v>6</v>
      </c>
      <c r="B1842" s="3" t="s">
        <v>9</v>
      </c>
      <c r="C1842" s="3" t="s">
        <v>12</v>
      </c>
      <c r="D1842" s="3" t="s">
        <v>16</v>
      </c>
      <c r="E1842" s="3" t="s">
        <v>17</v>
      </c>
    </row>
    <row r="1843">
      <c r="A1843" s="3" t="s">
        <v>6</v>
      </c>
      <c r="B1843" s="3" t="s">
        <v>7</v>
      </c>
      <c r="C1843" s="3" t="s">
        <v>15</v>
      </c>
      <c r="D1843" s="3" t="s">
        <v>17</v>
      </c>
    </row>
    <row r="1844">
      <c r="A1844" s="3" t="s">
        <v>6</v>
      </c>
      <c r="B1844" s="3" t="s">
        <v>11</v>
      </c>
      <c r="C1844" s="3" t="s">
        <v>12</v>
      </c>
      <c r="D1844" s="3" t="s">
        <v>15</v>
      </c>
    </row>
    <row r="1845">
      <c r="A1845" s="3" t="s">
        <v>6</v>
      </c>
      <c r="B1845" s="3" t="s">
        <v>11</v>
      </c>
      <c r="C1845" s="3" t="s">
        <v>13</v>
      </c>
      <c r="D1845" s="3" t="s">
        <v>14</v>
      </c>
      <c r="E1845" s="3" t="s">
        <v>15</v>
      </c>
    </row>
    <row r="1846">
      <c r="A1846" s="3" t="s">
        <v>6</v>
      </c>
      <c r="B1846" s="3" t="s">
        <v>7</v>
      </c>
      <c r="C1846" s="3" t="s">
        <v>11</v>
      </c>
      <c r="D1846" s="3" t="s">
        <v>13</v>
      </c>
      <c r="E1846" s="3" t="s">
        <v>15</v>
      </c>
      <c r="F1846" s="3" t="s">
        <v>17</v>
      </c>
    </row>
    <row r="1847">
      <c r="A1847" s="3" t="s">
        <v>6</v>
      </c>
      <c r="B1847" s="3" t="s">
        <v>7</v>
      </c>
      <c r="C1847" s="3" t="s">
        <v>13</v>
      </c>
      <c r="D1847" s="3" t="s">
        <v>14</v>
      </c>
      <c r="E1847" s="3" t="s">
        <v>15</v>
      </c>
    </row>
    <row r="1848">
      <c r="A1848" s="3" t="s">
        <v>6</v>
      </c>
      <c r="B1848" s="3" t="s">
        <v>13</v>
      </c>
      <c r="C1848" s="3" t="s">
        <v>14</v>
      </c>
    </row>
    <row r="1849">
      <c r="A1849" s="3" t="s">
        <v>6</v>
      </c>
      <c r="B1849" s="3" t="s">
        <v>11</v>
      </c>
      <c r="C1849" s="3" t="s">
        <v>12</v>
      </c>
      <c r="D1849" s="3" t="s">
        <v>16</v>
      </c>
    </row>
    <row r="1850">
      <c r="A1850" s="3" t="s">
        <v>6</v>
      </c>
      <c r="B1850" s="3" t="s">
        <v>7</v>
      </c>
      <c r="C1850" s="3" t="s">
        <v>13</v>
      </c>
      <c r="D1850" s="3" t="s">
        <v>14</v>
      </c>
      <c r="E1850" s="3" t="s">
        <v>15</v>
      </c>
      <c r="F1850" s="3" t="s">
        <v>16</v>
      </c>
      <c r="G1850" s="3" t="s">
        <v>17</v>
      </c>
      <c r="H1850" s="3" t="s">
        <v>18</v>
      </c>
    </row>
    <row r="1851">
      <c r="A1851" s="3" t="s">
        <v>6</v>
      </c>
      <c r="B1851" s="3" t="s">
        <v>11</v>
      </c>
      <c r="C1851" s="3" t="s">
        <v>12</v>
      </c>
      <c r="D1851" s="3" t="s">
        <v>13</v>
      </c>
      <c r="E1851" s="3" t="s">
        <v>18</v>
      </c>
    </row>
    <row r="1852">
      <c r="A1852" s="3" t="s">
        <v>6</v>
      </c>
    </row>
    <row r="1853">
      <c r="A1853" s="3" t="s">
        <v>6</v>
      </c>
      <c r="B1853" s="3" t="s">
        <v>8</v>
      </c>
      <c r="C1853" s="3" t="s">
        <v>9</v>
      </c>
      <c r="D1853" s="3" t="s">
        <v>10</v>
      </c>
      <c r="E1853" s="3" t="s">
        <v>16</v>
      </c>
      <c r="F1853" s="3" t="s">
        <v>17</v>
      </c>
      <c r="G1853" s="3" t="s">
        <v>18</v>
      </c>
      <c r="H1853" s="3" t="s">
        <v>24</v>
      </c>
    </row>
    <row r="1854">
      <c r="A1854" s="3" t="s">
        <v>6</v>
      </c>
      <c r="B1854" s="3" t="s">
        <v>8</v>
      </c>
      <c r="C1854" s="3" t="s">
        <v>10</v>
      </c>
      <c r="D1854" s="3" t="s">
        <v>17</v>
      </c>
    </row>
    <row r="1855">
      <c r="A1855" s="3" t="s">
        <v>6</v>
      </c>
      <c r="B1855" s="3" t="s">
        <v>11</v>
      </c>
      <c r="C1855" s="3" t="s">
        <v>16</v>
      </c>
    </row>
    <row r="1856">
      <c r="A1856" s="3" t="s">
        <v>6</v>
      </c>
      <c r="B1856" s="3" t="s">
        <v>7</v>
      </c>
      <c r="C1856" s="3" t="s">
        <v>13</v>
      </c>
    </row>
    <row r="1857">
      <c r="A1857" s="3" t="s">
        <v>6</v>
      </c>
      <c r="B1857" s="3" t="s">
        <v>7</v>
      </c>
      <c r="C1857" s="3" t="s">
        <v>8</v>
      </c>
      <c r="D1857" s="3" t="s">
        <v>15</v>
      </c>
      <c r="E1857" s="3" t="s">
        <v>16</v>
      </c>
    </row>
    <row r="1858">
      <c r="A1858" s="3" t="s">
        <v>6</v>
      </c>
      <c r="B1858" s="3" t="s">
        <v>7</v>
      </c>
      <c r="C1858" s="3" t="s">
        <v>8</v>
      </c>
      <c r="D1858" s="3" t="s">
        <v>10</v>
      </c>
      <c r="E1858" s="3" t="s">
        <v>12</v>
      </c>
      <c r="F1858" s="3" t="s">
        <v>15</v>
      </c>
      <c r="G1858" s="3" t="s">
        <v>16</v>
      </c>
      <c r="H1858" s="3" t="s">
        <v>24</v>
      </c>
    </row>
    <row r="1859">
      <c r="A1859" s="3" t="s">
        <v>6</v>
      </c>
      <c r="B1859" s="3" t="s">
        <v>11</v>
      </c>
      <c r="C1859" s="3" t="s">
        <v>12</v>
      </c>
      <c r="D1859" s="3" t="s">
        <v>15</v>
      </c>
    </row>
    <row r="1860">
      <c r="A1860" s="3" t="s">
        <v>6</v>
      </c>
      <c r="B1860" s="3" t="s">
        <v>8</v>
      </c>
      <c r="C1860" s="3" t="s">
        <v>14</v>
      </c>
      <c r="D1860" s="3" t="s">
        <v>17</v>
      </c>
    </row>
    <row r="1861">
      <c r="A1861" s="3" t="s">
        <v>6</v>
      </c>
      <c r="B1861" s="3" t="s">
        <v>7</v>
      </c>
      <c r="C1861" s="3" t="s">
        <v>8</v>
      </c>
      <c r="D1861" s="3" t="s">
        <v>9</v>
      </c>
      <c r="E1861" s="3" t="s">
        <v>10</v>
      </c>
      <c r="F1861" s="3" t="s">
        <v>11</v>
      </c>
      <c r="G1861" s="3" t="s">
        <v>24</v>
      </c>
    </row>
    <row r="1862">
      <c r="A1862" s="3" t="s">
        <v>6</v>
      </c>
      <c r="B1862" s="3" t="s">
        <v>7</v>
      </c>
      <c r="C1862" s="3" t="s">
        <v>11</v>
      </c>
      <c r="D1862" s="3" t="s">
        <v>15</v>
      </c>
      <c r="E1862" s="3" t="s">
        <v>17</v>
      </c>
    </row>
    <row r="1863">
      <c r="A1863" s="3" t="s">
        <v>6</v>
      </c>
      <c r="B1863" s="3" t="s">
        <v>11</v>
      </c>
    </row>
    <row r="1864">
      <c r="A1864" s="3" t="s">
        <v>6</v>
      </c>
      <c r="B1864" s="3" t="s">
        <v>7</v>
      </c>
    </row>
    <row r="1865">
      <c r="A1865" s="3" t="s">
        <v>6</v>
      </c>
      <c r="B1865" s="3" t="s">
        <v>7</v>
      </c>
      <c r="C1865" s="3" t="s">
        <v>15</v>
      </c>
    </row>
    <row r="1866">
      <c r="A1866" s="3" t="s">
        <v>6</v>
      </c>
      <c r="B1866" s="3" t="s">
        <v>7</v>
      </c>
      <c r="C1866" s="3" t="s">
        <v>8</v>
      </c>
    </row>
    <row r="1867">
      <c r="A1867" s="3" t="s">
        <v>6</v>
      </c>
      <c r="B1867" s="3" t="s">
        <v>11</v>
      </c>
    </row>
    <row r="1868">
      <c r="A1868" s="3" t="s">
        <v>6</v>
      </c>
      <c r="B1868" s="3" t="s">
        <v>7</v>
      </c>
      <c r="C1868" s="3" t="s">
        <v>11</v>
      </c>
    </row>
    <row r="1869">
      <c r="A1869" s="3" t="s">
        <v>6</v>
      </c>
      <c r="B1869" s="3" t="s">
        <v>13</v>
      </c>
      <c r="C1869" s="3" t="s">
        <v>14</v>
      </c>
    </row>
    <row r="1870">
      <c r="A1870" s="3" t="s">
        <v>6</v>
      </c>
      <c r="B1870" s="3" t="s">
        <v>7</v>
      </c>
      <c r="C1870" s="3" t="s">
        <v>8</v>
      </c>
      <c r="D1870" s="3" t="s">
        <v>12</v>
      </c>
      <c r="E1870" s="3" t="s">
        <v>15</v>
      </c>
      <c r="F1870" s="3" t="s">
        <v>16</v>
      </c>
      <c r="G1870" s="3" t="s">
        <v>18</v>
      </c>
    </row>
    <row r="1871">
      <c r="A1871" s="3" t="s">
        <v>6</v>
      </c>
      <c r="B1871" s="3" t="s">
        <v>7</v>
      </c>
      <c r="C1871" s="3" t="s">
        <v>13</v>
      </c>
      <c r="D1871" s="3" t="s">
        <v>14</v>
      </c>
    </row>
    <row r="1872">
      <c r="A1872" s="3" t="s">
        <v>6</v>
      </c>
      <c r="B1872" s="3" t="s">
        <v>8</v>
      </c>
      <c r="C1872" s="3" t="s">
        <v>11</v>
      </c>
      <c r="D1872" s="3" t="s">
        <v>12</v>
      </c>
      <c r="E1872" s="3" t="s">
        <v>17</v>
      </c>
    </row>
    <row r="1873">
      <c r="A1873" s="3" t="s">
        <v>6</v>
      </c>
      <c r="B1873" s="3" t="s">
        <v>7</v>
      </c>
      <c r="C1873" s="3" t="s">
        <v>11</v>
      </c>
    </row>
    <row r="1874">
      <c r="A1874" s="3" t="s">
        <v>6</v>
      </c>
      <c r="B1874" s="3" t="s">
        <v>12</v>
      </c>
      <c r="C1874" s="3" t="s">
        <v>15</v>
      </c>
      <c r="D1874" s="3" t="s">
        <v>17</v>
      </c>
    </row>
    <row r="1875">
      <c r="A1875" s="3" t="s">
        <v>6</v>
      </c>
      <c r="B1875" s="3" t="s">
        <v>8</v>
      </c>
      <c r="C1875" s="3" t="s">
        <v>9</v>
      </c>
    </row>
    <row r="1876">
      <c r="A1876" s="3" t="s">
        <v>6</v>
      </c>
      <c r="B1876" s="3" t="s">
        <v>13</v>
      </c>
      <c r="C1876" s="3" t="s">
        <v>14</v>
      </c>
    </row>
    <row r="1877">
      <c r="A1877" s="3" t="s">
        <v>6</v>
      </c>
      <c r="B1877" s="3" t="s">
        <v>7</v>
      </c>
    </row>
    <row r="1878">
      <c r="A1878" s="3" t="s">
        <v>6</v>
      </c>
    </row>
    <row r="1879">
      <c r="A1879" s="3" t="s">
        <v>6</v>
      </c>
      <c r="B1879" s="3" t="s">
        <v>13</v>
      </c>
      <c r="C1879" s="3" t="s">
        <v>14</v>
      </c>
    </row>
    <row r="1880">
      <c r="A1880" s="3" t="s">
        <v>6</v>
      </c>
      <c r="B1880" s="3" t="s">
        <v>8</v>
      </c>
      <c r="C1880" s="3" t="s">
        <v>9</v>
      </c>
      <c r="D1880" s="3" t="s">
        <v>10</v>
      </c>
      <c r="E1880" s="3" t="s">
        <v>11</v>
      </c>
      <c r="F1880" s="3" t="s">
        <v>12</v>
      </c>
      <c r="G1880" s="3" t="s">
        <v>24</v>
      </c>
    </row>
    <row r="1881">
      <c r="A1881" s="3" t="s">
        <v>6</v>
      </c>
      <c r="B1881" s="3" t="s">
        <v>8</v>
      </c>
      <c r="C1881" s="3" t="s">
        <v>11</v>
      </c>
      <c r="D1881" s="3" t="s">
        <v>12</v>
      </c>
      <c r="E1881" s="3" t="s">
        <v>15</v>
      </c>
      <c r="F1881" s="3" t="s">
        <v>16</v>
      </c>
      <c r="G1881" s="3" t="s">
        <v>17</v>
      </c>
    </row>
    <row r="1882">
      <c r="A1882" s="3" t="s">
        <v>6</v>
      </c>
      <c r="B1882" s="3" t="s">
        <v>11</v>
      </c>
      <c r="C1882" s="3" t="s">
        <v>14</v>
      </c>
    </row>
    <row r="1883">
      <c r="A1883" s="3" t="s">
        <v>6</v>
      </c>
      <c r="B1883" s="3" t="s">
        <v>13</v>
      </c>
      <c r="C1883" s="3" t="s">
        <v>14</v>
      </c>
    </row>
    <row r="1884">
      <c r="A1884" s="3" t="s">
        <v>6</v>
      </c>
      <c r="B1884" s="3" t="s">
        <v>11</v>
      </c>
      <c r="C1884" s="3" t="s">
        <v>12</v>
      </c>
    </row>
    <row r="1885">
      <c r="A1885" s="3" t="s">
        <v>6</v>
      </c>
      <c r="B1885" s="3" t="s">
        <v>11</v>
      </c>
      <c r="C1885" s="3" t="s">
        <v>13</v>
      </c>
      <c r="D1885" s="3" t="s">
        <v>14</v>
      </c>
      <c r="E1885" s="3" t="s">
        <v>15</v>
      </c>
      <c r="F1885" s="3" t="s">
        <v>17</v>
      </c>
      <c r="G1885" s="3" t="s">
        <v>18</v>
      </c>
    </row>
    <row r="1886">
      <c r="A1886" s="3" t="s">
        <v>6</v>
      </c>
      <c r="B1886" s="3" t="s">
        <v>7</v>
      </c>
      <c r="C1886" s="3" t="s">
        <v>8</v>
      </c>
    </row>
    <row r="1887">
      <c r="A1887" s="3" t="s">
        <v>6</v>
      </c>
      <c r="B1887" s="3" t="s">
        <v>7</v>
      </c>
    </row>
    <row r="1888">
      <c r="A1888" s="3" t="s">
        <v>6</v>
      </c>
      <c r="B1888" s="3" t="s">
        <v>7</v>
      </c>
      <c r="C1888" s="3" t="s">
        <v>8</v>
      </c>
    </row>
    <row r="1889">
      <c r="A1889" s="3" t="s">
        <v>6</v>
      </c>
      <c r="B1889" s="3" t="s">
        <v>8</v>
      </c>
      <c r="C1889" s="3" t="s">
        <v>9</v>
      </c>
    </row>
    <row r="1890">
      <c r="A1890" s="3" t="s">
        <v>6</v>
      </c>
      <c r="B1890" s="3" t="s">
        <v>11</v>
      </c>
    </row>
    <row r="1891">
      <c r="A1891" s="3" t="s">
        <v>6</v>
      </c>
      <c r="B1891" s="3" t="s">
        <v>11</v>
      </c>
      <c r="C1891" s="3" t="s">
        <v>12</v>
      </c>
      <c r="D1891" s="3" t="s">
        <v>15</v>
      </c>
      <c r="E1891" s="3" t="s">
        <v>17</v>
      </c>
    </row>
    <row r="1892">
      <c r="A1892" s="3" t="s">
        <v>6</v>
      </c>
      <c r="B1892" s="3" t="s">
        <v>7</v>
      </c>
      <c r="C1892" s="3" t="s">
        <v>8</v>
      </c>
    </row>
    <row r="1893">
      <c r="A1893" s="3" t="s">
        <v>6</v>
      </c>
      <c r="B1893" s="3" t="s">
        <v>7</v>
      </c>
      <c r="C1893" s="3" t="s">
        <v>11</v>
      </c>
      <c r="D1893" s="3" t="s">
        <v>15</v>
      </c>
      <c r="E1893" s="3" t="s">
        <v>16</v>
      </c>
      <c r="F1893" s="3" t="s">
        <v>18</v>
      </c>
    </row>
    <row r="1894">
      <c r="A1894" s="3" t="s">
        <v>6</v>
      </c>
      <c r="B1894" s="3" t="s">
        <v>7</v>
      </c>
      <c r="C1894" s="3" t="s">
        <v>11</v>
      </c>
    </row>
    <row r="1895">
      <c r="A1895" s="3" t="s">
        <v>6</v>
      </c>
      <c r="B1895" s="3" t="s">
        <v>8</v>
      </c>
      <c r="C1895" s="3" t="s">
        <v>9</v>
      </c>
      <c r="D1895" s="3" t="s">
        <v>10</v>
      </c>
      <c r="E1895" s="3" t="s">
        <v>24</v>
      </c>
    </row>
    <row r="1896">
      <c r="A1896" s="3" t="s">
        <v>6</v>
      </c>
      <c r="B1896" s="3" t="s">
        <v>8</v>
      </c>
      <c r="C1896" s="3" t="s">
        <v>15</v>
      </c>
    </row>
    <row r="1897">
      <c r="A1897" s="3" t="s">
        <v>6</v>
      </c>
      <c r="B1897" s="3" t="s">
        <v>7</v>
      </c>
      <c r="C1897" s="3" t="s">
        <v>11</v>
      </c>
    </row>
    <row r="1898">
      <c r="A1898" s="3" t="s">
        <v>6</v>
      </c>
      <c r="B1898" s="3" t="s">
        <v>11</v>
      </c>
      <c r="C1898" s="3" t="s">
        <v>15</v>
      </c>
    </row>
    <row r="1899">
      <c r="A1899" s="3" t="s">
        <v>6</v>
      </c>
    </row>
    <row r="1900">
      <c r="A1900" s="3" t="s">
        <v>6</v>
      </c>
      <c r="B1900" s="3" t="s">
        <v>13</v>
      </c>
      <c r="C1900" s="3" t="s">
        <v>14</v>
      </c>
    </row>
    <row r="1901">
      <c r="A1901" s="3" t="s">
        <v>6</v>
      </c>
      <c r="B1901" s="3" t="s">
        <v>7</v>
      </c>
      <c r="C1901" s="3" t="s">
        <v>16</v>
      </c>
    </row>
    <row r="1902">
      <c r="A1902" s="3" t="s">
        <v>6</v>
      </c>
      <c r="B1902" s="3" t="s">
        <v>11</v>
      </c>
    </row>
    <row r="1903">
      <c r="A1903" s="3" t="s">
        <v>6</v>
      </c>
      <c r="B1903" s="3" t="s">
        <v>7</v>
      </c>
      <c r="C1903" s="3" t="s">
        <v>24</v>
      </c>
    </row>
    <row r="1904">
      <c r="A1904" s="3" t="s">
        <v>6</v>
      </c>
      <c r="B1904" s="3" t="s">
        <v>8</v>
      </c>
      <c r="C1904" s="3" t="s">
        <v>15</v>
      </c>
      <c r="D1904" s="3" t="s">
        <v>16</v>
      </c>
    </row>
    <row r="1905">
      <c r="A1905" s="3" t="s">
        <v>6</v>
      </c>
      <c r="B1905" s="3" t="s">
        <v>13</v>
      </c>
      <c r="C1905" s="3" t="s">
        <v>14</v>
      </c>
    </row>
    <row r="1906">
      <c r="A1906" s="3" t="s">
        <v>6</v>
      </c>
      <c r="B1906" s="3" t="s">
        <v>13</v>
      </c>
      <c r="C1906" s="3" t="s">
        <v>14</v>
      </c>
    </row>
    <row r="1907">
      <c r="A1907" s="3" t="s">
        <v>6</v>
      </c>
    </row>
    <row r="1908">
      <c r="A1908" s="3" t="s">
        <v>6</v>
      </c>
      <c r="B1908" s="3" t="s">
        <v>14</v>
      </c>
    </row>
    <row r="1909">
      <c r="A1909" s="3" t="s">
        <v>6</v>
      </c>
      <c r="B1909" s="3" t="s">
        <v>13</v>
      </c>
      <c r="C1909" s="3" t="s">
        <v>14</v>
      </c>
    </row>
    <row r="1910">
      <c r="A1910" s="3" t="s">
        <v>6</v>
      </c>
      <c r="B1910" s="3" t="s">
        <v>13</v>
      </c>
      <c r="C1910" s="3" t="s">
        <v>14</v>
      </c>
    </row>
    <row r="1911">
      <c r="A1911" s="3" t="s">
        <v>6</v>
      </c>
      <c r="B1911" s="3" t="s">
        <v>16</v>
      </c>
    </row>
    <row r="1912">
      <c r="A1912" s="3" t="s">
        <v>6</v>
      </c>
      <c r="B1912" s="3" t="s">
        <v>13</v>
      </c>
      <c r="C1912" s="3" t="s">
        <v>14</v>
      </c>
    </row>
    <row r="1913">
      <c r="A1913" s="3" t="s">
        <v>6</v>
      </c>
      <c r="B1913" s="3" t="s">
        <v>11</v>
      </c>
      <c r="C1913" s="3" t="s">
        <v>14</v>
      </c>
    </row>
    <row r="1914">
      <c r="A1914" s="3" t="s">
        <v>6</v>
      </c>
      <c r="B1914" s="3" t="s">
        <v>9</v>
      </c>
      <c r="C1914" s="3" t="s">
        <v>13</v>
      </c>
      <c r="D1914" s="3" t="s">
        <v>15</v>
      </c>
      <c r="E1914" s="3" t="s">
        <v>16</v>
      </c>
    </row>
    <row r="1915">
      <c r="A1915" s="3" t="s">
        <v>6</v>
      </c>
      <c r="B1915" s="3" t="s">
        <v>13</v>
      </c>
      <c r="C1915" s="3" t="s">
        <v>14</v>
      </c>
    </row>
    <row r="1916">
      <c r="A1916" s="3" t="s">
        <v>609</v>
      </c>
    </row>
    <row r="1917">
      <c r="A1917" s="3" t="s">
        <v>7</v>
      </c>
      <c r="B1917" s="3" t="s">
        <v>8</v>
      </c>
      <c r="C1917" s="3" t="s">
        <v>9</v>
      </c>
      <c r="D1917" s="3" t="s">
        <v>11</v>
      </c>
      <c r="E1917" s="3" t="s">
        <v>12</v>
      </c>
      <c r="F1917" s="3" t="s">
        <v>15</v>
      </c>
      <c r="G1917" s="3" t="s">
        <v>16</v>
      </c>
      <c r="H1917" s="3" t="s">
        <v>17</v>
      </c>
      <c r="I1917" s="3" t="s">
        <v>18</v>
      </c>
    </row>
    <row r="1918">
      <c r="A1918" s="3" t="s">
        <v>7</v>
      </c>
      <c r="B1918" s="3" t="s">
        <v>8</v>
      </c>
      <c r="C1918" s="3" t="s">
        <v>9</v>
      </c>
      <c r="D1918" s="3" t="s">
        <v>15</v>
      </c>
      <c r="E1918" s="3" t="s">
        <v>16</v>
      </c>
      <c r="F1918" s="3" t="s">
        <v>17</v>
      </c>
      <c r="G1918" s="3" t="s">
        <v>24</v>
      </c>
    </row>
    <row r="1919">
      <c r="A1919" s="3" t="s">
        <v>7</v>
      </c>
      <c r="B1919" s="3" t="s">
        <v>8</v>
      </c>
      <c r="C1919" s="3" t="s">
        <v>9</v>
      </c>
      <c r="D1919" s="3" t="s">
        <v>13</v>
      </c>
      <c r="E1919" s="3" t="s">
        <v>14</v>
      </c>
      <c r="F1919" s="3" t="s">
        <v>17</v>
      </c>
      <c r="G1919" s="3" t="s">
        <v>18</v>
      </c>
    </row>
    <row r="1920">
      <c r="A1920" s="3" t="s">
        <v>7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18</v>
      </c>
    </row>
    <row r="1921">
      <c r="A1921" s="3" t="s">
        <v>7</v>
      </c>
      <c r="B1921" s="3" t="s">
        <v>8</v>
      </c>
      <c r="C1921" s="3" t="s">
        <v>9</v>
      </c>
      <c r="D1921" s="3" t="s">
        <v>10</v>
      </c>
      <c r="E1921" s="3" t="s">
        <v>11</v>
      </c>
      <c r="F1921" s="3" t="s">
        <v>12</v>
      </c>
      <c r="G1921" s="3" t="s">
        <v>18</v>
      </c>
      <c r="H1921" s="3" t="s">
        <v>24</v>
      </c>
    </row>
    <row r="1922">
      <c r="A1922" s="3" t="s">
        <v>7</v>
      </c>
      <c r="B1922" s="3" t="s">
        <v>8</v>
      </c>
      <c r="C1922" s="3" t="s">
        <v>11</v>
      </c>
      <c r="D1922" s="3" t="s">
        <v>12</v>
      </c>
      <c r="E1922" s="3" t="s">
        <v>13</v>
      </c>
      <c r="F1922" s="3" t="s">
        <v>14</v>
      </c>
      <c r="G1922" s="3" t="s">
        <v>18</v>
      </c>
    </row>
    <row r="1923">
      <c r="A1923" s="3" t="s">
        <v>7</v>
      </c>
      <c r="B1923" s="3" t="s">
        <v>8</v>
      </c>
      <c r="C1923" s="3" t="s">
        <v>9</v>
      </c>
      <c r="D1923" s="3" t="s">
        <v>11</v>
      </c>
      <c r="E1923" s="3" t="s">
        <v>12</v>
      </c>
      <c r="F1923" s="3" t="s">
        <v>15</v>
      </c>
    </row>
    <row r="1924">
      <c r="A1924" s="3" t="s">
        <v>7</v>
      </c>
      <c r="B1924" s="3" t="s">
        <v>15</v>
      </c>
      <c r="C1924" s="3" t="s">
        <v>16</v>
      </c>
      <c r="D1924" s="3" t="s">
        <v>17</v>
      </c>
      <c r="E1924" s="3" t="s">
        <v>18</v>
      </c>
    </row>
    <row r="1925">
      <c r="A1925" s="3" t="s">
        <v>7</v>
      </c>
      <c r="B1925" s="3" t="s">
        <v>8</v>
      </c>
      <c r="C1925" s="3" t="s">
        <v>9</v>
      </c>
      <c r="D1925" s="3" t="s">
        <v>15</v>
      </c>
      <c r="E1925" s="3" t="s">
        <v>16</v>
      </c>
      <c r="F1925" s="3" t="s">
        <v>17</v>
      </c>
      <c r="G1925" s="3" t="s">
        <v>18</v>
      </c>
    </row>
    <row r="1926">
      <c r="A1926" s="3" t="s">
        <v>7</v>
      </c>
      <c r="B1926" s="3" t="s">
        <v>12</v>
      </c>
    </row>
    <row r="1927">
      <c r="A1927" s="3" t="s">
        <v>7</v>
      </c>
      <c r="B1927" s="3" t="s">
        <v>8</v>
      </c>
      <c r="C1927" s="3" t="s">
        <v>9</v>
      </c>
      <c r="D1927" s="3" t="s">
        <v>10</v>
      </c>
      <c r="E1927" s="3" t="s">
        <v>16</v>
      </c>
      <c r="F1927" s="3" t="s">
        <v>18</v>
      </c>
      <c r="G1927" s="3" t="s">
        <v>24</v>
      </c>
    </row>
    <row r="1928">
      <c r="A1928" s="3" t="s">
        <v>7</v>
      </c>
      <c r="B1928" s="3" t="s">
        <v>8</v>
      </c>
      <c r="C1928" s="3" t="s">
        <v>9</v>
      </c>
      <c r="D1928" s="3" t="s">
        <v>11</v>
      </c>
      <c r="E1928" s="3" t="s">
        <v>12</v>
      </c>
      <c r="F1928" s="3" t="s">
        <v>15</v>
      </c>
    </row>
    <row r="1929">
      <c r="A1929" s="3" t="s">
        <v>7</v>
      </c>
      <c r="B1929" s="3" t="s">
        <v>8</v>
      </c>
      <c r="C1929" s="3" t="s">
        <v>9</v>
      </c>
      <c r="D1929" s="3" t="s">
        <v>15</v>
      </c>
      <c r="E1929" s="3" t="s">
        <v>16</v>
      </c>
      <c r="F1929" s="3" t="s">
        <v>17</v>
      </c>
      <c r="G1929" s="3" t="s">
        <v>18</v>
      </c>
    </row>
    <row r="1930">
      <c r="A1930" s="3" t="s">
        <v>7</v>
      </c>
      <c r="B1930" s="3" t="s">
        <v>18</v>
      </c>
    </row>
    <row r="1931">
      <c r="A1931" s="3" t="s">
        <v>7</v>
      </c>
      <c r="B1931" s="3" t="s">
        <v>11</v>
      </c>
      <c r="C1931" s="3" t="s">
        <v>13</v>
      </c>
      <c r="D1931" s="3" t="s">
        <v>14</v>
      </c>
      <c r="E1931" s="3" t="s">
        <v>15</v>
      </c>
      <c r="F1931" s="3" t="s">
        <v>16</v>
      </c>
      <c r="G1931" s="3" t="s">
        <v>17</v>
      </c>
      <c r="H1931" s="3" t="s">
        <v>18</v>
      </c>
    </row>
    <row r="1932">
      <c r="A1932" s="3" t="s">
        <v>7</v>
      </c>
      <c r="B1932" s="3" t="s">
        <v>11</v>
      </c>
      <c r="C1932" s="3" t="s">
        <v>12</v>
      </c>
      <c r="D1932" s="3" t="s">
        <v>13</v>
      </c>
      <c r="E1932" s="3" t="s">
        <v>15</v>
      </c>
      <c r="F1932" s="3" t="s">
        <v>16</v>
      </c>
    </row>
    <row r="1933">
      <c r="A1933" s="3" t="s">
        <v>7</v>
      </c>
      <c r="B1933" s="3" t="s">
        <v>11</v>
      </c>
      <c r="C1933" s="3" t="s">
        <v>12</v>
      </c>
      <c r="D1933" s="3" t="s">
        <v>15</v>
      </c>
      <c r="E1933" s="3" t="s">
        <v>16</v>
      </c>
    </row>
    <row r="1934">
      <c r="A1934" s="3" t="s">
        <v>7</v>
      </c>
      <c r="B1934" s="3" t="s">
        <v>8</v>
      </c>
      <c r="C1934" s="3" t="s">
        <v>9</v>
      </c>
      <c r="D1934" s="3" t="s">
        <v>10</v>
      </c>
      <c r="E1934" s="3" t="s">
        <v>14</v>
      </c>
      <c r="F1934" s="3" t="s">
        <v>17</v>
      </c>
      <c r="G1934" s="3" t="s">
        <v>18</v>
      </c>
    </row>
    <row r="1935">
      <c r="A1935" s="3" t="s">
        <v>7</v>
      </c>
      <c r="B1935" s="3" t="s">
        <v>12</v>
      </c>
    </row>
    <row r="1936">
      <c r="A1936" s="3" t="s">
        <v>7</v>
      </c>
      <c r="B1936" s="3" t="s">
        <v>11</v>
      </c>
      <c r="C1936" s="3" t="s">
        <v>15</v>
      </c>
    </row>
    <row r="1937">
      <c r="A1937" s="3" t="s">
        <v>7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</row>
    <row r="1938">
      <c r="A1938" s="3" t="s">
        <v>7</v>
      </c>
      <c r="B1938" s="3" t="s">
        <v>17</v>
      </c>
    </row>
    <row r="1939">
      <c r="A1939" s="3" t="s">
        <v>7</v>
      </c>
      <c r="B1939" s="3" t="s">
        <v>8</v>
      </c>
      <c r="C1939" s="3" t="s">
        <v>15</v>
      </c>
    </row>
    <row r="1940">
      <c r="A1940" s="3" t="s">
        <v>7</v>
      </c>
      <c r="B1940" s="3" t="s">
        <v>11</v>
      </c>
      <c r="C1940" s="3" t="s">
        <v>15</v>
      </c>
      <c r="D1940" s="3" t="s">
        <v>16</v>
      </c>
    </row>
    <row r="1941">
      <c r="A1941" s="3" t="s">
        <v>7</v>
      </c>
      <c r="B1941" s="3" t="s">
        <v>11</v>
      </c>
      <c r="C1941" s="3" t="s">
        <v>12</v>
      </c>
    </row>
    <row r="1942">
      <c r="A1942" s="3" t="s">
        <v>7</v>
      </c>
      <c r="B1942" s="3" t="s">
        <v>15</v>
      </c>
      <c r="C1942" s="3" t="s">
        <v>16</v>
      </c>
    </row>
    <row r="1943">
      <c r="A1943" s="3" t="s">
        <v>7</v>
      </c>
      <c r="B1943" s="3" t="s">
        <v>14</v>
      </c>
      <c r="C1943" s="3" t="s">
        <v>17</v>
      </c>
    </row>
    <row r="1944">
      <c r="A1944" s="3" t="s">
        <v>7</v>
      </c>
      <c r="B1944" s="3" t="s">
        <v>11</v>
      </c>
      <c r="C1944" s="3" t="s">
        <v>15</v>
      </c>
    </row>
    <row r="1945">
      <c r="A1945" s="3" t="s">
        <v>7</v>
      </c>
      <c r="B1945" s="3" t="s">
        <v>11</v>
      </c>
      <c r="C1945" s="3" t="s">
        <v>12</v>
      </c>
    </row>
    <row r="1946">
      <c r="A1946" s="3" t="s">
        <v>7</v>
      </c>
      <c r="B1946" s="3" t="s">
        <v>12</v>
      </c>
      <c r="C1946" s="3" t="s">
        <v>17</v>
      </c>
    </row>
    <row r="1947">
      <c r="A1947" s="3" t="s">
        <v>7</v>
      </c>
    </row>
    <row r="1948">
      <c r="A1948" s="3" t="s">
        <v>7</v>
      </c>
      <c r="B1948" s="3" t="s">
        <v>14</v>
      </c>
      <c r="C1948" s="3" t="s">
        <v>15</v>
      </c>
    </row>
    <row r="1949">
      <c r="A1949" s="3" t="s">
        <v>8</v>
      </c>
      <c r="B1949" s="3" t="s">
        <v>18</v>
      </c>
    </row>
    <row r="1950">
      <c r="A1950" s="3" t="s">
        <v>8</v>
      </c>
      <c r="B1950" s="3" t="s">
        <v>9</v>
      </c>
      <c r="C1950" s="3" t="s">
        <v>12</v>
      </c>
      <c r="D1950" s="3" t="s">
        <v>16</v>
      </c>
      <c r="E1950" s="3" t="s">
        <v>17</v>
      </c>
      <c r="F1950" s="3" t="s">
        <v>18</v>
      </c>
    </row>
    <row r="1951">
      <c r="A1951" s="3" t="s">
        <v>8</v>
      </c>
      <c r="B1951" s="3" t="s">
        <v>9</v>
      </c>
      <c r="C1951" s="3" t="s">
        <v>11</v>
      </c>
      <c r="D1951" s="3" t="s">
        <v>12</v>
      </c>
      <c r="E1951" s="3" t="s">
        <v>17</v>
      </c>
      <c r="F1951" s="3" t="s">
        <v>18</v>
      </c>
    </row>
    <row r="1952">
      <c r="A1952" s="3" t="s">
        <v>8</v>
      </c>
      <c r="B1952" s="3" t="s">
        <v>9</v>
      </c>
      <c r="C1952" s="3" t="s">
        <v>11</v>
      </c>
      <c r="D1952" s="3" t="s">
        <v>12</v>
      </c>
      <c r="E1952" s="3" t="s">
        <v>17</v>
      </c>
    </row>
    <row r="1953">
      <c r="A1953" s="3" t="s">
        <v>8</v>
      </c>
      <c r="B1953" s="3" t="s">
        <v>9</v>
      </c>
      <c r="C1953" s="3" t="s">
        <v>11</v>
      </c>
      <c r="D1953" s="3" t="s">
        <v>12</v>
      </c>
      <c r="E1953" s="3" t="s">
        <v>15</v>
      </c>
      <c r="F1953" s="3" t="s">
        <v>16</v>
      </c>
      <c r="G1953" s="3" t="s">
        <v>17</v>
      </c>
      <c r="H1953" s="3" t="s">
        <v>18</v>
      </c>
    </row>
    <row r="1954">
      <c r="A1954" s="3" t="s">
        <v>8</v>
      </c>
      <c r="B1954" s="3" t="s">
        <v>11</v>
      </c>
      <c r="C1954" s="3" t="s">
        <v>16</v>
      </c>
      <c r="D1954" s="3" t="s">
        <v>18</v>
      </c>
    </row>
    <row r="1955">
      <c r="A1955" s="3" t="s">
        <v>8</v>
      </c>
      <c r="B1955" s="3" t="s">
        <v>11</v>
      </c>
      <c r="C1955" s="3" t="s">
        <v>12</v>
      </c>
      <c r="D1955" s="3" t="s">
        <v>15</v>
      </c>
    </row>
    <row r="1956">
      <c r="A1956" s="3" t="s">
        <v>8</v>
      </c>
      <c r="B1956" s="3" t="s">
        <v>9</v>
      </c>
      <c r="C1956" s="3" t="s">
        <v>11</v>
      </c>
      <c r="D1956" s="3" t="s">
        <v>12</v>
      </c>
      <c r="E1956" s="3" t="s">
        <v>13</v>
      </c>
      <c r="F1956" s="3" t="s">
        <v>17</v>
      </c>
    </row>
    <row r="1957">
      <c r="A1957" s="3" t="s">
        <v>8</v>
      </c>
      <c r="B1957" s="3" t="s">
        <v>9</v>
      </c>
      <c r="C1957" s="3" t="s">
        <v>24</v>
      </c>
    </row>
    <row r="1958">
      <c r="A1958" s="3" t="s">
        <v>8</v>
      </c>
      <c r="B1958" s="3" t="s">
        <v>9</v>
      </c>
      <c r="C1958" s="3" t="s">
        <v>11</v>
      </c>
      <c r="D1958" s="3" t="s">
        <v>12</v>
      </c>
      <c r="E1958" s="3" t="s">
        <v>24</v>
      </c>
    </row>
    <row r="1959">
      <c r="A1959" s="3" t="s">
        <v>8</v>
      </c>
      <c r="B1959" s="3" t="s">
        <v>9</v>
      </c>
      <c r="C1959" s="3" t="s">
        <v>10</v>
      </c>
      <c r="D1959" s="3" t="s">
        <v>13</v>
      </c>
      <c r="E1959" s="3" t="s">
        <v>14</v>
      </c>
      <c r="F1959" s="3" t="s">
        <v>17</v>
      </c>
      <c r="G1959" s="3" t="s">
        <v>18</v>
      </c>
    </row>
    <row r="1960">
      <c r="A1960" s="3" t="s">
        <v>8</v>
      </c>
      <c r="B1960" s="3" t="s">
        <v>11</v>
      </c>
      <c r="C1960" s="3" t="s">
        <v>12</v>
      </c>
      <c r="D1960" s="3" t="s">
        <v>15</v>
      </c>
      <c r="E1960" s="3" t="s">
        <v>16</v>
      </c>
      <c r="F1960" s="3" t="s">
        <v>17</v>
      </c>
      <c r="G1960" s="3" t="s">
        <v>18</v>
      </c>
    </row>
    <row r="1961">
      <c r="A1961" s="3" t="s">
        <v>8</v>
      </c>
      <c r="B1961" s="3" t="s">
        <v>9</v>
      </c>
      <c r="C1961" s="3" t="s">
        <v>15</v>
      </c>
    </row>
    <row r="1962">
      <c r="A1962" s="3" t="s">
        <v>8</v>
      </c>
      <c r="B1962" s="3" t="s">
        <v>9</v>
      </c>
      <c r="C1962" s="3" t="s">
        <v>14</v>
      </c>
      <c r="D1962" s="3" t="s">
        <v>17</v>
      </c>
      <c r="E1962" s="3" t="s">
        <v>18</v>
      </c>
      <c r="F1962" s="3" t="s">
        <v>24</v>
      </c>
    </row>
    <row r="1963">
      <c r="A1963" s="3" t="s">
        <v>8</v>
      </c>
      <c r="B1963" s="3" t="s">
        <v>9</v>
      </c>
      <c r="C1963" s="3" t="s">
        <v>13</v>
      </c>
      <c r="D1963" s="3" t="s">
        <v>14</v>
      </c>
      <c r="E1963" s="3" t="s">
        <v>24</v>
      </c>
    </row>
    <row r="1964">
      <c r="A1964" s="3" t="s">
        <v>8</v>
      </c>
      <c r="B1964" s="3" t="s">
        <v>9</v>
      </c>
      <c r="C1964" s="3" t="s">
        <v>16</v>
      </c>
      <c r="D1964" s="3" t="s">
        <v>24</v>
      </c>
    </row>
    <row r="1965">
      <c r="A1965" s="3" t="s">
        <v>8</v>
      </c>
      <c r="B1965" s="3" t="s">
        <v>11</v>
      </c>
      <c r="C1965" s="3" t="s">
        <v>12</v>
      </c>
      <c r="D1965" s="3" t="s">
        <v>17</v>
      </c>
    </row>
    <row r="1966">
      <c r="A1966" s="3" t="s">
        <v>8</v>
      </c>
      <c r="B1966" s="3" t="s">
        <v>9</v>
      </c>
      <c r="C1966" s="3" t="s">
        <v>11</v>
      </c>
      <c r="D1966" s="3" t="s">
        <v>12</v>
      </c>
      <c r="E1966" s="3" t="s">
        <v>24</v>
      </c>
    </row>
    <row r="1967">
      <c r="A1967" s="3" t="s">
        <v>8</v>
      </c>
      <c r="B1967" s="3" t="s">
        <v>9</v>
      </c>
      <c r="C1967" s="3" t="s">
        <v>10</v>
      </c>
      <c r="D1967" s="3" t="s">
        <v>24</v>
      </c>
    </row>
    <row r="1968">
      <c r="A1968" s="3" t="s">
        <v>8</v>
      </c>
      <c r="B1968" s="3" t="s">
        <v>9</v>
      </c>
      <c r="C1968" s="3" t="s">
        <v>11</v>
      </c>
      <c r="D1968" s="3" t="s">
        <v>12</v>
      </c>
      <c r="E1968" s="3" t="s">
        <v>24</v>
      </c>
    </row>
    <row r="1969">
      <c r="A1969" s="3" t="s">
        <v>8</v>
      </c>
      <c r="B1969" s="3" t="s">
        <v>9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18</v>
      </c>
      <c r="H1969" s="3" t="s">
        <v>24</v>
      </c>
    </row>
    <row r="1970">
      <c r="A1970" s="3" t="s">
        <v>8</v>
      </c>
      <c r="B1970" s="3" t="s">
        <v>11</v>
      </c>
      <c r="C1970" s="3" t="s">
        <v>12</v>
      </c>
    </row>
    <row r="1971">
      <c r="A1971" s="3" t="s">
        <v>8</v>
      </c>
      <c r="B1971" s="3" t="s">
        <v>9</v>
      </c>
      <c r="C1971" s="3" t="s">
        <v>10</v>
      </c>
      <c r="D1971" s="3" t="s">
        <v>16</v>
      </c>
    </row>
    <row r="1972">
      <c r="A1972" s="3" t="s">
        <v>8</v>
      </c>
      <c r="B1972" s="3" t="s">
        <v>9</v>
      </c>
      <c r="C1972" s="3" t="s">
        <v>10</v>
      </c>
      <c r="D1972" s="3" t="s">
        <v>17</v>
      </c>
      <c r="E1972" s="3" t="s">
        <v>18</v>
      </c>
      <c r="F1972" s="3" t="s">
        <v>24</v>
      </c>
    </row>
    <row r="1973">
      <c r="A1973" s="3" t="s">
        <v>8</v>
      </c>
      <c r="B1973" s="3" t="s">
        <v>12</v>
      </c>
      <c r="C1973" s="3" t="s">
        <v>24</v>
      </c>
    </row>
    <row r="1974">
      <c r="A1974" s="3" t="s">
        <v>8</v>
      </c>
      <c r="B1974" s="3" t="s">
        <v>15</v>
      </c>
      <c r="C1974" s="3" t="s">
        <v>16</v>
      </c>
    </row>
    <row r="1975">
      <c r="A1975" s="3" t="s">
        <v>8</v>
      </c>
      <c r="B1975" s="3" t="s">
        <v>11</v>
      </c>
      <c r="C1975" s="3" t="s">
        <v>12</v>
      </c>
    </row>
    <row r="1976">
      <c r="A1976" s="3" t="s">
        <v>8</v>
      </c>
      <c r="B1976" s="3" t="s">
        <v>9</v>
      </c>
      <c r="C1976" s="3" t="s">
        <v>10</v>
      </c>
      <c r="D1976" s="3" t="s">
        <v>16</v>
      </c>
      <c r="E1976" s="3" t="s">
        <v>17</v>
      </c>
      <c r="F1976" s="3" t="s">
        <v>24</v>
      </c>
    </row>
    <row r="1977">
      <c r="A1977" s="3" t="s">
        <v>8</v>
      </c>
      <c r="B1977" s="3" t="s">
        <v>9</v>
      </c>
      <c r="C1977" s="3" t="s">
        <v>10</v>
      </c>
      <c r="D1977" s="3" t="s">
        <v>16</v>
      </c>
      <c r="E1977" s="3" t="s">
        <v>17</v>
      </c>
      <c r="F1977" s="3" t="s">
        <v>18</v>
      </c>
      <c r="G1977" s="3" t="s">
        <v>24</v>
      </c>
    </row>
    <row r="1978">
      <c r="A1978" s="3" t="s">
        <v>8</v>
      </c>
      <c r="B1978" s="3" t="s">
        <v>10</v>
      </c>
      <c r="C1978" s="3" t="s">
        <v>11</v>
      </c>
    </row>
    <row r="1979">
      <c r="A1979" s="3" t="s">
        <v>8</v>
      </c>
    </row>
    <row r="1980">
      <c r="A1980" s="3" t="s">
        <v>8</v>
      </c>
      <c r="B1980" s="3" t="s">
        <v>10</v>
      </c>
      <c r="C1980" s="3" t="s">
        <v>13</v>
      </c>
      <c r="D1980" s="3" t="s">
        <v>14</v>
      </c>
      <c r="E1980" s="3" t="s">
        <v>16</v>
      </c>
      <c r="F1980" s="3" t="s">
        <v>18</v>
      </c>
    </row>
    <row r="1981">
      <c r="A1981" s="3" t="s">
        <v>8</v>
      </c>
      <c r="B1981" s="3" t="s">
        <v>15</v>
      </c>
      <c r="C1981" s="3" t="s">
        <v>16</v>
      </c>
    </row>
    <row r="1982">
      <c r="A1982" s="3" t="s">
        <v>8</v>
      </c>
      <c r="B1982" s="3" t="s">
        <v>13</v>
      </c>
      <c r="C1982" s="3" t="s">
        <v>14</v>
      </c>
    </row>
    <row r="1983">
      <c r="A1983" s="3" t="s">
        <v>8</v>
      </c>
      <c r="B1983" s="3" t="s">
        <v>11</v>
      </c>
      <c r="C1983" s="3" t="s">
        <v>12</v>
      </c>
    </row>
    <row r="1984">
      <c r="A1984" s="3" t="s">
        <v>8</v>
      </c>
      <c r="B1984" s="3" t="s">
        <v>10</v>
      </c>
      <c r="C1984" s="3" t="s">
        <v>12</v>
      </c>
    </row>
    <row r="1985">
      <c r="A1985" s="3" t="s">
        <v>8</v>
      </c>
      <c r="B1985" s="3" t="s">
        <v>15</v>
      </c>
      <c r="C1985" s="3" t="s">
        <v>16</v>
      </c>
    </row>
    <row r="1986">
      <c r="A1986" s="3" t="s">
        <v>8</v>
      </c>
      <c r="B1986" s="3" t="s">
        <v>11</v>
      </c>
      <c r="C1986" s="3" t="s">
        <v>12</v>
      </c>
    </row>
    <row r="1987">
      <c r="A1987" s="3" t="s">
        <v>8</v>
      </c>
      <c r="B1987" s="3" t="s">
        <v>13</v>
      </c>
      <c r="C1987" s="3" t="s">
        <v>14</v>
      </c>
    </row>
    <row r="1988">
      <c r="A1988" s="3" t="s">
        <v>8</v>
      </c>
      <c r="B1988" s="3" t="s">
        <v>11</v>
      </c>
      <c r="C1988" s="3" t="s">
        <v>12</v>
      </c>
    </row>
    <row r="1989">
      <c r="A1989" s="3" t="s">
        <v>8</v>
      </c>
    </row>
    <row r="1990">
      <c r="A1990" s="3" t="s">
        <v>9</v>
      </c>
      <c r="B1990" s="3" t="s">
        <v>12</v>
      </c>
      <c r="C1990" s="3" t="s">
        <v>15</v>
      </c>
      <c r="D1990" s="3" t="s">
        <v>16</v>
      </c>
      <c r="E1990" s="3" t="s">
        <v>17</v>
      </c>
      <c r="F1990" s="3" t="s">
        <v>18</v>
      </c>
    </row>
    <row r="1991">
      <c r="A1991" s="3" t="s">
        <v>9</v>
      </c>
      <c r="B1991" s="3" t="s">
        <v>14</v>
      </c>
      <c r="C1991" s="3" t="s">
        <v>15</v>
      </c>
      <c r="D1991" s="3" t="s">
        <v>17</v>
      </c>
      <c r="E1991" s="3" t="s">
        <v>18</v>
      </c>
      <c r="F1991" s="3" t="s">
        <v>24</v>
      </c>
    </row>
    <row r="1992">
      <c r="A1992" s="3" t="s">
        <v>9</v>
      </c>
      <c r="B1992" s="3" t="s">
        <v>12</v>
      </c>
      <c r="C1992" s="3" t="s">
        <v>16</v>
      </c>
      <c r="D1992" s="3" t="s">
        <v>17</v>
      </c>
    </row>
    <row r="1993">
      <c r="A1993" s="3" t="s">
        <v>9</v>
      </c>
      <c r="B1993" s="3" t="s">
        <v>15</v>
      </c>
    </row>
    <row r="1994">
      <c r="A1994" s="3" t="s">
        <v>9</v>
      </c>
      <c r="B1994" s="3" t="s">
        <v>13</v>
      </c>
      <c r="C1994" s="3" t="s">
        <v>14</v>
      </c>
      <c r="D1994" s="3" t="s">
        <v>17</v>
      </c>
      <c r="E1994" s="3" t="s">
        <v>18</v>
      </c>
      <c r="F1994" s="3" t="s">
        <v>24</v>
      </c>
    </row>
    <row r="1995">
      <c r="A1995" s="3" t="s">
        <v>9</v>
      </c>
      <c r="B1995" s="3" t="s">
        <v>10</v>
      </c>
      <c r="C1995" s="3" t="s">
        <v>24</v>
      </c>
    </row>
    <row r="1996">
      <c r="A1996" s="3" t="s">
        <v>9</v>
      </c>
      <c r="B1996" s="3" t="s">
        <v>14</v>
      </c>
      <c r="C1996" s="3" t="s">
        <v>16</v>
      </c>
      <c r="D1996" s="3" t="s">
        <v>17</v>
      </c>
      <c r="E1996" s="3" t="s">
        <v>24</v>
      </c>
    </row>
    <row r="1997">
      <c r="A1997" s="3" t="s">
        <v>9</v>
      </c>
      <c r="B1997" s="3" t="s">
        <v>10</v>
      </c>
      <c r="C1997" s="3" t="s">
        <v>11</v>
      </c>
      <c r="D1997" s="3" t="s">
        <v>12</v>
      </c>
      <c r="E1997" s="3" t="s">
        <v>15</v>
      </c>
      <c r="F1997" s="3" t="s">
        <v>16</v>
      </c>
      <c r="G1997" s="3" t="s">
        <v>17</v>
      </c>
      <c r="H1997" s="3" t="s">
        <v>18</v>
      </c>
      <c r="I1997" s="3" t="s">
        <v>24</v>
      </c>
    </row>
    <row r="1998">
      <c r="A1998" s="3" t="s">
        <v>9</v>
      </c>
      <c r="B1998" s="3" t="s">
        <v>12</v>
      </c>
      <c r="C1998" s="3" t="s">
        <v>17</v>
      </c>
      <c r="D1998" s="3" t="s">
        <v>24</v>
      </c>
    </row>
    <row r="1999">
      <c r="A1999" s="3" t="s">
        <v>9</v>
      </c>
      <c r="B1999" s="3" t="s">
        <v>13</v>
      </c>
      <c r="C1999" s="3" t="s">
        <v>14</v>
      </c>
      <c r="D1999" s="3" t="s">
        <v>17</v>
      </c>
      <c r="E1999" s="3" t="s">
        <v>18</v>
      </c>
    </row>
    <row r="2000">
      <c r="A2000" s="3" t="s">
        <v>9</v>
      </c>
      <c r="B2000" s="3" t="s">
        <v>17</v>
      </c>
      <c r="C2000" s="3" t="s">
        <v>24</v>
      </c>
    </row>
    <row r="2001">
      <c r="A2001" s="3" t="s">
        <v>9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18</v>
      </c>
    </row>
    <row r="2002">
      <c r="A2002" s="3" t="s">
        <v>10</v>
      </c>
      <c r="B2002" s="3" t="s">
        <v>24</v>
      </c>
    </row>
    <row r="2003">
      <c r="A2003" s="3" t="s">
        <v>10</v>
      </c>
      <c r="B2003" s="3" t="s">
        <v>13</v>
      </c>
      <c r="C2003" s="3" t="s">
        <v>14</v>
      </c>
      <c r="D2003" s="3" t="s">
        <v>24</v>
      </c>
    </row>
    <row r="2004">
      <c r="A2004" s="3" t="s">
        <v>10</v>
      </c>
      <c r="B2004" s="3" t="s">
        <v>13</v>
      </c>
      <c r="C2004" s="3" t="s">
        <v>24</v>
      </c>
    </row>
    <row r="2005">
      <c r="A2005" s="3" t="s">
        <v>10</v>
      </c>
      <c r="B2005" s="3" t="s">
        <v>13</v>
      </c>
      <c r="C2005" s="3" t="s">
        <v>14</v>
      </c>
      <c r="D2005" s="3" t="s">
        <v>16</v>
      </c>
      <c r="E2005" s="3" t="s">
        <v>17</v>
      </c>
      <c r="F2005" s="3" t="s">
        <v>18</v>
      </c>
      <c r="G2005" s="3" t="s">
        <v>24</v>
      </c>
    </row>
    <row r="2006">
      <c r="A2006" s="3" t="s">
        <v>10</v>
      </c>
      <c r="B2006" s="3" t="s">
        <v>13</v>
      </c>
      <c r="C2006" s="3" t="s">
        <v>14</v>
      </c>
      <c r="D2006" s="3" t="s">
        <v>24</v>
      </c>
    </row>
    <row r="2007">
      <c r="A2007" s="3" t="s">
        <v>10</v>
      </c>
      <c r="B2007" s="3" t="s">
        <v>13</v>
      </c>
      <c r="C2007" s="3" t="s">
        <v>14</v>
      </c>
      <c r="D2007" s="3" t="s">
        <v>17</v>
      </c>
      <c r="E2007" s="3" t="s">
        <v>24</v>
      </c>
    </row>
    <row r="2008">
      <c r="A2008" s="3" t="s">
        <v>10</v>
      </c>
      <c r="B2008" s="3" t="s">
        <v>15</v>
      </c>
      <c r="C2008" s="3" t="s">
        <v>17</v>
      </c>
      <c r="D2008" s="3" t="s">
        <v>24</v>
      </c>
    </row>
    <row r="2009">
      <c r="A2009" s="3" t="s">
        <v>10</v>
      </c>
      <c r="B2009" s="3" t="s">
        <v>11</v>
      </c>
      <c r="C2009" s="3" t="s">
        <v>12</v>
      </c>
      <c r="D2009" s="3" t="s">
        <v>16</v>
      </c>
      <c r="E2009" s="3" t="s">
        <v>17</v>
      </c>
      <c r="F2009" s="3" t="s">
        <v>18</v>
      </c>
      <c r="G2009" s="3" t="s">
        <v>24</v>
      </c>
    </row>
    <row r="2010">
      <c r="A2010" s="3" t="s">
        <v>10</v>
      </c>
      <c r="B2010" s="3" t="s">
        <v>12</v>
      </c>
      <c r="C2010" s="3" t="s">
        <v>15</v>
      </c>
    </row>
    <row r="2011">
      <c r="A2011" s="3" t="s">
        <v>10</v>
      </c>
      <c r="B2011" s="3" t="s">
        <v>24</v>
      </c>
    </row>
    <row r="2012">
      <c r="A2012" s="3" t="s">
        <v>10</v>
      </c>
      <c r="B2012" s="3" t="s">
        <v>14</v>
      </c>
      <c r="C2012" s="3" t="s">
        <v>17</v>
      </c>
    </row>
    <row r="2013">
      <c r="A2013" s="3" t="s">
        <v>10</v>
      </c>
      <c r="B2013" s="3" t="s">
        <v>17</v>
      </c>
      <c r="C2013" s="3" t="s">
        <v>24</v>
      </c>
    </row>
    <row r="2014">
      <c r="A2014" s="3" t="s">
        <v>10</v>
      </c>
      <c r="B2014" s="3" t="s">
        <v>13</v>
      </c>
      <c r="C2014" s="3" t="s">
        <v>14</v>
      </c>
    </row>
    <row r="2015">
      <c r="A2015" s="3" t="s">
        <v>10</v>
      </c>
      <c r="B2015" s="3" t="s">
        <v>17</v>
      </c>
      <c r="C2015" s="3" t="s">
        <v>24</v>
      </c>
    </row>
    <row r="2016">
      <c r="A2016" s="3" t="s">
        <v>10</v>
      </c>
      <c r="B2016" s="3" t="s">
        <v>24</v>
      </c>
    </row>
    <row r="2017">
      <c r="A2017" s="3" t="s">
        <v>11</v>
      </c>
      <c r="B2017" s="3" t="s">
        <v>12</v>
      </c>
      <c r="C2017" s="3" t="s">
        <v>13</v>
      </c>
      <c r="D2017" s="3" t="s">
        <v>14</v>
      </c>
      <c r="E2017" s="3" t="s">
        <v>17</v>
      </c>
      <c r="F2017" s="3" t="s">
        <v>18</v>
      </c>
    </row>
    <row r="2018">
      <c r="A2018" s="3" t="s">
        <v>11</v>
      </c>
      <c r="B2018" s="3" t="s">
        <v>12</v>
      </c>
      <c r="C2018" s="3" t="s">
        <v>15</v>
      </c>
      <c r="D2018" s="3" t="s">
        <v>16</v>
      </c>
    </row>
    <row r="2019">
      <c r="A2019" s="3" t="s">
        <v>11</v>
      </c>
      <c r="B2019" s="3" t="s">
        <v>12</v>
      </c>
      <c r="C2019" s="3" t="s">
        <v>15</v>
      </c>
      <c r="D2019" s="3" t="s">
        <v>16</v>
      </c>
    </row>
    <row r="2020">
      <c r="A2020" s="3" t="s">
        <v>11</v>
      </c>
      <c r="B2020" s="3" t="s">
        <v>14</v>
      </c>
      <c r="C2020" s="3" t="s">
        <v>15</v>
      </c>
      <c r="D2020" s="3" t="s">
        <v>17</v>
      </c>
      <c r="E2020" s="3" t="s">
        <v>18</v>
      </c>
    </row>
    <row r="2021">
      <c r="A2021" s="3" t="s">
        <v>11</v>
      </c>
      <c r="B2021" s="3" t="s">
        <v>12</v>
      </c>
      <c r="C2021" s="3" t="s">
        <v>17</v>
      </c>
    </row>
    <row r="2022">
      <c r="A2022" s="3" t="s">
        <v>11</v>
      </c>
      <c r="B2022" s="3" t="s">
        <v>12</v>
      </c>
      <c r="C2022" s="3" t="s">
        <v>13</v>
      </c>
      <c r="D2022" s="3" t="s">
        <v>14</v>
      </c>
      <c r="E2022" s="3" t="s">
        <v>15</v>
      </c>
      <c r="F2022" s="3" t="s">
        <v>17</v>
      </c>
    </row>
    <row r="2023">
      <c r="A2023" s="3" t="s">
        <v>11</v>
      </c>
      <c r="B2023" s="3" t="s">
        <v>12</v>
      </c>
    </row>
    <row r="2024">
      <c r="A2024" s="3" t="s">
        <v>11</v>
      </c>
      <c r="B2024" s="3" t="s">
        <v>12</v>
      </c>
      <c r="C2024" s="3" t="s">
        <v>16</v>
      </c>
      <c r="D2024" s="3" t="s">
        <v>17</v>
      </c>
      <c r="E2024" s="3" t="s">
        <v>18</v>
      </c>
    </row>
    <row r="2025">
      <c r="A2025" s="3" t="s">
        <v>11</v>
      </c>
      <c r="B2025" s="3" t="s">
        <v>12</v>
      </c>
    </row>
    <row r="2026">
      <c r="A2026" s="3" t="s">
        <v>11</v>
      </c>
      <c r="B2026" s="3" t="s">
        <v>12</v>
      </c>
      <c r="C2026" s="3" t="s">
        <v>14</v>
      </c>
    </row>
    <row r="2027">
      <c r="A2027" s="3" t="s">
        <v>11</v>
      </c>
      <c r="B2027" s="3" t="s">
        <v>12</v>
      </c>
      <c r="C2027" s="3" t="s">
        <v>13</v>
      </c>
      <c r="D2027" s="3" t="s">
        <v>14</v>
      </c>
      <c r="E2027" s="3" t="s">
        <v>17</v>
      </c>
    </row>
    <row r="2028">
      <c r="A2028" s="3" t="s">
        <v>11</v>
      </c>
      <c r="B2028" s="3" t="s">
        <v>15</v>
      </c>
      <c r="C2028" s="3" t="s">
        <v>16</v>
      </c>
      <c r="D2028" s="3" t="s">
        <v>18</v>
      </c>
    </row>
    <row r="2029">
      <c r="A2029" s="3" t="s">
        <v>11</v>
      </c>
      <c r="B2029" s="3" t="s">
        <v>12</v>
      </c>
      <c r="C2029" s="3" t="s">
        <v>13</v>
      </c>
      <c r="D2029" s="3" t="s">
        <v>14</v>
      </c>
      <c r="E2029" s="3" t="s">
        <v>15</v>
      </c>
      <c r="F2029" s="3" t="s">
        <v>16</v>
      </c>
      <c r="G2029" s="3" t="s">
        <v>17</v>
      </c>
      <c r="H2029" s="3" t="s">
        <v>18</v>
      </c>
    </row>
    <row r="2030">
      <c r="A2030" s="3" t="s">
        <v>11</v>
      </c>
      <c r="B2030" s="3" t="s">
        <v>12</v>
      </c>
      <c r="C2030" s="3" t="s">
        <v>15</v>
      </c>
    </row>
    <row r="2031">
      <c r="A2031" s="3" t="s">
        <v>11</v>
      </c>
      <c r="B2031" s="3" t="s">
        <v>12</v>
      </c>
      <c r="C2031" s="3" t="s">
        <v>13</v>
      </c>
      <c r="D2031" s="3" t="s">
        <v>14</v>
      </c>
      <c r="E2031" s="3" t="s">
        <v>17</v>
      </c>
    </row>
    <row r="2032">
      <c r="A2032" s="3" t="s">
        <v>11</v>
      </c>
      <c r="B2032" s="3" t="s">
        <v>12</v>
      </c>
      <c r="C2032" s="3" t="s">
        <v>15</v>
      </c>
      <c r="D2032" s="3" t="s">
        <v>16</v>
      </c>
    </row>
    <row r="2033">
      <c r="A2033" s="3" t="s">
        <v>11</v>
      </c>
      <c r="B2033" s="3" t="s">
        <v>12</v>
      </c>
      <c r="C2033" s="3" t="s">
        <v>17</v>
      </c>
    </row>
    <row r="2034">
      <c r="A2034" s="3" t="s">
        <v>11</v>
      </c>
      <c r="B2034" s="3" t="s">
        <v>12</v>
      </c>
      <c r="C2034" s="3" t="s">
        <v>16</v>
      </c>
      <c r="D2034" s="3" t="s">
        <v>17</v>
      </c>
      <c r="E2034" s="3" t="s">
        <v>24</v>
      </c>
    </row>
    <row r="2035">
      <c r="A2035" s="3" t="s">
        <v>11</v>
      </c>
      <c r="B2035" s="3" t="s">
        <v>12</v>
      </c>
      <c r="C2035" s="3" t="s">
        <v>13</v>
      </c>
      <c r="D2035" s="3" t="s">
        <v>14</v>
      </c>
      <c r="E2035" s="3" t="s">
        <v>17</v>
      </c>
      <c r="F2035" s="3" t="s">
        <v>18</v>
      </c>
    </row>
    <row r="2036">
      <c r="A2036" s="3" t="s">
        <v>11</v>
      </c>
      <c r="B2036" s="3" t="s">
        <v>13</v>
      </c>
      <c r="C2036" s="3" t="s">
        <v>14</v>
      </c>
    </row>
    <row r="2037">
      <c r="A2037" s="3" t="s">
        <v>11</v>
      </c>
    </row>
    <row r="2038">
      <c r="A2038" s="3" t="s">
        <v>11</v>
      </c>
      <c r="B2038" s="3" t="s">
        <v>12</v>
      </c>
      <c r="C2038" s="3" t="s">
        <v>15</v>
      </c>
      <c r="D2038" s="3" t="s">
        <v>16</v>
      </c>
    </row>
    <row r="2039">
      <c r="A2039" s="3" t="s">
        <v>11</v>
      </c>
      <c r="B2039" s="3" t="s">
        <v>17</v>
      </c>
    </row>
    <row r="2040">
      <c r="A2040" s="3" t="s">
        <v>11</v>
      </c>
      <c r="B2040" s="3" t="s">
        <v>15</v>
      </c>
      <c r="C2040" s="3" t="s">
        <v>16</v>
      </c>
    </row>
    <row r="2041">
      <c r="A2041" s="3" t="s">
        <v>11</v>
      </c>
      <c r="B2041" s="3" t="s">
        <v>15</v>
      </c>
      <c r="C2041" s="3" t="s">
        <v>16</v>
      </c>
      <c r="D2041" s="3" t="s">
        <v>17</v>
      </c>
    </row>
    <row r="2042">
      <c r="A2042" s="3" t="s">
        <v>11</v>
      </c>
      <c r="B2042" s="3" t="s">
        <v>12</v>
      </c>
      <c r="C2042" s="3" t="s">
        <v>17</v>
      </c>
    </row>
    <row r="2043">
      <c r="A2043" s="3" t="s">
        <v>11</v>
      </c>
      <c r="B2043" s="3" t="s">
        <v>12</v>
      </c>
      <c r="C2043" s="3" t="s">
        <v>17</v>
      </c>
    </row>
    <row r="2044">
      <c r="A2044" s="3" t="s">
        <v>11</v>
      </c>
      <c r="B2044" s="3" t="s">
        <v>12</v>
      </c>
      <c r="C2044" s="3" t="s">
        <v>15</v>
      </c>
    </row>
    <row r="2045">
      <c r="A2045" s="3" t="s">
        <v>11</v>
      </c>
      <c r="B2045" s="3" t="s">
        <v>15</v>
      </c>
      <c r="C2045" s="3" t="s">
        <v>16</v>
      </c>
      <c r="D2045" s="3" t="s">
        <v>17</v>
      </c>
      <c r="E2045" s="3" t="s">
        <v>18</v>
      </c>
    </row>
    <row r="2046">
      <c r="A2046" s="3" t="s">
        <v>11</v>
      </c>
      <c r="B2046" s="3" t="s">
        <v>12</v>
      </c>
      <c r="C2046" s="3" t="s">
        <v>15</v>
      </c>
      <c r="D2046" s="3" t="s">
        <v>16</v>
      </c>
      <c r="E2046" s="3" t="s">
        <v>17</v>
      </c>
    </row>
    <row r="2047">
      <c r="A2047" s="3" t="s">
        <v>11</v>
      </c>
      <c r="B2047" s="3" t="s">
        <v>12</v>
      </c>
    </row>
    <row r="2048">
      <c r="A2048" s="3" t="s">
        <v>11</v>
      </c>
      <c r="B2048" s="3" t="s">
        <v>13</v>
      </c>
      <c r="C2048" s="3" t="s">
        <v>14</v>
      </c>
    </row>
    <row r="2049">
      <c r="A2049" s="3" t="s">
        <v>12</v>
      </c>
      <c r="B2049" s="3" t="s">
        <v>24</v>
      </c>
    </row>
    <row r="2050">
      <c r="A2050" s="3" t="s">
        <v>12</v>
      </c>
      <c r="B2050" s="3" t="s">
        <v>14</v>
      </c>
      <c r="C2050" s="3" t="s">
        <v>16</v>
      </c>
      <c r="D2050" s="3" t="s">
        <v>17</v>
      </c>
    </row>
    <row r="2051">
      <c r="A2051" s="3" t="s">
        <v>12</v>
      </c>
      <c r="B2051" s="3" t="s">
        <v>14</v>
      </c>
      <c r="C2051" s="3" t="s">
        <v>16</v>
      </c>
      <c r="D2051" s="3" t="s">
        <v>17</v>
      </c>
      <c r="E2051" s="3" t="s">
        <v>18</v>
      </c>
    </row>
    <row r="2052">
      <c r="A2052" s="3" t="s">
        <v>13</v>
      </c>
      <c r="B2052" s="3" t="s">
        <v>14</v>
      </c>
      <c r="C2052" s="3" t="s">
        <v>17</v>
      </c>
      <c r="D2052" s="3" t="s">
        <v>18</v>
      </c>
    </row>
    <row r="2053">
      <c r="A2053" s="3" t="s">
        <v>13</v>
      </c>
      <c r="B2053" s="3" t="s">
        <v>14</v>
      </c>
      <c r="C2053" s="3" t="s">
        <v>18</v>
      </c>
    </row>
    <row r="2054">
      <c r="A2054" s="3" t="s">
        <v>13</v>
      </c>
      <c r="B2054" s="3" t="s">
        <v>14</v>
      </c>
      <c r="C2054" s="3" t="s">
        <v>17</v>
      </c>
    </row>
    <row r="2055">
      <c r="A2055" s="3" t="s">
        <v>13</v>
      </c>
      <c r="B2055" s="3" t="s">
        <v>14</v>
      </c>
      <c r="C2055" s="3" t="s">
        <v>17</v>
      </c>
    </row>
    <row r="2056">
      <c r="A2056" s="3" t="s">
        <v>13</v>
      </c>
      <c r="B2056" s="3" t="s">
        <v>14</v>
      </c>
      <c r="C2056" s="3" t="s">
        <v>15</v>
      </c>
    </row>
    <row r="2057">
      <c r="A2057" s="3" t="s">
        <v>13</v>
      </c>
      <c r="B2057" s="3" t="s">
        <v>14</v>
      </c>
    </row>
    <row r="2058">
      <c r="A2058" s="3" t="s">
        <v>13</v>
      </c>
      <c r="B2058" s="3" t="s">
        <v>14</v>
      </c>
      <c r="C2058" s="3" t="s">
        <v>17</v>
      </c>
    </row>
    <row r="2059">
      <c r="A2059" s="3" t="s">
        <v>13</v>
      </c>
      <c r="B2059" s="3" t="s">
        <v>14</v>
      </c>
      <c r="C2059" s="3" t="s">
        <v>15</v>
      </c>
    </row>
    <row r="2060">
      <c r="A2060" s="3" t="s">
        <v>13</v>
      </c>
      <c r="B2060" s="3" t="s">
        <v>14</v>
      </c>
      <c r="C2060" s="3" t="s">
        <v>17</v>
      </c>
    </row>
    <row r="2061">
      <c r="A2061" s="3" t="s">
        <v>13</v>
      </c>
      <c r="B2061" s="3" t="s">
        <v>14</v>
      </c>
      <c r="C2061" s="3" t="s">
        <v>17</v>
      </c>
    </row>
    <row r="2062">
      <c r="A2062" s="3" t="s">
        <v>13</v>
      </c>
      <c r="B2062" s="3" t="s">
        <v>14</v>
      </c>
    </row>
    <row r="2063">
      <c r="A2063" s="3" t="s">
        <v>13</v>
      </c>
      <c r="B2063" s="3" t="s">
        <v>14</v>
      </c>
    </row>
    <row r="2064">
      <c r="A2064" s="3" t="s">
        <v>13</v>
      </c>
    </row>
    <row r="2065">
      <c r="A2065" s="3" t="s">
        <v>13</v>
      </c>
    </row>
    <row r="2066">
      <c r="A2066" s="3" t="s">
        <v>13</v>
      </c>
      <c r="B2066" s="3" t="s">
        <v>14</v>
      </c>
      <c r="C2066" s="3" t="s">
        <v>17</v>
      </c>
      <c r="D2066" s="3" t="s">
        <v>18</v>
      </c>
    </row>
    <row r="2067">
      <c r="A2067" s="3" t="s">
        <v>13</v>
      </c>
      <c r="B2067" s="3" t="s">
        <v>14</v>
      </c>
    </row>
    <row r="2068">
      <c r="A2068" s="3" t="s">
        <v>13</v>
      </c>
      <c r="B2068" s="3" t="s">
        <v>14</v>
      </c>
      <c r="C2068" s="3" t="s">
        <v>15</v>
      </c>
    </row>
    <row r="2069">
      <c r="A2069" s="3" t="s">
        <v>13</v>
      </c>
      <c r="B2069" s="3" t="s">
        <v>14</v>
      </c>
      <c r="C2069" s="3" t="s">
        <v>18</v>
      </c>
    </row>
    <row r="2070">
      <c r="A2070" s="3" t="s">
        <v>13</v>
      </c>
    </row>
    <row r="2071">
      <c r="A2071" s="3" t="s">
        <v>13</v>
      </c>
      <c r="B2071" s="3" t="s">
        <v>14</v>
      </c>
      <c r="C2071" s="3" t="s">
        <v>17</v>
      </c>
    </row>
    <row r="2072">
      <c r="A2072" s="3" t="s">
        <v>13</v>
      </c>
    </row>
    <row r="2073">
      <c r="A2073" s="3" t="s">
        <v>13</v>
      </c>
      <c r="B2073" s="3" t="s">
        <v>16</v>
      </c>
      <c r="C2073" s="3" t="s">
        <v>17</v>
      </c>
    </row>
    <row r="2074">
      <c r="A2074" s="3" t="s">
        <v>13</v>
      </c>
    </row>
    <row r="2075">
      <c r="A2075" s="3" t="s">
        <v>13</v>
      </c>
      <c r="B2075" s="3" t="s">
        <v>14</v>
      </c>
    </row>
    <row r="2076">
      <c r="A2076" s="3" t="s">
        <v>13</v>
      </c>
      <c r="B2076" s="3" t="s">
        <v>14</v>
      </c>
      <c r="C2076" s="3" t="s">
        <v>17</v>
      </c>
    </row>
    <row r="2077">
      <c r="A2077" s="3" t="s">
        <v>15</v>
      </c>
      <c r="B2077" s="3" t="s">
        <v>18</v>
      </c>
    </row>
    <row r="2078">
      <c r="A2078" s="3" t="s">
        <v>15</v>
      </c>
      <c r="B2078" s="3" t="s">
        <v>16</v>
      </c>
      <c r="C2078" s="3" t="s">
        <v>17</v>
      </c>
    </row>
    <row r="2079">
      <c r="A2079" s="3" t="s">
        <v>15</v>
      </c>
    </row>
    <row r="2080">
      <c r="A2080" s="3" t="s">
        <v>15</v>
      </c>
    </row>
    <row r="2081">
      <c r="A2081" s="3" t="s">
        <v>15</v>
      </c>
      <c r="B2081" s="3" t="s">
        <v>16</v>
      </c>
    </row>
    <row r="2082">
      <c r="A2082" s="3" t="s">
        <v>15</v>
      </c>
    </row>
    <row r="2083">
      <c r="A2083" s="3" t="s">
        <v>16</v>
      </c>
      <c r="B2083" s="3" t="s">
        <v>24</v>
      </c>
    </row>
    <row r="2084">
      <c r="A2084" s="3" t="s">
        <v>6</v>
      </c>
      <c r="B2084" s="3" t="s">
        <v>13</v>
      </c>
      <c r="C2084" s="3" t="s">
        <v>15</v>
      </c>
      <c r="D2084" s="3" t="s">
        <v>16</v>
      </c>
      <c r="E2084" s="3" t="s">
        <v>26</v>
      </c>
      <c r="F2084" s="3" t="s">
        <v>27</v>
      </c>
    </row>
    <row r="2085">
      <c r="A2085" s="3" t="s">
        <v>6</v>
      </c>
      <c r="B2085" s="3" t="s">
        <v>7</v>
      </c>
      <c r="C2085" s="3" t="s">
        <v>8</v>
      </c>
      <c r="D2085" s="3" t="s">
        <v>13</v>
      </c>
      <c r="E2085" s="3" t="s">
        <v>14</v>
      </c>
      <c r="F2085" s="3" t="s">
        <v>15</v>
      </c>
      <c r="G2085" s="3" t="s">
        <v>18</v>
      </c>
    </row>
    <row r="2086">
      <c r="A2086" s="3" t="s">
        <v>6</v>
      </c>
      <c r="B2086" s="3" t="s">
        <v>7</v>
      </c>
      <c r="C2086" s="3" t="s">
        <v>15</v>
      </c>
      <c r="D2086" s="3" t="s">
        <v>27</v>
      </c>
    </row>
    <row r="2087">
      <c r="A2087" s="3" t="s">
        <v>6</v>
      </c>
      <c r="B2087" s="3" t="s">
        <v>7</v>
      </c>
      <c r="C2087" s="3" t="s">
        <v>11</v>
      </c>
      <c r="D2087" s="3" t="s">
        <v>15</v>
      </c>
      <c r="E2087" s="3" t="s">
        <v>25</v>
      </c>
      <c r="F2087" s="3" t="s">
        <v>26</v>
      </c>
      <c r="G2087" s="3" t="s">
        <v>27</v>
      </c>
    </row>
    <row r="2088">
      <c r="A2088" s="3" t="s">
        <v>6</v>
      </c>
      <c r="B2088" s="3" t="s">
        <v>7</v>
      </c>
      <c r="C2088" s="3" t="s">
        <v>8</v>
      </c>
      <c r="D2088" s="3" t="s">
        <v>11</v>
      </c>
      <c r="E2088" s="3" t="s">
        <v>15</v>
      </c>
      <c r="F2088" s="3" t="s">
        <v>17</v>
      </c>
      <c r="G2088" s="3" t="s">
        <v>27</v>
      </c>
    </row>
    <row r="2089">
      <c r="A2089" s="3" t="s">
        <v>6</v>
      </c>
      <c r="B2089" s="3" t="s">
        <v>7</v>
      </c>
      <c r="C2089" s="3" t="s">
        <v>13</v>
      </c>
      <c r="D2089" s="3" t="s">
        <v>14</v>
      </c>
      <c r="E2089" s="3" t="s">
        <v>15</v>
      </c>
      <c r="F2089" s="3" t="s">
        <v>26</v>
      </c>
      <c r="G2089" s="3" t="s">
        <v>27</v>
      </c>
    </row>
    <row r="2090">
      <c r="A2090" s="3" t="s">
        <v>6</v>
      </c>
      <c r="B2090" s="3" t="s">
        <v>7</v>
      </c>
      <c r="C2090" s="3" t="s">
        <v>8</v>
      </c>
      <c r="D2090" s="3" t="s">
        <v>9</v>
      </c>
      <c r="E2090" s="3" t="s">
        <v>10</v>
      </c>
      <c r="F2090" s="3" t="s">
        <v>11</v>
      </c>
      <c r="G2090" s="3" t="s">
        <v>24</v>
      </c>
    </row>
    <row r="2091">
      <c r="A2091" s="3" t="s">
        <v>6</v>
      </c>
      <c r="B2091" s="3" t="s">
        <v>7</v>
      </c>
      <c r="C2091" s="3" t="s">
        <v>11</v>
      </c>
      <c r="D2091" s="3" t="s">
        <v>12</v>
      </c>
      <c r="E2091" s="3" t="s">
        <v>15</v>
      </c>
      <c r="F2091" s="3" t="s">
        <v>25</v>
      </c>
      <c r="G2091" s="3" t="s">
        <v>27</v>
      </c>
    </row>
    <row r="2092">
      <c r="A2092" s="3" t="s">
        <v>6</v>
      </c>
      <c r="B2092" s="3" t="s">
        <v>7</v>
      </c>
      <c r="C2092" s="3" t="s">
        <v>8</v>
      </c>
      <c r="D2092" s="3" t="s">
        <v>9</v>
      </c>
      <c r="E2092" s="3" t="s">
        <v>15</v>
      </c>
      <c r="F2092" s="3" t="s">
        <v>16</v>
      </c>
      <c r="G2092" s="3" t="s">
        <v>17</v>
      </c>
    </row>
    <row r="2093">
      <c r="A2093" s="3" t="s">
        <v>6</v>
      </c>
      <c r="B2093" s="3" t="s">
        <v>7</v>
      </c>
      <c r="C2093" s="3" t="s">
        <v>8</v>
      </c>
      <c r="D2093" s="3" t="s">
        <v>11</v>
      </c>
      <c r="E2093" s="3" t="s">
        <v>12</v>
      </c>
      <c r="F2093" s="3" t="s">
        <v>25</v>
      </c>
    </row>
    <row r="2094">
      <c r="A2094" s="3" t="s">
        <v>6</v>
      </c>
      <c r="B2094" s="3" t="s">
        <v>7</v>
      </c>
      <c r="C2094" s="3" t="s">
        <v>8</v>
      </c>
      <c r="D2094" s="3" t="s">
        <v>13</v>
      </c>
      <c r="E2094" s="3" t="s">
        <v>17</v>
      </c>
      <c r="F2094" s="3" t="s">
        <v>26</v>
      </c>
      <c r="G2094" s="3" t="s">
        <v>27</v>
      </c>
    </row>
    <row r="2095">
      <c r="A2095" s="3" t="s">
        <v>6</v>
      </c>
      <c r="B2095" s="3" t="s">
        <v>7</v>
      </c>
      <c r="C2095" s="3" t="s">
        <v>9</v>
      </c>
      <c r="D2095" s="3" t="s">
        <v>15</v>
      </c>
      <c r="E2095" s="3" t="s">
        <v>16</v>
      </c>
    </row>
    <row r="2096">
      <c r="A2096" s="3" t="s">
        <v>6</v>
      </c>
      <c r="B2096" s="3" t="s">
        <v>7</v>
      </c>
      <c r="C2096" s="3" t="s">
        <v>8</v>
      </c>
      <c r="D2096" s="3" t="s">
        <v>9</v>
      </c>
      <c r="E2096" s="3" t="s">
        <v>11</v>
      </c>
      <c r="F2096" s="3" t="s">
        <v>12</v>
      </c>
      <c r="G2096" s="3" t="s">
        <v>15</v>
      </c>
    </row>
    <row r="2097">
      <c r="A2097" s="3" t="s">
        <v>6</v>
      </c>
      <c r="B2097" s="3" t="s">
        <v>7</v>
      </c>
      <c r="C2097" s="3" t="s">
        <v>13</v>
      </c>
      <c r="D2097" s="3" t="s">
        <v>14</v>
      </c>
    </row>
    <row r="2098">
      <c r="A2098" s="3" t="s">
        <v>6</v>
      </c>
      <c r="B2098" s="3" t="s">
        <v>7</v>
      </c>
      <c r="C2098" s="3" t="s">
        <v>8</v>
      </c>
      <c r="D2098" s="3" t="s">
        <v>11</v>
      </c>
      <c r="E2098" s="3" t="s">
        <v>12</v>
      </c>
      <c r="F2098" s="3" t="s">
        <v>15</v>
      </c>
      <c r="G2098" s="3" t="s">
        <v>25</v>
      </c>
    </row>
    <row r="2099">
      <c r="A2099" s="3" t="s">
        <v>6</v>
      </c>
      <c r="B2099" s="3" t="s">
        <v>7</v>
      </c>
      <c r="C2099" s="3" t="s">
        <v>8</v>
      </c>
      <c r="D2099" s="3" t="s">
        <v>9</v>
      </c>
      <c r="E2099" s="3" t="s">
        <v>15</v>
      </c>
      <c r="F2099" s="3" t="s">
        <v>16</v>
      </c>
      <c r="G2099" s="3" t="s">
        <v>27</v>
      </c>
    </row>
    <row r="2100">
      <c r="A2100" s="3" t="s">
        <v>6</v>
      </c>
      <c r="B2100" s="3" t="s">
        <v>13</v>
      </c>
      <c r="C2100" s="3" t="s">
        <v>14</v>
      </c>
      <c r="D2100" s="3" t="s">
        <v>17</v>
      </c>
    </row>
    <row r="2101">
      <c r="A2101" s="3" t="s">
        <v>6</v>
      </c>
      <c r="B2101" s="3" t="s">
        <v>7</v>
      </c>
      <c r="C2101" s="3" t="s">
        <v>11</v>
      </c>
      <c r="D2101" s="3" t="s">
        <v>12</v>
      </c>
      <c r="E2101" s="3" t="s">
        <v>15</v>
      </c>
      <c r="F2101" s="3" t="s">
        <v>16</v>
      </c>
      <c r="G2101" s="3" t="s">
        <v>17</v>
      </c>
    </row>
    <row r="2102">
      <c r="A2102" s="3" t="s">
        <v>6</v>
      </c>
      <c r="B2102" s="3" t="s">
        <v>7</v>
      </c>
      <c r="C2102" s="3" t="s">
        <v>9</v>
      </c>
      <c r="D2102" s="3" t="s">
        <v>15</v>
      </c>
    </row>
    <row r="2103">
      <c r="A2103" s="3" t="s">
        <v>6</v>
      </c>
      <c r="B2103" s="3" t="s">
        <v>7</v>
      </c>
      <c r="C2103" s="3" t="s">
        <v>8</v>
      </c>
      <c r="D2103" s="3" t="s">
        <v>9</v>
      </c>
      <c r="E2103" s="3" t="s">
        <v>17</v>
      </c>
      <c r="F2103" s="3" t="s">
        <v>18</v>
      </c>
      <c r="G2103" s="3" t="s">
        <v>24</v>
      </c>
    </row>
    <row r="2104">
      <c r="A2104" s="3" t="s">
        <v>6</v>
      </c>
      <c r="B2104" s="3" t="s">
        <v>7</v>
      </c>
      <c r="C2104" s="3" t="s">
        <v>8</v>
      </c>
      <c r="D2104" s="3" t="s">
        <v>9</v>
      </c>
      <c r="E2104" s="3" t="s">
        <v>10</v>
      </c>
      <c r="F2104" s="3" t="s">
        <v>24</v>
      </c>
    </row>
    <row r="2105">
      <c r="A2105" s="3" t="s">
        <v>6</v>
      </c>
      <c r="B2105" s="3" t="s">
        <v>7</v>
      </c>
      <c r="C2105" s="3" t="s">
        <v>15</v>
      </c>
      <c r="D2105" s="3" t="s">
        <v>16</v>
      </c>
      <c r="E2105" s="3" t="s">
        <v>17</v>
      </c>
      <c r="F2105" s="3" t="s">
        <v>18</v>
      </c>
      <c r="G2105" s="3" t="s">
        <v>27</v>
      </c>
    </row>
    <row r="2106">
      <c r="A2106" s="3" t="s">
        <v>6</v>
      </c>
      <c r="B2106" s="3" t="s">
        <v>7</v>
      </c>
      <c r="C2106" s="3" t="s">
        <v>15</v>
      </c>
      <c r="D2106" s="3" t="s">
        <v>17</v>
      </c>
    </row>
    <row r="2107">
      <c r="A2107" s="3" t="s">
        <v>6</v>
      </c>
      <c r="B2107" s="3" t="s">
        <v>7</v>
      </c>
      <c r="C2107" s="3" t="s">
        <v>8</v>
      </c>
      <c r="D2107" s="3" t="s">
        <v>15</v>
      </c>
      <c r="E2107" s="3" t="s">
        <v>27</v>
      </c>
    </row>
    <row r="2108">
      <c r="A2108" s="3" t="s">
        <v>6</v>
      </c>
      <c r="B2108" s="3" t="s">
        <v>7</v>
      </c>
      <c r="C2108" s="3" t="s">
        <v>8</v>
      </c>
      <c r="D2108" s="3" t="s">
        <v>13</v>
      </c>
      <c r="E2108" s="3" t="s">
        <v>15</v>
      </c>
      <c r="F2108" s="3" t="s">
        <v>16</v>
      </c>
    </row>
    <row r="2109">
      <c r="A2109" s="3" t="s">
        <v>6</v>
      </c>
      <c r="B2109" s="3" t="s">
        <v>15</v>
      </c>
      <c r="C2109" s="3" t="s">
        <v>25</v>
      </c>
      <c r="D2109" s="3" t="s">
        <v>27</v>
      </c>
    </row>
    <row r="2110">
      <c r="A2110" s="3" t="s">
        <v>6</v>
      </c>
      <c r="B2110" s="3" t="s">
        <v>7</v>
      </c>
      <c r="C2110" s="3" t="s">
        <v>11</v>
      </c>
      <c r="D2110" s="3" t="s">
        <v>12</v>
      </c>
      <c r="E2110" s="3" t="s">
        <v>25</v>
      </c>
    </row>
    <row r="2111">
      <c r="A2111" s="3" t="s">
        <v>6</v>
      </c>
      <c r="B2111" s="3" t="s">
        <v>7</v>
      </c>
      <c r="C2111" s="3" t="s">
        <v>8</v>
      </c>
      <c r="D2111" s="3" t="s">
        <v>11</v>
      </c>
      <c r="E2111" s="3" t="s">
        <v>12</v>
      </c>
      <c r="F2111" s="3" t="s">
        <v>15</v>
      </c>
    </row>
    <row r="2112">
      <c r="A2112" s="3" t="s">
        <v>6</v>
      </c>
      <c r="B2112" s="3" t="s">
        <v>7</v>
      </c>
      <c r="C2112" s="3" t="s">
        <v>8</v>
      </c>
      <c r="D2112" s="3" t="s">
        <v>11</v>
      </c>
      <c r="E2112" s="3" t="s">
        <v>12</v>
      </c>
      <c r="F2112" s="3" t="s">
        <v>25</v>
      </c>
    </row>
    <row r="2113">
      <c r="A2113" s="3" t="s">
        <v>6</v>
      </c>
      <c r="B2113" s="3" t="s">
        <v>7</v>
      </c>
      <c r="C2113" s="3" t="s">
        <v>8</v>
      </c>
      <c r="D2113" s="3" t="s">
        <v>11</v>
      </c>
      <c r="E2113" s="3" t="s">
        <v>12</v>
      </c>
      <c r="F2113" s="3" t="s">
        <v>25</v>
      </c>
    </row>
    <row r="2114">
      <c r="A2114" s="3" t="s">
        <v>6</v>
      </c>
      <c r="B2114" s="3" t="s">
        <v>7</v>
      </c>
      <c r="C2114" s="3" t="s">
        <v>8</v>
      </c>
      <c r="D2114" s="3" t="s">
        <v>9</v>
      </c>
      <c r="E2114" s="3" t="s">
        <v>15</v>
      </c>
      <c r="F2114" s="3" t="s">
        <v>16</v>
      </c>
      <c r="G2114" s="3" t="s">
        <v>17</v>
      </c>
    </row>
    <row r="2115">
      <c r="A2115" s="3" t="s">
        <v>6</v>
      </c>
      <c r="B2115" s="3" t="s">
        <v>7</v>
      </c>
      <c r="C2115" s="3" t="s">
        <v>15</v>
      </c>
      <c r="D2115" s="3" t="s">
        <v>16</v>
      </c>
      <c r="E2115" s="3" t="s">
        <v>27</v>
      </c>
    </row>
    <row r="2116">
      <c r="A2116" s="3" t="s">
        <v>6</v>
      </c>
      <c r="B2116" s="3" t="s">
        <v>11</v>
      </c>
      <c r="C2116" s="3" t="s">
        <v>12</v>
      </c>
      <c r="D2116" s="3" t="s">
        <v>15</v>
      </c>
      <c r="E2116" s="3" t="s">
        <v>16</v>
      </c>
      <c r="F2116" s="3" t="s">
        <v>17</v>
      </c>
      <c r="G2116" s="3" t="s">
        <v>27</v>
      </c>
    </row>
    <row r="2117">
      <c r="A2117" s="3" t="s">
        <v>6</v>
      </c>
      <c r="B2117" s="3" t="s">
        <v>9</v>
      </c>
      <c r="C2117" s="3" t="s">
        <v>12</v>
      </c>
      <c r="D2117" s="3" t="s">
        <v>14</v>
      </c>
      <c r="E2117" s="3" t="s">
        <v>15</v>
      </c>
      <c r="F2117" s="3" t="s">
        <v>16</v>
      </c>
      <c r="G2117" s="3" t="s">
        <v>18</v>
      </c>
    </row>
    <row r="2118">
      <c r="A2118" s="3" t="s">
        <v>6</v>
      </c>
      <c r="B2118" s="3" t="s">
        <v>7</v>
      </c>
      <c r="C2118" s="3" t="s">
        <v>15</v>
      </c>
    </row>
    <row r="2119">
      <c r="A2119" s="3" t="s">
        <v>6</v>
      </c>
      <c r="B2119" s="3" t="s">
        <v>7</v>
      </c>
      <c r="C2119" s="3" t="s">
        <v>8</v>
      </c>
      <c r="D2119" s="3" t="s">
        <v>9</v>
      </c>
      <c r="E2119" s="3" t="s">
        <v>10</v>
      </c>
      <c r="F2119" s="3" t="s">
        <v>24</v>
      </c>
    </row>
    <row r="2120">
      <c r="A2120" s="3" t="s">
        <v>6</v>
      </c>
      <c r="B2120" s="3" t="s">
        <v>7</v>
      </c>
      <c r="C2120" s="3" t="s">
        <v>8</v>
      </c>
      <c r="D2120" s="3" t="s">
        <v>9</v>
      </c>
      <c r="E2120" s="3" t="s">
        <v>11</v>
      </c>
      <c r="F2120" s="3" t="s">
        <v>12</v>
      </c>
    </row>
    <row r="2121">
      <c r="A2121" s="3" t="s">
        <v>6</v>
      </c>
      <c r="B2121" s="3" t="s">
        <v>7</v>
      </c>
      <c r="C2121" s="3" t="s">
        <v>11</v>
      </c>
      <c r="D2121" s="3" t="s">
        <v>12</v>
      </c>
      <c r="E2121" s="3" t="s">
        <v>25</v>
      </c>
    </row>
    <row r="2122">
      <c r="A2122" s="3" t="s">
        <v>6</v>
      </c>
      <c r="B2122" s="3" t="s">
        <v>7</v>
      </c>
      <c r="C2122" s="3" t="s">
        <v>8</v>
      </c>
      <c r="D2122" s="3" t="s">
        <v>15</v>
      </c>
      <c r="E2122" s="3" t="s">
        <v>27</v>
      </c>
    </row>
    <row r="2123">
      <c r="A2123" s="3" t="s">
        <v>6</v>
      </c>
      <c r="B2123" s="3" t="s">
        <v>13</v>
      </c>
      <c r="C2123" s="3" t="s">
        <v>27</v>
      </c>
    </row>
    <row r="2124">
      <c r="A2124" s="3" t="s">
        <v>6</v>
      </c>
      <c r="B2124" s="3" t="s">
        <v>7</v>
      </c>
      <c r="C2124" s="3" t="s">
        <v>11</v>
      </c>
      <c r="D2124" s="3" t="s">
        <v>12</v>
      </c>
      <c r="E2124" s="3" t="s">
        <v>13</v>
      </c>
      <c r="F2124" s="3" t="s">
        <v>25</v>
      </c>
      <c r="G2124" s="3" t="s">
        <v>26</v>
      </c>
    </row>
    <row r="2125">
      <c r="A2125" s="3" t="s">
        <v>6</v>
      </c>
      <c r="B2125" s="3" t="s">
        <v>7</v>
      </c>
      <c r="C2125" s="3" t="s">
        <v>8</v>
      </c>
      <c r="D2125" s="3" t="s">
        <v>9</v>
      </c>
      <c r="E2125" s="3" t="s">
        <v>11</v>
      </c>
      <c r="F2125" s="3" t="s">
        <v>15</v>
      </c>
    </row>
    <row r="2126">
      <c r="A2126" s="3" t="s">
        <v>6</v>
      </c>
      <c r="B2126" s="3" t="s">
        <v>7</v>
      </c>
      <c r="C2126" s="3" t="s">
        <v>25</v>
      </c>
      <c r="D2126" s="3" t="s">
        <v>27</v>
      </c>
    </row>
    <row r="2127">
      <c r="A2127" s="3" t="s">
        <v>6</v>
      </c>
      <c r="B2127" s="3" t="s">
        <v>7</v>
      </c>
      <c r="C2127" s="3" t="s">
        <v>15</v>
      </c>
      <c r="D2127" s="3" t="s">
        <v>27</v>
      </c>
    </row>
    <row r="2128">
      <c r="A2128" s="3" t="s">
        <v>6</v>
      </c>
      <c r="B2128" s="3" t="s">
        <v>7</v>
      </c>
      <c r="C2128" s="3" t="s">
        <v>8</v>
      </c>
      <c r="D2128" s="3" t="s">
        <v>13</v>
      </c>
      <c r="E2128" s="3" t="s">
        <v>14</v>
      </c>
      <c r="F2128" s="3" t="s">
        <v>26</v>
      </c>
      <c r="G2128" s="3" t="s">
        <v>27</v>
      </c>
    </row>
    <row r="2129">
      <c r="A2129" s="3" t="s">
        <v>6</v>
      </c>
      <c r="B2129" s="3" t="s">
        <v>7</v>
      </c>
      <c r="C2129" s="3" t="s">
        <v>13</v>
      </c>
      <c r="D2129" s="3" t="s">
        <v>14</v>
      </c>
    </row>
    <row r="2130">
      <c r="A2130" s="3" t="s">
        <v>6</v>
      </c>
      <c r="B2130" s="3" t="s">
        <v>7</v>
      </c>
      <c r="C2130" s="3" t="s">
        <v>13</v>
      </c>
    </row>
    <row r="2131">
      <c r="A2131" s="3" t="s">
        <v>6</v>
      </c>
      <c r="B2131" s="3" t="s">
        <v>7</v>
      </c>
      <c r="C2131" s="3" t="s">
        <v>13</v>
      </c>
      <c r="D2131" s="3" t="s">
        <v>15</v>
      </c>
      <c r="E2131" s="3" t="s">
        <v>16</v>
      </c>
      <c r="F2131" s="3" t="s">
        <v>26</v>
      </c>
      <c r="G2131" s="3" t="s">
        <v>27</v>
      </c>
    </row>
    <row r="2132">
      <c r="A2132" s="3" t="s">
        <v>6</v>
      </c>
      <c r="B2132" s="3" t="s">
        <v>7</v>
      </c>
      <c r="C2132" s="3" t="s">
        <v>8</v>
      </c>
      <c r="D2132" s="3" t="s">
        <v>11</v>
      </c>
      <c r="E2132" s="3" t="s">
        <v>12</v>
      </c>
      <c r="F2132" s="3" t="s">
        <v>25</v>
      </c>
    </row>
    <row r="2133">
      <c r="A2133" s="3" t="s">
        <v>6</v>
      </c>
      <c r="B2133" s="3" t="s">
        <v>7</v>
      </c>
      <c r="C2133" s="3" t="s">
        <v>15</v>
      </c>
      <c r="D2133" s="3" t="s">
        <v>27</v>
      </c>
    </row>
    <row r="2134">
      <c r="A2134" s="3" t="s">
        <v>6</v>
      </c>
      <c r="B2134" s="3" t="s">
        <v>11</v>
      </c>
      <c r="C2134" s="3" t="s">
        <v>12</v>
      </c>
      <c r="D2134" s="3" t="s">
        <v>15</v>
      </c>
    </row>
    <row r="2135">
      <c r="A2135" s="3" t="s">
        <v>6</v>
      </c>
      <c r="B2135" s="3" t="s">
        <v>7</v>
      </c>
      <c r="C2135" s="3" t="s">
        <v>15</v>
      </c>
      <c r="D2135" s="3" t="s">
        <v>27</v>
      </c>
    </row>
    <row r="2136">
      <c r="A2136" s="3" t="s">
        <v>6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18</v>
      </c>
    </row>
    <row r="2137">
      <c r="A2137" s="3" t="s">
        <v>6</v>
      </c>
      <c r="B2137" s="3" t="s">
        <v>13</v>
      </c>
      <c r="C2137" s="3" t="s">
        <v>14</v>
      </c>
      <c r="D2137" s="3" t="s">
        <v>26</v>
      </c>
    </row>
    <row r="2138">
      <c r="A2138" s="3" t="s">
        <v>6</v>
      </c>
      <c r="B2138" s="3" t="s">
        <v>7</v>
      </c>
    </row>
    <row r="2139">
      <c r="A2139" s="3" t="s">
        <v>6</v>
      </c>
      <c r="B2139" s="3" t="s">
        <v>13</v>
      </c>
    </row>
    <row r="2140">
      <c r="A2140" s="3" t="s">
        <v>6</v>
      </c>
      <c r="B2140" s="3" t="s">
        <v>7</v>
      </c>
      <c r="C2140" s="3" t="s">
        <v>13</v>
      </c>
      <c r="D2140" s="3" t="s">
        <v>15</v>
      </c>
      <c r="E2140" s="3" t="s">
        <v>17</v>
      </c>
      <c r="F2140" s="3" t="s">
        <v>26</v>
      </c>
    </row>
    <row r="2141">
      <c r="A2141" s="3" t="s">
        <v>6</v>
      </c>
      <c r="B2141" s="3" t="s">
        <v>7</v>
      </c>
      <c r="C2141" s="3" t="s">
        <v>13</v>
      </c>
    </row>
    <row r="2142">
      <c r="A2142" s="3" t="s">
        <v>6</v>
      </c>
      <c r="B2142" s="3" t="s">
        <v>7</v>
      </c>
      <c r="C2142" s="3" t="s">
        <v>11</v>
      </c>
      <c r="D2142" s="3" t="s">
        <v>13</v>
      </c>
      <c r="E2142" s="3" t="s">
        <v>25</v>
      </c>
      <c r="F2142" s="3" t="s">
        <v>26</v>
      </c>
    </row>
    <row r="2143">
      <c r="A2143" s="3" t="s">
        <v>6</v>
      </c>
      <c r="B2143" s="3" t="s">
        <v>13</v>
      </c>
      <c r="C2143" s="3" t="s">
        <v>14</v>
      </c>
      <c r="D2143" s="3" t="s">
        <v>17</v>
      </c>
      <c r="E2143" s="3" t="s">
        <v>26</v>
      </c>
    </row>
    <row r="2144">
      <c r="A2144" s="3" t="s">
        <v>6</v>
      </c>
      <c r="B2144" s="3" t="s">
        <v>13</v>
      </c>
      <c r="C2144" s="3" t="s">
        <v>14</v>
      </c>
      <c r="D2144" s="3" t="s">
        <v>17</v>
      </c>
      <c r="E2144" s="3" t="s">
        <v>26</v>
      </c>
      <c r="F2144" s="3" t="s">
        <v>27</v>
      </c>
    </row>
    <row r="2145">
      <c r="A2145" s="3" t="s">
        <v>6</v>
      </c>
      <c r="B2145" s="3" t="s">
        <v>7</v>
      </c>
      <c r="C2145" s="3" t="s">
        <v>13</v>
      </c>
      <c r="D2145" s="3" t="s">
        <v>15</v>
      </c>
    </row>
    <row r="2146">
      <c r="A2146" s="3" t="s">
        <v>6</v>
      </c>
      <c r="B2146" s="3" t="s">
        <v>7</v>
      </c>
      <c r="C2146" s="3" t="s">
        <v>9</v>
      </c>
      <c r="D2146" s="3" t="s">
        <v>11</v>
      </c>
      <c r="E2146" s="3" t="s">
        <v>12</v>
      </c>
      <c r="F2146" s="3" t="s">
        <v>25</v>
      </c>
    </row>
    <row r="2147">
      <c r="A2147" s="3" t="s">
        <v>6</v>
      </c>
      <c r="B2147" s="3" t="s">
        <v>7</v>
      </c>
      <c r="C2147" s="3" t="s">
        <v>13</v>
      </c>
      <c r="D2147" s="3" t="s">
        <v>15</v>
      </c>
      <c r="E2147" s="3" t="s">
        <v>17</v>
      </c>
      <c r="F2147" s="3" t="s">
        <v>26</v>
      </c>
      <c r="G2147" s="3" t="s">
        <v>27</v>
      </c>
    </row>
    <row r="2148">
      <c r="A2148" s="3" t="s">
        <v>6</v>
      </c>
      <c r="B2148" s="3" t="s">
        <v>9</v>
      </c>
      <c r="C2148" s="3" t="s">
        <v>13</v>
      </c>
      <c r="D2148" s="3" t="s">
        <v>14</v>
      </c>
      <c r="E2148" s="3" t="s">
        <v>16</v>
      </c>
      <c r="F2148" s="3" t="s">
        <v>18</v>
      </c>
      <c r="G2148" s="3" t="s">
        <v>26</v>
      </c>
    </row>
    <row r="2149">
      <c r="A2149" s="3" t="s">
        <v>6</v>
      </c>
      <c r="B2149" s="3" t="s">
        <v>13</v>
      </c>
    </row>
    <row r="2150">
      <c r="A2150" s="3" t="s">
        <v>6</v>
      </c>
      <c r="B2150" s="3" t="s">
        <v>11</v>
      </c>
      <c r="C2150" s="3" t="s">
        <v>15</v>
      </c>
      <c r="D2150" s="3" t="s">
        <v>16</v>
      </c>
      <c r="E2150" s="3" t="s">
        <v>27</v>
      </c>
    </row>
    <row r="2151">
      <c r="A2151" s="3" t="s">
        <v>6</v>
      </c>
      <c r="B2151" s="3" t="s">
        <v>15</v>
      </c>
      <c r="C2151" s="3" t="s">
        <v>27</v>
      </c>
    </row>
    <row r="2152">
      <c r="A2152" s="3" t="s">
        <v>6</v>
      </c>
      <c r="B2152" s="3" t="s">
        <v>7</v>
      </c>
      <c r="C2152" s="3" t="s">
        <v>8</v>
      </c>
      <c r="D2152" s="3" t="s">
        <v>15</v>
      </c>
    </row>
    <row r="2153">
      <c r="A2153" s="3" t="s">
        <v>6</v>
      </c>
    </row>
    <row r="2154">
      <c r="A2154" s="3" t="s">
        <v>6</v>
      </c>
      <c r="B2154" s="3" t="s">
        <v>7</v>
      </c>
      <c r="C2154" s="3" t="s">
        <v>12</v>
      </c>
      <c r="D2154" s="3" t="s">
        <v>15</v>
      </c>
      <c r="E2154" s="3" t="s">
        <v>25</v>
      </c>
      <c r="F2154" s="3" t="s">
        <v>27</v>
      </c>
    </row>
    <row r="2155">
      <c r="A2155" s="3" t="s">
        <v>6</v>
      </c>
      <c r="B2155" s="3" t="s">
        <v>7</v>
      </c>
      <c r="C2155" s="3" t="s">
        <v>8</v>
      </c>
      <c r="D2155" s="3" t="s">
        <v>11</v>
      </c>
      <c r="E2155" s="3" t="s">
        <v>12</v>
      </c>
      <c r="F2155" s="3" t="s">
        <v>25</v>
      </c>
      <c r="G2155" s="3" t="s">
        <v>27</v>
      </c>
    </row>
    <row r="2156">
      <c r="A2156" s="3" t="s">
        <v>6</v>
      </c>
      <c r="B2156" s="3" t="s">
        <v>7</v>
      </c>
      <c r="C2156" s="3" t="s">
        <v>8</v>
      </c>
      <c r="D2156" s="3" t="s">
        <v>13</v>
      </c>
      <c r="E2156" s="3" t="s">
        <v>15</v>
      </c>
      <c r="F2156" s="3" t="s">
        <v>17</v>
      </c>
      <c r="G2156" s="3" t="s">
        <v>27</v>
      </c>
    </row>
    <row r="2157">
      <c r="A2157" s="3" t="s">
        <v>6</v>
      </c>
      <c r="B2157" s="3" t="s">
        <v>7</v>
      </c>
      <c r="C2157" s="3" t="s">
        <v>8</v>
      </c>
      <c r="D2157" s="3" t="s">
        <v>9</v>
      </c>
      <c r="E2157" s="3" t="s">
        <v>11</v>
      </c>
      <c r="F2157" s="3" t="s">
        <v>12</v>
      </c>
      <c r="G2157" s="3" t="s">
        <v>25</v>
      </c>
    </row>
    <row r="2158">
      <c r="A2158" s="3" t="s">
        <v>6</v>
      </c>
      <c r="B2158" s="3" t="s">
        <v>7</v>
      </c>
      <c r="C2158" s="3" t="s">
        <v>8</v>
      </c>
      <c r="D2158" s="3" t="s">
        <v>15</v>
      </c>
    </row>
    <row r="2159">
      <c r="A2159" s="3" t="s">
        <v>6</v>
      </c>
      <c r="B2159" s="3" t="s">
        <v>27</v>
      </c>
    </row>
    <row r="2160">
      <c r="A2160" s="3" t="s">
        <v>6</v>
      </c>
      <c r="B2160" s="3" t="s">
        <v>13</v>
      </c>
      <c r="C2160" s="3" t="s">
        <v>14</v>
      </c>
      <c r="D2160" s="3" t="s">
        <v>15</v>
      </c>
    </row>
    <row r="2161">
      <c r="A2161" s="3" t="s">
        <v>6</v>
      </c>
      <c r="B2161" s="3" t="s">
        <v>11</v>
      </c>
      <c r="C2161" s="3" t="s">
        <v>13</v>
      </c>
      <c r="D2161" s="3" t="s">
        <v>14</v>
      </c>
      <c r="E2161" s="3" t="s">
        <v>17</v>
      </c>
      <c r="F2161" s="3" t="s">
        <v>25</v>
      </c>
      <c r="G2161" s="3" t="s">
        <v>26</v>
      </c>
    </row>
    <row r="2162">
      <c r="A2162" s="3" t="s">
        <v>6</v>
      </c>
      <c r="B2162" s="3" t="s">
        <v>7</v>
      </c>
      <c r="C2162" s="3" t="s">
        <v>15</v>
      </c>
      <c r="D2162" s="3" t="s">
        <v>27</v>
      </c>
    </row>
    <row r="2163">
      <c r="A2163" s="3" t="s">
        <v>6</v>
      </c>
      <c r="B2163" s="3" t="s">
        <v>7</v>
      </c>
      <c r="C2163" s="3" t="s">
        <v>15</v>
      </c>
      <c r="D2163" s="3" t="s">
        <v>27</v>
      </c>
    </row>
    <row r="2164">
      <c r="A2164" s="3" t="s">
        <v>6</v>
      </c>
      <c r="B2164" s="3" t="s">
        <v>7</v>
      </c>
      <c r="C2164" s="3" t="s">
        <v>9</v>
      </c>
      <c r="D2164" s="3" t="s">
        <v>13</v>
      </c>
      <c r="E2164" s="3" t="s">
        <v>14</v>
      </c>
    </row>
    <row r="2165">
      <c r="A2165" s="3" t="s">
        <v>6</v>
      </c>
      <c r="B2165" s="3" t="s">
        <v>11</v>
      </c>
      <c r="C2165" s="3" t="s">
        <v>12</v>
      </c>
      <c r="D2165" s="3" t="s">
        <v>25</v>
      </c>
    </row>
    <row r="2166">
      <c r="A2166" s="3" t="s">
        <v>6</v>
      </c>
      <c r="B2166" s="3" t="s">
        <v>15</v>
      </c>
      <c r="C2166" s="3" t="s">
        <v>16</v>
      </c>
      <c r="D2166" s="3" t="s">
        <v>18</v>
      </c>
      <c r="E2166" s="3" t="s">
        <v>27</v>
      </c>
    </row>
    <row r="2167">
      <c r="A2167" s="3" t="s">
        <v>6</v>
      </c>
      <c r="B2167" s="3" t="s">
        <v>7</v>
      </c>
      <c r="C2167" s="3" t="s">
        <v>8</v>
      </c>
      <c r="D2167" s="3" t="s">
        <v>9</v>
      </c>
    </row>
    <row r="2168">
      <c r="A2168" s="3" t="s">
        <v>6</v>
      </c>
      <c r="B2168" s="3" t="s">
        <v>7</v>
      </c>
      <c r="C2168" s="3" t="s">
        <v>8</v>
      </c>
      <c r="D2168" s="3" t="s">
        <v>11</v>
      </c>
      <c r="E2168" s="3" t="s">
        <v>12</v>
      </c>
      <c r="F2168" s="3" t="s">
        <v>25</v>
      </c>
    </row>
    <row r="2169">
      <c r="A2169" s="3" t="s">
        <v>6</v>
      </c>
      <c r="B2169" s="3" t="s">
        <v>7</v>
      </c>
      <c r="C2169" s="3" t="s">
        <v>8</v>
      </c>
      <c r="D2169" s="3" t="s">
        <v>9</v>
      </c>
    </row>
    <row r="2170">
      <c r="A2170" s="3" t="s">
        <v>6</v>
      </c>
      <c r="B2170" s="3" t="s">
        <v>7</v>
      </c>
    </row>
    <row r="2171">
      <c r="A2171" s="3" t="s">
        <v>6</v>
      </c>
      <c r="B2171" s="3" t="s">
        <v>7</v>
      </c>
      <c r="C2171" s="3" t="s">
        <v>15</v>
      </c>
      <c r="D2171" s="3" t="s">
        <v>27</v>
      </c>
    </row>
    <row r="2172">
      <c r="A2172" s="3" t="s">
        <v>6</v>
      </c>
      <c r="B2172" s="3" t="s">
        <v>11</v>
      </c>
      <c r="C2172" s="3" t="s">
        <v>13</v>
      </c>
      <c r="D2172" s="3" t="s">
        <v>26</v>
      </c>
    </row>
    <row r="2173">
      <c r="A2173" s="3" t="s">
        <v>6</v>
      </c>
      <c r="B2173" s="3" t="s">
        <v>13</v>
      </c>
      <c r="C2173" s="3" t="s">
        <v>14</v>
      </c>
      <c r="D2173" s="3" t="s">
        <v>17</v>
      </c>
    </row>
    <row r="2174">
      <c r="A2174" s="3" t="s">
        <v>6</v>
      </c>
      <c r="B2174" s="3" t="s">
        <v>13</v>
      </c>
      <c r="C2174" s="3" t="s">
        <v>14</v>
      </c>
      <c r="D2174" s="3" t="s">
        <v>17</v>
      </c>
    </row>
    <row r="2175">
      <c r="A2175" s="3" t="s">
        <v>6</v>
      </c>
      <c r="B2175" s="3" t="s">
        <v>7</v>
      </c>
      <c r="C2175" s="3" t="s">
        <v>12</v>
      </c>
      <c r="D2175" s="3" t="s">
        <v>25</v>
      </c>
    </row>
    <row r="2176">
      <c r="A2176" s="3" t="s">
        <v>6</v>
      </c>
      <c r="B2176" s="3" t="s">
        <v>7</v>
      </c>
      <c r="C2176" s="3" t="s">
        <v>15</v>
      </c>
      <c r="D2176" s="3" t="s">
        <v>27</v>
      </c>
    </row>
    <row r="2177">
      <c r="A2177" s="3" t="s">
        <v>6</v>
      </c>
      <c r="B2177" s="3" t="s">
        <v>7</v>
      </c>
      <c r="C2177" s="3" t="s">
        <v>15</v>
      </c>
      <c r="D2177" s="3" t="s">
        <v>16</v>
      </c>
    </row>
    <row r="2178">
      <c r="A2178" s="3" t="s">
        <v>6</v>
      </c>
      <c r="B2178" s="3" t="s">
        <v>13</v>
      </c>
      <c r="C2178" s="3" t="s">
        <v>14</v>
      </c>
      <c r="D2178" s="3" t="s">
        <v>17</v>
      </c>
    </row>
    <row r="2179">
      <c r="A2179" s="3" t="s">
        <v>6</v>
      </c>
      <c r="B2179" s="3" t="s">
        <v>7</v>
      </c>
    </row>
    <row r="2180">
      <c r="A2180" s="3" t="s">
        <v>6</v>
      </c>
      <c r="B2180" s="3" t="s">
        <v>7</v>
      </c>
      <c r="C2180" s="3" t="s">
        <v>13</v>
      </c>
      <c r="D2180" s="3" t="s">
        <v>25</v>
      </c>
      <c r="E2180" s="3" t="s">
        <v>27</v>
      </c>
    </row>
    <row r="2181">
      <c r="A2181" s="3" t="s">
        <v>6</v>
      </c>
      <c r="B2181" s="3" t="s">
        <v>13</v>
      </c>
      <c r="C2181" s="3" t="s">
        <v>14</v>
      </c>
      <c r="D2181" s="3" t="s">
        <v>15</v>
      </c>
      <c r="E2181" s="3" t="s">
        <v>17</v>
      </c>
      <c r="F2181" s="3" t="s">
        <v>27</v>
      </c>
    </row>
    <row r="2182">
      <c r="A2182" s="3" t="s">
        <v>6</v>
      </c>
      <c r="B2182" s="3" t="s">
        <v>13</v>
      </c>
      <c r="C2182" s="3" t="s">
        <v>14</v>
      </c>
      <c r="D2182" s="3" t="s">
        <v>26</v>
      </c>
    </row>
    <row r="2183">
      <c r="A2183" s="3" t="s">
        <v>609</v>
      </c>
    </row>
    <row r="2184">
      <c r="A2184" s="3" t="s">
        <v>7</v>
      </c>
      <c r="B2184" s="3" t="s">
        <v>8</v>
      </c>
      <c r="C2184" s="3" t="s">
        <v>11</v>
      </c>
      <c r="D2184" s="3" t="s">
        <v>12</v>
      </c>
      <c r="E2184" s="3" t="s">
        <v>15</v>
      </c>
      <c r="F2184" s="3" t="s">
        <v>16</v>
      </c>
      <c r="G2184" s="3" t="s">
        <v>27</v>
      </c>
    </row>
    <row r="2185">
      <c r="A2185" s="3" t="s">
        <v>7</v>
      </c>
      <c r="B2185" s="3" t="s">
        <v>12</v>
      </c>
      <c r="C2185" s="3" t="s">
        <v>13</v>
      </c>
      <c r="D2185" s="3" t="s">
        <v>14</v>
      </c>
    </row>
    <row r="2186">
      <c r="A2186" s="3" t="s">
        <v>7</v>
      </c>
      <c r="B2186" s="3" t="s">
        <v>8</v>
      </c>
      <c r="C2186" s="3" t="s">
        <v>11</v>
      </c>
      <c r="D2186" s="3" t="s">
        <v>12</v>
      </c>
      <c r="E2186" s="3" t="s">
        <v>14</v>
      </c>
      <c r="F2186" s="3" t="s">
        <v>17</v>
      </c>
      <c r="G2186" s="3" t="s">
        <v>18</v>
      </c>
    </row>
    <row r="2187">
      <c r="A2187" s="3" t="s">
        <v>7</v>
      </c>
      <c r="B2187" s="3" t="s">
        <v>8</v>
      </c>
      <c r="C2187" s="3" t="s">
        <v>9</v>
      </c>
      <c r="D2187" s="3" t="s">
        <v>13</v>
      </c>
      <c r="E2187" s="3" t="s">
        <v>17</v>
      </c>
    </row>
    <row r="2188">
      <c r="A2188" s="3" t="s">
        <v>7</v>
      </c>
      <c r="B2188" s="3" t="s">
        <v>8</v>
      </c>
      <c r="C2188" s="3" t="s">
        <v>9</v>
      </c>
      <c r="D2188" s="3" t="s">
        <v>13</v>
      </c>
      <c r="E2188" s="3" t="s">
        <v>14</v>
      </c>
      <c r="F2188" s="3" t="s">
        <v>17</v>
      </c>
      <c r="G2188" s="3" t="s">
        <v>18</v>
      </c>
    </row>
    <row r="2189">
      <c r="A2189" s="3" t="s">
        <v>7</v>
      </c>
      <c r="B2189" s="3" t="s">
        <v>11</v>
      </c>
      <c r="C2189" s="3" t="s">
        <v>12</v>
      </c>
      <c r="D2189" s="3" t="s">
        <v>15</v>
      </c>
      <c r="E2189" s="3" t="s">
        <v>16</v>
      </c>
      <c r="F2189" s="3" t="s">
        <v>17</v>
      </c>
    </row>
    <row r="2190">
      <c r="A2190" s="3" t="s">
        <v>7</v>
      </c>
      <c r="B2190" s="3" t="s">
        <v>8</v>
      </c>
      <c r="C2190" s="3" t="s">
        <v>12</v>
      </c>
      <c r="D2190" s="3" t="s">
        <v>13</v>
      </c>
      <c r="E2190" s="3" t="s">
        <v>15</v>
      </c>
      <c r="F2190" s="3" t="s">
        <v>16</v>
      </c>
      <c r="G2190" s="3" t="s">
        <v>17</v>
      </c>
    </row>
    <row r="2191">
      <c r="A2191" s="3" t="s">
        <v>7</v>
      </c>
      <c r="B2191" s="3" t="s">
        <v>8</v>
      </c>
      <c r="C2191" s="3" t="s">
        <v>11</v>
      </c>
      <c r="D2191" s="3" t="s">
        <v>14</v>
      </c>
      <c r="E2191" s="3" t="s">
        <v>17</v>
      </c>
    </row>
    <row r="2192">
      <c r="A2192" s="3" t="s">
        <v>7</v>
      </c>
      <c r="B2192" s="3" t="s">
        <v>8</v>
      </c>
      <c r="C2192" s="3" t="s">
        <v>11</v>
      </c>
      <c r="D2192" s="3" t="s">
        <v>17</v>
      </c>
    </row>
    <row r="2193">
      <c r="A2193" s="3" t="s">
        <v>7</v>
      </c>
      <c r="B2193" s="3" t="s">
        <v>9</v>
      </c>
      <c r="C2193" s="3" t="s">
        <v>12</v>
      </c>
      <c r="D2193" s="3" t="s">
        <v>15</v>
      </c>
      <c r="E2193" s="3" t="s">
        <v>16</v>
      </c>
      <c r="F2193" s="3" t="s">
        <v>18</v>
      </c>
      <c r="G2193" s="3" t="s">
        <v>27</v>
      </c>
    </row>
    <row r="2194">
      <c r="A2194" s="3" t="s">
        <v>7</v>
      </c>
      <c r="B2194" s="3" t="s">
        <v>8</v>
      </c>
      <c r="C2194" s="3" t="s">
        <v>9</v>
      </c>
      <c r="D2194" s="3" t="s">
        <v>10</v>
      </c>
    </row>
    <row r="2195">
      <c r="A2195" s="3" t="s">
        <v>7</v>
      </c>
      <c r="B2195" s="3" t="s">
        <v>8</v>
      </c>
      <c r="C2195" s="3" t="s">
        <v>9</v>
      </c>
      <c r="D2195" s="3" t="s">
        <v>16</v>
      </c>
    </row>
    <row r="2196">
      <c r="A2196" s="3" t="s">
        <v>7</v>
      </c>
      <c r="B2196" s="3" t="s">
        <v>13</v>
      </c>
      <c r="C2196" s="3" t="s">
        <v>14</v>
      </c>
      <c r="D2196" s="3" t="s">
        <v>27</v>
      </c>
    </row>
    <row r="2197">
      <c r="A2197" s="3" t="s">
        <v>7</v>
      </c>
      <c r="B2197" s="3" t="s">
        <v>13</v>
      </c>
      <c r="C2197" s="3" t="s">
        <v>14</v>
      </c>
    </row>
    <row r="2198">
      <c r="A2198" s="3" t="s">
        <v>7</v>
      </c>
      <c r="B2198" s="3" t="s">
        <v>12</v>
      </c>
      <c r="C2198" s="3" t="s">
        <v>25</v>
      </c>
      <c r="D2198" s="3" t="s">
        <v>27</v>
      </c>
    </row>
    <row r="2199">
      <c r="A2199" s="3" t="s">
        <v>7</v>
      </c>
      <c r="B2199" s="3" t="s">
        <v>13</v>
      </c>
      <c r="C2199" s="3" t="s">
        <v>14</v>
      </c>
    </row>
    <row r="2200">
      <c r="A2200" s="3" t="s">
        <v>7</v>
      </c>
      <c r="B2200" s="3" t="s">
        <v>15</v>
      </c>
      <c r="C2200" s="3" t="s">
        <v>16</v>
      </c>
      <c r="D2200" s="3" t="s">
        <v>27</v>
      </c>
    </row>
    <row r="2201">
      <c r="A2201" s="3" t="s">
        <v>7</v>
      </c>
      <c r="B2201" s="3" t="s">
        <v>14</v>
      </c>
    </row>
    <row r="2202">
      <c r="A2202" s="3" t="s">
        <v>7</v>
      </c>
      <c r="B2202" s="3" t="s">
        <v>13</v>
      </c>
      <c r="C2202" s="3" t="s">
        <v>14</v>
      </c>
      <c r="D2202" s="3" t="s">
        <v>17</v>
      </c>
    </row>
    <row r="2203">
      <c r="A2203" s="3" t="s">
        <v>7</v>
      </c>
      <c r="B2203" s="3" t="s">
        <v>15</v>
      </c>
    </row>
    <row r="2204">
      <c r="A2204" s="3" t="s">
        <v>7</v>
      </c>
      <c r="B2204" s="3" t="s">
        <v>8</v>
      </c>
      <c r="C2204" s="3" t="s">
        <v>11</v>
      </c>
      <c r="D2204" s="3" t="s">
        <v>12</v>
      </c>
    </row>
    <row r="2205">
      <c r="A2205" s="3" t="s">
        <v>7</v>
      </c>
      <c r="B2205" s="3" t="s">
        <v>9</v>
      </c>
      <c r="C2205" s="3" t="s">
        <v>12</v>
      </c>
      <c r="D2205" s="3" t="s">
        <v>17</v>
      </c>
    </row>
    <row r="2206">
      <c r="A2206" s="3" t="s">
        <v>7</v>
      </c>
      <c r="B2206" s="3" t="s">
        <v>8</v>
      </c>
      <c r="C2206" s="3" t="s">
        <v>9</v>
      </c>
      <c r="D2206" s="3" t="s">
        <v>12</v>
      </c>
      <c r="E2206" s="3" t="s">
        <v>17</v>
      </c>
      <c r="F2206" s="3" t="s">
        <v>18</v>
      </c>
    </row>
    <row r="2207">
      <c r="A2207" s="3" t="s">
        <v>7</v>
      </c>
      <c r="B2207" s="3" t="s">
        <v>12</v>
      </c>
      <c r="C2207" s="3" t="s">
        <v>25</v>
      </c>
    </row>
    <row r="2208">
      <c r="A2208" s="3" t="s">
        <v>7</v>
      </c>
      <c r="B2208" s="3" t="s">
        <v>9</v>
      </c>
      <c r="C2208" s="3" t="s">
        <v>15</v>
      </c>
      <c r="D2208" s="3" t="s">
        <v>16</v>
      </c>
      <c r="E2208" s="3" t="s">
        <v>17</v>
      </c>
      <c r="F2208" s="3" t="s">
        <v>18</v>
      </c>
      <c r="G2208" s="3" t="s">
        <v>27</v>
      </c>
    </row>
    <row r="2209">
      <c r="A2209" s="3" t="s">
        <v>7</v>
      </c>
      <c r="B2209" s="3" t="s">
        <v>8</v>
      </c>
      <c r="C2209" s="3" t="s">
        <v>9</v>
      </c>
      <c r="D2209" s="3" t="s">
        <v>10</v>
      </c>
      <c r="E2209" s="3" t="s">
        <v>18</v>
      </c>
      <c r="F2209" s="3" t="s">
        <v>24</v>
      </c>
    </row>
    <row r="2210">
      <c r="A2210" s="3" t="s">
        <v>8</v>
      </c>
      <c r="B2210" s="3" t="s">
        <v>9</v>
      </c>
      <c r="C2210" s="3" t="s">
        <v>10</v>
      </c>
      <c r="D2210" s="3" t="s">
        <v>12</v>
      </c>
      <c r="E2210" s="3" t="s">
        <v>17</v>
      </c>
      <c r="F2210" s="3" t="s">
        <v>18</v>
      </c>
      <c r="G2210" s="3" t="s">
        <v>24</v>
      </c>
    </row>
    <row r="2211">
      <c r="A2211" s="3" t="s">
        <v>8</v>
      </c>
      <c r="B2211" s="3" t="s">
        <v>9</v>
      </c>
      <c r="C2211" s="3" t="s">
        <v>10</v>
      </c>
      <c r="D2211" s="3" t="s">
        <v>16</v>
      </c>
      <c r="E2211" s="3" t="s">
        <v>17</v>
      </c>
      <c r="F2211" s="3" t="s">
        <v>18</v>
      </c>
      <c r="G2211" s="3" t="s">
        <v>24</v>
      </c>
    </row>
    <row r="2212">
      <c r="A2212" s="3" t="s">
        <v>8</v>
      </c>
      <c r="B2212" s="3" t="s">
        <v>9</v>
      </c>
      <c r="C2212" s="3" t="s">
        <v>12</v>
      </c>
      <c r="D2212" s="3" t="s">
        <v>15</v>
      </c>
      <c r="E2212" s="3" t="s">
        <v>16</v>
      </c>
      <c r="F2212" s="3" t="s">
        <v>18</v>
      </c>
      <c r="G2212" s="3" t="s">
        <v>24</v>
      </c>
    </row>
    <row r="2213">
      <c r="A2213" s="3" t="s">
        <v>8</v>
      </c>
      <c r="B2213" s="3" t="s">
        <v>13</v>
      </c>
      <c r="C2213" s="3" t="s">
        <v>15</v>
      </c>
      <c r="D2213" s="3" t="s">
        <v>17</v>
      </c>
      <c r="E2213" s="3" t="s">
        <v>18</v>
      </c>
      <c r="F2213" s="3" t="s">
        <v>26</v>
      </c>
      <c r="G2213" s="3" t="s">
        <v>27</v>
      </c>
    </row>
    <row r="2214">
      <c r="A2214" s="3" t="s">
        <v>8</v>
      </c>
      <c r="B2214" s="3" t="s">
        <v>13</v>
      </c>
      <c r="C2214" s="3" t="s">
        <v>14</v>
      </c>
      <c r="D2214" s="3" t="s">
        <v>17</v>
      </c>
      <c r="E2214" s="3" t="s">
        <v>26</v>
      </c>
    </row>
    <row r="2215">
      <c r="A2215" s="3" t="s">
        <v>8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18</v>
      </c>
    </row>
    <row r="2216">
      <c r="A2216" s="3" t="s">
        <v>8</v>
      </c>
      <c r="B2216" s="3" t="s">
        <v>9</v>
      </c>
      <c r="C2216" s="3" t="s">
        <v>10</v>
      </c>
      <c r="D2216" s="3" t="s">
        <v>18</v>
      </c>
      <c r="E2216" s="3" t="s">
        <v>24</v>
      </c>
    </row>
    <row r="2217">
      <c r="A2217" s="3" t="s">
        <v>8</v>
      </c>
      <c r="B2217" s="3" t="s">
        <v>14</v>
      </c>
      <c r="C2217" s="3" t="s">
        <v>15</v>
      </c>
      <c r="D2217" s="3" t="s">
        <v>16</v>
      </c>
      <c r="E2217" s="3" t="s">
        <v>17</v>
      </c>
      <c r="F2217" s="3" t="s">
        <v>18</v>
      </c>
      <c r="G2217" s="3" t="s">
        <v>27</v>
      </c>
    </row>
    <row r="2218">
      <c r="A2218" s="3" t="s">
        <v>8</v>
      </c>
      <c r="B2218" s="3" t="s">
        <v>9</v>
      </c>
      <c r="C2218" s="3" t="s">
        <v>14</v>
      </c>
      <c r="D2218" s="3" t="s">
        <v>16</v>
      </c>
      <c r="E2218" s="3" t="s">
        <v>17</v>
      </c>
      <c r="F2218" s="3" t="s">
        <v>18</v>
      </c>
      <c r="G2218" s="3" t="s">
        <v>24</v>
      </c>
    </row>
    <row r="2219">
      <c r="A2219" s="3" t="s">
        <v>8</v>
      </c>
      <c r="B2219" s="3" t="s">
        <v>9</v>
      </c>
      <c r="C2219" s="3" t="s">
        <v>10</v>
      </c>
      <c r="D2219" s="3" t="s">
        <v>24</v>
      </c>
    </row>
    <row r="2220">
      <c r="A2220" s="3" t="s">
        <v>8</v>
      </c>
      <c r="B2220" s="3" t="s">
        <v>9</v>
      </c>
      <c r="C2220" s="3" t="s">
        <v>10</v>
      </c>
      <c r="D2220" s="3" t="s">
        <v>15</v>
      </c>
      <c r="E2220" s="3" t="s">
        <v>16</v>
      </c>
      <c r="F2220" s="3" t="s">
        <v>18</v>
      </c>
      <c r="G2220" s="3" t="s">
        <v>24</v>
      </c>
    </row>
    <row r="2221">
      <c r="A2221" s="3" t="s">
        <v>8</v>
      </c>
      <c r="B2221" s="3" t="s">
        <v>10</v>
      </c>
      <c r="C2221" s="3" t="s">
        <v>12</v>
      </c>
      <c r="D2221" s="3" t="s">
        <v>24</v>
      </c>
    </row>
    <row r="2222">
      <c r="A2222" s="3" t="s">
        <v>8</v>
      </c>
      <c r="B2222" s="3" t="s">
        <v>9</v>
      </c>
      <c r="C2222" s="3" t="s">
        <v>10</v>
      </c>
      <c r="D2222" s="3" t="s">
        <v>24</v>
      </c>
    </row>
    <row r="2223">
      <c r="A2223" s="3" t="s">
        <v>8</v>
      </c>
      <c r="B2223" s="3" t="s">
        <v>9</v>
      </c>
      <c r="C2223" s="3" t="s">
        <v>13</v>
      </c>
      <c r="D2223" s="3" t="s">
        <v>14</v>
      </c>
      <c r="E2223" s="3" t="s">
        <v>16</v>
      </c>
      <c r="F2223" s="3" t="s">
        <v>18</v>
      </c>
    </row>
    <row r="2224">
      <c r="A2224" s="3" t="s">
        <v>8</v>
      </c>
      <c r="B2224" s="3" t="s">
        <v>9</v>
      </c>
      <c r="C2224" s="3" t="s">
        <v>11</v>
      </c>
      <c r="D2224" s="3" t="s">
        <v>12</v>
      </c>
    </row>
    <row r="2225">
      <c r="A2225" s="3" t="s">
        <v>8</v>
      </c>
      <c r="B2225" s="3" t="s">
        <v>9</v>
      </c>
      <c r="C2225" s="3" t="s">
        <v>11</v>
      </c>
      <c r="D2225" s="3" t="s">
        <v>12</v>
      </c>
    </row>
    <row r="2226">
      <c r="A2226" s="3" t="s">
        <v>8</v>
      </c>
      <c r="B2226" s="3" t="s">
        <v>16</v>
      </c>
      <c r="C2226" s="3" t="s">
        <v>17</v>
      </c>
      <c r="D2226" s="3" t="s">
        <v>18</v>
      </c>
    </row>
    <row r="2227">
      <c r="A2227" s="3" t="s">
        <v>8</v>
      </c>
      <c r="B2227" s="3" t="s">
        <v>11</v>
      </c>
      <c r="C2227" s="3" t="s">
        <v>12</v>
      </c>
      <c r="D2227" s="3" t="s">
        <v>25</v>
      </c>
    </row>
    <row r="2228">
      <c r="A2228" s="3" t="s">
        <v>8</v>
      </c>
      <c r="B2228" s="3" t="s">
        <v>9</v>
      </c>
      <c r="C2228" s="3" t="s">
        <v>11</v>
      </c>
      <c r="D2228" s="3" t="s">
        <v>12</v>
      </c>
      <c r="E2228" s="3" t="s">
        <v>17</v>
      </c>
      <c r="F2228" s="3" t="s">
        <v>18</v>
      </c>
      <c r="G2228" s="3" t="s">
        <v>24</v>
      </c>
    </row>
    <row r="2229">
      <c r="A2229" s="3" t="s">
        <v>8</v>
      </c>
      <c r="B2229" s="3" t="s">
        <v>11</v>
      </c>
      <c r="C2229" s="3" t="s">
        <v>12</v>
      </c>
      <c r="D2229" s="3" t="s">
        <v>13</v>
      </c>
    </row>
    <row r="2230">
      <c r="A2230" s="3" t="s">
        <v>9</v>
      </c>
      <c r="B2230" s="3" t="s">
        <v>12</v>
      </c>
      <c r="C2230" s="3" t="s">
        <v>14</v>
      </c>
      <c r="D2230" s="3" t="s">
        <v>16</v>
      </c>
      <c r="E2230" s="3" t="s">
        <v>17</v>
      </c>
      <c r="F2230" s="3" t="s">
        <v>18</v>
      </c>
      <c r="G2230" s="3" t="s">
        <v>24</v>
      </c>
    </row>
    <row r="2231">
      <c r="A2231" s="3" t="s">
        <v>9</v>
      </c>
      <c r="B2231" s="3" t="s">
        <v>10</v>
      </c>
      <c r="C2231" s="3" t="s">
        <v>11</v>
      </c>
      <c r="D2231" s="3" t="s">
        <v>12</v>
      </c>
      <c r="E2231" s="3" t="s">
        <v>17</v>
      </c>
      <c r="F2231" s="3" t="s">
        <v>18</v>
      </c>
      <c r="G2231" s="3" t="s">
        <v>24</v>
      </c>
    </row>
    <row r="2232">
      <c r="A2232" s="3" t="s">
        <v>9</v>
      </c>
      <c r="B2232" s="3" t="s">
        <v>12</v>
      </c>
      <c r="C2232" s="3" t="s">
        <v>15</v>
      </c>
      <c r="D2232" s="3" t="s">
        <v>16</v>
      </c>
      <c r="E2232" s="3" t="s">
        <v>17</v>
      </c>
      <c r="F2232" s="3" t="s">
        <v>18</v>
      </c>
      <c r="G2232" s="3" t="s">
        <v>24</v>
      </c>
    </row>
    <row r="2233">
      <c r="A2233" s="3" t="s">
        <v>9</v>
      </c>
      <c r="B2233" s="3" t="s">
        <v>13</v>
      </c>
      <c r="C2233" s="3" t="s">
        <v>14</v>
      </c>
      <c r="D2233" s="3" t="s">
        <v>16</v>
      </c>
      <c r="E2233" s="3" t="s">
        <v>17</v>
      </c>
      <c r="F2233" s="3" t="s">
        <v>18</v>
      </c>
      <c r="G2233" s="3" t="s">
        <v>24</v>
      </c>
    </row>
    <row r="2234">
      <c r="A2234" s="3" t="s">
        <v>9</v>
      </c>
      <c r="B2234" s="3" t="s">
        <v>11</v>
      </c>
      <c r="C2234" s="3" t="s">
        <v>12</v>
      </c>
      <c r="D2234" s="3" t="s">
        <v>15</v>
      </c>
      <c r="E2234" s="3" t="s">
        <v>17</v>
      </c>
      <c r="F2234" s="3" t="s">
        <v>18</v>
      </c>
      <c r="G2234" s="3" t="s">
        <v>25</v>
      </c>
    </row>
    <row r="2235">
      <c r="A2235" s="3" t="s">
        <v>9</v>
      </c>
      <c r="B2235" s="3" t="s">
        <v>10</v>
      </c>
      <c r="C2235" s="3" t="s">
        <v>11</v>
      </c>
      <c r="D2235" s="3" t="s">
        <v>12</v>
      </c>
      <c r="E2235" s="3" t="s">
        <v>16</v>
      </c>
      <c r="F2235" s="3" t="s">
        <v>24</v>
      </c>
      <c r="G2235" s="3" t="s">
        <v>25</v>
      </c>
    </row>
    <row r="2236">
      <c r="A2236" s="3" t="s">
        <v>9</v>
      </c>
      <c r="B2236" s="3" t="s">
        <v>10</v>
      </c>
      <c r="C2236" s="3" t="s">
        <v>16</v>
      </c>
      <c r="D2236" s="3" t="s">
        <v>18</v>
      </c>
      <c r="E2236" s="3" t="s">
        <v>24</v>
      </c>
    </row>
    <row r="2237">
      <c r="A2237" s="3" t="s">
        <v>9</v>
      </c>
      <c r="B2237" s="3" t="s">
        <v>11</v>
      </c>
      <c r="C2237" s="3" t="s">
        <v>12</v>
      </c>
      <c r="D2237" s="3" t="s">
        <v>13</v>
      </c>
      <c r="E2237" s="3" t="s">
        <v>16</v>
      </c>
      <c r="F2237" s="3" t="s">
        <v>18</v>
      </c>
      <c r="G2237" s="3" t="s">
        <v>24</v>
      </c>
    </row>
    <row r="2238">
      <c r="A2238" s="3" t="s">
        <v>9</v>
      </c>
      <c r="B2238" s="3" t="s">
        <v>10</v>
      </c>
      <c r="C2238" s="3" t="s">
        <v>13</v>
      </c>
      <c r="D2238" s="3" t="s">
        <v>15</v>
      </c>
      <c r="E2238" s="3" t="s">
        <v>27</v>
      </c>
    </row>
    <row r="2239">
      <c r="A2239" s="3" t="s">
        <v>9</v>
      </c>
      <c r="B2239" s="3" t="s">
        <v>16</v>
      </c>
      <c r="C2239" s="3" t="s">
        <v>17</v>
      </c>
      <c r="D2239" s="3" t="s">
        <v>18</v>
      </c>
    </row>
    <row r="2240">
      <c r="A2240" s="3" t="s">
        <v>9</v>
      </c>
      <c r="B2240" s="3" t="s">
        <v>10</v>
      </c>
      <c r="C2240" s="3" t="s">
        <v>18</v>
      </c>
      <c r="D2240" s="3" t="s">
        <v>24</v>
      </c>
    </row>
    <row r="2241">
      <c r="A2241" s="3" t="s">
        <v>9</v>
      </c>
      <c r="B2241" s="3" t="s">
        <v>11</v>
      </c>
      <c r="C2241" s="3" t="s">
        <v>12</v>
      </c>
    </row>
    <row r="2242">
      <c r="A2242" s="3" t="s">
        <v>9</v>
      </c>
      <c r="B2242" s="3" t="s">
        <v>13</v>
      </c>
      <c r="C2242" s="3" t="s">
        <v>14</v>
      </c>
    </row>
    <row r="2243">
      <c r="A2243" s="3" t="s">
        <v>9</v>
      </c>
      <c r="B2243" s="3" t="s">
        <v>17</v>
      </c>
      <c r="C2243" s="3" t="s">
        <v>24</v>
      </c>
    </row>
    <row r="2244">
      <c r="A2244" s="3" t="s">
        <v>9</v>
      </c>
    </row>
    <row r="2245">
      <c r="A2245" s="3" t="s">
        <v>9</v>
      </c>
      <c r="B2245" s="3" t="s">
        <v>11</v>
      </c>
      <c r="C2245" s="3" t="s">
        <v>12</v>
      </c>
      <c r="D2245" s="3" t="s">
        <v>13</v>
      </c>
      <c r="E2245" s="3" t="s">
        <v>16</v>
      </c>
      <c r="F2245" s="3" t="s">
        <v>26</v>
      </c>
    </row>
    <row r="2246">
      <c r="A2246" s="3" t="s">
        <v>10</v>
      </c>
      <c r="B2246" s="3" t="s">
        <v>15</v>
      </c>
      <c r="C2246" s="3" t="s">
        <v>25</v>
      </c>
    </row>
    <row r="2247">
      <c r="A2247" s="3" t="s">
        <v>10</v>
      </c>
      <c r="B2247" s="3" t="s">
        <v>14</v>
      </c>
      <c r="C2247" s="3" t="s">
        <v>18</v>
      </c>
      <c r="D2247" s="3" t="s">
        <v>24</v>
      </c>
    </row>
    <row r="2248">
      <c r="A2248" s="3" t="s">
        <v>10</v>
      </c>
      <c r="B2248" s="3" t="s">
        <v>13</v>
      </c>
      <c r="C2248" s="3" t="s">
        <v>14</v>
      </c>
      <c r="D2248" s="3" t="s">
        <v>17</v>
      </c>
      <c r="E2248" s="3" t="s">
        <v>18</v>
      </c>
      <c r="F2248" s="3" t="s">
        <v>24</v>
      </c>
      <c r="G2248" s="3" t="s">
        <v>26</v>
      </c>
    </row>
    <row r="2249">
      <c r="A2249" s="3" t="s">
        <v>11</v>
      </c>
      <c r="B2249" s="3" t="s">
        <v>12</v>
      </c>
      <c r="C2249" s="3" t="s">
        <v>15</v>
      </c>
      <c r="D2249" s="3" t="s">
        <v>16</v>
      </c>
    </row>
    <row r="2250">
      <c r="A2250" s="3" t="s">
        <v>11</v>
      </c>
      <c r="B2250" s="3" t="s">
        <v>12</v>
      </c>
      <c r="C2250" s="3" t="s">
        <v>17</v>
      </c>
      <c r="D2250" s="3" t="s">
        <v>18</v>
      </c>
      <c r="E2250" s="3" t="s">
        <v>25</v>
      </c>
      <c r="F2250" s="3" t="s">
        <v>27</v>
      </c>
    </row>
    <row r="2251">
      <c r="A2251" s="3" t="s">
        <v>11</v>
      </c>
      <c r="B2251" s="3" t="s">
        <v>12</v>
      </c>
      <c r="C2251" s="3" t="s">
        <v>13</v>
      </c>
      <c r="D2251" s="3" t="s">
        <v>14</v>
      </c>
      <c r="E2251" s="3" t="s">
        <v>16</v>
      </c>
      <c r="F2251" s="3" t="s">
        <v>17</v>
      </c>
      <c r="G2251" s="3" t="s">
        <v>18</v>
      </c>
    </row>
    <row r="2252">
      <c r="A2252" s="3" t="s">
        <v>11</v>
      </c>
      <c r="B2252" s="3" t="s">
        <v>12</v>
      </c>
      <c r="C2252" s="3" t="s">
        <v>17</v>
      </c>
      <c r="D2252" s="3" t="s">
        <v>18</v>
      </c>
    </row>
    <row r="2253">
      <c r="A2253" s="3" t="s">
        <v>11</v>
      </c>
      <c r="B2253" s="3" t="s">
        <v>13</v>
      </c>
      <c r="C2253" s="3" t="s">
        <v>14</v>
      </c>
      <c r="D2253" s="3" t="s">
        <v>15</v>
      </c>
    </row>
    <row r="2254">
      <c r="A2254" s="3" t="s">
        <v>11</v>
      </c>
      <c r="B2254" s="3" t="s">
        <v>12</v>
      </c>
      <c r="C2254" s="3" t="s">
        <v>25</v>
      </c>
    </row>
    <row r="2255">
      <c r="A2255" s="3" t="s">
        <v>11</v>
      </c>
      <c r="B2255" s="3" t="s">
        <v>12</v>
      </c>
      <c r="C2255" s="3" t="s">
        <v>17</v>
      </c>
      <c r="D2255" s="3" t="s">
        <v>25</v>
      </c>
    </row>
    <row r="2256">
      <c r="A2256" s="3" t="s">
        <v>12</v>
      </c>
      <c r="B2256" s="3" t="s">
        <v>15</v>
      </c>
      <c r="C2256" s="3" t="s">
        <v>16</v>
      </c>
      <c r="D2256" s="3" t="s">
        <v>17</v>
      </c>
      <c r="E2256" s="3" t="s">
        <v>18</v>
      </c>
      <c r="F2256" s="3" t="s">
        <v>27</v>
      </c>
    </row>
    <row r="2257">
      <c r="A2257" s="3" t="s">
        <v>12</v>
      </c>
      <c r="B2257" s="3" t="s">
        <v>14</v>
      </c>
      <c r="C2257" s="3" t="s">
        <v>17</v>
      </c>
      <c r="D2257" s="3" t="s">
        <v>18</v>
      </c>
    </row>
    <row r="2258">
      <c r="A2258" s="3" t="s">
        <v>12</v>
      </c>
      <c r="B2258" s="3" t="s">
        <v>13</v>
      </c>
      <c r="C2258" s="3" t="s">
        <v>14</v>
      </c>
      <c r="D2258" s="3" t="s">
        <v>17</v>
      </c>
      <c r="E2258" s="3" t="s">
        <v>18</v>
      </c>
      <c r="F2258" s="3" t="s">
        <v>26</v>
      </c>
    </row>
    <row r="2259">
      <c r="A2259" s="3" t="s">
        <v>12</v>
      </c>
      <c r="B2259" s="3" t="s">
        <v>13</v>
      </c>
      <c r="C2259" s="3" t="s">
        <v>14</v>
      </c>
      <c r="D2259" s="3" t="s">
        <v>18</v>
      </c>
      <c r="E2259" s="3" t="s">
        <v>26</v>
      </c>
    </row>
    <row r="2260">
      <c r="A2260" s="3" t="s">
        <v>12</v>
      </c>
      <c r="B2260" s="3" t="s">
        <v>16</v>
      </c>
      <c r="C2260" s="3" t="s">
        <v>17</v>
      </c>
      <c r="D2260" s="3" t="s">
        <v>18</v>
      </c>
    </row>
    <row r="2261">
      <c r="A2261" s="3" t="s">
        <v>13</v>
      </c>
      <c r="B2261" s="3" t="s">
        <v>14</v>
      </c>
      <c r="C2261" s="3" t="s">
        <v>17</v>
      </c>
      <c r="D2261" s="3" t="s">
        <v>18</v>
      </c>
      <c r="E2261" s="3" t="s">
        <v>27</v>
      </c>
    </row>
    <row r="2262">
      <c r="A2262" s="3" t="s">
        <v>13</v>
      </c>
      <c r="B2262" s="3" t="s">
        <v>14</v>
      </c>
      <c r="C2262" s="3" t="s">
        <v>26</v>
      </c>
    </row>
    <row r="2263">
      <c r="A2263" s="3" t="s">
        <v>13</v>
      </c>
      <c r="B2263" s="3" t="s">
        <v>14</v>
      </c>
      <c r="C2263" s="3" t="s">
        <v>18</v>
      </c>
      <c r="D2263" s="3" t="s">
        <v>26</v>
      </c>
    </row>
    <row r="2264">
      <c r="A2264" s="3" t="s">
        <v>13</v>
      </c>
      <c r="B2264" s="3" t="s">
        <v>14</v>
      </c>
      <c r="C2264" s="3" t="s">
        <v>18</v>
      </c>
      <c r="D2264" s="3" t="s">
        <v>26</v>
      </c>
    </row>
    <row r="2265">
      <c r="A2265" s="3" t="s">
        <v>13</v>
      </c>
      <c r="B2265" s="3" t="s">
        <v>15</v>
      </c>
      <c r="C2265" s="3" t="s">
        <v>16</v>
      </c>
      <c r="D2265" s="3" t="s">
        <v>17</v>
      </c>
      <c r="E2265" s="3" t="s">
        <v>18</v>
      </c>
      <c r="F2265" s="3" t="s">
        <v>26</v>
      </c>
      <c r="G2265" s="3" t="s">
        <v>27</v>
      </c>
    </row>
    <row r="2266">
      <c r="A2266" s="3" t="s">
        <v>13</v>
      </c>
      <c r="B2266" s="3" t="s">
        <v>14</v>
      </c>
      <c r="C2266" s="3" t="s">
        <v>17</v>
      </c>
      <c r="D2266" s="3" t="s">
        <v>18</v>
      </c>
      <c r="E2266" s="3" t="s">
        <v>26</v>
      </c>
    </row>
    <row r="2267">
      <c r="A2267" s="3" t="s">
        <v>13</v>
      </c>
      <c r="B2267" s="3" t="s">
        <v>14</v>
      </c>
      <c r="C2267" s="3" t="s">
        <v>17</v>
      </c>
    </row>
    <row r="2268">
      <c r="A2268" s="3" t="s">
        <v>13</v>
      </c>
      <c r="B2268" s="3" t="s">
        <v>14</v>
      </c>
    </row>
    <row r="2269">
      <c r="A2269" s="3" t="s">
        <v>13</v>
      </c>
      <c r="B2269" s="3" t="s">
        <v>14</v>
      </c>
      <c r="C2269" s="3" t="s">
        <v>15</v>
      </c>
      <c r="D2269" s="3" t="s">
        <v>16</v>
      </c>
    </row>
    <row r="2270">
      <c r="A2270" s="3" t="s">
        <v>13</v>
      </c>
      <c r="B2270" s="3" t="s">
        <v>14</v>
      </c>
      <c r="C2270" s="3" t="s">
        <v>17</v>
      </c>
      <c r="D2270" s="3" t="s">
        <v>26</v>
      </c>
    </row>
    <row r="2271">
      <c r="A2271" s="3" t="s">
        <v>13</v>
      </c>
      <c r="B2271" s="3" t="s">
        <v>14</v>
      </c>
      <c r="C2271" s="3" t="s">
        <v>15</v>
      </c>
      <c r="D2271" s="3" t="s">
        <v>26</v>
      </c>
    </row>
    <row r="2272">
      <c r="A2272" s="3" t="s">
        <v>13</v>
      </c>
      <c r="B2272" s="3" t="s">
        <v>14</v>
      </c>
      <c r="C2272" s="3" t="s">
        <v>15</v>
      </c>
      <c r="D2272" s="3" t="s">
        <v>17</v>
      </c>
      <c r="E2272" s="3" t="s">
        <v>26</v>
      </c>
    </row>
    <row r="2273">
      <c r="A2273" s="3" t="s">
        <v>13</v>
      </c>
      <c r="B2273" s="3" t="s">
        <v>14</v>
      </c>
      <c r="C2273" s="3" t="s">
        <v>17</v>
      </c>
      <c r="D2273" s="3" t="s">
        <v>18</v>
      </c>
    </row>
    <row r="2274">
      <c r="A2274" s="3" t="s">
        <v>13</v>
      </c>
      <c r="B2274" s="3" t="s">
        <v>14</v>
      </c>
      <c r="C2274" s="3" t="s">
        <v>26</v>
      </c>
    </row>
    <row r="2275">
      <c r="A2275" s="3" t="s">
        <v>13</v>
      </c>
      <c r="B2275" s="3" t="s">
        <v>14</v>
      </c>
      <c r="C2275" s="3" t="s">
        <v>15</v>
      </c>
      <c r="D2275" s="3" t="s">
        <v>16</v>
      </c>
    </row>
    <row r="2276">
      <c r="A2276" s="3" t="s">
        <v>13</v>
      </c>
      <c r="B2276" s="3" t="s">
        <v>14</v>
      </c>
      <c r="C2276" s="3" t="s">
        <v>17</v>
      </c>
    </row>
    <row r="2277">
      <c r="A2277" s="3" t="s">
        <v>13</v>
      </c>
      <c r="B2277" s="3" t="s">
        <v>14</v>
      </c>
      <c r="C2277" s="3" t="s">
        <v>15</v>
      </c>
      <c r="D2277" s="3" t="s">
        <v>17</v>
      </c>
    </row>
    <row r="2278">
      <c r="A2278" s="3" t="s">
        <v>13</v>
      </c>
      <c r="B2278" s="3" t="s">
        <v>14</v>
      </c>
      <c r="C2278" s="3" t="s">
        <v>17</v>
      </c>
      <c r="D2278" s="3" t="s">
        <v>18</v>
      </c>
    </row>
    <row r="2279">
      <c r="A2279" s="3" t="s">
        <v>13</v>
      </c>
      <c r="B2279" s="3" t="s">
        <v>14</v>
      </c>
      <c r="C2279" s="3" t="s">
        <v>16</v>
      </c>
      <c r="D2279" s="3" t="s">
        <v>26</v>
      </c>
    </row>
    <row r="2280">
      <c r="A2280" s="3" t="s">
        <v>13</v>
      </c>
    </row>
    <row r="2281">
      <c r="A2281" s="3" t="s">
        <v>13</v>
      </c>
    </row>
    <row r="2282">
      <c r="A2282" s="3" t="s">
        <v>13</v>
      </c>
    </row>
    <row r="2283">
      <c r="A2283" s="3" t="s">
        <v>13</v>
      </c>
    </row>
    <row r="2284">
      <c r="A2284" s="3" t="s">
        <v>13</v>
      </c>
      <c r="B2284" s="3" t="s">
        <v>14</v>
      </c>
      <c r="C2284" s="3" t="s">
        <v>17</v>
      </c>
      <c r="D2284" s="3" t="s">
        <v>26</v>
      </c>
    </row>
    <row r="2285">
      <c r="A2285" s="3" t="s">
        <v>13</v>
      </c>
      <c r="B2285" s="3" t="s">
        <v>14</v>
      </c>
      <c r="C2285" s="3" t="s">
        <v>15</v>
      </c>
      <c r="D2285" s="3" t="s">
        <v>27</v>
      </c>
    </row>
    <row r="2286">
      <c r="A2286" s="3" t="s">
        <v>13</v>
      </c>
      <c r="B2286" s="3" t="s">
        <v>14</v>
      </c>
      <c r="C2286" s="3" t="s">
        <v>15</v>
      </c>
      <c r="D2286" s="3" t="s">
        <v>16</v>
      </c>
    </row>
    <row r="2287">
      <c r="A2287" s="3" t="s">
        <v>13</v>
      </c>
    </row>
    <row r="2288">
      <c r="A2288" s="3" t="s">
        <v>14</v>
      </c>
    </row>
    <row r="2289">
      <c r="A2289" s="3" t="s">
        <v>14</v>
      </c>
      <c r="B2289" s="3" t="s">
        <v>15</v>
      </c>
      <c r="C2289" s="3" t="s">
        <v>17</v>
      </c>
    </row>
    <row r="2290">
      <c r="A2290" s="3" t="s">
        <v>14</v>
      </c>
      <c r="B2290" s="3" t="s">
        <v>17</v>
      </c>
    </row>
    <row r="2291">
      <c r="A2291" s="3" t="s">
        <v>15</v>
      </c>
      <c r="B2291" s="3" t="s">
        <v>17</v>
      </c>
      <c r="C2291" s="3" t="s">
        <v>25</v>
      </c>
    </row>
    <row r="2292">
      <c r="A2292" s="3" t="s">
        <v>15</v>
      </c>
      <c r="B2292" s="3" t="s">
        <v>27</v>
      </c>
    </row>
    <row r="2293">
      <c r="A2293" s="3" t="s">
        <v>15</v>
      </c>
      <c r="B2293" s="3" t="s">
        <v>17</v>
      </c>
      <c r="C2293" s="3" t="s">
        <v>25</v>
      </c>
    </row>
    <row r="2294">
      <c r="A2294" s="3" t="s">
        <v>6</v>
      </c>
      <c r="B2294" s="3" t="s">
        <v>7</v>
      </c>
      <c r="C2294" s="3" t="s">
        <v>8</v>
      </c>
      <c r="D2294" s="3" t="s">
        <v>17</v>
      </c>
      <c r="E2294" s="3" t="s">
        <v>27</v>
      </c>
    </row>
    <row r="2295">
      <c r="A2295" s="3" t="s">
        <v>6</v>
      </c>
      <c r="B2295" s="3" t="s">
        <v>7</v>
      </c>
      <c r="C2295" s="3" t="s">
        <v>8</v>
      </c>
      <c r="D2295" s="3" t="s">
        <v>13</v>
      </c>
      <c r="E2295" s="3" t="s">
        <v>15</v>
      </c>
      <c r="F2295" s="3" t="s">
        <v>26</v>
      </c>
      <c r="G2295" s="3" t="s">
        <v>27</v>
      </c>
    </row>
    <row r="2296">
      <c r="A2296" s="3" t="s">
        <v>6</v>
      </c>
      <c r="B2296" s="3" t="s">
        <v>11</v>
      </c>
      <c r="C2296" s="3" t="s">
        <v>15</v>
      </c>
      <c r="D2296" s="3" t="s">
        <v>25</v>
      </c>
      <c r="E2296" s="3" t="s">
        <v>27</v>
      </c>
    </row>
    <row r="2297">
      <c r="A2297" s="3" t="s">
        <v>6</v>
      </c>
      <c r="B2297" s="3" t="s">
        <v>7</v>
      </c>
      <c r="C2297" s="3" t="s">
        <v>8</v>
      </c>
      <c r="D2297" s="3" t="s">
        <v>9</v>
      </c>
      <c r="E2297" s="3" t="s">
        <v>15</v>
      </c>
      <c r="F2297" s="3" t="s">
        <v>17</v>
      </c>
      <c r="G2297" s="3" t="s">
        <v>18</v>
      </c>
    </row>
    <row r="2298">
      <c r="A2298" s="3" t="s">
        <v>6</v>
      </c>
      <c r="B2298" s="3" t="s">
        <v>7</v>
      </c>
      <c r="C2298" s="3" t="s">
        <v>9</v>
      </c>
      <c r="D2298" s="3" t="s">
        <v>15</v>
      </c>
      <c r="E2298" s="3" t="s">
        <v>17</v>
      </c>
      <c r="F2298" s="3" t="s">
        <v>27</v>
      </c>
    </row>
    <row r="2299">
      <c r="A2299" s="3" t="s">
        <v>6</v>
      </c>
      <c r="B2299" s="3" t="s">
        <v>7</v>
      </c>
      <c r="C2299" s="3" t="s">
        <v>8</v>
      </c>
      <c r="D2299" s="3" t="s">
        <v>13</v>
      </c>
      <c r="E2299" s="3" t="s">
        <v>15</v>
      </c>
      <c r="F2299" s="3" t="s">
        <v>16</v>
      </c>
      <c r="G2299" s="3" t="s">
        <v>17</v>
      </c>
    </row>
    <row r="2300">
      <c r="A2300" s="3" t="s">
        <v>6</v>
      </c>
      <c r="B2300" s="3" t="s">
        <v>7</v>
      </c>
      <c r="C2300" s="3" t="s">
        <v>8</v>
      </c>
      <c r="D2300" s="3" t="s">
        <v>15</v>
      </c>
      <c r="E2300" s="3" t="s">
        <v>16</v>
      </c>
      <c r="F2300" s="3" t="s">
        <v>27</v>
      </c>
    </row>
    <row r="2301">
      <c r="A2301" s="3" t="s">
        <v>6</v>
      </c>
      <c r="B2301" s="3" t="s">
        <v>7</v>
      </c>
      <c r="C2301" s="3" t="s">
        <v>8</v>
      </c>
      <c r="D2301" s="3" t="s">
        <v>11</v>
      </c>
    </row>
    <row r="2302">
      <c r="A2302" s="3" t="s">
        <v>6</v>
      </c>
      <c r="B2302" s="3" t="s">
        <v>7</v>
      </c>
      <c r="C2302" s="3" t="s">
        <v>12</v>
      </c>
      <c r="D2302" s="3" t="s">
        <v>15</v>
      </c>
      <c r="E2302" s="3" t="s">
        <v>25</v>
      </c>
      <c r="F2302" s="3" t="s">
        <v>27</v>
      </c>
    </row>
    <row r="2303">
      <c r="A2303" s="3" t="s">
        <v>6</v>
      </c>
      <c r="B2303" s="3" t="s">
        <v>7</v>
      </c>
      <c r="C2303" s="3" t="s">
        <v>8</v>
      </c>
      <c r="D2303" s="3" t="s">
        <v>13</v>
      </c>
      <c r="E2303" s="3" t="s">
        <v>15</v>
      </c>
      <c r="F2303" s="3" t="s">
        <v>16</v>
      </c>
      <c r="G2303" s="3" t="s">
        <v>27</v>
      </c>
    </row>
    <row r="2304">
      <c r="A2304" s="3" t="s">
        <v>6</v>
      </c>
      <c r="B2304" s="3" t="s">
        <v>13</v>
      </c>
      <c r="C2304" s="3" t="s">
        <v>14</v>
      </c>
      <c r="D2304" s="3" t="s">
        <v>17</v>
      </c>
      <c r="E2304" s="3" t="s">
        <v>18</v>
      </c>
      <c r="F2304" s="3" t="s">
        <v>26</v>
      </c>
      <c r="G2304" s="3" t="s">
        <v>27</v>
      </c>
    </row>
    <row r="2305">
      <c r="A2305" s="3" t="s">
        <v>6</v>
      </c>
      <c r="B2305" s="3" t="s">
        <v>7</v>
      </c>
      <c r="C2305" s="3" t="s">
        <v>9</v>
      </c>
      <c r="D2305" s="3" t="s">
        <v>13</v>
      </c>
      <c r="E2305" s="3" t="s">
        <v>16</v>
      </c>
      <c r="F2305" s="3" t="s">
        <v>17</v>
      </c>
      <c r="G2305" s="3" t="s">
        <v>18</v>
      </c>
    </row>
    <row r="2306">
      <c r="A2306" s="3" t="s">
        <v>6</v>
      </c>
      <c r="B2306" s="3" t="s">
        <v>7</v>
      </c>
      <c r="C2306" s="3" t="s">
        <v>12</v>
      </c>
      <c r="D2306" s="3" t="s">
        <v>13</v>
      </c>
      <c r="E2306" s="3" t="s">
        <v>15</v>
      </c>
      <c r="F2306" s="3" t="s">
        <v>17</v>
      </c>
    </row>
    <row r="2307">
      <c r="A2307" s="3" t="s">
        <v>6</v>
      </c>
      <c r="B2307" s="3" t="s">
        <v>7</v>
      </c>
      <c r="C2307" s="3" t="s">
        <v>11</v>
      </c>
      <c r="D2307" s="3" t="s">
        <v>15</v>
      </c>
      <c r="E2307" s="3" t="s">
        <v>25</v>
      </c>
      <c r="F2307" s="3" t="s">
        <v>27</v>
      </c>
    </row>
    <row r="2308">
      <c r="A2308" s="3" t="s">
        <v>6</v>
      </c>
      <c r="B2308" s="3" t="s">
        <v>7</v>
      </c>
      <c r="C2308" s="3" t="s">
        <v>8</v>
      </c>
      <c r="D2308" s="3" t="s">
        <v>11</v>
      </c>
      <c r="E2308" s="3" t="s">
        <v>12</v>
      </c>
      <c r="F2308" s="3" t="s">
        <v>15</v>
      </c>
      <c r="G2308" s="3" t="s">
        <v>17</v>
      </c>
    </row>
    <row r="2309">
      <c r="A2309" s="3" t="s">
        <v>6</v>
      </c>
      <c r="B2309" s="3" t="s">
        <v>7</v>
      </c>
      <c r="C2309" s="3" t="s">
        <v>8</v>
      </c>
      <c r="D2309" s="3" t="s">
        <v>11</v>
      </c>
      <c r="E2309" s="3" t="s">
        <v>15</v>
      </c>
      <c r="F2309" s="3" t="s">
        <v>18</v>
      </c>
      <c r="G2309" s="3" t="s">
        <v>25</v>
      </c>
    </row>
    <row r="2310">
      <c r="A2310" s="3" t="s">
        <v>6</v>
      </c>
      <c r="B2310" s="3" t="s">
        <v>7</v>
      </c>
      <c r="C2310" s="3" t="s">
        <v>8</v>
      </c>
      <c r="D2310" s="3" t="s">
        <v>13</v>
      </c>
    </row>
    <row r="2311">
      <c r="A2311" s="3" t="s">
        <v>6</v>
      </c>
      <c r="B2311" s="3" t="s">
        <v>8</v>
      </c>
      <c r="C2311" s="3" t="s">
        <v>9</v>
      </c>
      <c r="D2311" s="3" t="s">
        <v>11</v>
      </c>
      <c r="E2311" s="3" t="s">
        <v>12</v>
      </c>
      <c r="F2311" s="3" t="s">
        <v>16</v>
      </c>
    </row>
    <row r="2312">
      <c r="A2312" s="3" t="s">
        <v>6</v>
      </c>
      <c r="B2312" s="3" t="s">
        <v>7</v>
      </c>
      <c r="C2312" s="3" t="s">
        <v>15</v>
      </c>
      <c r="D2312" s="3" t="s">
        <v>16</v>
      </c>
      <c r="E2312" s="3" t="s">
        <v>27</v>
      </c>
    </row>
    <row r="2313">
      <c r="A2313" s="3" t="s">
        <v>6</v>
      </c>
      <c r="B2313" s="3" t="s">
        <v>7</v>
      </c>
      <c r="C2313" s="3" t="s">
        <v>8</v>
      </c>
      <c r="D2313" s="3" t="s">
        <v>9</v>
      </c>
      <c r="E2313" s="3" t="s">
        <v>11</v>
      </c>
      <c r="F2313" s="3" t="s">
        <v>12</v>
      </c>
      <c r="G2313" s="3" t="s">
        <v>17</v>
      </c>
    </row>
    <row r="2314">
      <c r="A2314" s="3" t="s">
        <v>6</v>
      </c>
      <c r="B2314" s="3" t="s">
        <v>7</v>
      </c>
      <c r="C2314" s="3" t="s">
        <v>8</v>
      </c>
      <c r="D2314" s="3" t="s">
        <v>15</v>
      </c>
      <c r="E2314" s="3" t="s">
        <v>16</v>
      </c>
      <c r="F2314" s="3" t="s">
        <v>17</v>
      </c>
    </row>
    <row r="2315">
      <c r="A2315" s="3" t="s">
        <v>6</v>
      </c>
      <c r="B2315" s="3" t="s">
        <v>7</v>
      </c>
      <c r="C2315" s="3" t="s">
        <v>13</v>
      </c>
      <c r="D2315" s="3" t="s">
        <v>14</v>
      </c>
      <c r="E2315" s="3" t="s">
        <v>26</v>
      </c>
    </row>
    <row r="2316">
      <c r="A2316" s="3" t="s">
        <v>6</v>
      </c>
      <c r="B2316" s="3" t="s">
        <v>7</v>
      </c>
      <c r="C2316" s="3" t="s">
        <v>11</v>
      </c>
      <c r="D2316" s="3" t="s">
        <v>12</v>
      </c>
      <c r="E2316" s="3" t="s">
        <v>15</v>
      </c>
      <c r="F2316" s="3" t="s">
        <v>25</v>
      </c>
      <c r="G2316" s="3" t="s">
        <v>27</v>
      </c>
    </row>
    <row r="2317">
      <c r="A2317" s="3" t="s">
        <v>6</v>
      </c>
      <c r="B2317" s="3" t="s">
        <v>7</v>
      </c>
      <c r="C2317" s="3" t="s">
        <v>8</v>
      </c>
      <c r="D2317" s="3" t="s">
        <v>11</v>
      </c>
    </row>
    <row r="2318">
      <c r="A2318" s="3" t="s">
        <v>6</v>
      </c>
      <c r="B2318" s="3" t="s">
        <v>7</v>
      </c>
      <c r="C2318" s="3" t="s">
        <v>8</v>
      </c>
      <c r="D2318" s="3" t="s">
        <v>9</v>
      </c>
    </row>
    <row r="2319">
      <c r="A2319" s="3" t="s">
        <v>6</v>
      </c>
      <c r="B2319" s="3" t="s">
        <v>7</v>
      </c>
      <c r="C2319" s="3" t="s">
        <v>8</v>
      </c>
      <c r="D2319" s="3" t="s">
        <v>11</v>
      </c>
      <c r="E2319" s="3" t="s">
        <v>15</v>
      </c>
      <c r="F2319" s="3" t="s">
        <v>27</v>
      </c>
    </row>
    <row r="2320">
      <c r="A2320" s="3" t="s">
        <v>6</v>
      </c>
      <c r="B2320" s="3" t="s">
        <v>7</v>
      </c>
      <c r="C2320" s="3" t="s">
        <v>8</v>
      </c>
      <c r="D2320" s="3" t="s">
        <v>15</v>
      </c>
    </row>
    <row r="2321">
      <c r="A2321" s="3" t="s">
        <v>6</v>
      </c>
      <c r="B2321" s="3" t="s">
        <v>7</v>
      </c>
      <c r="C2321" s="3" t="s">
        <v>8</v>
      </c>
      <c r="D2321" s="3" t="s">
        <v>27</v>
      </c>
    </row>
    <row r="2322">
      <c r="A2322" s="3" t="s">
        <v>6</v>
      </c>
      <c r="B2322" s="3" t="s">
        <v>7</v>
      </c>
      <c r="C2322" s="3" t="s">
        <v>11</v>
      </c>
      <c r="D2322" s="3" t="s">
        <v>15</v>
      </c>
      <c r="E2322" s="3" t="s">
        <v>16</v>
      </c>
      <c r="F2322" s="3" t="s">
        <v>27</v>
      </c>
    </row>
    <row r="2323">
      <c r="A2323" s="3" t="s">
        <v>6</v>
      </c>
      <c r="B2323" s="3" t="s">
        <v>7</v>
      </c>
      <c r="C2323" s="3" t="s">
        <v>8</v>
      </c>
      <c r="D2323" s="3" t="s">
        <v>11</v>
      </c>
      <c r="E2323" s="3" t="s">
        <v>12</v>
      </c>
      <c r="F2323" s="3" t="s">
        <v>15</v>
      </c>
    </row>
    <row r="2324">
      <c r="A2324" s="3" t="s">
        <v>6</v>
      </c>
      <c r="B2324" s="3" t="s">
        <v>7</v>
      </c>
      <c r="C2324" s="3" t="s">
        <v>8</v>
      </c>
      <c r="D2324" s="3" t="s">
        <v>15</v>
      </c>
    </row>
    <row r="2325">
      <c r="A2325" s="3" t="s">
        <v>6</v>
      </c>
      <c r="B2325" s="3" t="s">
        <v>7</v>
      </c>
      <c r="C2325" s="3" t="s">
        <v>11</v>
      </c>
      <c r="D2325" s="3" t="s">
        <v>15</v>
      </c>
    </row>
    <row r="2326">
      <c r="A2326" s="3" t="s">
        <v>6</v>
      </c>
      <c r="B2326" s="3" t="s">
        <v>7</v>
      </c>
      <c r="C2326" s="3" t="s">
        <v>8</v>
      </c>
      <c r="D2326" s="3" t="s">
        <v>15</v>
      </c>
    </row>
    <row r="2327">
      <c r="A2327" s="3" t="s">
        <v>6</v>
      </c>
      <c r="B2327" s="3" t="s">
        <v>7</v>
      </c>
      <c r="C2327" s="3" t="s">
        <v>8</v>
      </c>
      <c r="D2327" s="3" t="s">
        <v>9</v>
      </c>
      <c r="E2327" s="3" t="s">
        <v>10</v>
      </c>
      <c r="F2327" s="3" t="s">
        <v>15</v>
      </c>
    </row>
    <row r="2328">
      <c r="A2328" s="3" t="s">
        <v>6</v>
      </c>
      <c r="B2328" s="3" t="s">
        <v>7</v>
      </c>
      <c r="C2328" s="3" t="s">
        <v>8</v>
      </c>
      <c r="D2328" s="3" t="s">
        <v>13</v>
      </c>
      <c r="E2328" s="3" t="s">
        <v>14</v>
      </c>
      <c r="F2328" s="3" t="s">
        <v>15</v>
      </c>
      <c r="G2328" s="3" t="s">
        <v>16</v>
      </c>
    </row>
    <row r="2329">
      <c r="A2329" s="3" t="s">
        <v>6</v>
      </c>
      <c r="B2329" s="3" t="s">
        <v>7</v>
      </c>
      <c r="C2329" s="3" t="s">
        <v>11</v>
      </c>
      <c r="D2329" s="3" t="s">
        <v>27</v>
      </c>
    </row>
    <row r="2330">
      <c r="A2330" s="3" t="s">
        <v>6</v>
      </c>
      <c r="B2330" s="3" t="s">
        <v>8</v>
      </c>
      <c r="C2330" s="3" t="s">
        <v>9</v>
      </c>
      <c r="D2330" s="3" t="s">
        <v>11</v>
      </c>
      <c r="E2330" s="3" t="s">
        <v>12</v>
      </c>
      <c r="F2330" s="3" t="s">
        <v>24</v>
      </c>
      <c r="G2330" s="3" t="s">
        <v>25</v>
      </c>
    </row>
    <row r="2331">
      <c r="A2331" s="3" t="s">
        <v>6</v>
      </c>
      <c r="B2331" s="3" t="s">
        <v>8</v>
      </c>
      <c r="C2331" s="3" t="s">
        <v>9</v>
      </c>
      <c r="D2331" s="3" t="s">
        <v>11</v>
      </c>
      <c r="E2331" s="3" t="s">
        <v>12</v>
      </c>
      <c r="F2331" s="3" t="s">
        <v>18</v>
      </c>
    </row>
    <row r="2332">
      <c r="A2332" s="3" t="s">
        <v>6</v>
      </c>
      <c r="B2332" s="3" t="s">
        <v>7</v>
      </c>
      <c r="C2332" s="3" t="s">
        <v>8</v>
      </c>
      <c r="D2332" s="3" t="s">
        <v>11</v>
      </c>
      <c r="E2332" s="3" t="s">
        <v>12</v>
      </c>
      <c r="F2332" s="3" t="s">
        <v>25</v>
      </c>
    </row>
    <row r="2333">
      <c r="A2333" s="3" t="s">
        <v>6</v>
      </c>
      <c r="B2333" s="3" t="s">
        <v>7</v>
      </c>
      <c r="C2333" s="3" t="s">
        <v>8</v>
      </c>
      <c r="D2333" s="3" t="s">
        <v>11</v>
      </c>
      <c r="E2333" s="3" t="s">
        <v>12</v>
      </c>
      <c r="F2333" s="3" t="s">
        <v>25</v>
      </c>
    </row>
    <row r="2334">
      <c r="A2334" s="3" t="s">
        <v>6</v>
      </c>
      <c r="B2334" s="3" t="s">
        <v>7</v>
      </c>
      <c r="C2334" s="3" t="s">
        <v>8</v>
      </c>
      <c r="D2334" s="3" t="s">
        <v>9</v>
      </c>
      <c r="E2334" s="3" t="s">
        <v>15</v>
      </c>
      <c r="F2334" s="3" t="s">
        <v>16</v>
      </c>
      <c r="G2334" s="3" t="s">
        <v>27</v>
      </c>
    </row>
    <row r="2335">
      <c r="A2335" s="3" t="s">
        <v>6</v>
      </c>
      <c r="B2335" s="3" t="s">
        <v>7</v>
      </c>
      <c r="C2335" s="3" t="s">
        <v>8</v>
      </c>
      <c r="D2335" s="3" t="s">
        <v>11</v>
      </c>
      <c r="E2335" s="3" t="s">
        <v>25</v>
      </c>
    </row>
    <row r="2336">
      <c r="A2336" s="3" t="s">
        <v>6</v>
      </c>
      <c r="B2336" s="3" t="s">
        <v>7</v>
      </c>
      <c r="C2336" s="3" t="s">
        <v>8</v>
      </c>
      <c r="D2336" s="3" t="s">
        <v>9</v>
      </c>
    </row>
    <row r="2337">
      <c r="A2337" s="3" t="s">
        <v>6</v>
      </c>
      <c r="B2337" s="3" t="s">
        <v>7</v>
      </c>
      <c r="C2337" s="3" t="s">
        <v>8</v>
      </c>
      <c r="D2337" s="3" t="s">
        <v>9</v>
      </c>
      <c r="E2337" s="3" t="s">
        <v>11</v>
      </c>
      <c r="F2337" s="3" t="s">
        <v>12</v>
      </c>
      <c r="G2337" s="3" t="s">
        <v>15</v>
      </c>
    </row>
    <row r="2338">
      <c r="A2338" s="3" t="s">
        <v>6</v>
      </c>
      <c r="B2338" s="3" t="s">
        <v>7</v>
      </c>
      <c r="C2338" s="3" t="s">
        <v>11</v>
      </c>
      <c r="D2338" s="3" t="s">
        <v>12</v>
      </c>
      <c r="E2338" s="3" t="s">
        <v>25</v>
      </c>
    </row>
    <row r="2339">
      <c r="A2339" s="3" t="s">
        <v>6</v>
      </c>
      <c r="B2339" s="3" t="s">
        <v>7</v>
      </c>
      <c r="C2339" s="3" t="s">
        <v>15</v>
      </c>
      <c r="D2339" s="3" t="s">
        <v>27</v>
      </c>
    </row>
    <row r="2340">
      <c r="A2340" s="3" t="s">
        <v>6</v>
      </c>
      <c r="B2340" s="3" t="s">
        <v>12</v>
      </c>
    </row>
    <row r="2341">
      <c r="A2341" s="3" t="s">
        <v>6</v>
      </c>
      <c r="B2341" s="3" t="s">
        <v>7</v>
      </c>
      <c r="C2341" s="3" t="s">
        <v>15</v>
      </c>
      <c r="D2341" s="3" t="s">
        <v>16</v>
      </c>
    </row>
    <row r="2342">
      <c r="A2342" s="3" t="s">
        <v>6</v>
      </c>
      <c r="B2342" s="3" t="s">
        <v>7</v>
      </c>
      <c r="C2342" s="3" t="s">
        <v>13</v>
      </c>
      <c r="D2342" s="3" t="s">
        <v>14</v>
      </c>
    </row>
    <row r="2343">
      <c r="A2343" s="3" t="s">
        <v>6</v>
      </c>
      <c r="B2343" s="3" t="s">
        <v>7</v>
      </c>
      <c r="C2343" s="3" t="s">
        <v>15</v>
      </c>
      <c r="D2343" s="3" t="s">
        <v>27</v>
      </c>
    </row>
    <row r="2344">
      <c r="A2344" s="3" t="s">
        <v>6</v>
      </c>
    </row>
    <row r="2345">
      <c r="A2345" s="3" t="s">
        <v>6</v>
      </c>
      <c r="B2345" s="3" t="s">
        <v>7</v>
      </c>
      <c r="C2345" s="3" t="s">
        <v>11</v>
      </c>
      <c r="D2345" s="3" t="s">
        <v>15</v>
      </c>
      <c r="E2345" s="3" t="s">
        <v>25</v>
      </c>
    </row>
    <row r="2346">
      <c r="A2346" s="3" t="s">
        <v>6</v>
      </c>
      <c r="B2346" s="3" t="s">
        <v>7</v>
      </c>
      <c r="C2346" s="3" t="s">
        <v>11</v>
      </c>
      <c r="D2346" s="3" t="s">
        <v>15</v>
      </c>
      <c r="E2346" s="3" t="s">
        <v>16</v>
      </c>
      <c r="F2346" s="3" t="s">
        <v>27</v>
      </c>
    </row>
    <row r="2347">
      <c r="A2347" s="3" t="s">
        <v>6</v>
      </c>
      <c r="B2347" s="3" t="s">
        <v>7</v>
      </c>
      <c r="C2347" s="3" t="s">
        <v>8</v>
      </c>
      <c r="D2347" s="3" t="s">
        <v>9</v>
      </c>
      <c r="E2347" s="3" t="s">
        <v>11</v>
      </c>
    </row>
    <row r="2348">
      <c r="A2348" s="3" t="s">
        <v>6</v>
      </c>
      <c r="B2348" s="3" t="s">
        <v>7</v>
      </c>
      <c r="C2348" s="3" t="s">
        <v>15</v>
      </c>
      <c r="D2348" s="3" t="s">
        <v>16</v>
      </c>
      <c r="E2348" s="3" t="s">
        <v>27</v>
      </c>
    </row>
    <row r="2349">
      <c r="A2349" s="3" t="s">
        <v>6</v>
      </c>
      <c r="B2349" s="3" t="s">
        <v>7</v>
      </c>
      <c r="C2349" s="3" t="s">
        <v>8</v>
      </c>
      <c r="D2349" s="3" t="s">
        <v>9</v>
      </c>
      <c r="E2349" s="3" t="s">
        <v>15</v>
      </c>
    </row>
    <row r="2350">
      <c r="A2350" s="3" t="s">
        <v>6</v>
      </c>
      <c r="B2350" s="3" t="s">
        <v>11</v>
      </c>
      <c r="C2350" s="3" t="s">
        <v>12</v>
      </c>
      <c r="D2350" s="3" t="s">
        <v>15</v>
      </c>
      <c r="E2350" s="3" t="s">
        <v>16</v>
      </c>
      <c r="F2350" s="3" t="s">
        <v>25</v>
      </c>
      <c r="G2350" s="3" t="s">
        <v>27</v>
      </c>
    </row>
    <row r="2351">
      <c r="A2351" s="3" t="s">
        <v>6</v>
      </c>
      <c r="B2351" s="3" t="s">
        <v>12</v>
      </c>
      <c r="C2351" s="3" t="s">
        <v>27</v>
      </c>
    </row>
    <row r="2352">
      <c r="A2352" s="3" t="s">
        <v>6</v>
      </c>
      <c r="B2352" s="3" t="s">
        <v>7</v>
      </c>
      <c r="C2352" s="3" t="s">
        <v>11</v>
      </c>
      <c r="D2352" s="3" t="s">
        <v>12</v>
      </c>
      <c r="E2352" s="3" t="s">
        <v>25</v>
      </c>
      <c r="F2352" s="3" t="s">
        <v>27</v>
      </c>
    </row>
    <row r="2353">
      <c r="A2353" s="3" t="s">
        <v>6</v>
      </c>
      <c r="B2353" s="3" t="s">
        <v>7</v>
      </c>
      <c r="C2353" s="3" t="s">
        <v>8</v>
      </c>
      <c r="D2353" s="3" t="s">
        <v>11</v>
      </c>
      <c r="E2353" s="3" t="s">
        <v>12</v>
      </c>
      <c r="F2353" s="3" t="s">
        <v>17</v>
      </c>
      <c r="G2353" s="3" t="s">
        <v>18</v>
      </c>
    </row>
    <row r="2354">
      <c r="A2354" s="3" t="s">
        <v>6</v>
      </c>
      <c r="B2354" s="3" t="s">
        <v>25</v>
      </c>
    </row>
    <row r="2355">
      <c r="A2355" s="3" t="s">
        <v>6</v>
      </c>
      <c r="B2355" s="3" t="s">
        <v>7</v>
      </c>
    </row>
    <row r="2356">
      <c r="A2356" s="3" t="s">
        <v>6</v>
      </c>
      <c r="B2356" s="3" t="s">
        <v>7</v>
      </c>
      <c r="C2356" s="3" t="s">
        <v>8</v>
      </c>
      <c r="D2356" s="3" t="s">
        <v>15</v>
      </c>
      <c r="E2356" s="3" t="s">
        <v>16</v>
      </c>
      <c r="F2356" s="3" t="s">
        <v>17</v>
      </c>
      <c r="G2356" s="3" t="s">
        <v>27</v>
      </c>
    </row>
    <row r="2357">
      <c r="A2357" s="3" t="s">
        <v>6</v>
      </c>
      <c r="B2357" s="3" t="s">
        <v>7</v>
      </c>
      <c r="C2357" s="3" t="s">
        <v>13</v>
      </c>
    </row>
    <row r="2358">
      <c r="A2358" s="3" t="s">
        <v>6</v>
      </c>
      <c r="B2358" s="3" t="s">
        <v>7</v>
      </c>
      <c r="C2358" s="3" t="s">
        <v>8</v>
      </c>
      <c r="D2358" s="3" t="s">
        <v>13</v>
      </c>
    </row>
    <row r="2359">
      <c r="A2359" s="3" t="s">
        <v>6</v>
      </c>
      <c r="B2359" s="3" t="s">
        <v>7</v>
      </c>
      <c r="C2359" s="3" t="s">
        <v>13</v>
      </c>
      <c r="D2359" s="3" t="s">
        <v>15</v>
      </c>
    </row>
    <row r="2360">
      <c r="A2360" s="3" t="s">
        <v>6</v>
      </c>
      <c r="B2360" s="3" t="s">
        <v>7</v>
      </c>
      <c r="C2360" s="3" t="s">
        <v>8</v>
      </c>
      <c r="D2360" s="3" t="s">
        <v>15</v>
      </c>
      <c r="E2360" s="3" t="s">
        <v>27</v>
      </c>
    </row>
    <row r="2361">
      <c r="A2361" s="3" t="s">
        <v>6</v>
      </c>
      <c r="B2361" s="3" t="s">
        <v>8</v>
      </c>
      <c r="C2361" s="3" t="s">
        <v>9</v>
      </c>
      <c r="D2361" s="3" t="s">
        <v>16</v>
      </c>
    </row>
    <row r="2362">
      <c r="A2362" s="3" t="s">
        <v>6</v>
      </c>
      <c r="B2362" s="3" t="s">
        <v>7</v>
      </c>
    </row>
    <row r="2363">
      <c r="A2363" s="3" t="s">
        <v>6</v>
      </c>
      <c r="B2363" s="3" t="s">
        <v>7</v>
      </c>
    </row>
    <row r="2364">
      <c r="A2364" s="3" t="s">
        <v>6</v>
      </c>
      <c r="B2364" s="3" t="s">
        <v>11</v>
      </c>
      <c r="C2364" s="3" t="s">
        <v>15</v>
      </c>
      <c r="D2364" s="3" t="s">
        <v>16</v>
      </c>
      <c r="E2364" s="3" t="s">
        <v>27</v>
      </c>
    </row>
    <row r="2365">
      <c r="A2365" s="3" t="s">
        <v>6</v>
      </c>
      <c r="B2365" s="3" t="s">
        <v>7</v>
      </c>
      <c r="C2365" s="3" t="s">
        <v>8</v>
      </c>
      <c r="D2365" s="3" t="s">
        <v>15</v>
      </c>
    </row>
    <row r="2366">
      <c r="A2366" s="3" t="s">
        <v>6</v>
      </c>
      <c r="B2366" s="3" t="s">
        <v>7</v>
      </c>
      <c r="C2366" s="3" t="s">
        <v>13</v>
      </c>
      <c r="D2366" s="3" t="s">
        <v>15</v>
      </c>
    </row>
    <row r="2367">
      <c r="A2367" s="3" t="s">
        <v>6</v>
      </c>
      <c r="B2367" s="3" t="s">
        <v>11</v>
      </c>
      <c r="C2367" s="3" t="s">
        <v>12</v>
      </c>
      <c r="D2367" s="3" t="s">
        <v>15</v>
      </c>
      <c r="E2367" s="3" t="s">
        <v>16</v>
      </c>
      <c r="F2367" s="3" t="s">
        <v>17</v>
      </c>
    </row>
    <row r="2368">
      <c r="A2368" s="3" t="s">
        <v>6</v>
      </c>
      <c r="B2368" s="3" t="s">
        <v>8</v>
      </c>
      <c r="C2368" s="3" t="s">
        <v>11</v>
      </c>
      <c r="D2368" s="3" t="s">
        <v>17</v>
      </c>
      <c r="E2368" s="3" t="s">
        <v>25</v>
      </c>
    </row>
    <row r="2369">
      <c r="A2369" s="3" t="s">
        <v>6</v>
      </c>
      <c r="B2369" s="3" t="s">
        <v>11</v>
      </c>
      <c r="C2369" s="3" t="s">
        <v>12</v>
      </c>
      <c r="D2369" s="3" t="s">
        <v>17</v>
      </c>
    </row>
    <row r="2370">
      <c r="A2370" s="3" t="s">
        <v>6</v>
      </c>
      <c r="B2370" s="3" t="s">
        <v>15</v>
      </c>
      <c r="C2370" s="3" t="s">
        <v>16</v>
      </c>
      <c r="D2370" s="3" t="s">
        <v>27</v>
      </c>
    </row>
    <row r="2371">
      <c r="A2371" s="3" t="s">
        <v>6</v>
      </c>
      <c r="B2371" s="3" t="s">
        <v>11</v>
      </c>
      <c r="C2371" s="3" t="s">
        <v>12</v>
      </c>
      <c r="D2371" s="3" t="s">
        <v>15</v>
      </c>
      <c r="E2371" s="3" t="s">
        <v>16</v>
      </c>
      <c r="F2371" s="3" t="s">
        <v>25</v>
      </c>
      <c r="G2371" s="3" t="s">
        <v>27</v>
      </c>
    </row>
    <row r="2372">
      <c r="A2372" s="3" t="s">
        <v>6</v>
      </c>
      <c r="B2372" s="3" t="s">
        <v>7</v>
      </c>
    </row>
    <row r="2373">
      <c r="A2373" s="3" t="s">
        <v>6</v>
      </c>
      <c r="B2373" s="3" t="s">
        <v>7</v>
      </c>
      <c r="C2373" s="3" t="s">
        <v>11</v>
      </c>
      <c r="D2373" s="3" t="s">
        <v>12</v>
      </c>
      <c r="E2373" s="3" t="s">
        <v>17</v>
      </c>
      <c r="F2373" s="3" t="s">
        <v>18</v>
      </c>
      <c r="G2373" s="3" t="s">
        <v>25</v>
      </c>
    </row>
    <row r="2374">
      <c r="A2374" s="3" t="s">
        <v>6</v>
      </c>
      <c r="B2374" s="3" t="s">
        <v>7</v>
      </c>
      <c r="C2374" s="3" t="s">
        <v>13</v>
      </c>
      <c r="D2374" s="3" t="s">
        <v>15</v>
      </c>
    </row>
    <row r="2375">
      <c r="A2375" s="3" t="s">
        <v>6</v>
      </c>
      <c r="B2375" s="3" t="s">
        <v>12</v>
      </c>
      <c r="C2375" s="3" t="s">
        <v>27</v>
      </c>
    </row>
    <row r="2376">
      <c r="A2376" s="3" t="s">
        <v>6</v>
      </c>
      <c r="B2376" s="3" t="s">
        <v>8</v>
      </c>
      <c r="C2376" s="3" t="s">
        <v>11</v>
      </c>
      <c r="D2376" s="3" t="s">
        <v>12</v>
      </c>
    </row>
    <row r="2377">
      <c r="A2377" s="3" t="s">
        <v>6</v>
      </c>
      <c r="B2377" s="3" t="s">
        <v>7</v>
      </c>
      <c r="C2377" s="3" t="s">
        <v>8</v>
      </c>
      <c r="D2377" s="3" t="s">
        <v>11</v>
      </c>
      <c r="E2377" s="3" t="s">
        <v>12</v>
      </c>
      <c r="F2377" s="3" t="s">
        <v>17</v>
      </c>
      <c r="G2377" s="3" t="s">
        <v>25</v>
      </c>
    </row>
    <row r="2378">
      <c r="A2378" s="3" t="s">
        <v>6</v>
      </c>
      <c r="B2378" s="3" t="s">
        <v>11</v>
      </c>
      <c r="C2378" s="3" t="s">
        <v>15</v>
      </c>
      <c r="D2378" s="3" t="s">
        <v>27</v>
      </c>
    </row>
    <row r="2379">
      <c r="A2379" s="3" t="s">
        <v>6</v>
      </c>
      <c r="B2379" s="3" t="s">
        <v>13</v>
      </c>
      <c r="C2379" s="3" t="s">
        <v>14</v>
      </c>
      <c r="D2379" s="3" t="s">
        <v>17</v>
      </c>
      <c r="E2379" s="3" t="s">
        <v>26</v>
      </c>
      <c r="F2379" s="3" t="s">
        <v>27</v>
      </c>
    </row>
    <row r="2380">
      <c r="A2380" s="3" t="s">
        <v>6</v>
      </c>
      <c r="B2380" s="3" t="s">
        <v>7</v>
      </c>
      <c r="C2380" s="3" t="s">
        <v>13</v>
      </c>
      <c r="D2380" s="3" t="s">
        <v>14</v>
      </c>
      <c r="E2380" s="3" t="s">
        <v>26</v>
      </c>
    </row>
    <row r="2381">
      <c r="A2381" s="3" t="s">
        <v>6</v>
      </c>
      <c r="B2381" s="3" t="s">
        <v>7</v>
      </c>
      <c r="C2381" s="3" t="s">
        <v>12</v>
      </c>
      <c r="D2381" s="3" t="s">
        <v>17</v>
      </c>
    </row>
    <row r="2382">
      <c r="A2382" s="3" t="s">
        <v>6</v>
      </c>
      <c r="B2382" s="3" t="s">
        <v>7</v>
      </c>
      <c r="C2382" s="3" t="s">
        <v>8</v>
      </c>
      <c r="D2382" s="3" t="s">
        <v>9</v>
      </c>
    </row>
    <row r="2383">
      <c r="A2383" s="3" t="s">
        <v>6</v>
      </c>
      <c r="B2383" s="3" t="s">
        <v>7</v>
      </c>
      <c r="C2383" s="3" t="s">
        <v>11</v>
      </c>
      <c r="D2383" s="3" t="s">
        <v>12</v>
      </c>
    </row>
    <row r="2384">
      <c r="A2384" s="3" t="s">
        <v>6</v>
      </c>
      <c r="B2384" s="3" t="s">
        <v>13</v>
      </c>
      <c r="C2384" s="3" t="s">
        <v>15</v>
      </c>
      <c r="D2384" s="3" t="s">
        <v>27</v>
      </c>
    </row>
    <row r="2385">
      <c r="A2385" s="3" t="s">
        <v>6</v>
      </c>
      <c r="B2385" s="3" t="s">
        <v>7</v>
      </c>
      <c r="C2385" s="3" t="s">
        <v>15</v>
      </c>
      <c r="D2385" s="3" t="s">
        <v>16</v>
      </c>
    </row>
    <row r="2386">
      <c r="A2386" s="3" t="s">
        <v>6</v>
      </c>
      <c r="B2386" s="3" t="s">
        <v>13</v>
      </c>
      <c r="C2386" s="3" t="s">
        <v>14</v>
      </c>
      <c r="D2386" s="3" t="s">
        <v>17</v>
      </c>
    </row>
    <row r="2387">
      <c r="A2387" s="3" t="s">
        <v>6</v>
      </c>
      <c r="B2387" s="3" t="s">
        <v>7</v>
      </c>
      <c r="C2387" s="3" t="s">
        <v>13</v>
      </c>
      <c r="D2387" s="3" t="s">
        <v>17</v>
      </c>
    </row>
    <row r="2388">
      <c r="A2388" s="3" t="s">
        <v>6</v>
      </c>
      <c r="B2388" s="3" t="s">
        <v>7</v>
      </c>
      <c r="C2388" s="3" t="s">
        <v>13</v>
      </c>
      <c r="D2388" s="3" t="s">
        <v>14</v>
      </c>
    </row>
    <row r="2389">
      <c r="A2389" s="3" t="s">
        <v>6</v>
      </c>
      <c r="B2389" s="3" t="s">
        <v>7</v>
      </c>
      <c r="C2389" s="3" t="s">
        <v>11</v>
      </c>
      <c r="D2389" s="3" t="s">
        <v>25</v>
      </c>
    </row>
    <row r="2390">
      <c r="A2390" s="3" t="s">
        <v>6</v>
      </c>
      <c r="B2390" s="3" t="s">
        <v>7</v>
      </c>
      <c r="C2390" s="3" t="s">
        <v>13</v>
      </c>
      <c r="D2390" s="3" t="s">
        <v>14</v>
      </c>
    </row>
    <row r="2391">
      <c r="A2391" s="3" t="s">
        <v>6</v>
      </c>
      <c r="B2391" s="3" t="s">
        <v>7</v>
      </c>
      <c r="C2391" s="3" t="s">
        <v>8</v>
      </c>
      <c r="D2391" s="3" t="s">
        <v>11</v>
      </c>
    </row>
    <row r="2392">
      <c r="A2392" s="3" t="s">
        <v>6</v>
      </c>
      <c r="B2392" s="3" t="s">
        <v>11</v>
      </c>
      <c r="C2392" s="3" t="s">
        <v>12</v>
      </c>
    </row>
    <row r="2393">
      <c r="A2393" s="3" t="s">
        <v>6</v>
      </c>
      <c r="B2393" s="3" t="s">
        <v>13</v>
      </c>
      <c r="C2393" s="3" t="s">
        <v>14</v>
      </c>
      <c r="D2393" s="3" t="s">
        <v>26</v>
      </c>
    </row>
    <row r="2394">
      <c r="A2394" s="3" t="s">
        <v>6</v>
      </c>
      <c r="B2394" s="3" t="s">
        <v>7</v>
      </c>
      <c r="C2394" s="3" t="s">
        <v>13</v>
      </c>
      <c r="D2394" s="3" t="s">
        <v>14</v>
      </c>
    </row>
    <row r="2395">
      <c r="A2395" s="3" t="s">
        <v>6</v>
      </c>
      <c r="B2395" s="3" t="s">
        <v>13</v>
      </c>
      <c r="C2395" s="3" t="s">
        <v>14</v>
      </c>
      <c r="D2395" s="3" t="s">
        <v>17</v>
      </c>
    </row>
    <row r="2396">
      <c r="A2396" s="3" t="s">
        <v>6</v>
      </c>
      <c r="B2396" s="3" t="s">
        <v>7</v>
      </c>
      <c r="C2396" s="3" t="s">
        <v>8</v>
      </c>
      <c r="D2396" s="3" t="s">
        <v>9</v>
      </c>
      <c r="E2396" s="3" t="s">
        <v>11</v>
      </c>
      <c r="F2396" s="3" t="s">
        <v>12</v>
      </c>
      <c r="G2396" s="3" t="s">
        <v>17</v>
      </c>
    </row>
    <row r="2397">
      <c r="A2397" s="3" t="s">
        <v>6</v>
      </c>
      <c r="B2397" s="3" t="s">
        <v>7</v>
      </c>
      <c r="C2397" s="3" t="s">
        <v>8</v>
      </c>
      <c r="D2397" s="3" t="s">
        <v>11</v>
      </c>
      <c r="E2397" s="3" t="s">
        <v>15</v>
      </c>
      <c r="F2397" s="3" t="s">
        <v>25</v>
      </c>
      <c r="G2397" s="3" t="s">
        <v>27</v>
      </c>
    </row>
    <row r="2398">
      <c r="A2398" s="3" t="s">
        <v>609</v>
      </c>
    </row>
    <row r="2399">
      <c r="A2399" s="3" t="s">
        <v>7</v>
      </c>
      <c r="B2399" s="3" t="s">
        <v>8</v>
      </c>
      <c r="C2399" s="3" t="s">
        <v>15</v>
      </c>
      <c r="D2399" s="3" t="s">
        <v>16</v>
      </c>
      <c r="E2399" s="3" t="s">
        <v>24</v>
      </c>
    </row>
    <row r="2400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15</v>
      </c>
      <c r="F2400" s="3" t="s">
        <v>16</v>
      </c>
      <c r="G2400" s="3" t="s">
        <v>18</v>
      </c>
    </row>
    <row r="2401">
      <c r="A2401" s="3" t="s">
        <v>7</v>
      </c>
      <c r="B2401" s="3" t="s">
        <v>8</v>
      </c>
      <c r="C2401" s="3" t="s">
        <v>9</v>
      </c>
      <c r="D2401" s="3" t="s">
        <v>12</v>
      </c>
      <c r="E2401" s="3" t="s">
        <v>15</v>
      </c>
      <c r="F2401" s="3" t="s">
        <v>16</v>
      </c>
      <c r="G2401" s="3" t="s">
        <v>24</v>
      </c>
    </row>
    <row r="2402">
      <c r="A2402" s="3" t="s">
        <v>7</v>
      </c>
      <c r="B2402" s="3" t="s">
        <v>9</v>
      </c>
      <c r="C2402" s="3" t="s">
        <v>12</v>
      </c>
      <c r="D2402" s="3" t="s">
        <v>15</v>
      </c>
      <c r="E2402" s="3" t="s">
        <v>25</v>
      </c>
    </row>
    <row r="2403">
      <c r="A2403" s="3" t="s">
        <v>7</v>
      </c>
      <c r="B2403" s="3" t="s">
        <v>9</v>
      </c>
      <c r="C2403" s="3" t="s">
        <v>15</v>
      </c>
      <c r="D2403" s="3" t="s">
        <v>16</v>
      </c>
      <c r="E2403" s="3" t="s">
        <v>17</v>
      </c>
      <c r="F2403" s="3" t="s">
        <v>18</v>
      </c>
      <c r="G2403" s="3" t="s">
        <v>27</v>
      </c>
    </row>
    <row r="2404">
      <c r="A2404" s="3" t="s">
        <v>7</v>
      </c>
      <c r="B2404" s="3" t="s">
        <v>8</v>
      </c>
      <c r="C2404" s="3" t="s">
        <v>9</v>
      </c>
      <c r="D2404" s="3" t="s">
        <v>13</v>
      </c>
      <c r="E2404" s="3" t="s">
        <v>15</v>
      </c>
      <c r="F2404" s="3" t="s">
        <v>16</v>
      </c>
      <c r="G2404" s="3" t="s">
        <v>27</v>
      </c>
    </row>
    <row r="2405">
      <c r="A2405" s="3" t="s">
        <v>7</v>
      </c>
      <c r="B2405" s="3" t="s">
        <v>8</v>
      </c>
      <c r="C2405" s="3" t="s">
        <v>9</v>
      </c>
      <c r="D2405" s="3" t="s">
        <v>11</v>
      </c>
      <c r="E2405" s="3" t="s">
        <v>12</v>
      </c>
      <c r="F2405" s="3" t="s">
        <v>18</v>
      </c>
      <c r="G2405" s="3" t="s">
        <v>24</v>
      </c>
    </row>
    <row r="2406">
      <c r="A2406" s="3" t="s">
        <v>7</v>
      </c>
      <c r="B2406" s="3" t="s">
        <v>8</v>
      </c>
      <c r="C2406" s="3" t="s">
        <v>9</v>
      </c>
      <c r="D2406" s="3" t="s">
        <v>15</v>
      </c>
      <c r="E2406" s="3" t="s">
        <v>16</v>
      </c>
      <c r="F2406" s="3" t="s">
        <v>27</v>
      </c>
    </row>
    <row r="2407">
      <c r="A2407" s="3" t="s">
        <v>7</v>
      </c>
      <c r="B2407" s="3" t="s">
        <v>8</v>
      </c>
      <c r="C2407" s="3" t="s">
        <v>9</v>
      </c>
      <c r="D2407" s="3" t="s">
        <v>10</v>
      </c>
      <c r="E2407" s="3" t="s">
        <v>11</v>
      </c>
      <c r="F2407" s="3" t="s">
        <v>12</v>
      </c>
      <c r="G2407" s="3" t="s">
        <v>24</v>
      </c>
    </row>
    <row r="2408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17</v>
      </c>
      <c r="F2408" s="3" t="s">
        <v>18</v>
      </c>
      <c r="G2408" s="3" t="s">
        <v>24</v>
      </c>
    </row>
    <row r="2409">
      <c r="A2409" s="3" t="s">
        <v>7</v>
      </c>
      <c r="B2409" s="3" t="s">
        <v>8</v>
      </c>
      <c r="C2409" s="3" t="s">
        <v>11</v>
      </c>
      <c r="D2409" s="3" t="s">
        <v>12</v>
      </c>
    </row>
    <row r="2410">
      <c r="A2410" s="3" t="s">
        <v>7</v>
      </c>
      <c r="B2410" s="3" t="s">
        <v>11</v>
      </c>
      <c r="C2410" s="3" t="s">
        <v>15</v>
      </c>
      <c r="D2410" s="3" t="s">
        <v>16</v>
      </c>
      <c r="E2410" s="3" t="s">
        <v>25</v>
      </c>
    </row>
    <row r="2411">
      <c r="A2411" s="3" t="s">
        <v>7</v>
      </c>
      <c r="B2411" s="3" t="s">
        <v>8</v>
      </c>
      <c r="C2411" s="3" t="s">
        <v>9</v>
      </c>
      <c r="D2411" s="3" t="s">
        <v>10</v>
      </c>
      <c r="E2411" s="3" t="s">
        <v>15</v>
      </c>
      <c r="F2411" s="3" t="s">
        <v>16</v>
      </c>
      <c r="G2411" s="3" t="s">
        <v>24</v>
      </c>
    </row>
    <row r="2412">
      <c r="A2412" s="3" t="s">
        <v>7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26</v>
      </c>
      <c r="G2412" s="3" t="s">
        <v>27</v>
      </c>
    </row>
    <row r="2413">
      <c r="A2413" s="3" t="s">
        <v>7</v>
      </c>
      <c r="B2413" s="3" t="s">
        <v>8</v>
      </c>
      <c r="C2413" s="3" t="s">
        <v>11</v>
      </c>
      <c r="D2413" s="3" t="s">
        <v>12</v>
      </c>
      <c r="E2413" s="3" t="s">
        <v>17</v>
      </c>
      <c r="F2413" s="3" t="s">
        <v>18</v>
      </c>
    </row>
    <row r="2414">
      <c r="A2414" s="3" t="s">
        <v>7</v>
      </c>
      <c r="B2414" s="3" t="s">
        <v>8</v>
      </c>
      <c r="C2414" s="3" t="s">
        <v>15</v>
      </c>
      <c r="D2414" s="3" t="s">
        <v>16</v>
      </c>
      <c r="E2414" s="3" t="s">
        <v>27</v>
      </c>
    </row>
    <row r="2415">
      <c r="A2415" s="3" t="s">
        <v>7</v>
      </c>
      <c r="B2415" s="3" t="s">
        <v>8</v>
      </c>
      <c r="C2415" s="3" t="s">
        <v>11</v>
      </c>
      <c r="D2415" s="3" t="s">
        <v>12</v>
      </c>
    </row>
    <row r="2416">
      <c r="A2416" s="3" t="s">
        <v>7</v>
      </c>
      <c r="B2416" s="3" t="s">
        <v>8</v>
      </c>
      <c r="C2416" s="3" t="s">
        <v>13</v>
      </c>
      <c r="D2416" s="3" t="s">
        <v>17</v>
      </c>
    </row>
    <row r="2417">
      <c r="A2417" s="3" t="s">
        <v>7</v>
      </c>
      <c r="B2417" s="3" t="s">
        <v>11</v>
      </c>
      <c r="C2417" s="3" t="s">
        <v>25</v>
      </c>
    </row>
    <row r="2418">
      <c r="A2418" s="3" t="s">
        <v>7</v>
      </c>
      <c r="B2418" s="3" t="s">
        <v>8</v>
      </c>
      <c r="C2418" s="3" t="s">
        <v>9</v>
      </c>
      <c r="D2418" s="3" t="s">
        <v>11</v>
      </c>
      <c r="E2418" s="3" t="s">
        <v>12</v>
      </c>
      <c r="F2418" s="3" t="s">
        <v>25</v>
      </c>
    </row>
    <row r="2419">
      <c r="A2419" s="3" t="s">
        <v>7</v>
      </c>
      <c r="B2419" s="3" t="s">
        <v>13</v>
      </c>
      <c r="C2419" s="3" t="s">
        <v>14</v>
      </c>
      <c r="D2419" s="3" t="s">
        <v>26</v>
      </c>
    </row>
    <row r="2420">
      <c r="A2420" s="3" t="s">
        <v>7</v>
      </c>
      <c r="B2420" s="3" t="s">
        <v>11</v>
      </c>
      <c r="C2420" s="3" t="s">
        <v>12</v>
      </c>
      <c r="D2420" s="3" t="s">
        <v>15</v>
      </c>
      <c r="E2420" s="3" t="s">
        <v>16</v>
      </c>
    </row>
    <row r="2421">
      <c r="A2421" s="3" t="s">
        <v>7</v>
      </c>
      <c r="B2421" s="3" t="s">
        <v>15</v>
      </c>
      <c r="C2421" s="3" t="s">
        <v>17</v>
      </c>
    </row>
    <row r="2422">
      <c r="A2422" s="3" t="s">
        <v>7</v>
      </c>
      <c r="B2422" s="3" t="s">
        <v>15</v>
      </c>
      <c r="C2422" s="3" t="s">
        <v>17</v>
      </c>
    </row>
    <row r="2423">
      <c r="A2423" s="3" t="s">
        <v>7</v>
      </c>
      <c r="B2423" s="3" t="s">
        <v>13</v>
      </c>
      <c r="C2423" s="3" t="s">
        <v>14</v>
      </c>
      <c r="D2423" s="3" t="s">
        <v>15</v>
      </c>
      <c r="E2423" s="3" t="s">
        <v>16</v>
      </c>
    </row>
    <row r="2424">
      <c r="A2424" s="3" t="s">
        <v>7</v>
      </c>
      <c r="B2424" s="3" t="s">
        <v>8</v>
      </c>
      <c r="C2424" s="3" t="s">
        <v>17</v>
      </c>
    </row>
    <row r="2425">
      <c r="A2425" s="3" t="s">
        <v>7</v>
      </c>
      <c r="B2425" s="3" t="s">
        <v>11</v>
      </c>
    </row>
    <row r="2426">
      <c r="A2426" s="3" t="s">
        <v>7</v>
      </c>
      <c r="B2426" s="3" t="s">
        <v>12</v>
      </c>
      <c r="C2426" s="3" t="s">
        <v>15</v>
      </c>
      <c r="D2426" s="3" t="s">
        <v>27</v>
      </c>
    </row>
    <row r="2427">
      <c r="A2427" s="3" t="s">
        <v>7</v>
      </c>
      <c r="B2427" s="3" t="s">
        <v>9</v>
      </c>
      <c r="C2427" s="3" t="s">
        <v>15</v>
      </c>
    </row>
    <row r="2428">
      <c r="A2428" s="3" t="s">
        <v>7</v>
      </c>
      <c r="B2428" s="3" t="s">
        <v>12</v>
      </c>
      <c r="C2428" s="3" t="s">
        <v>17</v>
      </c>
      <c r="D2428" s="3" t="s">
        <v>25</v>
      </c>
    </row>
    <row r="2429">
      <c r="A2429" s="3" t="s">
        <v>8</v>
      </c>
      <c r="B2429" s="3" t="s">
        <v>9</v>
      </c>
      <c r="C2429" s="3" t="s">
        <v>10</v>
      </c>
      <c r="D2429" s="3" t="s">
        <v>14</v>
      </c>
      <c r="E2429" s="3" t="s">
        <v>16</v>
      </c>
      <c r="F2429" s="3" t="s">
        <v>18</v>
      </c>
      <c r="G2429" s="3" t="s">
        <v>24</v>
      </c>
    </row>
    <row r="2430">
      <c r="A2430" s="3" t="s">
        <v>8</v>
      </c>
      <c r="B2430" s="3" t="s">
        <v>9</v>
      </c>
      <c r="C2430" s="3" t="s">
        <v>12</v>
      </c>
      <c r="D2430" s="3" t="s">
        <v>14</v>
      </c>
      <c r="E2430" s="3" t="s">
        <v>17</v>
      </c>
      <c r="F2430" s="3" t="s">
        <v>18</v>
      </c>
      <c r="G2430" s="3" t="s">
        <v>24</v>
      </c>
    </row>
    <row r="2431">
      <c r="A2431" s="3" t="s">
        <v>8</v>
      </c>
      <c r="B2431" s="3" t="s">
        <v>9</v>
      </c>
      <c r="C2431" s="3" t="s">
        <v>10</v>
      </c>
      <c r="D2431" s="3" t="s">
        <v>13</v>
      </c>
      <c r="E2431" s="3" t="s">
        <v>14</v>
      </c>
      <c r="F2431" s="3" t="s">
        <v>18</v>
      </c>
      <c r="G2431" s="3" t="s">
        <v>24</v>
      </c>
    </row>
    <row r="2432">
      <c r="A2432" s="3" t="s">
        <v>8</v>
      </c>
      <c r="B2432" s="3" t="s">
        <v>9</v>
      </c>
      <c r="C2432" s="3" t="s">
        <v>10</v>
      </c>
      <c r="D2432" s="3" t="s">
        <v>14</v>
      </c>
      <c r="E2432" s="3" t="s">
        <v>17</v>
      </c>
      <c r="F2432" s="3" t="s">
        <v>18</v>
      </c>
      <c r="G2432" s="3" t="s">
        <v>24</v>
      </c>
    </row>
    <row r="2433">
      <c r="A2433" s="3" t="s">
        <v>8</v>
      </c>
      <c r="B2433" s="3" t="s">
        <v>9</v>
      </c>
      <c r="C2433" s="3" t="s">
        <v>10</v>
      </c>
      <c r="D2433" s="3" t="s">
        <v>11</v>
      </c>
      <c r="E2433" s="3" t="s">
        <v>12</v>
      </c>
      <c r="F2433" s="3" t="s">
        <v>13</v>
      </c>
      <c r="G2433" s="3" t="s">
        <v>24</v>
      </c>
    </row>
    <row r="2434">
      <c r="A2434" s="3" t="s">
        <v>8</v>
      </c>
      <c r="B2434" s="3" t="s">
        <v>13</v>
      </c>
      <c r="C2434" s="3" t="s">
        <v>14</v>
      </c>
      <c r="D2434" s="3" t="s">
        <v>18</v>
      </c>
    </row>
    <row r="2435">
      <c r="A2435" s="3" t="s">
        <v>8</v>
      </c>
      <c r="B2435" s="3" t="s">
        <v>9</v>
      </c>
      <c r="C2435" s="3" t="s">
        <v>10</v>
      </c>
      <c r="D2435" s="3" t="s">
        <v>24</v>
      </c>
    </row>
    <row r="2436">
      <c r="A2436" s="3" t="s">
        <v>8</v>
      </c>
      <c r="B2436" s="3" t="s">
        <v>9</v>
      </c>
      <c r="C2436" s="3" t="s">
        <v>11</v>
      </c>
      <c r="D2436" s="3" t="s">
        <v>12</v>
      </c>
    </row>
    <row r="2437">
      <c r="A2437" s="3" t="s">
        <v>8</v>
      </c>
      <c r="B2437" s="3" t="s">
        <v>9</v>
      </c>
      <c r="C2437" s="3" t="s">
        <v>16</v>
      </c>
      <c r="D2437" s="3" t="s">
        <v>27</v>
      </c>
    </row>
    <row r="2438">
      <c r="A2438" s="3" t="s">
        <v>8</v>
      </c>
      <c r="B2438" s="3" t="s">
        <v>11</v>
      </c>
      <c r="C2438" s="3" t="s">
        <v>12</v>
      </c>
      <c r="D2438" s="3" t="s">
        <v>15</v>
      </c>
      <c r="E2438" s="3" t="s">
        <v>27</v>
      </c>
    </row>
    <row r="2439">
      <c r="A2439" s="3" t="s">
        <v>8</v>
      </c>
      <c r="B2439" s="3" t="s">
        <v>9</v>
      </c>
      <c r="C2439" s="3" t="s">
        <v>10</v>
      </c>
      <c r="D2439" s="3" t="s">
        <v>11</v>
      </c>
      <c r="E2439" s="3" t="s">
        <v>12</v>
      </c>
      <c r="F2439" s="3" t="s">
        <v>18</v>
      </c>
      <c r="G2439" s="3" t="s">
        <v>24</v>
      </c>
    </row>
    <row r="2440">
      <c r="A2440" s="3" t="s">
        <v>8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27</v>
      </c>
    </row>
    <row r="2441">
      <c r="A2441" s="3" t="s">
        <v>8</v>
      </c>
      <c r="B2441" s="3" t="s">
        <v>9</v>
      </c>
      <c r="C2441" s="3" t="s">
        <v>10</v>
      </c>
      <c r="D2441" s="3" t="s">
        <v>24</v>
      </c>
    </row>
    <row r="2442">
      <c r="A2442" s="3" t="s">
        <v>8</v>
      </c>
      <c r="B2442" s="3" t="s">
        <v>9</v>
      </c>
      <c r="C2442" s="3" t="s">
        <v>15</v>
      </c>
      <c r="D2442" s="3" t="s">
        <v>16</v>
      </c>
    </row>
    <row r="2443">
      <c r="A2443" s="3" t="s">
        <v>8</v>
      </c>
    </row>
    <row r="2444">
      <c r="A2444" s="3" t="s">
        <v>8</v>
      </c>
      <c r="B2444" s="3" t="s">
        <v>10</v>
      </c>
      <c r="C2444" s="3" t="s">
        <v>16</v>
      </c>
      <c r="D2444" s="3" t="s">
        <v>18</v>
      </c>
    </row>
    <row r="2445">
      <c r="A2445" s="3" t="s">
        <v>8</v>
      </c>
      <c r="B2445" s="3" t="s">
        <v>16</v>
      </c>
      <c r="C2445" s="3" t="s">
        <v>18</v>
      </c>
    </row>
    <row r="2446">
      <c r="A2446" s="3" t="s">
        <v>8</v>
      </c>
      <c r="B2446" s="3" t="s">
        <v>16</v>
      </c>
      <c r="C2446" s="3" t="s">
        <v>27</v>
      </c>
    </row>
    <row r="2447">
      <c r="A2447" s="3" t="s">
        <v>9</v>
      </c>
      <c r="B2447" s="3" t="s">
        <v>10</v>
      </c>
      <c r="C2447" s="3" t="s">
        <v>12</v>
      </c>
      <c r="D2447" s="3" t="s">
        <v>16</v>
      </c>
      <c r="E2447" s="3" t="s">
        <v>17</v>
      </c>
      <c r="F2447" s="3" t="s">
        <v>18</v>
      </c>
      <c r="G2447" s="3" t="s">
        <v>24</v>
      </c>
    </row>
    <row r="2448">
      <c r="A2448" s="3" t="s">
        <v>9</v>
      </c>
      <c r="B2448" s="3" t="s">
        <v>10</v>
      </c>
      <c r="C2448" s="3" t="s">
        <v>12</v>
      </c>
      <c r="D2448" s="3" t="s">
        <v>16</v>
      </c>
      <c r="E2448" s="3" t="s">
        <v>17</v>
      </c>
      <c r="F2448" s="3" t="s">
        <v>18</v>
      </c>
      <c r="G2448" s="3" t="s">
        <v>24</v>
      </c>
    </row>
    <row r="2449">
      <c r="A2449" s="3" t="s">
        <v>9</v>
      </c>
      <c r="B2449" s="3" t="s">
        <v>10</v>
      </c>
      <c r="C2449" s="3" t="s">
        <v>13</v>
      </c>
      <c r="D2449" s="3" t="s">
        <v>14</v>
      </c>
      <c r="E2449" s="3" t="s">
        <v>18</v>
      </c>
      <c r="F2449" s="3" t="s">
        <v>26</v>
      </c>
    </row>
    <row r="2450">
      <c r="A2450" s="3" t="s">
        <v>9</v>
      </c>
      <c r="B2450" s="3" t="s">
        <v>10</v>
      </c>
      <c r="C2450" s="3" t="s">
        <v>13</v>
      </c>
      <c r="D2450" s="3" t="s">
        <v>14</v>
      </c>
      <c r="E2450" s="3" t="s">
        <v>17</v>
      </c>
      <c r="F2450" s="3" t="s">
        <v>18</v>
      </c>
      <c r="G2450" s="3" t="s">
        <v>26</v>
      </c>
    </row>
    <row r="2451">
      <c r="A2451" s="3" t="s">
        <v>9</v>
      </c>
      <c r="B2451" s="3" t="s">
        <v>10</v>
      </c>
      <c r="C2451" s="3" t="s">
        <v>12</v>
      </c>
      <c r="D2451" s="3" t="s">
        <v>15</v>
      </c>
      <c r="E2451" s="3" t="s">
        <v>16</v>
      </c>
      <c r="F2451" s="3" t="s">
        <v>17</v>
      </c>
      <c r="G2451" s="3" t="s">
        <v>18</v>
      </c>
    </row>
    <row r="2452">
      <c r="A2452" s="3" t="s">
        <v>9</v>
      </c>
      <c r="B2452" s="3" t="s">
        <v>11</v>
      </c>
      <c r="C2452" s="3" t="s">
        <v>12</v>
      </c>
      <c r="D2452" s="3" t="s">
        <v>15</v>
      </c>
      <c r="E2452" s="3" t="s">
        <v>18</v>
      </c>
      <c r="F2452" s="3" t="s">
        <v>24</v>
      </c>
    </row>
    <row r="2453">
      <c r="A2453" s="3" t="s">
        <v>9</v>
      </c>
      <c r="B2453" s="3" t="s">
        <v>11</v>
      </c>
      <c r="C2453" s="3" t="s">
        <v>12</v>
      </c>
      <c r="D2453" s="3" t="s">
        <v>16</v>
      </c>
      <c r="E2453" s="3" t="s">
        <v>17</v>
      </c>
      <c r="F2453" s="3" t="s">
        <v>18</v>
      </c>
      <c r="G2453" s="3" t="s">
        <v>24</v>
      </c>
    </row>
    <row r="2454">
      <c r="A2454" s="3" t="s">
        <v>9</v>
      </c>
      <c r="B2454" s="3" t="s">
        <v>11</v>
      </c>
      <c r="C2454" s="3" t="s">
        <v>12</v>
      </c>
      <c r="D2454" s="3" t="s">
        <v>15</v>
      </c>
      <c r="E2454" s="3" t="s">
        <v>17</v>
      </c>
      <c r="F2454" s="3" t="s">
        <v>18</v>
      </c>
      <c r="G2454" s="3" t="s">
        <v>24</v>
      </c>
    </row>
    <row r="2455">
      <c r="A2455" s="3" t="s">
        <v>9</v>
      </c>
      <c r="B2455" s="3" t="s">
        <v>11</v>
      </c>
      <c r="C2455" s="3" t="s">
        <v>12</v>
      </c>
      <c r="D2455" s="3" t="s">
        <v>15</v>
      </c>
      <c r="E2455" s="3" t="s">
        <v>16</v>
      </c>
      <c r="F2455" s="3" t="s">
        <v>17</v>
      </c>
      <c r="G2455" s="3" t="s">
        <v>25</v>
      </c>
    </row>
    <row r="2456">
      <c r="A2456" s="3" t="s">
        <v>9</v>
      </c>
      <c r="B2456" s="3" t="s">
        <v>12</v>
      </c>
      <c r="C2456" s="3" t="s">
        <v>16</v>
      </c>
      <c r="D2456" s="3" t="s">
        <v>24</v>
      </c>
    </row>
    <row r="2457">
      <c r="A2457" s="3" t="s">
        <v>9</v>
      </c>
      <c r="B2457" s="3" t="s">
        <v>10</v>
      </c>
      <c r="C2457" s="3" t="s">
        <v>11</v>
      </c>
      <c r="D2457" s="3" t="s">
        <v>12</v>
      </c>
      <c r="E2457" s="3" t="s">
        <v>17</v>
      </c>
      <c r="F2457" s="3" t="s">
        <v>18</v>
      </c>
      <c r="G2457" s="3" t="s">
        <v>24</v>
      </c>
    </row>
    <row r="2458">
      <c r="A2458" s="3" t="s">
        <v>9</v>
      </c>
      <c r="B2458" s="3" t="s">
        <v>10</v>
      </c>
      <c r="C2458" s="3" t="s">
        <v>14</v>
      </c>
      <c r="D2458" s="3" t="s">
        <v>18</v>
      </c>
    </row>
    <row r="2459">
      <c r="A2459" s="3" t="s">
        <v>9</v>
      </c>
      <c r="B2459" s="3" t="s">
        <v>11</v>
      </c>
      <c r="C2459" s="3" t="s">
        <v>13</v>
      </c>
      <c r="D2459" s="3" t="s">
        <v>18</v>
      </c>
      <c r="E2459" s="3" t="s">
        <v>26</v>
      </c>
    </row>
    <row r="2460">
      <c r="A2460" s="3" t="s">
        <v>9</v>
      </c>
      <c r="B2460" s="3" t="s">
        <v>10</v>
      </c>
      <c r="C2460" s="3" t="s">
        <v>14</v>
      </c>
      <c r="D2460" s="3" t="s">
        <v>17</v>
      </c>
    </row>
    <row r="2461">
      <c r="A2461" s="3" t="s">
        <v>9</v>
      </c>
      <c r="B2461" s="3" t="s">
        <v>10</v>
      </c>
      <c r="C2461" s="3" t="s">
        <v>12</v>
      </c>
      <c r="D2461" s="3" t="s">
        <v>17</v>
      </c>
    </row>
    <row r="2462">
      <c r="A2462" s="3" t="s">
        <v>9</v>
      </c>
      <c r="B2462" s="3" t="s">
        <v>13</v>
      </c>
      <c r="C2462" s="3" t="s">
        <v>14</v>
      </c>
      <c r="D2462" s="3" t="s">
        <v>17</v>
      </c>
    </row>
    <row r="2463">
      <c r="A2463" s="3" t="s">
        <v>11</v>
      </c>
      <c r="B2463" s="3" t="s">
        <v>12</v>
      </c>
      <c r="C2463" s="3" t="s">
        <v>15</v>
      </c>
      <c r="D2463" s="3" t="s">
        <v>16</v>
      </c>
      <c r="E2463" s="3" t="s">
        <v>17</v>
      </c>
      <c r="F2463" s="3" t="s">
        <v>18</v>
      </c>
      <c r="G2463" s="3" t="s">
        <v>25</v>
      </c>
    </row>
    <row r="2464">
      <c r="A2464" s="3" t="s">
        <v>11</v>
      </c>
      <c r="B2464" s="3" t="s">
        <v>12</v>
      </c>
      <c r="C2464" s="3" t="s">
        <v>13</v>
      </c>
      <c r="D2464" s="3" t="s">
        <v>14</v>
      </c>
      <c r="E2464" s="3" t="s">
        <v>17</v>
      </c>
      <c r="F2464" s="3" t="s">
        <v>18</v>
      </c>
    </row>
    <row r="2465">
      <c r="A2465" s="3" t="s">
        <v>11</v>
      </c>
      <c r="B2465" s="3" t="s">
        <v>12</v>
      </c>
      <c r="C2465" s="3" t="s">
        <v>14</v>
      </c>
      <c r="D2465" s="3" t="s">
        <v>17</v>
      </c>
      <c r="E2465" s="3" t="s">
        <v>18</v>
      </c>
      <c r="F2465" s="3" t="s">
        <v>25</v>
      </c>
    </row>
    <row r="2466">
      <c r="A2466" s="3" t="s">
        <v>11</v>
      </c>
      <c r="B2466" s="3" t="s">
        <v>12</v>
      </c>
      <c r="C2466" s="3" t="s">
        <v>17</v>
      </c>
      <c r="D2466" s="3" t="s">
        <v>25</v>
      </c>
    </row>
    <row r="2467">
      <c r="A2467" s="3" t="s">
        <v>11</v>
      </c>
      <c r="B2467" s="3" t="s">
        <v>12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18</v>
      </c>
    </row>
    <row r="2468">
      <c r="A2468" s="3" t="s">
        <v>11</v>
      </c>
      <c r="B2468" s="3" t="s">
        <v>12</v>
      </c>
      <c r="C2468" s="3" t="s">
        <v>16</v>
      </c>
      <c r="D2468" s="3" t="s">
        <v>17</v>
      </c>
      <c r="E2468" s="3" t="s">
        <v>25</v>
      </c>
    </row>
    <row r="2469">
      <c r="A2469" s="3" t="s">
        <v>11</v>
      </c>
      <c r="B2469" s="3" t="s">
        <v>12</v>
      </c>
      <c r="C2469" s="3" t="s">
        <v>15</v>
      </c>
      <c r="D2469" s="3" t="s">
        <v>17</v>
      </c>
    </row>
    <row r="2470">
      <c r="A2470" s="3" t="s">
        <v>11</v>
      </c>
      <c r="B2470" s="3" t="s">
        <v>16</v>
      </c>
      <c r="C2470" s="3" t="s">
        <v>17</v>
      </c>
      <c r="D2470" s="3" t="s">
        <v>25</v>
      </c>
    </row>
    <row r="2471">
      <c r="A2471" s="3" t="s">
        <v>11</v>
      </c>
      <c r="B2471" s="3" t="s">
        <v>13</v>
      </c>
      <c r="C2471" s="3" t="s">
        <v>14</v>
      </c>
      <c r="D2471" s="3" t="s">
        <v>17</v>
      </c>
      <c r="E2471" s="3" t="s">
        <v>26</v>
      </c>
      <c r="F2471" s="3" t="s">
        <v>27</v>
      </c>
    </row>
    <row r="2472">
      <c r="A2472" s="3" t="s">
        <v>11</v>
      </c>
      <c r="B2472" s="3" t="s">
        <v>12</v>
      </c>
      <c r="C2472" s="3" t="s">
        <v>25</v>
      </c>
      <c r="D2472" s="3" t="s">
        <v>27</v>
      </c>
    </row>
    <row r="2473">
      <c r="A2473" s="3" t="s">
        <v>11</v>
      </c>
      <c r="B2473" s="3" t="s">
        <v>12</v>
      </c>
      <c r="C2473" s="3" t="s">
        <v>15</v>
      </c>
      <c r="D2473" s="3" t="s">
        <v>16</v>
      </c>
      <c r="E2473" s="3" t="s">
        <v>17</v>
      </c>
      <c r="F2473" s="3" t="s">
        <v>25</v>
      </c>
      <c r="G2473" s="3" t="s">
        <v>27</v>
      </c>
    </row>
    <row r="2474">
      <c r="A2474" s="3" t="s">
        <v>11</v>
      </c>
      <c r="B2474" s="3" t="s">
        <v>15</v>
      </c>
      <c r="C2474" s="3" t="s">
        <v>16</v>
      </c>
      <c r="D2474" s="3" t="s">
        <v>27</v>
      </c>
    </row>
    <row r="2475">
      <c r="A2475" s="3" t="s">
        <v>11</v>
      </c>
      <c r="B2475" s="3" t="s">
        <v>12</v>
      </c>
      <c r="C2475" s="3" t="s">
        <v>13</v>
      </c>
      <c r="D2475" s="3" t="s">
        <v>17</v>
      </c>
    </row>
    <row r="2476">
      <c r="A2476" s="3" t="s">
        <v>11</v>
      </c>
      <c r="B2476" s="3" t="s">
        <v>12</v>
      </c>
      <c r="C2476" s="3" t="s">
        <v>15</v>
      </c>
      <c r="D2476" s="3" t="s">
        <v>16</v>
      </c>
      <c r="E2476" s="3" t="s">
        <v>25</v>
      </c>
      <c r="F2476" s="3" t="s">
        <v>27</v>
      </c>
    </row>
    <row r="2477">
      <c r="A2477" s="3" t="s">
        <v>11</v>
      </c>
      <c r="B2477" s="3" t="s">
        <v>13</v>
      </c>
      <c r="C2477" s="3" t="s">
        <v>15</v>
      </c>
      <c r="D2477" s="3" t="s">
        <v>17</v>
      </c>
      <c r="E2477" s="3" t="s">
        <v>26</v>
      </c>
    </row>
    <row r="2478">
      <c r="A2478" s="3" t="s">
        <v>11</v>
      </c>
      <c r="B2478" s="3" t="s">
        <v>15</v>
      </c>
      <c r="C2478" s="3" t="s">
        <v>16</v>
      </c>
      <c r="D2478" s="3" t="s">
        <v>27</v>
      </c>
    </row>
    <row r="2479">
      <c r="A2479" s="3" t="s">
        <v>11</v>
      </c>
      <c r="B2479" s="3" t="s">
        <v>13</v>
      </c>
      <c r="C2479" s="3" t="s">
        <v>26</v>
      </c>
    </row>
    <row r="2480">
      <c r="A2480" s="3" t="s">
        <v>11</v>
      </c>
      <c r="B2480" s="3" t="s">
        <v>12</v>
      </c>
      <c r="C2480" s="3" t="s">
        <v>18</v>
      </c>
      <c r="D2480" s="3" t="s">
        <v>25</v>
      </c>
    </row>
    <row r="2481">
      <c r="A2481" s="3" t="s">
        <v>11</v>
      </c>
      <c r="B2481" s="3" t="s">
        <v>13</v>
      </c>
      <c r="C2481" s="3" t="s">
        <v>26</v>
      </c>
    </row>
    <row r="2482">
      <c r="A2482" s="3" t="s">
        <v>11</v>
      </c>
      <c r="B2482" s="3" t="s">
        <v>13</v>
      </c>
      <c r="C2482" s="3" t="s">
        <v>26</v>
      </c>
    </row>
    <row r="2483">
      <c r="A2483" s="3" t="s">
        <v>11</v>
      </c>
      <c r="B2483" s="3" t="s">
        <v>16</v>
      </c>
      <c r="C2483" s="3" t="s">
        <v>18</v>
      </c>
    </row>
    <row r="2484">
      <c r="A2484" s="3" t="s">
        <v>12</v>
      </c>
      <c r="B2484" s="3" t="s">
        <v>15</v>
      </c>
      <c r="C2484" s="3" t="s">
        <v>16</v>
      </c>
      <c r="D2484" s="3" t="s">
        <v>18</v>
      </c>
    </row>
    <row r="2485">
      <c r="A2485" s="3" t="s">
        <v>12</v>
      </c>
      <c r="B2485" s="3" t="s">
        <v>13</v>
      </c>
      <c r="C2485" s="3" t="s">
        <v>14</v>
      </c>
      <c r="D2485" s="3" t="s">
        <v>17</v>
      </c>
    </row>
    <row r="2486">
      <c r="A2486" s="3" t="s">
        <v>12</v>
      </c>
      <c r="B2486" s="3" t="s">
        <v>13</v>
      </c>
      <c r="C2486" s="3" t="s">
        <v>14</v>
      </c>
      <c r="D2486" s="3" t="s">
        <v>17</v>
      </c>
    </row>
    <row r="2487">
      <c r="A2487" s="3" t="s">
        <v>12</v>
      </c>
      <c r="B2487" s="3" t="s">
        <v>13</v>
      </c>
      <c r="C2487" s="3" t="s">
        <v>14</v>
      </c>
      <c r="D2487" s="3" t="s">
        <v>17</v>
      </c>
    </row>
    <row r="2488">
      <c r="A2488" s="3" t="s">
        <v>13</v>
      </c>
      <c r="B2488" s="3" t="s">
        <v>14</v>
      </c>
      <c r="C2488" s="3" t="s">
        <v>17</v>
      </c>
      <c r="D2488" s="3" t="s">
        <v>18</v>
      </c>
    </row>
    <row r="2489">
      <c r="A2489" s="3" t="s">
        <v>13</v>
      </c>
      <c r="B2489" s="3" t="s">
        <v>14</v>
      </c>
      <c r="C2489" s="3" t="s">
        <v>17</v>
      </c>
      <c r="D2489" s="3" t="s">
        <v>26</v>
      </c>
    </row>
    <row r="2490">
      <c r="A2490" s="3" t="s">
        <v>13</v>
      </c>
      <c r="B2490" s="3" t="s">
        <v>14</v>
      </c>
      <c r="C2490" s="3" t="s">
        <v>15</v>
      </c>
      <c r="D2490" s="3" t="s">
        <v>17</v>
      </c>
    </row>
    <row r="2491">
      <c r="A2491" s="3" t="s">
        <v>13</v>
      </c>
      <c r="B2491" s="3" t="s">
        <v>14</v>
      </c>
      <c r="C2491" s="3" t="s">
        <v>17</v>
      </c>
      <c r="D2491" s="3" t="s">
        <v>18</v>
      </c>
    </row>
    <row r="2492">
      <c r="A2492" s="3" t="s">
        <v>13</v>
      </c>
      <c r="B2492" s="3" t="s">
        <v>14</v>
      </c>
      <c r="C2492" s="3" t="s">
        <v>18</v>
      </c>
      <c r="D2492" s="3" t="s">
        <v>26</v>
      </c>
    </row>
    <row r="2493">
      <c r="A2493" s="3" t="s">
        <v>13</v>
      </c>
      <c r="B2493" s="3" t="s">
        <v>14</v>
      </c>
      <c r="C2493" s="3" t="s">
        <v>15</v>
      </c>
      <c r="D2493" s="3" t="s">
        <v>26</v>
      </c>
    </row>
    <row r="2494">
      <c r="A2494" s="3" t="s">
        <v>13</v>
      </c>
      <c r="B2494" s="3" t="s">
        <v>14</v>
      </c>
      <c r="C2494" s="3" t="s">
        <v>17</v>
      </c>
      <c r="D2494" s="3" t="s">
        <v>18</v>
      </c>
      <c r="E2494" s="3" t="s">
        <v>26</v>
      </c>
    </row>
    <row r="2495">
      <c r="A2495" s="3" t="s">
        <v>13</v>
      </c>
      <c r="B2495" s="3" t="s">
        <v>14</v>
      </c>
    </row>
    <row r="2496">
      <c r="A2496" s="3" t="s">
        <v>13</v>
      </c>
      <c r="B2496" s="3" t="s">
        <v>14</v>
      </c>
      <c r="C2496" s="3" t="s">
        <v>17</v>
      </c>
      <c r="D2496" s="3" t="s">
        <v>18</v>
      </c>
    </row>
    <row r="2497">
      <c r="A2497" s="3" t="s">
        <v>13</v>
      </c>
      <c r="B2497" s="3" t="s">
        <v>14</v>
      </c>
      <c r="C2497" s="3" t="s">
        <v>26</v>
      </c>
      <c r="D2497" s="3" t="s">
        <v>27</v>
      </c>
    </row>
    <row r="2498">
      <c r="A2498" s="3" t="s">
        <v>13</v>
      </c>
      <c r="B2498" s="3" t="s">
        <v>14</v>
      </c>
    </row>
    <row r="2499">
      <c r="A2499" s="3" t="s">
        <v>13</v>
      </c>
      <c r="B2499" s="3" t="s">
        <v>14</v>
      </c>
      <c r="C2499" s="3" t="s">
        <v>15</v>
      </c>
      <c r="D2499" s="3" t="s">
        <v>16</v>
      </c>
      <c r="E2499" s="3" t="s">
        <v>17</v>
      </c>
      <c r="F2499" s="3" t="s">
        <v>18</v>
      </c>
      <c r="G2499" s="3" t="s">
        <v>26</v>
      </c>
    </row>
    <row r="2500">
      <c r="A2500" s="3" t="s">
        <v>13</v>
      </c>
      <c r="B2500" s="3" t="s">
        <v>26</v>
      </c>
    </row>
    <row r="2501">
      <c r="A2501" s="3" t="s">
        <v>13</v>
      </c>
      <c r="B2501" s="3" t="s">
        <v>14</v>
      </c>
      <c r="C2501" s="3" t="s">
        <v>17</v>
      </c>
      <c r="D2501" s="3" t="s">
        <v>26</v>
      </c>
    </row>
    <row r="2502">
      <c r="A2502" s="3" t="s">
        <v>13</v>
      </c>
      <c r="B2502" s="3" t="s">
        <v>14</v>
      </c>
      <c r="C2502" s="3" t="s">
        <v>15</v>
      </c>
      <c r="D2502" s="3" t="s">
        <v>26</v>
      </c>
    </row>
    <row r="2503">
      <c r="A2503" s="3" t="s">
        <v>13</v>
      </c>
    </row>
    <row r="2504">
      <c r="A2504" s="3" t="s">
        <v>13</v>
      </c>
      <c r="B2504" s="3" t="s">
        <v>17</v>
      </c>
      <c r="C2504" s="3" t="s">
        <v>18</v>
      </c>
    </row>
    <row r="2505">
      <c r="A2505" s="3" t="s">
        <v>13</v>
      </c>
      <c r="B2505" s="3" t="s">
        <v>14</v>
      </c>
      <c r="C2505" s="3" t="s">
        <v>16</v>
      </c>
      <c r="D2505" s="3" t="s">
        <v>26</v>
      </c>
    </row>
    <row r="2506">
      <c r="A2506" s="3" t="s">
        <v>13</v>
      </c>
      <c r="B2506" s="3" t="s">
        <v>14</v>
      </c>
      <c r="C2506" s="3" t="s">
        <v>26</v>
      </c>
    </row>
    <row r="2507">
      <c r="A2507" s="3" t="s">
        <v>13</v>
      </c>
      <c r="B2507" s="3" t="s">
        <v>14</v>
      </c>
      <c r="C2507" s="3" t="s">
        <v>17</v>
      </c>
    </row>
    <row r="2508">
      <c r="A2508" s="3" t="s">
        <v>13</v>
      </c>
      <c r="B2508" s="3" t="s">
        <v>17</v>
      </c>
      <c r="C2508" s="3" t="s">
        <v>26</v>
      </c>
    </row>
    <row r="2509">
      <c r="A2509" s="3" t="s">
        <v>13</v>
      </c>
      <c r="B2509" s="3" t="s">
        <v>15</v>
      </c>
      <c r="C2509" s="3" t="s">
        <v>17</v>
      </c>
      <c r="D2509" s="3" t="s">
        <v>27</v>
      </c>
    </row>
    <row r="2510">
      <c r="A2510" s="3" t="s">
        <v>13</v>
      </c>
      <c r="B2510" s="3" t="s">
        <v>14</v>
      </c>
      <c r="C2510" s="3" t="s">
        <v>18</v>
      </c>
      <c r="D2510" s="3" t="s">
        <v>26</v>
      </c>
    </row>
    <row r="2511">
      <c r="A2511" s="3" t="s">
        <v>13</v>
      </c>
      <c r="B2511" s="3" t="s">
        <v>14</v>
      </c>
      <c r="C2511" s="3" t="s">
        <v>17</v>
      </c>
      <c r="D2511" s="3" t="s">
        <v>26</v>
      </c>
    </row>
    <row r="2512">
      <c r="A2512" s="3" t="s">
        <v>13</v>
      </c>
      <c r="B2512" s="3" t="s">
        <v>14</v>
      </c>
      <c r="C2512" s="3" t="s">
        <v>17</v>
      </c>
      <c r="D2512" s="3" t="s">
        <v>18</v>
      </c>
    </row>
    <row r="2513">
      <c r="A2513" s="3" t="s">
        <v>13</v>
      </c>
      <c r="B2513" s="3" t="s">
        <v>14</v>
      </c>
      <c r="C2513" s="3" t="s">
        <v>15</v>
      </c>
      <c r="D2513" s="3" t="s">
        <v>16</v>
      </c>
    </row>
    <row r="2514">
      <c r="A2514" s="3" t="s">
        <v>15</v>
      </c>
      <c r="B2514" s="3" t="s">
        <v>16</v>
      </c>
    </row>
    <row r="2515">
      <c r="A2515" s="3" t="s">
        <v>15</v>
      </c>
      <c r="B2515" s="3" t="s">
        <v>16</v>
      </c>
      <c r="C2515" s="3" t="s">
        <v>17</v>
      </c>
      <c r="D2515" s="3" t="s">
        <v>18</v>
      </c>
    </row>
    <row r="2516">
      <c r="A2516" s="3" t="s">
        <v>15</v>
      </c>
      <c r="B2516" s="3" t="s">
        <v>16</v>
      </c>
      <c r="C2516" s="3" t="s">
        <v>26</v>
      </c>
      <c r="D2516" s="3" t="s">
        <v>27</v>
      </c>
    </row>
    <row r="2517">
      <c r="A2517" s="3" t="s">
        <v>15</v>
      </c>
      <c r="B2517" s="3" t="s">
        <v>16</v>
      </c>
      <c r="C2517" s="3" t="s">
        <v>17</v>
      </c>
      <c r="D2517" s="3" t="s">
        <v>27</v>
      </c>
    </row>
    <row r="2518">
      <c r="A2518" s="3" t="s">
        <v>17</v>
      </c>
      <c r="B2518" s="3" t="s">
        <v>25</v>
      </c>
    </row>
    <row r="2519">
      <c r="A2519" s="3" t="s">
        <v>6</v>
      </c>
      <c r="B2519" s="3" t="s">
        <v>7</v>
      </c>
      <c r="C2519" s="3" t="s">
        <v>8</v>
      </c>
      <c r="D2519" s="3" t="s">
        <v>11</v>
      </c>
      <c r="E2519" s="3" t="s">
        <v>15</v>
      </c>
    </row>
    <row r="2520">
      <c r="A2520" s="3" t="s">
        <v>6</v>
      </c>
      <c r="B2520" s="3" t="s">
        <v>8</v>
      </c>
      <c r="C2520" s="3" t="s">
        <v>24</v>
      </c>
    </row>
    <row r="2521">
      <c r="A2521" s="3" t="s">
        <v>6</v>
      </c>
      <c r="B2521" s="3" t="s">
        <v>7</v>
      </c>
      <c r="C2521" s="3" t="s">
        <v>11</v>
      </c>
      <c r="D2521" s="3" t="s">
        <v>12</v>
      </c>
      <c r="E2521" s="3" t="s">
        <v>15</v>
      </c>
      <c r="F2521" s="3" t="s">
        <v>17</v>
      </c>
    </row>
    <row r="2522">
      <c r="A2522" s="3" t="s">
        <v>6</v>
      </c>
      <c r="B2522" s="3" t="s">
        <v>7</v>
      </c>
      <c r="C2522" s="3" t="s">
        <v>11</v>
      </c>
      <c r="D2522" s="3" t="s">
        <v>15</v>
      </c>
    </row>
    <row r="2523">
      <c r="A2523" s="3" t="s">
        <v>6</v>
      </c>
      <c r="B2523" s="3" t="s">
        <v>7</v>
      </c>
      <c r="C2523" s="3" t="s">
        <v>13</v>
      </c>
      <c r="D2523" s="3" t="s">
        <v>14</v>
      </c>
      <c r="E2523" s="3" t="s">
        <v>15</v>
      </c>
    </row>
    <row r="2524">
      <c r="A2524" s="3" t="s">
        <v>6</v>
      </c>
      <c r="B2524" s="3" t="s">
        <v>8</v>
      </c>
      <c r="C2524" s="3" t="s">
        <v>15</v>
      </c>
      <c r="D2524" s="3" t="s">
        <v>16</v>
      </c>
    </row>
    <row r="2525">
      <c r="A2525" s="3" t="s">
        <v>6</v>
      </c>
      <c r="B2525" s="3" t="s">
        <v>7</v>
      </c>
      <c r="C2525" s="3" t="s">
        <v>8</v>
      </c>
      <c r="D2525" s="3" t="s">
        <v>13</v>
      </c>
    </row>
    <row r="2526">
      <c r="A2526" s="3" t="s">
        <v>6</v>
      </c>
      <c r="B2526" s="3" t="s">
        <v>7</v>
      </c>
      <c r="C2526" s="3" t="s">
        <v>8</v>
      </c>
      <c r="D2526" s="3" t="s">
        <v>9</v>
      </c>
      <c r="E2526" s="3" t="s">
        <v>15</v>
      </c>
      <c r="F2526" s="3" t="s">
        <v>16</v>
      </c>
      <c r="G2526" s="3" t="s">
        <v>17</v>
      </c>
      <c r="H2526" s="3" t="s">
        <v>18</v>
      </c>
      <c r="I2526" s="3" t="s">
        <v>24</v>
      </c>
    </row>
    <row r="2527">
      <c r="A2527" s="3" t="s">
        <v>6</v>
      </c>
      <c r="B2527" s="3" t="s">
        <v>8</v>
      </c>
      <c r="C2527" s="3" t="s">
        <v>15</v>
      </c>
      <c r="D2527" s="3" t="s">
        <v>17</v>
      </c>
    </row>
    <row r="2528">
      <c r="A2528" s="3" t="s">
        <v>6</v>
      </c>
      <c r="B2528" s="3" t="s">
        <v>7</v>
      </c>
      <c r="C2528" s="3" t="s">
        <v>8</v>
      </c>
      <c r="D2528" s="3" t="s">
        <v>9</v>
      </c>
      <c r="E2528" s="3" t="s">
        <v>12</v>
      </c>
      <c r="F2528" s="3" t="s">
        <v>15</v>
      </c>
    </row>
    <row r="2529">
      <c r="A2529" s="3" t="s">
        <v>6</v>
      </c>
      <c r="B2529" s="3" t="s">
        <v>7</v>
      </c>
      <c r="C2529" s="3" t="s">
        <v>8</v>
      </c>
      <c r="D2529" s="3" t="s">
        <v>12</v>
      </c>
      <c r="E2529" s="3" t="s">
        <v>14</v>
      </c>
      <c r="F2529" s="3" t="s">
        <v>15</v>
      </c>
      <c r="G2529" s="3" t="s">
        <v>16</v>
      </c>
      <c r="H2529" s="3" t="s">
        <v>18</v>
      </c>
    </row>
    <row r="2530">
      <c r="A2530" s="3" t="s">
        <v>6</v>
      </c>
      <c r="B2530" s="3" t="s">
        <v>7</v>
      </c>
      <c r="C2530" s="3" t="s">
        <v>8</v>
      </c>
      <c r="D2530" s="3" t="s">
        <v>9</v>
      </c>
      <c r="E2530" s="3" t="s">
        <v>15</v>
      </c>
      <c r="F2530" s="3" t="s">
        <v>17</v>
      </c>
      <c r="G2530" s="3" t="s">
        <v>18</v>
      </c>
    </row>
    <row r="2531">
      <c r="A2531" s="3" t="s">
        <v>6</v>
      </c>
      <c r="B2531" s="3" t="s">
        <v>7</v>
      </c>
      <c r="C2531" s="3" t="s">
        <v>13</v>
      </c>
      <c r="D2531" s="3" t="s">
        <v>14</v>
      </c>
      <c r="E2531" s="3" t="s">
        <v>17</v>
      </c>
    </row>
    <row r="2532">
      <c r="A2532" s="3" t="s">
        <v>6</v>
      </c>
      <c r="B2532" s="3" t="s">
        <v>7</v>
      </c>
      <c r="C2532" s="3" t="s">
        <v>9</v>
      </c>
      <c r="D2532" s="3" t="s">
        <v>11</v>
      </c>
      <c r="E2532" s="3" t="s">
        <v>12</v>
      </c>
      <c r="F2532" s="3" t="s">
        <v>13</v>
      </c>
      <c r="G2532" s="3" t="s">
        <v>15</v>
      </c>
    </row>
    <row r="2533">
      <c r="A2533" s="3" t="s">
        <v>6</v>
      </c>
      <c r="B2533" s="3" t="s">
        <v>11</v>
      </c>
      <c r="C2533" s="3" t="s">
        <v>14</v>
      </c>
      <c r="D2533" s="3" t="s">
        <v>15</v>
      </c>
      <c r="E2533" s="3" t="s">
        <v>16</v>
      </c>
      <c r="F2533" s="3" t="s">
        <v>17</v>
      </c>
    </row>
    <row r="2534">
      <c r="A2534" s="3" t="s">
        <v>6</v>
      </c>
      <c r="B2534" s="3" t="s">
        <v>7</v>
      </c>
      <c r="C2534" s="3" t="s">
        <v>8</v>
      </c>
      <c r="D2534" s="3" t="s">
        <v>11</v>
      </c>
      <c r="E2534" s="3" t="s">
        <v>12</v>
      </c>
      <c r="F2534" s="3" t="s">
        <v>13</v>
      </c>
      <c r="G2534" s="3" t="s">
        <v>15</v>
      </c>
    </row>
    <row r="2535">
      <c r="A2535" s="3" t="s">
        <v>6</v>
      </c>
      <c r="B2535" s="3" t="s">
        <v>7</v>
      </c>
      <c r="C2535" s="3" t="s">
        <v>13</v>
      </c>
    </row>
    <row r="2536">
      <c r="A2536" s="3" t="s">
        <v>6</v>
      </c>
      <c r="B2536" s="3" t="s">
        <v>7</v>
      </c>
      <c r="C2536" s="3" t="s">
        <v>8</v>
      </c>
      <c r="D2536" s="3" t="s">
        <v>11</v>
      </c>
      <c r="E2536" s="3" t="s">
        <v>13</v>
      </c>
      <c r="F2536" s="3" t="s">
        <v>14</v>
      </c>
      <c r="G2536" s="3" t="s">
        <v>17</v>
      </c>
      <c r="H2536" s="3" t="s">
        <v>18</v>
      </c>
    </row>
    <row r="2537">
      <c r="A2537" s="3" t="s">
        <v>6</v>
      </c>
      <c r="B2537" s="3" t="s">
        <v>7</v>
      </c>
      <c r="C2537" s="3" t="s">
        <v>8</v>
      </c>
      <c r="D2537" s="3" t="s">
        <v>9</v>
      </c>
      <c r="E2537" s="3" t="s">
        <v>11</v>
      </c>
      <c r="F2537" s="3" t="s">
        <v>12</v>
      </c>
      <c r="G2537" s="3" t="s">
        <v>14</v>
      </c>
      <c r="H2537" s="3" t="s">
        <v>18</v>
      </c>
    </row>
    <row r="2538">
      <c r="A2538" s="3" t="s">
        <v>6</v>
      </c>
      <c r="B2538" s="3" t="s">
        <v>7</v>
      </c>
      <c r="C2538" s="3" t="s">
        <v>8</v>
      </c>
      <c r="D2538" s="3" t="s">
        <v>12</v>
      </c>
      <c r="E2538" s="3" t="s">
        <v>17</v>
      </c>
      <c r="F2538" s="3" t="s">
        <v>18</v>
      </c>
    </row>
    <row r="2539">
      <c r="A2539" s="3" t="s">
        <v>6</v>
      </c>
      <c r="B2539" s="3" t="s">
        <v>7</v>
      </c>
      <c r="C2539" s="3" t="s">
        <v>8</v>
      </c>
      <c r="D2539" s="3" t="s">
        <v>13</v>
      </c>
      <c r="E2539" s="3" t="s">
        <v>14</v>
      </c>
      <c r="F2539" s="3" t="s">
        <v>15</v>
      </c>
      <c r="G2539" s="3" t="s">
        <v>17</v>
      </c>
    </row>
    <row r="2540">
      <c r="A2540" s="3" t="s">
        <v>6</v>
      </c>
      <c r="B2540" s="3" t="s">
        <v>7</v>
      </c>
      <c r="C2540" s="3" t="s">
        <v>9</v>
      </c>
      <c r="D2540" s="3" t="s">
        <v>11</v>
      </c>
      <c r="E2540" s="3" t="s">
        <v>12</v>
      </c>
      <c r="F2540" s="3" t="s">
        <v>13</v>
      </c>
      <c r="G2540" s="3" t="s">
        <v>14</v>
      </c>
      <c r="H2540" s="3" t="s">
        <v>15</v>
      </c>
      <c r="I2540" s="3" t="s">
        <v>16</v>
      </c>
      <c r="J2540" s="3" t="s">
        <v>17</v>
      </c>
    </row>
    <row r="2541">
      <c r="A2541" s="3" t="s">
        <v>6</v>
      </c>
      <c r="B2541" s="3" t="s">
        <v>7</v>
      </c>
      <c r="C2541" s="3" t="s">
        <v>8</v>
      </c>
      <c r="D2541" s="3" t="s">
        <v>13</v>
      </c>
      <c r="E2541" s="3" t="s">
        <v>17</v>
      </c>
    </row>
    <row r="2542">
      <c r="A2542" s="3" t="s">
        <v>6</v>
      </c>
      <c r="B2542" s="3" t="s">
        <v>7</v>
      </c>
      <c r="C2542" s="3" t="s">
        <v>8</v>
      </c>
      <c r="D2542" s="3" t="s">
        <v>13</v>
      </c>
    </row>
    <row r="2543">
      <c r="A2543" s="3" t="s">
        <v>6</v>
      </c>
      <c r="B2543" s="3" t="s">
        <v>7</v>
      </c>
      <c r="C2543" s="3" t="s">
        <v>15</v>
      </c>
    </row>
    <row r="2544">
      <c r="A2544" s="3" t="s">
        <v>6</v>
      </c>
      <c r="B2544" s="3" t="s">
        <v>7</v>
      </c>
      <c r="C2544" s="3" t="s">
        <v>8</v>
      </c>
      <c r="D2544" s="3" t="s">
        <v>9</v>
      </c>
      <c r="E2544" s="3" t="s">
        <v>11</v>
      </c>
      <c r="F2544" s="3" t="s">
        <v>12</v>
      </c>
      <c r="G2544" s="3" t="s">
        <v>15</v>
      </c>
    </row>
    <row r="2545">
      <c r="A2545" s="3" t="s">
        <v>6</v>
      </c>
      <c r="B2545" s="3" t="s">
        <v>7</v>
      </c>
      <c r="C2545" s="3" t="s">
        <v>13</v>
      </c>
      <c r="D2545" s="3" t="s">
        <v>16</v>
      </c>
      <c r="E2545" s="3" t="s">
        <v>17</v>
      </c>
      <c r="F2545" s="3" t="s">
        <v>18</v>
      </c>
    </row>
    <row r="2546">
      <c r="A2546" s="3" t="s">
        <v>6</v>
      </c>
      <c r="B2546" s="3" t="s">
        <v>7</v>
      </c>
    </row>
    <row r="2547">
      <c r="A2547" s="3" t="s">
        <v>6</v>
      </c>
      <c r="B2547" s="3" t="s">
        <v>7</v>
      </c>
      <c r="C2547" s="3" t="s">
        <v>8</v>
      </c>
      <c r="D2547" s="3" t="s">
        <v>13</v>
      </c>
      <c r="E2547" s="3" t="s">
        <v>14</v>
      </c>
      <c r="F2547" s="3" t="s">
        <v>17</v>
      </c>
      <c r="G2547" s="3" t="s">
        <v>18</v>
      </c>
    </row>
    <row r="2548">
      <c r="A2548" s="3" t="s">
        <v>6</v>
      </c>
      <c r="B2548" s="3" t="s">
        <v>7</v>
      </c>
      <c r="C2548" s="3" t="s">
        <v>8</v>
      </c>
      <c r="D2548" s="3" t="s">
        <v>9</v>
      </c>
      <c r="E2548" s="3" t="s">
        <v>11</v>
      </c>
      <c r="F2548" s="3" t="s">
        <v>12</v>
      </c>
      <c r="G2548" s="3" t="s">
        <v>15</v>
      </c>
      <c r="H2548" s="3" t="s">
        <v>17</v>
      </c>
      <c r="I2548" s="3" t="s">
        <v>18</v>
      </c>
      <c r="J2548" s="3" t="s">
        <v>24</v>
      </c>
    </row>
    <row r="2549">
      <c r="A2549" s="3" t="s">
        <v>6</v>
      </c>
      <c r="B2549" s="3" t="s">
        <v>7</v>
      </c>
      <c r="C2549" s="3" t="s">
        <v>8</v>
      </c>
      <c r="D2549" s="3" t="s">
        <v>9</v>
      </c>
      <c r="E2549" s="3" t="s">
        <v>12</v>
      </c>
      <c r="F2549" s="3" t="s">
        <v>15</v>
      </c>
      <c r="G2549" s="3" t="s">
        <v>16</v>
      </c>
      <c r="H2549" s="3" t="s">
        <v>18</v>
      </c>
    </row>
    <row r="2550">
      <c r="A2550" s="3" t="s">
        <v>6</v>
      </c>
    </row>
    <row r="2551">
      <c r="A2551" s="3" t="s">
        <v>6</v>
      </c>
      <c r="B2551" s="3" t="s">
        <v>7</v>
      </c>
      <c r="C2551" s="3" t="s">
        <v>11</v>
      </c>
      <c r="D2551" s="3" t="s">
        <v>12</v>
      </c>
      <c r="E2551" s="3" t="s">
        <v>17</v>
      </c>
    </row>
    <row r="2552">
      <c r="A2552" s="3" t="s">
        <v>6</v>
      </c>
      <c r="B2552" s="3" t="s">
        <v>7</v>
      </c>
      <c r="C2552" s="3" t="s">
        <v>8</v>
      </c>
      <c r="D2552" s="3" t="s">
        <v>9</v>
      </c>
      <c r="E2552" s="3" t="s">
        <v>15</v>
      </c>
      <c r="F2552" s="3" t="s">
        <v>16</v>
      </c>
    </row>
    <row r="2553">
      <c r="A2553" s="3" t="s">
        <v>6</v>
      </c>
      <c r="B2553" s="3" t="s">
        <v>7</v>
      </c>
      <c r="C2553" s="3" t="s">
        <v>8</v>
      </c>
      <c r="D2553" s="3" t="s">
        <v>11</v>
      </c>
      <c r="E2553" s="3" t="s">
        <v>13</v>
      </c>
      <c r="F2553" s="3" t="s">
        <v>17</v>
      </c>
      <c r="G2553" s="3" t="s">
        <v>18</v>
      </c>
    </row>
    <row r="2554">
      <c r="A2554" s="3" t="s">
        <v>6</v>
      </c>
      <c r="B2554" s="3" t="s">
        <v>7</v>
      </c>
      <c r="C2554" s="3" t="s">
        <v>11</v>
      </c>
      <c r="D2554" s="3" t="s">
        <v>12</v>
      </c>
      <c r="E2554" s="3" t="s">
        <v>15</v>
      </c>
    </row>
    <row r="2555">
      <c r="A2555" s="3" t="s">
        <v>6</v>
      </c>
      <c r="B2555" s="3" t="s">
        <v>8</v>
      </c>
      <c r="C2555" s="3" t="s">
        <v>16</v>
      </c>
    </row>
    <row r="2556">
      <c r="A2556" s="3" t="s">
        <v>6</v>
      </c>
      <c r="B2556" s="3" t="s">
        <v>7</v>
      </c>
      <c r="C2556" s="3" t="s">
        <v>8</v>
      </c>
      <c r="D2556" s="3" t="s">
        <v>9</v>
      </c>
      <c r="E2556" s="3" t="s">
        <v>11</v>
      </c>
      <c r="F2556" s="3" t="s">
        <v>12</v>
      </c>
      <c r="G2556" s="3" t="s">
        <v>13</v>
      </c>
      <c r="H2556" s="3" t="s">
        <v>14</v>
      </c>
      <c r="I2556" s="3" t="s">
        <v>15</v>
      </c>
      <c r="J2556" s="3" t="s">
        <v>17</v>
      </c>
      <c r="K2556" s="3" t="s">
        <v>18</v>
      </c>
    </row>
    <row r="2557">
      <c r="A2557" s="3" t="s">
        <v>6</v>
      </c>
      <c r="B2557" s="3" t="s">
        <v>7</v>
      </c>
      <c r="C2557" s="3" t="s">
        <v>8</v>
      </c>
      <c r="D2557" s="3" t="s">
        <v>9</v>
      </c>
      <c r="E2557" s="3" t="s">
        <v>10</v>
      </c>
      <c r="F2557" s="3" t="s">
        <v>12</v>
      </c>
      <c r="G2557" s="3" t="s">
        <v>15</v>
      </c>
      <c r="H2557" s="3" t="s">
        <v>16</v>
      </c>
      <c r="I2557" s="3" t="s">
        <v>17</v>
      </c>
      <c r="J2557" s="3" t="s">
        <v>18</v>
      </c>
    </row>
    <row r="2558">
      <c r="A2558" s="3" t="s">
        <v>6</v>
      </c>
      <c r="B2558" s="3" t="s">
        <v>7</v>
      </c>
      <c r="C2558" s="3" t="s">
        <v>8</v>
      </c>
      <c r="D2558" s="3" t="s">
        <v>9</v>
      </c>
      <c r="E2558" s="3" t="s">
        <v>11</v>
      </c>
      <c r="F2558" s="3" t="s">
        <v>12</v>
      </c>
      <c r="G2558" s="3" t="s">
        <v>15</v>
      </c>
      <c r="H2558" s="3" t="s">
        <v>18</v>
      </c>
    </row>
    <row r="2559">
      <c r="A2559" s="3" t="s">
        <v>6</v>
      </c>
      <c r="B2559" s="3" t="s">
        <v>9</v>
      </c>
      <c r="C2559" s="3" t="s">
        <v>13</v>
      </c>
    </row>
    <row r="2560">
      <c r="A2560" s="3" t="s">
        <v>6</v>
      </c>
      <c r="B2560" s="3" t="s">
        <v>7</v>
      </c>
      <c r="C2560" s="3" t="s">
        <v>11</v>
      </c>
      <c r="D2560" s="3" t="s">
        <v>12</v>
      </c>
      <c r="E2560" s="3" t="s">
        <v>13</v>
      </c>
      <c r="F2560" s="3" t="s">
        <v>14</v>
      </c>
      <c r="G2560" s="3" t="s">
        <v>15</v>
      </c>
      <c r="H2560" s="3" t="s">
        <v>17</v>
      </c>
    </row>
    <row r="2561">
      <c r="A2561" s="3" t="s">
        <v>6</v>
      </c>
      <c r="B2561" s="3" t="s">
        <v>7</v>
      </c>
      <c r="C2561" s="3" t="s">
        <v>11</v>
      </c>
      <c r="D2561" s="3" t="s">
        <v>12</v>
      </c>
    </row>
    <row r="2562">
      <c r="A2562" s="3" t="s">
        <v>6</v>
      </c>
      <c r="B2562" s="3" t="s">
        <v>7</v>
      </c>
      <c r="C2562" s="3" t="s">
        <v>8</v>
      </c>
      <c r="D2562" s="3" t="s">
        <v>9</v>
      </c>
      <c r="E2562" s="3" t="s">
        <v>12</v>
      </c>
      <c r="F2562" s="3" t="s">
        <v>15</v>
      </c>
      <c r="G2562" s="3" t="s">
        <v>16</v>
      </c>
      <c r="H2562" s="3" t="s">
        <v>17</v>
      </c>
      <c r="I2562" s="3" t="s">
        <v>24</v>
      </c>
    </row>
    <row r="2563">
      <c r="A2563" s="3" t="s">
        <v>6</v>
      </c>
      <c r="B2563" s="3" t="s">
        <v>13</v>
      </c>
    </row>
    <row r="2564">
      <c r="A2564" s="3" t="s">
        <v>6</v>
      </c>
      <c r="B2564" s="3" t="s">
        <v>7</v>
      </c>
      <c r="C2564" s="3" t="s">
        <v>11</v>
      </c>
      <c r="D2564" s="3" t="s">
        <v>12</v>
      </c>
      <c r="E2564" s="3" t="s">
        <v>13</v>
      </c>
      <c r="F2564" s="3" t="s">
        <v>17</v>
      </c>
    </row>
    <row r="2565">
      <c r="A2565" s="3" t="s">
        <v>6</v>
      </c>
      <c r="B2565" s="3" t="s">
        <v>16</v>
      </c>
    </row>
    <row r="2566">
      <c r="A2566" s="3" t="s">
        <v>6</v>
      </c>
      <c r="B2566" s="3" t="s">
        <v>7</v>
      </c>
      <c r="C2566" s="3" t="s">
        <v>8</v>
      </c>
      <c r="D2566" s="3" t="s">
        <v>9</v>
      </c>
      <c r="E2566" s="3" t="s">
        <v>11</v>
      </c>
      <c r="F2566" s="3" t="s">
        <v>12</v>
      </c>
      <c r="G2566" s="3" t="s">
        <v>24</v>
      </c>
    </row>
    <row r="2567">
      <c r="A2567" s="3" t="s">
        <v>6</v>
      </c>
    </row>
    <row r="2568">
      <c r="A2568" s="3" t="s">
        <v>6</v>
      </c>
      <c r="B2568" s="3" t="s">
        <v>7</v>
      </c>
      <c r="C2568" s="3" t="s">
        <v>8</v>
      </c>
      <c r="D2568" s="3" t="s">
        <v>13</v>
      </c>
      <c r="E2568" s="3" t="s">
        <v>15</v>
      </c>
      <c r="F2568" s="3" t="s">
        <v>17</v>
      </c>
    </row>
    <row r="2569">
      <c r="A2569" s="3" t="s">
        <v>6</v>
      </c>
      <c r="B2569" s="3" t="s">
        <v>16</v>
      </c>
      <c r="C2569" s="3" t="s">
        <v>17</v>
      </c>
    </row>
    <row r="2570">
      <c r="A2570" s="3" t="s">
        <v>6</v>
      </c>
    </row>
    <row r="2571">
      <c r="A2571" s="3" t="s">
        <v>6</v>
      </c>
      <c r="B2571" s="3" t="s">
        <v>11</v>
      </c>
      <c r="C2571" s="3" t="s">
        <v>12</v>
      </c>
      <c r="D2571" s="3" t="s">
        <v>13</v>
      </c>
      <c r="E2571" s="3" t="s">
        <v>14</v>
      </c>
      <c r="F2571" s="3" t="s">
        <v>15</v>
      </c>
      <c r="G2571" s="3" t="s">
        <v>17</v>
      </c>
      <c r="H2571" s="3" t="s">
        <v>18</v>
      </c>
    </row>
    <row r="2572">
      <c r="A2572" s="3" t="s">
        <v>6</v>
      </c>
      <c r="B2572" s="3" t="s">
        <v>7</v>
      </c>
      <c r="C2572" s="3" t="s">
        <v>11</v>
      </c>
    </row>
    <row r="2573">
      <c r="A2573" s="3" t="s">
        <v>6</v>
      </c>
      <c r="B2573" s="3" t="s">
        <v>16</v>
      </c>
    </row>
    <row r="2574">
      <c r="A2574" s="3" t="s">
        <v>6</v>
      </c>
      <c r="B2574" s="3" t="s">
        <v>7</v>
      </c>
      <c r="C2574" s="3" t="s">
        <v>8</v>
      </c>
      <c r="D2574" s="3" t="s">
        <v>11</v>
      </c>
      <c r="E2574" s="3" t="s">
        <v>15</v>
      </c>
    </row>
    <row r="2575">
      <c r="A2575" s="3" t="s">
        <v>6</v>
      </c>
      <c r="B2575" s="3" t="s">
        <v>11</v>
      </c>
    </row>
    <row r="2576">
      <c r="A2576" s="3" t="s">
        <v>6</v>
      </c>
      <c r="B2576" s="3" t="s">
        <v>11</v>
      </c>
      <c r="C2576" s="3" t="s">
        <v>12</v>
      </c>
      <c r="D2576" s="3" t="s">
        <v>13</v>
      </c>
      <c r="E2576" s="3" t="s">
        <v>15</v>
      </c>
      <c r="F2576" s="3" t="s">
        <v>16</v>
      </c>
    </row>
    <row r="2577">
      <c r="A2577" s="3" t="s">
        <v>6</v>
      </c>
      <c r="B2577" s="3" t="s">
        <v>7</v>
      </c>
      <c r="C2577" s="3" t="s">
        <v>8</v>
      </c>
      <c r="D2577" s="3" t="s">
        <v>9</v>
      </c>
      <c r="E2577" s="3" t="s">
        <v>11</v>
      </c>
      <c r="F2577" s="3" t="s">
        <v>12</v>
      </c>
      <c r="G2577" s="3" t="s">
        <v>15</v>
      </c>
      <c r="H2577" s="3" t="s">
        <v>16</v>
      </c>
    </row>
    <row r="2578">
      <c r="A2578" s="3" t="s">
        <v>6</v>
      </c>
      <c r="B2578" s="3" t="s">
        <v>8</v>
      </c>
      <c r="C2578" s="3" t="s">
        <v>13</v>
      </c>
      <c r="D2578" s="3" t="s">
        <v>17</v>
      </c>
    </row>
    <row r="2579">
      <c r="A2579" s="3" t="s">
        <v>6</v>
      </c>
      <c r="B2579" s="3" t="s">
        <v>7</v>
      </c>
      <c r="C2579" s="3" t="s">
        <v>11</v>
      </c>
      <c r="D2579" s="3" t="s">
        <v>12</v>
      </c>
      <c r="E2579" s="3" t="s">
        <v>15</v>
      </c>
      <c r="F2579" s="3" t="s">
        <v>17</v>
      </c>
    </row>
    <row r="2580">
      <c r="A2580" s="3" t="s">
        <v>6</v>
      </c>
      <c r="B2580" s="3" t="s">
        <v>9</v>
      </c>
      <c r="C2580" s="3" t="s">
        <v>11</v>
      </c>
    </row>
    <row r="2581">
      <c r="A2581" s="3" t="s">
        <v>6</v>
      </c>
      <c r="B2581" s="3" t="s">
        <v>12</v>
      </c>
      <c r="C2581" s="3" t="s">
        <v>13</v>
      </c>
      <c r="D2581" s="3" t="s">
        <v>14</v>
      </c>
      <c r="E2581" s="3" t="s">
        <v>17</v>
      </c>
    </row>
    <row r="2582">
      <c r="A2582" s="3" t="s">
        <v>6</v>
      </c>
      <c r="B2582" s="3" t="s">
        <v>7</v>
      </c>
      <c r="C2582" s="3" t="s">
        <v>8</v>
      </c>
      <c r="D2582" s="3" t="s">
        <v>9</v>
      </c>
      <c r="E2582" s="3" t="s">
        <v>15</v>
      </c>
    </row>
    <row r="2583">
      <c r="A2583" s="3" t="s">
        <v>6</v>
      </c>
      <c r="B2583" s="3" t="s">
        <v>11</v>
      </c>
      <c r="C2583" s="3" t="s">
        <v>12</v>
      </c>
      <c r="D2583" s="3" t="s">
        <v>13</v>
      </c>
      <c r="E2583" s="3" t="s">
        <v>14</v>
      </c>
      <c r="F2583" s="3" t="s">
        <v>15</v>
      </c>
      <c r="G2583" s="3" t="s">
        <v>17</v>
      </c>
      <c r="H2583" s="3" t="s">
        <v>18</v>
      </c>
    </row>
    <row r="2584">
      <c r="A2584" s="3" t="s">
        <v>609</v>
      </c>
    </row>
    <row r="2585">
      <c r="A2585" s="3" t="s">
        <v>7</v>
      </c>
      <c r="B2585" s="3" t="s">
        <v>8</v>
      </c>
      <c r="C2585" s="3" t="s">
        <v>9</v>
      </c>
      <c r="D2585" s="3" t="s">
        <v>12</v>
      </c>
      <c r="E2585" s="3" t="s">
        <v>15</v>
      </c>
      <c r="F2585" s="3" t="s">
        <v>16</v>
      </c>
      <c r="G2585" s="3" t="s">
        <v>17</v>
      </c>
    </row>
    <row r="2586">
      <c r="A2586" s="3" t="s">
        <v>7</v>
      </c>
      <c r="B2586" s="3" t="s">
        <v>12</v>
      </c>
      <c r="C2586" s="3" t="s">
        <v>15</v>
      </c>
    </row>
    <row r="2587">
      <c r="A2587" s="3" t="s">
        <v>7</v>
      </c>
      <c r="B2587" s="3" t="s">
        <v>8</v>
      </c>
      <c r="C2587" s="3" t="s">
        <v>11</v>
      </c>
      <c r="D2587" s="3" t="s">
        <v>12</v>
      </c>
      <c r="E2587" s="3" t="s">
        <v>13</v>
      </c>
      <c r="F2587" s="3" t="s">
        <v>17</v>
      </c>
    </row>
    <row r="2588">
      <c r="A2588" s="3" t="s">
        <v>7</v>
      </c>
      <c r="B2588" s="3" t="s">
        <v>13</v>
      </c>
    </row>
    <row r="2589">
      <c r="A2589" s="3" t="s">
        <v>7</v>
      </c>
      <c r="B2589" s="3" t="s">
        <v>9</v>
      </c>
      <c r="C2589" s="3" t="s">
        <v>18</v>
      </c>
    </row>
    <row r="2590">
      <c r="A2590" s="3" t="s">
        <v>7</v>
      </c>
      <c r="B2590" s="3" t="s">
        <v>12</v>
      </c>
      <c r="C2590" s="3" t="s">
        <v>13</v>
      </c>
    </row>
    <row r="2591">
      <c r="A2591" s="3" t="s">
        <v>7</v>
      </c>
      <c r="B2591" s="3" t="s">
        <v>12</v>
      </c>
    </row>
    <row r="2592">
      <c r="A2592" s="3" t="s">
        <v>7</v>
      </c>
      <c r="B2592" s="3" t="s">
        <v>9</v>
      </c>
      <c r="C2592" s="3" t="s">
        <v>15</v>
      </c>
      <c r="D2592" s="3" t="s">
        <v>18</v>
      </c>
    </row>
    <row r="2593">
      <c r="A2593" s="3" t="s">
        <v>7</v>
      </c>
      <c r="B2593" s="3" t="s">
        <v>12</v>
      </c>
      <c r="C2593" s="3" t="s">
        <v>13</v>
      </c>
    </row>
    <row r="2594">
      <c r="A2594" s="3" t="s">
        <v>7</v>
      </c>
      <c r="B2594" s="3" t="s">
        <v>12</v>
      </c>
    </row>
    <row r="2595">
      <c r="A2595" s="3" t="s">
        <v>7</v>
      </c>
      <c r="B2595" s="3" t="s">
        <v>18</v>
      </c>
    </row>
    <row r="2596">
      <c r="A2596" s="3" t="s">
        <v>7</v>
      </c>
      <c r="B2596" s="3" t="s">
        <v>18</v>
      </c>
    </row>
    <row r="2597">
      <c r="A2597" s="3" t="s">
        <v>7</v>
      </c>
      <c r="B2597" s="3" t="s">
        <v>12</v>
      </c>
      <c r="C2597" s="3" t="s">
        <v>13</v>
      </c>
    </row>
    <row r="2598">
      <c r="A2598" s="3" t="s">
        <v>7</v>
      </c>
      <c r="B2598" s="3" t="s">
        <v>13</v>
      </c>
      <c r="C2598" s="3" t="s">
        <v>18</v>
      </c>
    </row>
    <row r="2599">
      <c r="A2599" s="3" t="s">
        <v>7</v>
      </c>
      <c r="B2599" s="3" t="s">
        <v>9</v>
      </c>
      <c r="C2599" s="3" t="s">
        <v>12</v>
      </c>
      <c r="D2599" s="3" t="s">
        <v>15</v>
      </c>
      <c r="E2599" s="3" t="s">
        <v>18</v>
      </c>
    </row>
    <row r="2600">
      <c r="A2600" s="3" t="s">
        <v>7</v>
      </c>
      <c r="B2600" s="3" t="s">
        <v>9</v>
      </c>
      <c r="C2600" s="3" t="s">
        <v>12</v>
      </c>
      <c r="D2600" s="3" t="s">
        <v>13</v>
      </c>
      <c r="E2600" s="3" t="s">
        <v>14</v>
      </c>
      <c r="F2600" s="3" t="s">
        <v>15</v>
      </c>
    </row>
    <row r="2601">
      <c r="A2601" s="3" t="s">
        <v>7</v>
      </c>
      <c r="B2601" s="3" t="s">
        <v>12</v>
      </c>
      <c r="C2601" s="3" t="s">
        <v>15</v>
      </c>
    </row>
    <row r="260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11</v>
      </c>
      <c r="F2602" s="3" t="s">
        <v>15</v>
      </c>
      <c r="G2602" s="3" t="s">
        <v>16</v>
      </c>
      <c r="H2602" s="3" t="s">
        <v>17</v>
      </c>
      <c r="I2602" s="3" t="s">
        <v>18</v>
      </c>
    </row>
    <row r="2603">
      <c r="A2603" s="3" t="s">
        <v>7</v>
      </c>
      <c r="B2603" s="3" t="s">
        <v>12</v>
      </c>
    </row>
    <row r="2604">
      <c r="A2604" s="3" t="s">
        <v>7</v>
      </c>
      <c r="B2604" s="3" t="s">
        <v>13</v>
      </c>
    </row>
    <row r="2605">
      <c r="A2605" s="3" t="s">
        <v>7</v>
      </c>
      <c r="B2605" s="3" t="s">
        <v>13</v>
      </c>
    </row>
    <row r="2606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14</v>
      </c>
      <c r="F2606" s="3" t="s">
        <v>15</v>
      </c>
      <c r="G2606" s="3" t="s">
        <v>16</v>
      </c>
      <c r="H2606" s="3" t="s">
        <v>17</v>
      </c>
      <c r="I2606" s="3" t="s">
        <v>18</v>
      </c>
    </row>
    <row r="2607">
      <c r="A2607" s="3" t="s">
        <v>7</v>
      </c>
      <c r="B2607" s="3" t="s">
        <v>8</v>
      </c>
      <c r="C2607" s="3" t="s">
        <v>11</v>
      </c>
      <c r="D2607" s="3" t="s">
        <v>12</v>
      </c>
      <c r="E2607" s="3" t="s">
        <v>15</v>
      </c>
      <c r="F2607" s="3" t="s">
        <v>17</v>
      </c>
    </row>
    <row r="2608">
      <c r="A2608" s="3" t="s">
        <v>7</v>
      </c>
      <c r="B2608" s="3" t="s">
        <v>12</v>
      </c>
    </row>
    <row r="2609">
      <c r="A2609" s="3" t="s">
        <v>7</v>
      </c>
      <c r="B2609" s="3" t="s">
        <v>12</v>
      </c>
      <c r="C2609" s="3" t="s">
        <v>18</v>
      </c>
    </row>
    <row r="2610">
      <c r="A2610" s="3" t="s">
        <v>7</v>
      </c>
    </row>
    <row r="2611">
      <c r="A2611" s="3" t="s">
        <v>7</v>
      </c>
    </row>
    <row r="2612">
      <c r="A2612" s="3" t="s">
        <v>7</v>
      </c>
      <c r="B2612" s="3" t="s">
        <v>12</v>
      </c>
    </row>
    <row r="2613">
      <c r="A2613" s="3" t="s">
        <v>7</v>
      </c>
      <c r="B2613" s="3" t="s">
        <v>9</v>
      </c>
      <c r="C2613" s="3" t="s">
        <v>13</v>
      </c>
      <c r="D2613" s="3" t="s">
        <v>15</v>
      </c>
    </row>
    <row r="2614">
      <c r="A2614" s="3" t="s">
        <v>7</v>
      </c>
      <c r="B2614" s="3" t="s">
        <v>8</v>
      </c>
      <c r="C2614" s="3" t="s">
        <v>11</v>
      </c>
      <c r="D2614" s="3" t="s">
        <v>12</v>
      </c>
      <c r="E2614" s="3" t="s">
        <v>17</v>
      </c>
      <c r="F2614" s="3" t="s">
        <v>18</v>
      </c>
    </row>
    <row r="2615">
      <c r="A2615" s="3" t="s">
        <v>7</v>
      </c>
      <c r="B2615" s="3" t="s">
        <v>9</v>
      </c>
      <c r="C2615" s="3" t="s">
        <v>11</v>
      </c>
    </row>
    <row r="2616">
      <c r="A2616" s="3" t="s">
        <v>7</v>
      </c>
      <c r="B2616" s="3" t="s">
        <v>8</v>
      </c>
      <c r="C2616" s="3" t="s">
        <v>17</v>
      </c>
      <c r="D2616" s="3" t="s">
        <v>24</v>
      </c>
    </row>
    <row r="2617">
      <c r="A2617" s="3" t="s">
        <v>7</v>
      </c>
      <c r="B2617" s="3" t="s">
        <v>15</v>
      </c>
      <c r="C2617" s="3" t="s">
        <v>18</v>
      </c>
    </row>
    <row r="2618">
      <c r="A2618" s="3" t="s">
        <v>7</v>
      </c>
      <c r="B2618" s="3" t="s">
        <v>8</v>
      </c>
      <c r="C2618" s="3" t="s">
        <v>9</v>
      </c>
      <c r="D2618" s="3" t="s">
        <v>12</v>
      </c>
      <c r="E2618" s="3" t="s">
        <v>13</v>
      </c>
      <c r="F2618" s="3" t="s">
        <v>14</v>
      </c>
      <c r="G2618" s="3" t="s">
        <v>15</v>
      </c>
      <c r="H2618" s="3" t="s">
        <v>16</v>
      </c>
      <c r="I2618" s="3" t="s">
        <v>17</v>
      </c>
      <c r="J2618" s="3" t="s">
        <v>18</v>
      </c>
    </row>
    <row r="2619">
      <c r="A2619" s="3" t="s">
        <v>7</v>
      </c>
      <c r="B2619" s="3" t="s">
        <v>9</v>
      </c>
      <c r="C2619" s="3" t="s">
        <v>12</v>
      </c>
      <c r="D2619" s="3" t="s">
        <v>15</v>
      </c>
      <c r="E2619" s="3" t="s">
        <v>18</v>
      </c>
    </row>
    <row r="2620">
      <c r="A2620" s="3" t="s">
        <v>7</v>
      </c>
      <c r="B2620" s="3" t="s">
        <v>13</v>
      </c>
    </row>
    <row r="2621">
      <c r="A2621" s="3" t="s">
        <v>7</v>
      </c>
      <c r="B2621" s="3" t="s">
        <v>13</v>
      </c>
    </row>
    <row r="2622">
      <c r="A2622" s="3" t="s">
        <v>7</v>
      </c>
      <c r="B2622" s="3" t="s">
        <v>9</v>
      </c>
      <c r="C2622" s="3" t="s">
        <v>12</v>
      </c>
      <c r="D2622" s="3" t="s">
        <v>13</v>
      </c>
      <c r="E2622" s="3" t="s">
        <v>15</v>
      </c>
    </row>
    <row r="2623">
      <c r="A2623" s="3" t="s">
        <v>7</v>
      </c>
      <c r="B2623" s="3" t="s">
        <v>8</v>
      </c>
      <c r="C2623" s="3" t="s">
        <v>9</v>
      </c>
      <c r="D2623" s="3" t="s">
        <v>11</v>
      </c>
      <c r="E2623" s="3" t="s">
        <v>12</v>
      </c>
      <c r="F2623" s="3" t="s">
        <v>15</v>
      </c>
      <c r="G2623" s="3" t="s">
        <v>16</v>
      </c>
      <c r="H2623" s="3" t="s">
        <v>17</v>
      </c>
      <c r="I2623" s="3" t="s">
        <v>18</v>
      </c>
      <c r="J2623" s="3" t="s">
        <v>24</v>
      </c>
    </row>
    <row r="2624">
      <c r="A2624" s="3" t="s">
        <v>7</v>
      </c>
      <c r="B2624" s="3" t="s">
        <v>13</v>
      </c>
      <c r="C2624" s="3" t="s">
        <v>14</v>
      </c>
      <c r="D2624" s="3" t="s">
        <v>15</v>
      </c>
    </row>
    <row r="2625">
      <c r="A2625" s="3" t="s">
        <v>7</v>
      </c>
      <c r="B2625" s="3" t="s">
        <v>8</v>
      </c>
      <c r="C2625" s="3" t="s">
        <v>9</v>
      </c>
      <c r="D2625" s="3" t="s">
        <v>10</v>
      </c>
      <c r="E2625" s="3" t="s">
        <v>15</v>
      </c>
      <c r="F2625" s="3" t="s">
        <v>16</v>
      </c>
    </row>
    <row r="2626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11</v>
      </c>
      <c r="F2626" s="3" t="s">
        <v>12</v>
      </c>
      <c r="G2626" s="3" t="s">
        <v>17</v>
      </c>
    </row>
    <row r="2627">
      <c r="A2627" s="3" t="s">
        <v>7</v>
      </c>
      <c r="B2627" s="3" t="s">
        <v>8</v>
      </c>
      <c r="C2627" s="3" t="s">
        <v>9</v>
      </c>
      <c r="D2627" s="3" t="s">
        <v>11</v>
      </c>
      <c r="E2627" s="3" t="s">
        <v>12</v>
      </c>
      <c r="F2627" s="3" t="s">
        <v>14</v>
      </c>
      <c r="G2627" s="3" t="s">
        <v>17</v>
      </c>
    </row>
    <row r="2628">
      <c r="A2628" s="3" t="s">
        <v>7</v>
      </c>
      <c r="B2628" s="3" t="s">
        <v>13</v>
      </c>
    </row>
    <row r="2629">
      <c r="A2629" s="3" t="s">
        <v>7</v>
      </c>
      <c r="B2629" s="3" t="s">
        <v>13</v>
      </c>
    </row>
    <row r="2630">
      <c r="A2630" s="3" t="s">
        <v>7</v>
      </c>
      <c r="B2630" s="3" t="s">
        <v>13</v>
      </c>
      <c r="C2630" s="3" t="s">
        <v>14</v>
      </c>
      <c r="D2630" s="3" t="s">
        <v>15</v>
      </c>
      <c r="E2630" s="3" t="s">
        <v>17</v>
      </c>
      <c r="F2630" s="3" t="s">
        <v>18</v>
      </c>
    </row>
    <row r="2631">
      <c r="A2631" s="3" t="s">
        <v>7</v>
      </c>
    </row>
    <row r="2632">
      <c r="A2632" s="3" t="s">
        <v>8</v>
      </c>
      <c r="B2632" s="3" t="s">
        <v>9</v>
      </c>
      <c r="C2632" s="3" t="s">
        <v>11</v>
      </c>
      <c r="D2632" s="3" t="s">
        <v>12</v>
      </c>
      <c r="E2632" s="3" t="s">
        <v>15</v>
      </c>
      <c r="F2632" s="3" t="s">
        <v>17</v>
      </c>
      <c r="G2632" s="3" t="s">
        <v>18</v>
      </c>
      <c r="H2632" s="3" t="s">
        <v>24</v>
      </c>
    </row>
    <row r="2633">
      <c r="A2633" s="3" t="s">
        <v>8</v>
      </c>
      <c r="B2633" s="3" t="s">
        <v>18</v>
      </c>
    </row>
    <row r="2634">
      <c r="A2634" s="3" t="s">
        <v>8</v>
      </c>
      <c r="B2634" s="3" t="s">
        <v>9</v>
      </c>
      <c r="C2634" s="3" t="s">
        <v>12</v>
      </c>
      <c r="D2634" s="3" t="s">
        <v>14</v>
      </c>
      <c r="E2634" s="3" t="s">
        <v>16</v>
      </c>
      <c r="F2634" s="3" t="s">
        <v>17</v>
      </c>
      <c r="G2634" s="3" t="s">
        <v>18</v>
      </c>
      <c r="H2634" s="3" t="s">
        <v>24</v>
      </c>
    </row>
    <row r="2635">
      <c r="A2635" s="3" t="s">
        <v>8</v>
      </c>
      <c r="B2635" s="3" t="s">
        <v>17</v>
      </c>
    </row>
    <row r="2636">
      <c r="A2636" s="3" t="s">
        <v>8</v>
      </c>
      <c r="B2636" s="3" t="s">
        <v>9</v>
      </c>
      <c r="C2636" s="3" t="s">
        <v>11</v>
      </c>
      <c r="D2636" s="3" t="s">
        <v>14</v>
      </c>
      <c r="E2636" s="3" t="s">
        <v>15</v>
      </c>
      <c r="F2636" s="3" t="s">
        <v>16</v>
      </c>
      <c r="G2636" s="3" t="s">
        <v>17</v>
      </c>
    </row>
    <row r="2637">
      <c r="A2637" s="3" t="s">
        <v>8</v>
      </c>
      <c r="B2637" s="3" t="s">
        <v>9</v>
      </c>
      <c r="C2637" s="3" t="s">
        <v>11</v>
      </c>
      <c r="D2637" s="3" t="s">
        <v>12</v>
      </c>
      <c r="E2637" s="3" t="s">
        <v>15</v>
      </c>
      <c r="F2637" s="3" t="s">
        <v>16</v>
      </c>
      <c r="G2637" s="3" t="s">
        <v>24</v>
      </c>
    </row>
    <row r="2638">
      <c r="A2638" s="3" t="s">
        <v>8</v>
      </c>
      <c r="B2638" s="3" t="s">
        <v>14</v>
      </c>
      <c r="C2638" s="3" t="s">
        <v>15</v>
      </c>
      <c r="D2638" s="3" t="s">
        <v>16</v>
      </c>
      <c r="E2638" s="3" t="s">
        <v>17</v>
      </c>
    </row>
    <row r="2639">
      <c r="A2639" s="3" t="s">
        <v>8</v>
      </c>
      <c r="B2639" s="3" t="s">
        <v>13</v>
      </c>
      <c r="C2639" s="3" t="s">
        <v>17</v>
      </c>
    </row>
    <row r="2640">
      <c r="A2640" s="3" t="s">
        <v>8</v>
      </c>
      <c r="B2640" s="3" t="s">
        <v>16</v>
      </c>
      <c r="C2640" s="3" t="s">
        <v>17</v>
      </c>
    </row>
    <row r="2641">
      <c r="A2641" s="3" t="s">
        <v>8</v>
      </c>
      <c r="B2641" s="3" t="s">
        <v>11</v>
      </c>
      <c r="C2641" s="3" t="s">
        <v>12</v>
      </c>
      <c r="D2641" s="3" t="s">
        <v>17</v>
      </c>
      <c r="E2641" s="3" t="s">
        <v>18</v>
      </c>
    </row>
    <row r="2642">
      <c r="A2642" s="3" t="s">
        <v>8</v>
      </c>
      <c r="B2642" s="3" t="s">
        <v>11</v>
      </c>
      <c r="C2642" s="3" t="s">
        <v>12</v>
      </c>
      <c r="D2642" s="3" t="s">
        <v>15</v>
      </c>
      <c r="E2642" s="3" t="s">
        <v>16</v>
      </c>
      <c r="F2642" s="3" t="s">
        <v>24</v>
      </c>
    </row>
    <row r="2643">
      <c r="A2643" s="3" t="s">
        <v>8</v>
      </c>
      <c r="B2643" s="3" t="s">
        <v>9</v>
      </c>
      <c r="C2643" s="3" t="s">
        <v>13</v>
      </c>
      <c r="D2643" s="3" t="s">
        <v>14</v>
      </c>
      <c r="E2643" s="3" t="s">
        <v>15</v>
      </c>
      <c r="F2643" s="3" t="s">
        <v>17</v>
      </c>
      <c r="G2643" s="3" t="s">
        <v>18</v>
      </c>
      <c r="H2643" s="3" t="s">
        <v>24</v>
      </c>
    </row>
    <row r="2644">
      <c r="A2644" s="3" t="s">
        <v>8</v>
      </c>
      <c r="B2644" s="3" t="s">
        <v>17</v>
      </c>
    </row>
    <row r="2645">
      <c r="A2645" s="3" t="s">
        <v>8</v>
      </c>
      <c r="B2645" s="3" t="s">
        <v>16</v>
      </c>
      <c r="C2645" s="3" t="s">
        <v>17</v>
      </c>
    </row>
    <row r="2646">
      <c r="A2646" s="3" t="s">
        <v>8</v>
      </c>
      <c r="B2646" s="3" t="s">
        <v>10</v>
      </c>
      <c r="C2646" s="3" t="s">
        <v>11</v>
      </c>
      <c r="D2646" s="3" t="s">
        <v>12</v>
      </c>
      <c r="E2646" s="3" t="s">
        <v>17</v>
      </c>
      <c r="F2646" s="3" t="s">
        <v>18</v>
      </c>
    </row>
    <row r="2647">
      <c r="A2647" s="3" t="s">
        <v>8</v>
      </c>
      <c r="B2647" s="3" t="s">
        <v>9</v>
      </c>
      <c r="C2647" s="3" t="s">
        <v>11</v>
      </c>
      <c r="D2647" s="3" t="s">
        <v>12</v>
      </c>
      <c r="E2647" s="3" t="s">
        <v>13</v>
      </c>
      <c r="F2647" s="3" t="s">
        <v>14</v>
      </c>
      <c r="G2647" s="3" t="s">
        <v>17</v>
      </c>
      <c r="H2647" s="3" t="s">
        <v>18</v>
      </c>
    </row>
    <row r="2648">
      <c r="A2648" s="3" t="s">
        <v>8</v>
      </c>
      <c r="B2648" s="3" t="s">
        <v>9</v>
      </c>
      <c r="C2648" s="3" t="s">
        <v>11</v>
      </c>
      <c r="D2648" s="3" t="s">
        <v>12</v>
      </c>
      <c r="E2648" s="3" t="s">
        <v>14</v>
      </c>
      <c r="F2648" s="3" t="s">
        <v>17</v>
      </c>
    </row>
    <row r="2649">
      <c r="A2649" s="3" t="s">
        <v>8</v>
      </c>
      <c r="B2649" s="3" t="s">
        <v>9</v>
      </c>
      <c r="C2649" s="3" t="s">
        <v>10</v>
      </c>
      <c r="D2649" s="3" t="s">
        <v>13</v>
      </c>
      <c r="E2649" s="3" t="s">
        <v>14</v>
      </c>
      <c r="F2649" s="3" t="s">
        <v>16</v>
      </c>
      <c r="G2649" s="3" t="s">
        <v>17</v>
      </c>
      <c r="H2649" s="3" t="s">
        <v>18</v>
      </c>
    </row>
    <row r="2650">
      <c r="A2650" s="3" t="s">
        <v>8</v>
      </c>
      <c r="B2650" s="3" t="s">
        <v>11</v>
      </c>
      <c r="C2650" s="3" t="s">
        <v>12</v>
      </c>
      <c r="D2650" s="3" t="s">
        <v>13</v>
      </c>
      <c r="E2650" s="3" t="s">
        <v>14</v>
      </c>
      <c r="F2650" s="3" t="s">
        <v>15</v>
      </c>
      <c r="G2650" s="3" t="s">
        <v>17</v>
      </c>
      <c r="H2650" s="3" t="s">
        <v>18</v>
      </c>
    </row>
    <row r="2651">
      <c r="A2651" s="3" t="s">
        <v>8</v>
      </c>
      <c r="B2651" s="3" t="s">
        <v>9</v>
      </c>
      <c r="C2651" s="3" t="s">
        <v>10</v>
      </c>
      <c r="D2651" s="3" t="s">
        <v>15</v>
      </c>
      <c r="E2651" s="3" t="s">
        <v>16</v>
      </c>
      <c r="F2651" s="3" t="s">
        <v>17</v>
      </c>
      <c r="G2651" s="3" t="s">
        <v>18</v>
      </c>
    </row>
    <row r="2652">
      <c r="A2652" s="3" t="s">
        <v>8</v>
      </c>
      <c r="B2652" s="3" t="s">
        <v>9</v>
      </c>
      <c r="C2652" s="3" t="s">
        <v>13</v>
      </c>
      <c r="D2652" s="3" t="s">
        <v>14</v>
      </c>
      <c r="E2652" s="3" t="s">
        <v>17</v>
      </c>
    </row>
    <row r="2653">
      <c r="A2653" s="3" t="s">
        <v>8</v>
      </c>
      <c r="B2653" s="3" t="s">
        <v>9</v>
      </c>
      <c r="C2653" s="3" t="s">
        <v>11</v>
      </c>
      <c r="D2653" s="3" t="s">
        <v>15</v>
      </c>
      <c r="E2653" s="3" t="s">
        <v>16</v>
      </c>
      <c r="F2653" s="3" t="s">
        <v>17</v>
      </c>
    </row>
    <row r="2654">
      <c r="A2654" s="3" t="s">
        <v>8</v>
      </c>
      <c r="B2654" s="3" t="s">
        <v>11</v>
      </c>
    </row>
    <row r="2655">
      <c r="A2655" s="3" t="s">
        <v>9</v>
      </c>
      <c r="B2655" s="3" t="s">
        <v>11</v>
      </c>
      <c r="C2655" s="3" t="s">
        <v>12</v>
      </c>
      <c r="D2655" s="3" t="s">
        <v>15</v>
      </c>
      <c r="E2655" s="3" t="s">
        <v>16</v>
      </c>
      <c r="F2655" s="3" t="s">
        <v>17</v>
      </c>
      <c r="G2655" s="3" t="s">
        <v>24</v>
      </c>
    </row>
    <row r="2656">
      <c r="A2656" s="3" t="s">
        <v>9</v>
      </c>
      <c r="B2656" s="3" t="s">
        <v>11</v>
      </c>
      <c r="C2656" s="3" t="s">
        <v>12</v>
      </c>
      <c r="D2656" s="3" t="s">
        <v>13</v>
      </c>
      <c r="E2656" s="3" t="s">
        <v>14</v>
      </c>
      <c r="F2656" s="3" t="s">
        <v>15</v>
      </c>
      <c r="G2656" s="3" t="s">
        <v>16</v>
      </c>
      <c r="H2656" s="3" t="s">
        <v>17</v>
      </c>
      <c r="I2656" s="3" t="s">
        <v>24</v>
      </c>
    </row>
    <row r="2657">
      <c r="A2657" s="3" t="s">
        <v>9</v>
      </c>
      <c r="B2657" s="3" t="s">
        <v>18</v>
      </c>
    </row>
    <row r="2658">
      <c r="A2658" s="3" t="s">
        <v>9</v>
      </c>
      <c r="B2658" s="3" t="s">
        <v>11</v>
      </c>
      <c r="C2658" s="3" t="s">
        <v>12</v>
      </c>
      <c r="D2658" s="3" t="s">
        <v>13</v>
      </c>
      <c r="E2658" s="3" t="s">
        <v>14</v>
      </c>
      <c r="F2658" s="3" t="s">
        <v>16</v>
      </c>
      <c r="G2658" s="3" t="s">
        <v>17</v>
      </c>
      <c r="H2658" s="3" t="s">
        <v>18</v>
      </c>
    </row>
    <row r="2659">
      <c r="A2659" s="3" t="s">
        <v>9</v>
      </c>
      <c r="B2659" s="3" t="s">
        <v>15</v>
      </c>
    </row>
    <row r="2660">
      <c r="A2660" s="3" t="s">
        <v>9</v>
      </c>
      <c r="B2660" s="3" t="s">
        <v>10</v>
      </c>
    </row>
    <row r="2661">
      <c r="A2661" s="3" t="s">
        <v>9</v>
      </c>
      <c r="B2661" s="3" t="s">
        <v>13</v>
      </c>
      <c r="C2661" s="3" t="s">
        <v>14</v>
      </c>
      <c r="D2661" s="3" t="s">
        <v>15</v>
      </c>
      <c r="E2661" s="3" t="s">
        <v>18</v>
      </c>
    </row>
    <row r="2662">
      <c r="A2662" s="3" t="s">
        <v>9</v>
      </c>
      <c r="B2662" s="3" t="s">
        <v>11</v>
      </c>
      <c r="C2662" s="3" t="s">
        <v>12</v>
      </c>
      <c r="D2662" s="3" t="s">
        <v>13</v>
      </c>
      <c r="E2662" s="3" t="s">
        <v>17</v>
      </c>
      <c r="F2662" s="3" t="s">
        <v>24</v>
      </c>
    </row>
    <row r="2663">
      <c r="A2663" s="3" t="s">
        <v>9</v>
      </c>
    </row>
    <row r="2664">
      <c r="A2664" s="3" t="s">
        <v>9</v>
      </c>
    </row>
    <row r="2665">
      <c r="A2665" s="3" t="s">
        <v>9</v>
      </c>
    </row>
    <row r="2666">
      <c r="A2666" s="3" t="s">
        <v>9</v>
      </c>
      <c r="B2666" s="3" t="s">
        <v>15</v>
      </c>
    </row>
    <row r="2667">
      <c r="A2667" s="3" t="s">
        <v>9</v>
      </c>
      <c r="B2667" s="3" t="s">
        <v>10</v>
      </c>
      <c r="C2667" s="3" t="s">
        <v>13</v>
      </c>
      <c r="D2667" s="3" t="s">
        <v>14</v>
      </c>
    </row>
    <row r="2668">
      <c r="A2668" s="3" t="s">
        <v>9</v>
      </c>
      <c r="B2668" s="3" t="s">
        <v>11</v>
      </c>
      <c r="C2668" s="3" t="s">
        <v>12</v>
      </c>
    </row>
    <row r="2669">
      <c r="A2669" s="3" t="s">
        <v>9</v>
      </c>
    </row>
    <row r="2670">
      <c r="A2670" s="3" t="s">
        <v>9</v>
      </c>
    </row>
    <row r="2671">
      <c r="A2671" s="3" t="s">
        <v>9</v>
      </c>
      <c r="B2671" s="3" t="s">
        <v>15</v>
      </c>
    </row>
    <row r="2672">
      <c r="A2672" s="3" t="s">
        <v>10</v>
      </c>
    </row>
    <row r="2673">
      <c r="A2673" s="3" t="s">
        <v>10</v>
      </c>
    </row>
    <row r="2674">
      <c r="A2674" s="3" t="s">
        <v>10</v>
      </c>
    </row>
    <row r="2675">
      <c r="A2675" s="3" t="s">
        <v>11</v>
      </c>
      <c r="B2675" s="3" t="s">
        <v>15</v>
      </c>
      <c r="C2675" s="3" t="s">
        <v>16</v>
      </c>
    </row>
    <row r="2676">
      <c r="A2676" s="3" t="s">
        <v>11</v>
      </c>
      <c r="B2676" s="3" t="s">
        <v>15</v>
      </c>
      <c r="C2676" s="3" t="s">
        <v>16</v>
      </c>
    </row>
    <row r="2677">
      <c r="A2677" s="3" t="s">
        <v>11</v>
      </c>
      <c r="B2677" s="3" t="s">
        <v>12</v>
      </c>
      <c r="C2677" s="3" t="s">
        <v>15</v>
      </c>
      <c r="D2677" s="3" t="s">
        <v>17</v>
      </c>
    </row>
    <row r="2678">
      <c r="A2678" s="3" t="s">
        <v>11</v>
      </c>
      <c r="B2678" s="3" t="s">
        <v>12</v>
      </c>
      <c r="C2678" s="3" t="s">
        <v>17</v>
      </c>
    </row>
    <row r="2679">
      <c r="A2679" s="3" t="s">
        <v>11</v>
      </c>
    </row>
    <row r="2680">
      <c r="A2680" s="3" t="s">
        <v>11</v>
      </c>
      <c r="B2680" s="3" t="s">
        <v>12</v>
      </c>
      <c r="C2680" s="3" t="s">
        <v>13</v>
      </c>
      <c r="D2680" s="3" t="s">
        <v>14</v>
      </c>
      <c r="E2680" s="3" t="s">
        <v>15</v>
      </c>
      <c r="F2680" s="3" t="s">
        <v>16</v>
      </c>
      <c r="G2680" s="3" t="s">
        <v>17</v>
      </c>
    </row>
    <row r="2681">
      <c r="A2681" s="3" t="s">
        <v>11</v>
      </c>
      <c r="B2681" s="3" t="s">
        <v>15</v>
      </c>
      <c r="C2681" s="3" t="s">
        <v>16</v>
      </c>
    </row>
    <row r="2682">
      <c r="A2682" s="3" t="s">
        <v>11</v>
      </c>
      <c r="B2682" s="3" t="s">
        <v>13</v>
      </c>
      <c r="C2682" s="3" t="s">
        <v>14</v>
      </c>
      <c r="D2682" s="3" t="s">
        <v>15</v>
      </c>
      <c r="E2682" s="3" t="s">
        <v>17</v>
      </c>
    </row>
    <row r="2683">
      <c r="A2683" s="3" t="s">
        <v>11</v>
      </c>
      <c r="B2683" s="3" t="s">
        <v>12</v>
      </c>
      <c r="C2683" s="3" t="s">
        <v>13</v>
      </c>
      <c r="D2683" s="3" t="s">
        <v>17</v>
      </c>
    </row>
    <row r="2684">
      <c r="A2684" s="3" t="s">
        <v>11</v>
      </c>
      <c r="B2684" s="3" t="s">
        <v>12</v>
      </c>
      <c r="C2684" s="3" t="s">
        <v>13</v>
      </c>
      <c r="D2684" s="3" t="s">
        <v>14</v>
      </c>
      <c r="E2684" s="3" t="s">
        <v>17</v>
      </c>
      <c r="F2684" s="3" t="s">
        <v>18</v>
      </c>
    </row>
    <row r="2685">
      <c r="A2685" s="3" t="s">
        <v>11</v>
      </c>
      <c r="B2685" s="3" t="s">
        <v>12</v>
      </c>
      <c r="C2685" s="3" t="s">
        <v>13</v>
      </c>
      <c r="D2685" s="3" t="s">
        <v>14</v>
      </c>
      <c r="E2685" s="3" t="s">
        <v>15</v>
      </c>
      <c r="F2685" s="3" t="s">
        <v>16</v>
      </c>
      <c r="G2685" s="3" t="s">
        <v>17</v>
      </c>
      <c r="H2685" s="3" t="s">
        <v>18</v>
      </c>
    </row>
    <row r="2686">
      <c r="A2686" s="3" t="s">
        <v>11</v>
      </c>
      <c r="B2686" s="3" t="s">
        <v>15</v>
      </c>
    </row>
    <row r="2687">
      <c r="A2687" s="3" t="s">
        <v>11</v>
      </c>
      <c r="B2687" s="3" t="s">
        <v>13</v>
      </c>
    </row>
    <row r="2688">
      <c r="A2688" s="3" t="s">
        <v>11</v>
      </c>
      <c r="B2688" s="3" t="s">
        <v>12</v>
      </c>
      <c r="C2688" s="3" t="s">
        <v>16</v>
      </c>
      <c r="D2688" s="3" t="s">
        <v>18</v>
      </c>
      <c r="E2688" s="3" t="s">
        <v>24</v>
      </c>
    </row>
    <row r="2689">
      <c r="A2689" s="3" t="s">
        <v>11</v>
      </c>
      <c r="B2689" s="3" t="s">
        <v>13</v>
      </c>
    </row>
    <row r="2690">
      <c r="A2690" s="3" t="s">
        <v>12</v>
      </c>
      <c r="B2690" s="3" t="s">
        <v>13</v>
      </c>
    </row>
    <row r="2691">
      <c r="A2691" s="3" t="s">
        <v>12</v>
      </c>
      <c r="B2691" s="3" t="s">
        <v>13</v>
      </c>
    </row>
    <row r="2692">
      <c r="A2692" s="3" t="s">
        <v>12</v>
      </c>
      <c r="B2692" s="3" t="s">
        <v>13</v>
      </c>
      <c r="C2692" s="3" t="s">
        <v>16</v>
      </c>
      <c r="D2692" s="3" t="s">
        <v>17</v>
      </c>
    </row>
    <row r="2693">
      <c r="A2693" s="3" t="s">
        <v>12</v>
      </c>
      <c r="B2693" s="3" t="s">
        <v>13</v>
      </c>
    </row>
    <row r="2694">
      <c r="A2694" s="3" t="s">
        <v>12</v>
      </c>
      <c r="B2694" s="3" t="s">
        <v>13</v>
      </c>
    </row>
    <row r="2695">
      <c r="A2695" s="3" t="s">
        <v>12</v>
      </c>
    </row>
    <row r="2696">
      <c r="A2696" s="3" t="s">
        <v>12</v>
      </c>
      <c r="B2696" s="3" t="s">
        <v>24</v>
      </c>
    </row>
    <row r="2697">
      <c r="A2697" s="3" t="s">
        <v>12</v>
      </c>
      <c r="B2697" s="3" t="s">
        <v>13</v>
      </c>
    </row>
    <row r="2698">
      <c r="A2698" s="3" t="s">
        <v>12</v>
      </c>
      <c r="B2698" s="3" t="s">
        <v>13</v>
      </c>
    </row>
    <row r="2699">
      <c r="A2699" s="3" t="s">
        <v>12</v>
      </c>
      <c r="B2699" s="3" t="s">
        <v>15</v>
      </c>
    </row>
    <row r="2700">
      <c r="A2700" s="3" t="s">
        <v>12</v>
      </c>
      <c r="B2700" s="3" t="s">
        <v>13</v>
      </c>
    </row>
    <row r="2701">
      <c r="A2701" s="3" t="s">
        <v>12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18</v>
      </c>
    </row>
    <row r="2702">
      <c r="A2702" s="3" t="s">
        <v>12</v>
      </c>
    </row>
    <row r="2703">
      <c r="A2703" s="3" t="s">
        <v>12</v>
      </c>
    </row>
    <row r="2704">
      <c r="A2704" s="3" t="s">
        <v>12</v>
      </c>
    </row>
    <row r="2705">
      <c r="A2705" s="3" t="s">
        <v>13</v>
      </c>
      <c r="B2705" s="3" t="s">
        <v>18</v>
      </c>
    </row>
    <row r="2706">
      <c r="A2706" s="3" t="s">
        <v>13</v>
      </c>
      <c r="B2706" s="3" t="s">
        <v>14</v>
      </c>
    </row>
    <row r="2707">
      <c r="A2707" s="3" t="s">
        <v>13</v>
      </c>
    </row>
    <row r="2708">
      <c r="A2708" s="3" t="s">
        <v>13</v>
      </c>
      <c r="B2708" s="3" t="s">
        <v>16</v>
      </c>
      <c r="C2708" s="3" t="s">
        <v>17</v>
      </c>
      <c r="D2708" s="3" t="s">
        <v>18</v>
      </c>
      <c r="E2708" s="3" t="s">
        <v>24</v>
      </c>
    </row>
    <row r="2709">
      <c r="A2709" s="3" t="s">
        <v>13</v>
      </c>
      <c r="B2709" s="3" t="s">
        <v>14</v>
      </c>
      <c r="C2709" s="3" t="s">
        <v>17</v>
      </c>
      <c r="D2709" s="3" t="s">
        <v>18</v>
      </c>
    </row>
    <row r="2710">
      <c r="A2710" s="3" t="s">
        <v>13</v>
      </c>
      <c r="B2710" s="3" t="s">
        <v>14</v>
      </c>
      <c r="C2710" s="3" t="s">
        <v>17</v>
      </c>
    </row>
    <row r="2711">
      <c r="A2711" s="3" t="s">
        <v>13</v>
      </c>
    </row>
    <row r="2712">
      <c r="A2712" s="3" t="s">
        <v>13</v>
      </c>
      <c r="B2712" s="3" t="s">
        <v>14</v>
      </c>
    </row>
    <row r="2713">
      <c r="A2713" s="3" t="s">
        <v>13</v>
      </c>
      <c r="B2713" s="3" t="s">
        <v>14</v>
      </c>
    </row>
    <row r="2714">
      <c r="A2714" s="3" t="s">
        <v>13</v>
      </c>
      <c r="B2714" s="3" t="s">
        <v>24</v>
      </c>
    </row>
    <row r="2715">
      <c r="A2715" s="3" t="s">
        <v>14</v>
      </c>
      <c r="B2715" s="3" t="s">
        <v>24</v>
      </c>
    </row>
    <row r="2716">
      <c r="A2716" s="3" t="s">
        <v>14</v>
      </c>
    </row>
    <row r="2717">
      <c r="A2717" s="3" t="s">
        <v>14</v>
      </c>
      <c r="B2717" s="3" t="s">
        <v>15</v>
      </c>
      <c r="C2717" s="3" t="s">
        <v>17</v>
      </c>
    </row>
    <row r="2718">
      <c r="A2718" s="3" t="s">
        <v>14</v>
      </c>
    </row>
    <row r="2719">
      <c r="A2719" s="3" t="s">
        <v>14</v>
      </c>
    </row>
    <row r="2720">
      <c r="A2720" s="3" t="s">
        <v>15</v>
      </c>
    </row>
    <row r="2721">
      <c r="A2721" s="3" t="s">
        <v>15</v>
      </c>
    </row>
    <row r="2722">
      <c r="A2722" s="3" t="s">
        <v>15</v>
      </c>
    </row>
    <row r="2723">
      <c r="A2723" s="3" t="s">
        <v>15</v>
      </c>
    </row>
    <row r="2724">
      <c r="A2724" s="3" t="s">
        <v>15</v>
      </c>
    </row>
    <row r="2725">
      <c r="A2725" s="3" t="s">
        <v>16</v>
      </c>
      <c r="B2725" s="3" t="s">
        <v>18</v>
      </c>
    </row>
    <row r="2726">
      <c r="A2726" s="3" t="s">
        <v>16</v>
      </c>
    </row>
    <row r="2727">
      <c r="A2727" s="3" t="s">
        <v>16</v>
      </c>
    </row>
    <row r="2728">
      <c r="A2728" s="3" t="s">
        <v>18</v>
      </c>
    </row>
    <row r="2729">
      <c r="A2729" s="3" t="s">
        <v>18</v>
      </c>
    </row>
    <row r="2730">
      <c r="A2730" s="3" t="s">
        <v>6</v>
      </c>
      <c r="B2730" s="3" t="s">
        <v>8</v>
      </c>
    </row>
    <row r="2731">
      <c r="A2731" s="3" t="s">
        <v>6</v>
      </c>
      <c r="B2731" s="3" t="s">
        <v>7</v>
      </c>
      <c r="C2731" s="3" t="s">
        <v>8</v>
      </c>
      <c r="D2731" s="3" t="s">
        <v>9</v>
      </c>
      <c r="E2731" s="3" t="s">
        <v>12</v>
      </c>
      <c r="F2731" s="3" t="s">
        <v>13</v>
      </c>
      <c r="G2731" s="3" t="s">
        <v>15</v>
      </c>
      <c r="H2731" s="3" t="s">
        <v>16</v>
      </c>
    </row>
    <row r="2732">
      <c r="A2732" s="3" t="s">
        <v>6</v>
      </c>
      <c r="B2732" s="3" t="s">
        <v>8</v>
      </c>
      <c r="C2732" s="3" t="s">
        <v>11</v>
      </c>
    </row>
    <row r="2733">
      <c r="A2733" s="3" t="s">
        <v>6</v>
      </c>
    </row>
    <row r="2734">
      <c r="A2734" s="3" t="s">
        <v>6</v>
      </c>
      <c r="B2734" s="3" t="s">
        <v>7</v>
      </c>
      <c r="C2734" s="3" t="s">
        <v>8</v>
      </c>
      <c r="D2734" s="3" t="s">
        <v>12</v>
      </c>
      <c r="E2734" s="3" t="s">
        <v>15</v>
      </c>
      <c r="F2734" s="3" t="s">
        <v>16</v>
      </c>
    </row>
    <row r="2735">
      <c r="A2735" s="3" t="s">
        <v>6</v>
      </c>
      <c r="B2735" s="3" t="s">
        <v>7</v>
      </c>
      <c r="C2735" s="3" t="s">
        <v>8</v>
      </c>
      <c r="D2735" s="3" t="s">
        <v>9</v>
      </c>
      <c r="E2735" s="3" t="s">
        <v>15</v>
      </c>
      <c r="F2735" s="3" t="s">
        <v>16</v>
      </c>
      <c r="G2735" s="3" t="s">
        <v>18</v>
      </c>
      <c r="H2735" s="3" t="s">
        <v>24</v>
      </c>
    </row>
    <row r="2736">
      <c r="A2736" s="3" t="s">
        <v>6</v>
      </c>
      <c r="B2736" s="3" t="s">
        <v>7</v>
      </c>
      <c r="C2736" s="3" t="s">
        <v>8</v>
      </c>
      <c r="D2736" s="3" t="s">
        <v>13</v>
      </c>
      <c r="E2736" s="3" t="s">
        <v>15</v>
      </c>
    </row>
    <row r="2737">
      <c r="A2737" s="3" t="s">
        <v>6</v>
      </c>
      <c r="B2737" s="3" t="s">
        <v>17</v>
      </c>
    </row>
    <row r="2738">
      <c r="A2738" s="3" t="s">
        <v>6</v>
      </c>
      <c r="B2738" s="3" t="s">
        <v>7</v>
      </c>
      <c r="C2738" s="3" t="s">
        <v>8</v>
      </c>
      <c r="D2738" s="3" t="s">
        <v>9</v>
      </c>
      <c r="E2738" s="3" t="s">
        <v>15</v>
      </c>
      <c r="F2738" s="3" t="s">
        <v>17</v>
      </c>
      <c r="G2738" s="3" t="s">
        <v>18</v>
      </c>
      <c r="H2738" s="3" t="s">
        <v>24</v>
      </c>
    </row>
    <row r="2739">
      <c r="A2739" s="3" t="s">
        <v>6</v>
      </c>
      <c r="B2739" s="3" t="s">
        <v>8</v>
      </c>
      <c r="C2739" s="3" t="s">
        <v>11</v>
      </c>
    </row>
    <row r="2740">
      <c r="A2740" s="3" t="s">
        <v>6</v>
      </c>
      <c r="B2740" s="3" t="s">
        <v>7</v>
      </c>
      <c r="C2740" s="3" t="s">
        <v>12</v>
      </c>
      <c r="D2740" s="3" t="s">
        <v>13</v>
      </c>
      <c r="E2740" s="3" t="s">
        <v>16</v>
      </c>
      <c r="F2740" s="3" t="s">
        <v>17</v>
      </c>
      <c r="G2740" s="3" t="s">
        <v>18</v>
      </c>
    </row>
    <row r="2741">
      <c r="A2741" s="3" t="s">
        <v>6</v>
      </c>
      <c r="B2741" s="3" t="s">
        <v>7</v>
      </c>
      <c r="C2741" s="3" t="s">
        <v>8</v>
      </c>
      <c r="D2741" s="3" t="s">
        <v>9</v>
      </c>
      <c r="E2741" s="3" t="s">
        <v>11</v>
      </c>
      <c r="F2741" s="3" t="s">
        <v>12</v>
      </c>
    </row>
    <row r="2742">
      <c r="A2742" s="3" t="s">
        <v>6</v>
      </c>
      <c r="B2742" s="3" t="s">
        <v>7</v>
      </c>
      <c r="C2742" s="3" t="s">
        <v>8</v>
      </c>
      <c r="D2742" s="3" t="s">
        <v>9</v>
      </c>
      <c r="E2742" s="3" t="s">
        <v>15</v>
      </c>
      <c r="F2742" s="3" t="s">
        <v>16</v>
      </c>
    </row>
    <row r="2743">
      <c r="A2743" s="3" t="s">
        <v>6</v>
      </c>
      <c r="B2743" s="3" t="s">
        <v>7</v>
      </c>
      <c r="C2743" s="3" t="s">
        <v>8</v>
      </c>
      <c r="D2743" s="3" t="s">
        <v>9</v>
      </c>
      <c r="E2743" s="3" t="s">
        <v>11</v>
      </c>
    </row>
    <row r="2744">
      <c r="A2744" s="3" t="s">
        <v>6</v>
      </c>
      <c r="B2744" s="3" t="s">
        <v>7</v>
      </c>
      <c r="C2744" s="3" t="s">
        <v>8</v>
      </c>
      <c r="D2744" s="3" t="s">
        <v>11</v>
      </c>
      <c r="E2744" s="3" t="s">
        <v>12</v>
      </c>
      <c r="F2744" s="3" t="s">
        <v>13</v>
      </c>
    </row>
    <row r="2745">
      <c r="A2745" s="3" t="s">
        <v>6</v>
      </c>
      <c r="B2745" s="3" t="s">
        <v>7</v>
      </c>
      <c r="C2745" s="3" t="s">
        <v>8</v>
      </c>
      <c r="D2745" s="3" t="s">
        <v>9</v>
      </c>
      <c r="E2745" s="3" t="s">
        <v>11</v>
      </c>
      <c r="F2745" s="3" t="s">
        <v>12</v>
      </c>
      <c r="G2745" s="3" t="s">
        <v>15</v>
      </c>
      <c r="H2745" s="3" t="s">
        <v>17</v>
      </c>
      <c r="I2745" s="3" t="s">
        <v>18</v>
      </c>
      <c r="J2745" s="3" t="s">
        <v>24</v>
      </c>
    </row>
    <row r="2746">
      <c r="A2746" s="3" t="s">
        <v>6</v>
      </c>
      <c r="B2746" s="3" t="s">
        <v>7</v>
      </c>
      <c r="C2746" s="3" t="s">
        <v>8</v>
      </c>
      <c r="D2746" s="3" t="s">
        <v>9</v>
      </c>
      <c r="E2746" s="3" t="s">
        <v>11</v>
      </c>
      <c r="F2746" s="3" t="s">
        <v>12</v>
      </c>
      <c r="G2746" s="3" t="s">
        <v>15</v>
      </c>
      <c r="H2746" s="3" t="s">
        <v>17</v>
      </c>
    </row>
    <row r="2747">
      <c r="A2747" s="3" t="s">
        <v>6</v>
      </c>
      <c r="B2747" s="3" t="s">
        <v>8</v>
      </c>
    </row>
    <row r="2748">
      <c r="A2748" s="3" t="s">
        <v>6</v>
      </c>
      <c r="B2748" s="3" t="s">
        <v>11</v>
      </c>
    </row>
    <row r="2749">
      <c r="A2749" s="3" t="s">
        <v>6</v>
      </c>
      <c r="B2749" s="3" t="s">
        <v>7</v>
      </c>
      <c r="C2749" s="3" t="s">
        <v>8</v>
      </c>
      <c r="D2749" s="3" t="s">
        <v>9</v>
      </c>
      <c r="E2749" s="3" t="s">
        <v>11</v>
      </c>
      <c r="F2749" s="3" t="s">
        <v>12</v>
      </c>
      <c r="G2749" s="3" t="s">
        <v>15</v>
      </c>
    </row>
    <row r="2750">
      <c r="A2750" s="3" t="s">
        <v>6</v>
      </c>
      <c r="B2750" s="3" t="s">
        <v>7</v>
      </c>
      <c r="C2750" s="3" t="s">
        <v>8</v>
      </c>
      <c r="D2750" s="3" t="s">
        <v>9</v>
      </c>
      <c r="E2750" s="3" t="s">
        <v>11</v>
      </c>
      <c r="F2750" s="3" t="s">
        <v>12</v>
      </c>
      <c r="G2750" s="3" t="s">
        <v>13</v>
      </c>
      <c r="H2750" s="3" t="s">
        <v>17</v>
      </c>
    </row>
    <row r="2751">
      <c r="A2751" s="3" t="s">
        <v>6</v>
      </c>
      <c r="B2751" s="3" t="s">
        <v>7</v>
      </c>
      <c r="C2751" s="3" t="s">
        <v>8</v>
      </c>
      <c r="D2751" s="3" t="s">
        <v>12</v>
      </c>
      <c r="E2751" s="3" t="s">
        <v>16</v>
      </c>
    </row>
    <row r="2752">
      <c r="A2752" s="3" t="s">
        <v>6</v>
      </c>
      <c r="B2752" s="3" t="s">
        <v>8</v>
      </c>
      <c r="C2752" s="3" t="s">
        <v>13</v>
      </c>
    </row>
    <row r="2753">
      <c r="A2753" s="3" t="s">
        <v>6</v>
      </c>
      <c r="B2753" s="3" t="s">
        <v>7</v>
      </c>
      <c r="C2753" s="3" t="s">
        <v>8</v>
      </c>
      <c r="D2753" s="3" t="s">
        <v>11</v>
      </c>
      <c r="E2753" s="3" t="s">
        <v>15</v>
      </c>
      <c r="F2753" s="3" t="s">
        <v>18</v>
      </c>
    </row>
    <row r="2754">
      <c r="A2754" s="3" t="s">
        <v>6</v>
      </c>
      <c r="B2754" s="3" t="s">
        <v>7</v>
      </c>
      <c r="C2754" s="3" t="s">
        <v>8</v>
      </c>
      <c r="D2754" s="3" t="s">
        <v>13</v>
      </c>
      <c r="E2754" s="3" t="s">
        <v>17</v>
      </c>
    </row>
    <row r="2755">
      <c r="A2755" s="3" t="s">
        <v>6</v>
      </c>
      <c r="B2755" s="3" t="s">
        <v>17</v>
      </c>
    </row>
    <row r="2756">
      <c r="A2756" s="3" t="s">
        <v>6</v>
      </c>
      <c r="B2756" s="3" t="s">
        <v>7</v>
      </c>
      <c r="C2756" s="3" t="s">
        <v>8</v>
      </c>
      <c r="D2756" s="3" t="s">
        <v>9</v>
      </c>
      <c r="E2756" s="3" t="s">
        <v>12</v>
      </c>
      <c r="F2756" s="3" t="s">
        <v>13</v>
      </c>
      <c r="G2756" s="3" t="s">
        <v>14</v>
      </c>
      <c r="H2756" s="3" t="s">
        <v>17</v>
      </c>
    </row>
    <row r="2757">
      <c r="A2757" s="3" t="s">
        <v>6</v>
      </c>
      <c r="B2757" s="3" t="s">
        <v>11</v>
      </c>
      <c r="C2757" s="3" t="s">
        <v>15</v>
      </c>
      <c r="D2757" s="3" t="s">
        <v>16</v>
      </c>
    </row>
    <row r="2758">
      <c r="A2758" s="3" t="s">
        <v>6</v>
      </c>
    </row>
    <row r="2759">
      <c r="A2759" s="3" t="s">
        <v>6</v>
      </c>
      <c r="B2759" s="3" t="s">
        <v>8</v>
      </c>
      <c r="C2759" s="3" t="s">
        <v>11</v>
      </c>
      <c r="D2759" s="3" t="s">
        <v>12</v>
      </c>
      <c r="E2759" s="3" t="s">
        <v>15</v>
      </c>
      <c r="F2759" s="3" t="s">
        <v>18</v>
      </c>
    </row>
    <row r="2760">
      <c r="A2760" s="3" t="s">
        <v>6</v>
      </c>
    </row>
    <row r="2761">
      <c r="A2761" s="3" t="s">
        <v>6</v>
      </c>
      <c r="B2761" s="3" t="s">
        <v>7</v>
      </c>
      <c r="C2761" s="3" t="s">
        <v>9</v>
      </c>
      <c r="D2761" s="3" t="s">
        <v>12</v>
      </c>
    </row>
    <row r="2762">
      <c r="A2762" s="3" t="s">
        <v>6</v>
      </c>
      <c r="B2762" s="3" t="s">
        <v>17</v>
      </c>
    </row>
    <row r="2763">
      <c r="A2763" s="3" t="s">
        <v>6</v>
      </c>
      <c r="B2763" s="3" t="s">
        <v>11</v>
      </c>
    </row>
    <row r="2764">
      <c r="A2764" s="3" t="s">
        <v>6</v>
      </c>
      <c r="B2764" s="3" t="s">
        <v>7</v>
      </c>
      <c r="C2764" s="3" t="s">
        <v>8</v>
      </c>
      <c r="D2764" s="3" t="s">
        <v>9</v>
      </c>
      <c r="E2764" s="3" t="s">
        <v>11</v>
      </c>
      <c r="F2764" s="3" t="s">
        <v>12</v>
      </c>
      <c r="G2764" s="3" t="s">
        <v>15</v>
      </c>
    </row>
    <row r="2765">
      <c r="A2765" s="3" t="s">
        <v>6</v>
      </c>
      <c r="B2765" s="3" t="s">
        <v>8</v>
      </c>
      <c r="C2765" s="3" t="s">
        <v>9</v>
      </c>
    </row>
    <row r="2766">
      <c r="A2766" s="3" t="s">
        <v>6</v>
      </c>
      <c r="B2766" s="3" t="s">
        <v>16</v>
      </c>
    </row>
    <row r="2767">
      <c r="A2767" s="3" t="s">
        <v>6</v>
      </c>
      <c r="B2767" s="3" t="s">
        <v>7</v>
      </c>
      <c r="C2767" s="3" t="s">
        <v>8</v>
      </c>
      <c r="D2767" s="3" t="s">
        <v>9</v>
      </c>
      <c r="E2767" s="3" t="s">
        <v>12</v>
      </c>
      <c r="F2767" s="3" t="s">
        <v>15</v>
      </c>
    </row>
    <row r="2768">
      <c r="A2768" s="3" t="s">
        <v>6</v>
      </c>
      <c r="B2768" s="3" t="s">
        <v>8</v>
      </c>
    </row>
    <row r="2769">
      <c r="A2769" s="3" t="s">
        <v>6</v>
      </c>
      <c r="B2769" s="3" t="s">
        <v>8</v>
      </c>
      <c r="C2769" s="3" t="s">
        <v>11</v>
      </c>
    </row>
    <row r="2770">
      <c r="A2770" s="3" t="s">
        <v>6</v>
      </c>
      <c r="B2770" s="3" t="s">
        <v>13</v>
      </c>
    </row>
    <row r="2771">
      <c r="A2771" s="3" t="s">
        <v>6</v>
      </c>
      <c r="B2771" s="3" t="s">
        <v>7</v>
      </c>
      <c r="C2771" s="3" t="s">
        <v>11</v>
      </c>
      <c r="D2771" s="3" t="s">
        <v>12</v>
      </c>
      <c r="E2771" s="3" t="s">
        <v>17</v>
      </c>
    </row>
    <row r="2772">
      <c r="A2772" s="3" t="s">
        <v>6</v>
      </c>
      <c r="B2772" s="3" t="s">
        <v>7</v>
      </c>
      <c r="C2772" s="3" t="s">
        <v>8</v>
      </c>
      <c r="D2772" s="3" t="s">
        <v>9</v>
      </c>
      <c r="E2772" s="3" t="s">
        <v>12</v>
      </c>
      <c r="F2772" s="3" t="s">
        <v>14</v>
      </c>
      <c r="G2772" s="3" t="s">
        <v>15</v>
      </c>
      <c r="H2772" s="3" t="s">
        <v>16</v>
      </c>
      <c r="I2772" s="3" t="s">
        <v>17</v>
      </c>
      <c r="J2772" s="3" t="s">
        <v>18</v>
      </c>
      <c r="K2772" s="3" t="s">
        <v>24</v>
      </c>
    </row>
    <row r="2773">
      <c r="A2773" s="3" t="s">
        <v>6</v>
      </c>
      <c r="B2773" s="3" t="s">
        <v>7</v>
      </c>
      <c r="C2773" s="3" t="s">
        <v>8</v>
      </c>
      <c r="D2773" s="3" t="s">
        <v>9</v>
      </c>
      <c r="E2773" s="3" t="s">
        <v>11</v>
      </c>
      <c r="F2773" s="3" t="s">
        <v>12</v>
      </c>
      <c r="G2773" s="3" t="s">
        <v>13</v>
      </c>
      <c r="H2773" s="3" t="s">
        <v>14</v>
      </c>
      <c r="I2773" s="3" t="s">
        <v>17</v>
      </c>
    </row>
    <row r="2774">
      <c r="A2774" s="3" t="s">
        <v>6</v>
      </c>
    </row>
    <row r="2775">
      <c r="A2775" s="3" t="s">
        <v>6</v>
      </c>
      <c r="B2775" s="3" t="s">
        <v>7</v>
      </c>
      <c r="C2775" s="3" t="s">
        <v>8</v>
      </c>
      <c r="D2775" s="3" t="s">
        <v>9</v>
      </c>
      <c r="E2775" s="3" t="s">
        <v>11</v>
      </c>
      <c r="F2775" s="3" t="s">
        <v>12</v>
      </c>
      <c r="G2775" s="3" t="s">
        <v>15</v>
      </c>
      <c r="H2775" s="3" t="s">
        <v>24</v>
      </c>
    </row>
    <row r="2776">
      <c r="A2776" s="3" t="s">
        <v>6</v>
      </c>
      <c r="B2776" s="3" t="s">
        <v>7</v>
      </c>
      <c r="C2776" s="3" t="s">
        <v>13</v>
      </c>
    </row>
    <row r="2777">
      <c r="A2777" s="3" t="s">
        <v>6</v>
      </c>
      <c r="B2777" s="3" t="s">
        <v>11</v>
      </c>
      <c r="C2777" s="3" t="s">
        <v>16</v>
      </c>
    </row>
    <row r="2778">
      <c r="A2778" s="3" t="s">
        <v>6</v>
      </c>
      <c r="B2778" s="3" t="s">
        <v>7</v>
      </c>
      <c r="C2778" s="3" t="s">
        <v>8</v>
      </c>
    </row>
    <row r="2779">
      <c r="A2779" s="3" t="s">
        <v>6</v>
      </c>
      <c r="B2779" s="3" t="s">
        <v>11</v>
      </c>
      <c r="C2779" s="3" t="s">
        <v>16</v>
      </c>
    </row>
    <row r="2780">
      <c r="A2780" s="3" t="s">
        <v>6</v>
      </c>
      <c r="B2780" s="3" t="s">
        <v>7</v>
      </c>
      <c r="C2780" s="3" t="s">
        <v>8</v>
      </c>
      <c r="D2780" s="3" t="s">
        <v>11</v>
      </c>
      <c r="E2780" s="3" t="s">
        <v>12</v>
      </c>
      <c r="F2780" s="3" t="s">
        <v>18</v>
      </c>
    </row>
    <row r="2781">
      <c r="A2781" s="3" t="s">
        <v>6</v>
      </c>
      <c r="B2781" s="3" t="s">
        <v>9</v>
      </c>
      <c r="C2781" s="3" t="s">
        <v>11</v>
      </c>
      <c r="D2781" s="3" t="s">
        <v>24</v>
      </c>
    </row>
    <row r="2782">
      <c r="A2782" s="3" t="s">
        <v>6</v>
      </c>
      <c r="B2782" s="3" t="s">
        <v>16</v>
      </c>
    </row>
    <row r="2783">
      <c r="A2783" s="3" t="s">
        <v>6</v>
      </c>
      <c r="B2783" s="3" t="s">
        <v>8</v>
      </c>
    </row>
    <row r="2784">
      <c r="A2784" s="3" t="s">
        <v>6</v>
      </c>
      <c r="B2784" s="3" t="s">
        <v>11</v>
      </c>
    </row>
    <row r="2785">
      <c r="A2785" s="3" t="s">
        <v>6</v>
      </c>
      <c r="B2785" s="3" t="s">
        <v>8</v>
      </c>
      <c r="C2785" s="3" t="s">
        <v>11</v>
      </c>
    </row>
    <row r="2786">
      <c r="A2786" s="3" t="s">
        <v>6</v>
      </c>
      <c r="B2786" s="3" t="s">
        <v>7</v>
      </c>
      <c r="C2786" s="3" t="s">
        <v>8</v>
      </c>
      <c r="D2786" s="3" t="s">
        <v>9</v>
      </c>
      <c r="E2786" s="3" t="s">
        <v>11</v>
      </c>
      <c r="F2786" s="3" t="s">
        <v>12</v>
      </c>
      <c r="G2786" s="3" t="s">
        <v>17</v>
      </c>
    </row>
    <row r="2787">
      <c r="A2787" s="3" t="s">
        <v>6</v>
      </c>
      <c r="B2787" s="3" t="s">
        <v>7</v>
      </c>
      <c r="C2787" s="3" t="s">
        <v>8</v>
      </c>
      <c r="D2787" s="3" t="s">
        <v>13</v>
      </c>
      <c r="E2787" s="3" t="s">
        <v>17</v>
      </c>
      <c r="F2787" s="3" t="s">
        <v>18</v>
      </c>
    </row>
    <row r="2788">
      <c r="A2788" s="3" t="s">
        <v>6</v>
      </c>
      <c r="B2788" s="3" t="s">
        <v>11</v>
      </c>
    </row>
    <row r="2789">
      <c r="A2789" s="3" t="s">
        <v>6</v>
      </c>
      <c r="B2789" s="3" t="s">
        <v>7</v>
      </c>
      <c r="C2789" s="3" t="s">
        <v>8</v>
      </c>
      <c r="D2789" s="3" t="s">
        <v>13</v>
      </c>
      <c r="E2789" s="3" t="s">
        <v>14</v>
      </c>
      <c r="F2789" s="3" t="s">
        <v>17</v>
      </c>
      <c r="G2789" s="3" t="s">
        <v>18</v>
      </c>
    </row>
    <row r="2790">
      <c r="A2790" s="3" t="s">
        <v>6</v>
      </c>
      <c r="B2790" s="3" t="s">
        <v>7</v>
      </c>
      <c r="C2790" s="3" t="s">
        <v>8</v>
      </c>
      <c r="D2790" s="3" t="s">
        <v>11</v>
      </c>
      <c r="E2790" s="3" t="s">
        <v>12</v>
      </c>
      <c r="F2790" s="3" t="s">
        <v>13</v>
      </c>
    </row>
    <row r="2791">
      <c r="A2791" s="3" t="s">
        <v>6</v>
      </c>
      <c r="B2791" s="3" t="s">
        <v>8</v>
      </c>
      <c r="C2791" s="3" t="s">
        <v>17</v>
      </c>
    </row>
    <row r="2792">
      <c r="A2792" s="3" t="s">
        <v>6</v>
      </c>
      <c r="B2792" s="3" t="s">
        <v>8</v>
      </c>
      <c r="C2792" s="3" t="s">
        <v>9</v>
      </c>
      <c r="D2792" s="3" t="s">
        <v>11</v>
      </c>
      <c r="E2792" s="3" t="s">
        <v>12</v>
      </c>
      <c r="F2792" s="3" t="s">
        <v>24</v>
      </c>
    </row>
    <row r="2793">
      <c r="A2793" s="3" t="s">
        <v>6</v>
      </c>
      <c r="B2793" s="3" t="s">
        <v>11</v>
      </c>
      <c r="C2793" s="3" t="s">
        <v>12</v>
      </c>
    </row>
    <row r="2794">
      <c r="A2794" s="3" t="s">
        <v>6</v>
      </c>
      <c r="B2794" s="3" t="s">
        <v>11</v>
      </c>
    </row>
    <row r="2795">
      <c r="A2795" s="3" t="s">
        <v>6</v>
      </c>
      <c r="B2795" s="3" t="s">
        <v>11</v>
      </c>
      <c r="C2795" s="3" t="s">
        <v>12</v>
      </c>
      <c r="D2795" s="3" t="s">
        <v>13</v>
      </c>
      <c r="E2795" s="3" t="s">
        <v>17</v>
      </c>
      <c r="F2795" s="3" t="s">
        <v>18</v>
      </c>
    </row>
    <row r="2796">
      <c r="A2796" s="3" t="s">
        <v>6</v>
      </c>
      <c r="B2796" s="3" t="s">
        <v>14</v>
      </c>
      <c r="C2796" s="3" t="s">
        <v>15</v>
      </c>
    </row>
    <row r="2797">
      <c r="A2797" s="3" t="s">
        <v>6</v>
      </c>
      <c r="B2797" s="3" t="s">
        <v>11</v>
      </c>
    </row>
    <row r="2798">
      <c r="A2798" s="3" t="s">
        <v>6</v>
      </c>
      <c r="B2798" s="3" t="s">
        <v>7</v>
      </c>
      <c r="C2798" s="3" t="s">
        <v>8</v>
      </c>
      <c r="D2798" s="3" t="s">
        <v>9</v>
      </c>
      <c r="E2798" s="3" t="s">
        <v>24</v>
      </c>
    </row>
    <row r="2799">
      <c r="A2799" s="3" t="s">
        <v>6</v>
      </c>
      <c r="B2799" s="3" t="s">
        <v>7</v>
      </c>
      <c r="C2799" s="3" t="s">
        <v>8</v>
      </c>
      <c r="D2799" s="3" t="s">
        <v>12</v>
      </c>
      <c r="E2799" s="3" t="s">
        <v>13</v>
      </c>
      <c r="F2799" s="3" t="s">
        <v>17</v>
      </c>
    </row>
    <row r="2800">
      <c r="A2800" s="3" t="s">
        <v>6</v>
      </c>
      <c r="B2800" s="3" t="s">
        <v>11</v>
      </c>
      <c r="C2800" s="3" t="s">
        <v>14</v>
      </c>
      <c r="D2800" s="3" t="s">
        <v>17</v>
      </c>
    </row>
    <row r="2801">
      <c r="A2801" s="3" t="s">
        <v>6</v>
      </c>
      <c r="B2801" s="3" t="s">
        <v>8</v>
      </c>
      <c r="C2801" s="3" t="s">
        <v>11</v>
      </c>
    </row>
    <row r="2802">
      <c r="A2802" s="3" t="s">
        <v>6</v>
      </c>
      <c r="B2802" s="3" t="s">
        <v>7</v>
      </c>
      <c r="C2802" s="3" t="s">
        <v>8</v>
      </c>
      <c r="D2802" s="3" t="s">
        <v>9</v>
      </c>
      <c r="E2802" s="3" t="s">
        <v>11</v>
      </c>
      <c r="F2802" s="3" t="s">
        <v>12</v>
      </c>
      <c r="G2802" s="3" t="s">
        <v>17</v>
      </c>
    </row>
    <row r="2803">
      <c r="A2803" s="3" t="s">
        <v>6</v>
      </c>
      <c r="B2803" s="3" t="s">
        <v>7</v>
      </c>
      <c r="C2803" s="3" t="s">
        <v>8</v>
      </c>
      <c r="D2803" s="3" t="s">
        <v>12</v>
      </c>
      <c r="E2803" s="3" t="s">
        <v>17</v>
      </c>
      <c r="F2803" s="3" t="s">
        <v>18</v>
      </c>
    </row>
    <row r="2804">
      <c r="A2804" s="3" t="s">
        <v>6</v>
      </c>
      <c r="B2804" s="3" t="s">
        <v>8</v>
      </c>
      <c r="C2804" s="3" t="s">
        <v>9</v>
      </c>
      <c r="D2804" s="3" t="s">
        <v>10</v>
      </c>
      <c r="E2804" s="3" t="s">
        <v>15</v>
      </c>
      <c r="F2804" s="3" t="s">
        <v>16</v>
      </c>
    </row>
    <row r="2805">
      <c r="A2805" s="3" t="s">
        <v>6</v>
      </c>
      <c r="B2805" s="3" t="s">
        <v>17</v>
      </c>
    </row>
    <row r="2806">
      <c r="A2806" s="3" t="s">
        <v>6</v>
      </c>
      <c r="B2806" s="3" t="s">
        <v>7</v>
      </c>
      <c r="C2806" s="3" t="s">
        <v>8</v>
      </c>
      <c r="D2806" s="3" t="s">
        <v>9</v>
      </c>
      <c r="E2806" s="3" t="s">
        <v>11</v>
      </c>
      <c r="F2806" s="3" t="s">
        <v>12</v>
      </c>
      <c r="G2806" s="3" t="s">
        <v>24</v>
      </c>
    </row>
    <row r="2807">
      <c r="A2807" s="3" t="s">
        <v>6</v>
      </c>
    </row>
    <row r="2808">
      <c r="A2808" s="3" t="s">
        <v>6</v>
      </c>
      <c r="B2808" s="3" t="s">
        <v>7</v>
      </c>
      <c r="C2808" s="3" t="s">
        <v>8</v>
      </c>
      <c r="D2808" s="3" t="s">
        <v>9</v>
      </c>
      <c r="E2808" s="3" t="s">
        <v>13</v>
      </c>
      <c r="F2808" s="3" t="s">
        <v>18</v>
      </c>
    </row>
    <row r="2809">
      <c r="A2809" s="3" t="s">
        <v>609</v>
      </c>
    </row>
    <row r="2810">
      <c r="A2810" s="3" t="s">
        <v>7</v>
      </c>
      <c r="B2810" s="3" t="s">
        <v>8</v>
      </c>
      <c r="C2810" s="3" t="s">
        <v>9</v>
      </c>
      <c r="D2810" s="3" t="s">
        <v>15</v>
      </c>
      <c r="E2810" s="3" t="s">
        <v>16</v>
      </c>
    </row>
    <row r="2811">
      <c r="A2811" s="3" t="s">
        <v>7</v>
      </c>
      <c r="B2811" s="3" t="s">
        <v>24</v>
      </c>
    </row>
    <row r="2812">
      <c r="A2812" s="3" t="s">
        <v>7</v>
      </c>
      <c r="B2812" s="3" t="s">
        <v>9</v>
      </c>
      <c r="C2812" s="3" t="s">
        <v>12</v>
      </c>
      <c r="D2812" s="3" t="s">
        <v>15</v>
      </c>
      <c r="E2812" s="3" t="s">
        <v>18</v>
      </c>
    </row>
    <row r="2813">
      <c r="A2813" s="3" t="s">
        <v>7</v>
      </c>
      <c r="B2813" s="3" t="s">
        <v>8</v>
      </c>
      <c r="C2813" s="3" t="s">
        <v>9</v>
      </c>
      <c r="D2813" s="3" t="s">
        <v>15</v>
      </c>
      <c r="E2813" s="3" t="s">
        <v>16</v>
      </c>
      <c r="F2813" s="3" t="s">
        <v>18</v>
      </c>
    </row>
    <row r="2814">
      <c r="A2814" s="3" t="s">
        <v>7</v>
      </c>
      <c r="B2814" s="3" t="s">
        <v>8</v>
      </c>
      <c r="C2814" s="3" t="s">
        <v>9</v>
      </c>
      <c r="D2814" s="3" t="s">
        <v>11</v>
      </c>
      <c r="E2814" s="3" t="s">
        <v>12</v>
      </c>
      <c r="F2814" s="3" t="s">
        <v>13</v>
      </c>
      <c r="G2814" s="3" t="s">
        <v>14</v>
      </c>
      <c r="H2814" s="3" t="s">
        <v>15</v>
      </c>
      <c r="I2814" s="3" t="s">
        <v>17</v>
      </c>
    </row>
    <row r="2815">
      <c r="A2815" s="3" t="s">
        <v>7</v>
      </c>
      <c r="B2815" s="3" t="s">
        <v>12</v>
      </c>
    </row>
    <row r="2816">
      <c r="A2816" s="3" t="s">
        <v>7</v>
      </c>
      <c r="B2816" s="3" t="s">
        <v>12</v>
      </c>
      <c r="C2816" s="3" t="s">
        <v>13</v>
      </c>
    </row>
    <row r="2817">
      <c r="A2817" s="3" t="s">
        <v>7</v>
      </c>
      <c r="B2817" s="3" t="s">
        <v>12</v>
      </c>
      <c r="C2817" s="3" t="s">
        <v>13</v>
      </c>
    </row>
    <row r="2818">
      <c r="A2818" s="3" t="s">
        <v>7</v>
      </c>
      <c r="B2818" s="3" t="s">
        <v>8</v>
      </c>
      <c r="C2818" s="3" t="s">
        <v>12</v>
      </c>
      <c r="D2818" s="3" t="s">
        <v>16</v>
      </c>
      <c r="E2818" s="3" t="s">
        <v>17</v>
      </c>
      <c r="F2818" s="3" t="s">
        <v>18</v>
      </c>
    </row>
    <row r="2819">
      <c r="A2819" s="3" t="s">
        <v>7</v>
      </c>
      <c r="B2819" s="3" t="s">
        <v>13</v>
      </c>
    </row>
    <row r="2820">
      <c r="A2820" s="3" t="s">
        <v>7</v>
      </c>
      <c r="B2820" s="3" t="s">
        <v>13</v>
      </c>
    </row>
    <row r="2821">
      <c r="A2821" s="3" t="s">
        <v>7</v>
      </c>
      <c r="B2821" s="3" t="s">
        <v>11</v>
      </c>
      <c r="C2821" s="3" t="s">
        <v>14</v>
      </c>
    </row>
    <row r="2822">
      <c r="A2822" s="3" t="s">
        <v>7</v>
      </c>
      <c r="B2822" s="3" t="s">
        <v>8</v>
      </c>
      <c r="C2822" s="3" t="s">
        <v>13</v>
      </c>
      <c r="D2822" s="3" t="s">
        <v>16</v>
      </c>
      <c r="E2822" s="3" t="s">
        <v>17</v>
      </c>
      <c r="F2822" s="3" t="s">
        <v>18</v>
      </c>
    </row>
    <row r="2823">
      <c r="A2823" s="3" t="s">
        <v>7</v>
      </c>
      <c r="B2823" s="3" t="s">
        <v>9</v>
      </c>
      <c r="C2823" s="3" t="s">
        <v>12</v>
      </c>
      <c r="D2823" s="3" t="s">
        <v>15</v>
      </c>
      <c r="E2823" s="3" t="s">
        <v>24</v>
      </c>
    </row>
    <row r="2824">
      <c r="A2824" s="3" t="s">
        <v>7</v>
      </c>
      <c r="B2824" s="3" t="s">
        <v>8</v>
      </c>
      <c r="C2824" s="3" t="s">
        <v>11</v>
      </c>
      <c r="D2824" s="3" t="s">
        <v>12</v>
      </c>
    </row>
    <row r="2825">
      <c r="A2825" s="3" t="s">
        <v>7</v>
      </c>
      <c r="B2825" s="3" t="s">
        <v>8</v>
      </c>
      <c r="C2825" s="3" t="s">
        <v>11</v>
      </c>
      <c r="D2825" s="3" t="s">
        <v>12</v>
      </c>
      <c r="E2825" s="3" t="s">
        <v>15</v>
      </c>
      <c r="F2825" s="3" t="s">
        <v>16</v>
      </c>
    </row>
    <row r="2826">
      <c r="A2826" s="3" t="s">
        <v>7</v>
      </c>
      <c r="B2826" s="3" t="s">
        <v>13</v>
      </c>
      <c r="C2826" s="3" t="s">
        <v>15</v>
      </c>
    </row>
    <row r="2827">
      <c r="A2827" s="3" t="s">
        <v>7</v>
      </c>
      <c r="B2827" s="3" t="s">
        <v>8</v>
      </c>
    </row>
    <row r="2828">
      <c r="A2828" s="3" t="s">
        <v>7</v>
      </c>
      <c r="B2828" s="3" t="s">
        <v>8</v>
      </c>
      <c r="C2828" s="3" t="s">
        <v>9</v>
      </c>
      <c r="D2828" s="3" t="s">
        <v>13</v>
      </c>
      <c r="E2828" s="3" t="s">
        <v>17</v>
      </c>
    </row>
    <row r="2829">
      <c r="A2829" s="3" t="s">
        <v>7</v>
      </c>
      <c r="B2829" s="3" t="s">
        <v>12</v>
      </c>
      <c r="C2829" s="3" t="s">
        <v>15</v>
      </c>
    </row>
    <row r="2830">
      <c r="A2830" s="3" t="s">
        <v>7</v>
      </c>
      <c r="B2830" s="3" t="s">
        <v>8</v>
      </c>
    </row>
    <row r="2831">
      <c r="A2831" s="3" t="s">
        <v>7</v>
      </c>
      <c r="B2831" s="3" t="s">
        <v>12</v>
      </c>
      <c r="C2831" s="3" t="s">
        <v>13</v>
      </c>
      <c r="D2831" s="3" t="s">
        <v>14</v>
      </c>
      <c r="E2831" s="3" t="s">
        <v>15</v>
      </c>
      <c r="F2831" s="3" t="s">
        <v>18</v>
      </c>
    </row>
    <row r="2832">
      <c r="A2832" s="3" t="s">
        <v>7</v>
      </c>
      <c r="B2832" s="3" t="s">
        <v>8</v>
      </c>
      <c r="C2832" s="3" t="s">
        <v>9</v>
      </c>
      <c r="D2832" s="3" t="s">
        <v>11</v>
      </c>
      <c r="E2832" s="3" t="s">
        <v>12</v>
      </c>
      <c r="F2832" s="3" t="s">
        <v>15</v>
      </c>
      <c r="G2832" s="3" t="s">
        <v>17</v>
      </c>
      <c r="H2832" s="3" t="s">
        <v>18</v>
      </c>
    </row>
    <row r="2833">
      <c r="A2833" s="3" t="s">
        <v>7</v>
      </c>
    </row>
    <row r="2834">
      <c r="A2834" s="3" t="s">
        <v>7</v>
      </c>
      <c r="B2834" s="3" t="s">
        <v>8</v>
      </c>
      <c r="C2834" s="3" t="s">
        <v>12</v>
      </c>
      <c r="D2834" s="3" t="s">
        <v>15</v>
      </c>
      <c r="E2834" s="3" t="s">
        <v>16</v>
      </c>
      <c r="F2834" s="3" t="s">
        <v>17</v>
      </c>
    </row>
    <row r="2835">
      <c r="A2835" s="3" t="s">
        <v>7</v>
      </c>
      <c r="B2835" s="3" t="s">
        <v>8</v>
      </c>
      <c r="C2835" s="3" t="s">
        <v>11</v>
      </c>
      <c r="D2835" s="3" t="s">
        <v>12</v>
      </c>
    </row>
    <row r="2836">
      <c r="A2836" s="3" t="s">
        <v>7</v>
      </c>
      <c r="B2836" s="3" t="s">
        <v>11</v>
      </c>
      <c r="C2836" s="3" t="s">
        <v>12</v>
      </c>
      <c r="D2836" s="3" t="s">
        <v>16</v>
      </c>
      <c r="E2836" s="3" t="s">
        <v>17</v>
      </c>
      <c r="F2836" s="3" t="s">
        <v>18</v>
      </c>
    </row>
    <row r="2837">
      <c r="A2837" s="3" t="s">
        <v>7</v>
      </c>
      <c r="B2837" s="3" t="s">
        <v>9</v>
      </c>
      <c r="C2837" s="3" t="s">
        <v>13</v>
      </c>
      <c r="D2837" s="3" t="s">
        <v>14</v>
      </c>
    </row>
    <row r="2838">
      <c r="A2838" s="3" t="s">
        <v>7</v>
      </c>
      <c r="B2838" s="3" t="s">
        <v>12</v>
      </c>
      <c r="C2838" s="3" t="s">
        <v>13</v>
      </c>
      <c r="D2838" s="3" t="s">
        <v>18</v>
      </c>
    </row>
    <row r="2839">
      <c r="A2839" s="3" t="s">
        <v>7</v>
      </c>
      <c r="B2839" s="3" t="s">
        <v>12</v>
      </c>
      <c r="C2839" s="3" t="s">
        <v>13</v>
      </c>
      <c r="D2839" s="3" t="s">
        <v>14</v>
      </c>
      <c r="E2839" s="3" t="s">
        <v>15</v>
      </c>
    </row>
    <row r="2840">
      <c r="A2840" s="3" t="s">
        <v>7</v>
      </c>
      <c r="B2840" s="3" t="s">
        <v>12</v>
      </c>
    </row>
    <row r="2841">
      <c r="A2841" s="3" t="s">
        <v>7</v>
      </c>
      <c r="B2841" s="3" t="s">
        <v>8</v>
      </c>
      <c r="C2841" s="3" t="s">
        <v>11</v>
      </c>
      <c r="D2841" s="3" t="s">
        <v>12</v>
      </c>
      <c r="E2841" s="3" t="s">
        <v>13</v>
      </c>
      <c r="F2841" s="3" t="s">
        <v>17</v>
      </c>
    </row>
    <row r="2842">
      <c r="A2842" s="3" t="s">
        <v>7</v>
      </c>
      <c r="B2842" s="3" t="s">
        <v>12</v>
      </c>
    </row>
    <row r="2843">
      <c r="A2843" s="3" t="s">
        <v>7</v>
      </c>
      <c r="B2843" s="3" t="s">
        <v>12</v>
      </c>
      <c r="C2843" s="3" t="s">
        <v>15</v>
      </c>
    </row>
    <row r="2844">
      <c r="A2844" s="3" t="s">
        <v>7</v>
      </c>
      <c r="B2844" s="3" t="s">
        <v>8</v>
      </c>
      <c r="C2844" s="3" t="s">
        <v>11</v>
      </c>
      <c r="D2844" s="3" t="s">
        <v>12</v>
      </c>
      <c r="E2844" s="3" t="s">
        <v>13</v>
      </c>
      <c r="F2844" s="3" t="s">
        <v>14</v>
      </c>
      <c r="G2844" s="3" t="s">
        <v>15</v>
      </c>
      <c r="H2844" s="3" t="s">
        <v>16</v>
      </c>
      <c r="I2844" s="3" t="s">
        <v>17</v>
      </c>
    </row>
    <row r="2845">
      <c r="A2845" s="3" t="s">
        <v>7</v>
      </c>
      <c r="B2845" s="3" t="s">
        <v>9</v>
      </c>
      <c r="C2845" s="3" t="s">
        <v>13</v>
      </c>
      <c r="D2845" s="3" t="s">
        <v>15</v>
      </c>
    </row>
    <row r="2846">
      <c r="A2846" s="3" t="s">
        <v>8</v>
      </c>
      <c r="B2846" s="3" t="s">
        <v>9</v>
      </c>
      <c r="C2846" s="3" t="s">
        <v>13</v>
      </c>
      <c r="D2846" s="3" t="s">
        <v>14</v>
      </c>
      <c r="E2846" s="3" t="s">
        <v>15</v>
      </c>
      <c r="F2846" s="3" t="s">
        <v>17</v>
      </c>
      <c r="G2846" s="3" t="s">
        <v>18</v>
      </c>
      <c r="H2846" s="3" t="s">
        <v>24</v>
      </c>
    </row>
    <row r="2847">
      <c r="A2847" s="3" t="s">
        <v>8</v>
      </c>
      <c r="B2847" s="3" t="s">
        <v>11</v>
      </c>
    </row>
    <row r="2848">
      <c r="A2848" s="3" t="s">
        <v>8</v>
      </c>
      <c r="B2848" s="3" t="s">
        <v>16</v>
      </c>
    </row>
    <row r="2849">
      <c r="A2849" s="3" t="s">
        <v>8</v>
      </c>
      <c r="B2849" s="3" t="s">
        <v>16</v>
      </c>
      <c r="C2849" s="3" t="s">
        <v>17</v>
      </c>
    </row>
    <row r="2850">
      <c r="A2850" s="3" t="s">
        <v>8</v>
      </c>
      <c r="B2850" s="3" t="s">
        <v>9</v>
      </c>
      <c r="C2850" s="3" t="s">
        <v>12</v>
      </c>
      <c r="D2850" s="3" t="s">
        <v>14</v>
      </c>
      <c r="E2850" s="3" t="s">
        <v>15</v>
      </c>
      <c r="F2850" s="3" t="s">
        <v>16</v>
      </c>
      <c r="G2850" s="3" t="s">
        <v>17</v>
      </c>
      <c r="H2850" s="3" t="s">
        <v>18</v>
      </c>
      <c r="I2850" s="3" t="s">
        <v>24</v>
      </c>
    </row>
    <row r="2851">
      <c r="A2851" s="3" t="s">
        <v>8</v>
      </c>
      <c r="B2851" s="3" t="s">
        <v>17</v>
      </c>
    </row>
    <row r="2852">
      <c r="A2852" s="3" t="s">
        <v>8</v>
      </c>
      <c r="B2852" s="3" t="s">
        <v>18</v>
      </c>
    </row>
    <row r="2853">
      <c r="A2853" s="3" t="s">
        <v>8</v>
      </c>
      <c r="B2853" s="3" t="s">
        <v>9</v>
      </c>
      <c r="C2853" s="3" t="s">
        <v>15</v>
      </c>
      <c r="D2853" s="3" t="s">
        <v>16</v>
      </c>
      <c r="E2853" s="3" t="s">
        <v>17</v>
      </c>
    </row>
    <row r="2854">
      <c r="A2854" s="3" t="s">
        <v>8</v>
      </c>
      <c r="B2854" s="3" t="s">
        <v>16</v>
      </c>
    </row>
    <row r="2855">
      <c r="A2855" s="3" t="s">
        <v>8</v>
      </c>
      <c r="B2855" s="3" t="s">
        <v>16</v>
      </c>
    </row>
    <row r="2856">
      <c r="A2856" s="3" t="s">
        <v>8</v>
      </c>
      <c r="B2856" s="3" t="s">
        <v>9</v>
      </c>
      <c r="C2856" s="3" t="s">
        <v>10</v>
      </c>
      <c r="D2856" s="3" t="s">
        <v>15</v>
      </c>
      <c r="E2856" s="3" t="s">
        <v>16</v>
      </c>
      <c r="F2856" s="3" t="s">
        <v>17</v>
      </c>
    </row>
    <row r="2857">
      <c r="A2857" s="3" t="s">
        <v>8</v>
      </c>
      <c r="B2857" s="3" t="s">
        <v>11</v>
      </c>
    </row>
    <row r="2858">
      <c r="A2858" s="3" t="s">
        <v>8</v>
      </c>
      <c r="B2858" s="3" t="s">
        <v>16</v>
      </c>
    </row>
    <row r="2859">
      <c r="A2859" s="3" t="s">
        <v>8</v>
      </c>
      <c r="B2859" s="3" t="s">
        <v>17</v>
      </c>
    </row>
    <row r="2860">
      <c r="A2860" s="3" t="s">
        <v>8</v>
      </c>
      <c r="B2860" s="3" t="s">
        <v>9</v>
      </c>
      <c r="C2860" s="3" t="s">
        <v>15</v>
      </c>
      <c r="D2860" s="3" t="s">
        <v>17</v>
      </c>
      <c r="E2860" s="3" t="s">
        <v>18</v>
      </c>
    </row>
    <row r="2861">
      <c r="A2861" s="3" t="s">
        <v>8</v>
      </c>
      <c r="B2861" s="3" t="s">
        <v>17</v>
      </c>
    </row>
    <row r="2862">
      <c r="A2862" s="3" t="s">
        <v>8</v>
      </c>
      <c r="B2862" s="3" t="s">
        <v>16</v>
      </c>
      <c r="C2862" s="3" t="s">
        <v>17</v>
      </c>
      <c r="D2862" s="3" t="s">
        <v>18</v>
      </c>
      <c r="E2862" s="3" t="s">
        <v>24</v>
      </c>
    </row>
    <row r="2863">
      <c r="A2863" s="3" t="s">
        <v>8</v>
      </c>
      <c r="B2863" s="3" t="s">
        <v>16</v>
      </c>
    </row>
    <row r="2864">
      <c r="A2864" s="3" t="s">
        <v>8</v>
      </c>
      <c r="B2864" s="3" t="s">
        <v>17</v>
      </c>
    </row>
    <row r="2865">
      <c r="A2865" s="3" t="s">
        <v>8</v>
      </c>
      <c r="B2865" s="3" t="s">
        <v>9</v>
      </c>
      <c r="C2865" s="3" t="s">
        <v>12</v>
      </c>
      <c r="D2865" s="3" t="s">
        <v>17</v>
      </c>
      <c r="E2865" s="3" t="s">
        <v>18</v>
      </c>
    </row>
    <row r="2866">
      <c r="A2866" s="3" t="s">
        <v>8</v>
      </c>
      <c r="B2866" s="3" t="s">
        <v>17</v>
      </c>
    </row>
    <row r="2867">
      <c r="A2867" s="3" t="s">
        <v>8</v>
      </c>
      <c r="B2867" s="3" t="s">
        <v>12</v>
      </c>
      <c r="C2867" s="3" t="s">
        <v>16</v>
      </c>
      <c r="D2867" s="3" t="s">
        <v>17</v>
      </c>
      <c r="E2867" s="3" t="s">
        <v>18</v>
      </c>
    </row>
    <row r="2868">
      <c r="A2868" s="3" t="s">
        <v>8</v>
      </c>
      <c r="B2868" s="3" t="s">
        <v>17</v>
      </c>
    </row>
    <row r="2869">
      <c r="A2869" s="3" t="s">
        <v>8</v>
      </c>
      <c r="B2869" s="3" t="s">
        <v>9</v>
      </c>
      <c r="C2869" s="3" t="s">
        <v>15</v>
      </c>
      <c r="D2869" s="3" t="s">
        <v>16</v>
      </c>
      <c r="E2869" s="3" t="s">
        <v>24</v>
      </c>
    </row>
    <row r="2870">
      <c r="A2870" s="3" t="s">
        <v>8</v>
      </c>
      <c r="B2870" s="3" t="s">
        <v>9</v>
      </c>
      <c r="C2870" s="3" t="s">
        <v>10</v>
      </c>
      <c r="D2870" s="3" t="s">
        <v>13</v>
      </c>
      <c r="E2870" s="3" t="s">
        <v>14</v>
      </c>
    </row>
    <row r="2871">
      <c r="A2871" s="3" t="s">
        <v>8</v>
      </c>
      <c r="B2871" s="3" t="s">
        <v>16</v>
      </c>
    </row>
    <row r="2872">
      <c r="A2872" s="3" t="s">
        <v>8</v>
      </c>
      <c r="B2872" s="3" t="s">
        <v>11</v>
      </c>
      <c r="C2872" s="3" t="s">
        <v>12</v>
      </c>
    </row>
    <row r="2873">
      <c r="A2873" s="3" t="s">
        <v>8</v>
      </c>
      <c r="B2873" s="3" t="s">
        <v>17</v>
      </c>
    </row>
    <row r="2874">
      <c r="A2874" s="3" t="s">
        <v>8</v>
      </c>
      <c r="B2874" s="3" t="s">
        <v>17</v>
      </c>
    </row>
    <row r="2875">
      <c r="A2875" s="3" t="s">
        <v>8</v>
      </c>
      <c r="B2875" s="3" t="s">
        <v>14</v>
      </c>
      <c r="C2875" s="3" t="s">
        <v>15</v>
      </c>
      <c r="D2875" s="3" t="s">
        <v>16</v>
      </c>
      <c r="E2875" s="3" t="s">
        <v>17</v>
      </c>
    </row>
    <row r="2876">
      <c r="A2876" s="3" t="s">
        <v>8</v>
      </c>
      <c r="B2876" s="3" t="s">
        <v>9</v>
      </c>
      <c r="C2876" s="3" t="s">
        <v>12</v>
      </c>
      <c r="D2876" s="3" t="s">
        <v>15</v>
      </c>
      <c r="E2876" s="3" t="s">
        <v>16</v>
      </c>
      <c r="F2876" s="3" t="s">
        <v>17</v>
      </c>
      <c r="G2876" s="3" t="s">
        <v>18</v>
      </c>
    </row>
    <row r="2877">
      <c r="A2877" s="3" t="s">
        <v>8</v>
      </c>
      <c r="B2877" s="3" t="s">
        <v>9</v>
      </c>
      <c r="C2877" s="3" t="s">
        <v>13</v>
      </c>
      <c r="D2877" s="3" t="s">
        <v>24</v>
      </c>
    </row>
    <row r="2878">
      <c r="A2878" s="3" t="s">
        <v>8</v>
      </c>
      <c r="B2878" s="3" t="s">
        <v>9</v>
      </c>
      <c r="C2878" s="3" t="s">
        <v>16</v>
      </c>
      <c r="D2878" s="3" t="s">
        <v>24</v>
      </c>
    </row>
    <row r="2879">
      <c r="A2879" s="3" t="s">
        <v>8</v>
      </c>
      <c r="B2879" s="3" t="s">
        <v>17</v>
      </c>
    </row>
    <row r="2880">
      <c r="A2880" s="3" t="s">
        <v>8</v>
      </c>
      <c r="B2880" s="3" t="s">
        <v>16</v>
      </c>
    </row>
    <row r="2881">
      <c r="A2881" s="3" t="s">
        <v>9</v>
      </c>
      <c r="B2881" s="3" t="s">
        <v>11</v>
      </c>
      <c r="C2881" s="3" t="s">
        <v>12</v>
      </c>
      <c r="D2881" s="3" t="s">
        <v>15</v>
      </c>
      <c r="E2881" s="3" t="s">
        <v>16</v>
      </c>
      <c r="F2881" s="3" t="s">
        <v>17</v>
      </c>
      <c r="G2881" s="3" t="s">
        <v>18</v>
      </c>
    </row>
    <row r="2882">
      <c r="A2882" s="3" t="s">
        <v>9</v>
      </c>
      <c r="B2882" s="3" t="s">
        <v>12</v>
      </c>
      <c r="C2882" s="3" t="s">
        <v>13</v>
      </c>
      <c r="D2882" s="3" t="s">
        <v>14</v>
      </c>
      <c r="E2882" s="3" t="s">
        <v>18</v>
      </c>
    </row>
    <row r="2883">
      <c r="A2883" s="3" t="s">
        <v>9</v>
      </c>
      <c r="B2883" s="3" t="s">
        <v>11</v>
      </c>
      <c r="C2883" s="3" t="s">
        <v>17</v>
      </c>
      <c r="D2883" s="3" t="s">
        <v>24</v>
      </c>
    </row>
    <row r="2884">
      <c r="A2884" s="3" t="s">
        <v>9</v>
      </c>
      <c r="B2884" s="3" t="s">
        <v>14</v>
      </c>
    </row>
    <row r="2885">
      <c r="A2885" s="3" t="s">
        <v>9</v>
      </c>
      <c r="B2885" s="3" t="s">
        <v>14</v>
      </c>
    </row>
    <row r="2886">
      <c r="A2886" s="3" t="s">
        <v>9</v>
      </c>
    </row>
    <row r="2887">
      <c r="A2887" s="3" t="s">
        <v>9</v>
      </c>
    </row>
    <row r="2888">
      <c r="A2888" s="3" t="s">
        <v>9</v>
      </c>
    </row>
    <row r="2889">
      <c r="A2889" s="3" t="s">
        <v>9</v>
      </c>
    </row>
    <row r="2890">
      <c r="A2890" s="3" t="s">
        <v>9</v>
      </c>
    </row>
    <row r="2891">
      <c r="A2891" s="3" t="s">
        <v>10</v>
      </c>
    </row>
    <row r="2892">
      <c r="A2892" s="3" t="s">
        <v>10</v>
      </c>
      <c r="B2892" s="3" t="s">
        <v>12</v>
      </c>
    </row>
    <row r="2893">
      <c r="A2893" s="3" t="s">
        <v>10</v>
      </c>
    </row>
    <row r="2894">
      <c r="A2894" s="3" t="s">
        <v>10</v>
      </c>
    </row>
    <row r="2895">
      <c r="A2895" s="3" t="s">
        <v>11</v>
      </c>
      <c r="B2895" s="3" t="s">
        <v>16</v>
      </c>
    </row>
    <row r="2896">
      <c r="A2896" s="3" t="s">
        <v>11</v>
      </c>
    </row>
    <row r="2897">
      <c r="A2897" s="3" t="s">
        <v>11</v>
      </c>
      <c r="B2897" s="3" t="s">
        <v>17</v>
      </c>
    </row>
    <row r="2898">
      <c r="A2898" s="3" t="s">
        <v>11</v>
      </c>
      <c r="B2898" s="3" t="s">
        <v>16</v>
      </c>
    </row>
    <row r="2899">
      <c r="A2899" s="3" t="s">
        <v>11</v>
      </c>
      <c r="B2899" s="3" t="s">
        <v>12</v>
      </c>
      <c r="C2899" s="3" t="s">
        <v>13</v>
      </c>
      <c r="D2899" s="3" t="s">
        <v>14</v>
      </c>
      <c r="E2899" s="3" t="s">
        <v>17</v>
      </c>
    </row>
    <row r="2900">
      <c r="A2900" s="3" t="s">
        <v>11</v>
      </c>
      <c r="B2900" s="3" t="s">
        <v>16</v>
      </c>
    </row>
    <row r="2901">
      <c r="A2901" s="3" t="s">
        <v>11</v>
      </c>
      <c r="B2901" s="3" t="s">
        <v>12</v>
      </c>
      <c r="C2901" s="3" t="s">
        <v>15</v>
      </c>
      <c r="D2901" s="3" t="s">
        <v>16</v>
      </c>
    </row>
    <row r="2902">
      <c r="A2902" s="3" t="s">
        <v>11</v>
      </c>
      <c r="B2902" s="3" t="s">
        <v>12</v>
      </c>
    </row>
    <row r="2903">
      <c r="A2903" s="3" t="s">
        <v>11</v>
      </c>
      <c r="B2903" s="3" t="s">
        <v>12</v>
      </c>
    </row>
    <row r="2904">
      <c r="A2904" s="3" t="s">
        <v>11</v>
      </c>
      <c r="B2904" s="3" t="s">
        <v>17</v>
      </c>
    </row>
    <row r="2905">
      <c r="A2905" s="3" t="s">
        <v>11</v>
      </c>
      <c r="B2905" s="3" t="s">
        <v>12</v>
      </c>
      <c r="C2905" s="3" t="s">
        <v>13</v>
      </c>
      <c r="D2905" s="3" t="s">
        <v>14</v>
      </c>
      <c r="E2905" s="3" t="s">
        <v>15</v>
      </c>
      <c r="F2905" s="3" t="s">
        <v>16</v>
      </c>
      <c r="G2905" s="3" t="s">
        <v>17</v>
      </c>
      <c r="H2905" s="3" t="s">
        <v>18</v>
      </c>
    </row>
    <row r="2906">
      <c r="A2906" s="3" t="s">
        <v>12</v>
      </c>
    </row>
    <row r="2907">
      <c r="A2907" s="3" t="s">
        <v>12</v>
      </c>
      <c r="B2907" s="3" t="s">
        <v>24</v>
      </c>
    </row>
    <row r="2908">
      <c r="A2908" s="3" t="s">
        <v>12</v>
      </c>
    </row>
    <row r="2909">
      <c r="A2909" s="3" t="s">
        <v>13</v>
      </c>
      <c r="B2909" s="3" t="s">
        <v>14</v>
      </c>
    </row>
    <row r="2910">
      <c r="A2910" s="3" t="s">
        <v>13</v>
      </c>
      <c r="B2910" s="3" t="s">
        <v>14</v>
      </c>
      <c r="C2910" s="3" t="s">
        <v>17</v>
      </c>
    </row>
    <row r="2911">
      <c r="A2911" s="3" t="s">
        <v>13</v>
      </c>
      <c r="B2911" s="3" t="s">
        <v>14</v>
      </c>
      <c r="C2911" s="3" t="s">
        <v>17</v>
      </c>
    </row>
    <row r="2912">
      <c r="A2912" s="3" t="s">
        <v>13</v>
      </c>
      <c r="B2912" s="3" t="s">
        <v>14</v>
      </c>
    </row>
    <row r="2913">
      <c r="A2913" s="3" t="s">
        <v>13</v>
      </c>
      <c r="B2913" s="3" t="s">
        <v>14</v>
      </c>
      <c r="C2913" s="3" t="s">
        <v>17</v>
      </c>
      <c r="D2913" s="3" t="s">
        <v>18</v>
      </c>
    </row>
    <row r="2914">
      <c r="A2914" s="3" t="s">
        <v>13</v>
      </c>
    </row>
    <row r="2915">
      <c r="A2915" s="3" t="s">
        <v>13</v>
      </c>
      <c r="B2915" s="3" t="s">
        <v>14</v>
      </c>
    </row>
    <row r="2916">
      <c r="A2916" s="3" t="s">
        <v>13</v>
      </c>
    </row>
    <row r="2917">
      <c r="A2917" s="3" t="s">
        <v>13</v>
      </c>
    </row>
    <row r="2918">
      <c r="A2918" s="3" t="s">
        <v>13</v>
      </c>
      <c r="B2918" s="3" t="s">
        <v>14</v>
      </c>
    </row>
    <row r="2919">
      <c r="A2919" s="3" t="s">
        <v>13</v>
      </c>
    </row>
    <row r="2920">
      <c r="A2920" s="3" t="s">
        <v>13</v>
      </c>
      <c r="B2920" s="3" t="s">
        <v>14</v>
      </c>
    </row>
    <row r="2921">
      <c r="A2921" s="3" t="s">
        <v>13</v>
      </c>
      <c r="B2921" s="3" t="s">
        <v>14</v>
      </c>
    </row>
    <row r="2922">
      <c r="A2922" s="3" t="s">
        <v>14</v>
      </c>
    </row>
    <row r="2923">
      <c r="A2923" s="3" t="s">
        <v>14</v>
      </c>
    </row>
    <row r="2924">
      <c r="A2924" s="3" t="s">
        <v>14</v>
      </c>
    </row>
    <row r="2925">
      <c r="A2925" s="3" t="s">
        <v>14</v>
      </c>
    </row>
    <row r="2926">
      <c r="A2926" s="3" t="s">
        <v>14</v>
      </c>
    </row>
    <row r="2927">
      <c r="A2927" s="3" t="s">
        <v>15</v>
      </c>
      <c r="B2927" s="3" t="s">
        <v>17</v>
      </c>
    </row>
    <row r="2928">
      <c r="A2928" s="3" t="s">
        <v>15</v>
      </c>
    </row>
    <row r="2929">
      <c r="A2929" s="3" t="s">
        <v>15</v>
      </c>
    </row>
    <row r="2930">
      <c r="A2930" s="3" t="s">
        <v>15</v>
      </c>
      <c r="B2930" s="3" t="s">
        <v>17</v>
      </c>
    </row>
    <row r="2931">
      <c r="A2931" s="3" t="s">
        <v>15</v>
      </c>
    </row>
    <row r="2932">
      <c r="A2932" s="3" t="s">
        <v>16</v>
      </c>
      <c r="B2932" s="3" t="s">
        <v>17</v>
      </c>
    </row>
    <row r="2933">
      <c r="A2933" s="3" t="s">
        <v>16</v>
      </c>
      <c r="B2933" s="3" t="s">
        <v>17</v>
      </c>
    </row>
    <row r="2934">
      <c r="A2934" s="3" t="s">
        <v>16</v>
      </c>
      <c r="B2934" s="3" t="s">
        <v>25</v>
      </c>
      <c r="C2934" s="3" t="s">
        <v>27</v>
      </c>
      <c r="D2934" s="3" t="s">
        <v>28</v>
      </c>
    </row>
    <row r="2935">
      <c r="A2935" s="3" t="s">
        <v>16</v>
      </c>
    </row>
    <row r="2936">
      <c r="A2936" s="3" t="s">
        <v>17</v>
      </c>
    </row>
    <row r="2937">
      <c r="A2937" s="3" t="s">
        <v>6</v>
      </c>
      <c r="B2937" s="3" t="s">
        <v>7</v>
      </c>
      <c r="C2937" s="3" t="s">
        <v>11</v>
      </c>
      <c r="D2937" s="3" t="s">
        <v>15</v>
      </c>
      <c r="E2937" s="3" t="s">
        <v>17</v>
      </c>
      <c r="F2937" s="3" t="s">
        <v>18</v>
      </c>
      <c r="G2937" s="3" t="s">
        <v>28</v>
      </c>
    </row>
    <row r="2938">
      <c r="A2938" s="3" t="s">
        <v>6</v>
      </c>
      <c r="B2938" s="3" t="s">
        <v>7</v>
      </c>
      <c r="C2938" s="3" t="s">
        <v>8</v>
      </c>
      <c r="D2938" s="3" t="s">
        <v>15</v>
      </c>
      <c r="E2938" s="3" t="s">
        <v>16</v>
      </c>
      <c r="F2938" s="3" t="s">
        <v>17</v>
      </c>
      <c r="G2938" s="3" t="s">
        <v>28</v>
      </c>
    </row>
    <row r="2939">
      <c r="A2939" s="3" t="s">
        <v>6</v>
      </c>
      <c r="B2939" s="3" t="s">
        <v>7</v>
      </c>
      <c r="C2939" s="3" t="s">
        <v>11</v>
      </c>
      <c r="D2939" s="3" t="s">
        <v>15</v>
      </c>
      <c r="E2939" s="3" t="s">
        <v>16</v>
      </c>
      <c r="F2939" s="3" t="s">
        <v>17</v>
      </c>
    </row>
    <row r="2940">
      <c r="A2940" s="3" t="s">
        <v>6</v>
      </c>
      <c r="B2940" s="3" t="s">
        <v>7</v>
      </c>
      <c r="C2940" s="3" t="s">
        <v>13</v>
      </c>
      <c r="D2940" s="3" t="s">
        <v>14</v>
      </c>
      <c r="E2940" s="3" t="s">
        <v>17</v>
      </c>
      <c r="F2940" s="3" t="s">
        <v>28</v>
      </c>
    </row>
    <row r="2941">
      <c r="A2941" s="3" t="s">
        <v>6</v>
      </c>
      <c r="B2941" s="3" t="s">
        <v>7</v>
      </c>
      <c r="C2941" s="3" t="s">
        <v>9</v>
      </c>
      <c r="D2941" s="3" t="s">
        <v>12</v>
      </c>
      <c r="E2941" s="3" t="s">
        <v>15</v>
      </c>
      <c r="F2941" s="3" t="s">
        <v>17</v>
      </c>
      <c r="G2941" s="3" t="s">
        <v>28</v>
      </c>
    </row>
    <row r="2942">
      <c r="A2942" s="3" t="s">
        <v>6</v>
      </c>
      <c r="B2942" s="3" t="s">
        <v>7</v>
      </c>
      <c r="C2942" s="3" t="s">
        <v>13</v>
      </c>
    </row>
    <row r="2943">
      <c r="A2943" s="3" t="s">
        <v>6</v>
      </c>
      <c r="B2943" s="3" t="s">
        <v>13</v>
      </c>
      <c r="C2943" s="3" t="s">
        <v>14</v>
      </c>
    </row>
    <row r="2944">
      <c r="A2944" s="3" t="s">
        <v>6</v>
      </c>
      <c r="B2944" s="3" t="s">
        <v>7</v>
      </c>
      <c r="C2944" s="3" t="s">
        <v>13</v>
      </c>
      <c r="D2944" s="3" t="s">
        <v>14</v>
      </c>
      <c r="E2944" s="3" t="s">
        <v>17</v>
      </c>
      <c r="F2944" s="3" t="s">
        <v>18</v>
      </c>
    </row>
    <row r="2945">
      <c r="A2945" s="3" t="s">
        <v>6</v>
      </c>
      <c r="B2945" s="3" t="s">
        <v>7</v>
      </c>
      <c r="C2945" s="3" t="s">
        <v>9</v>
      </c>
      <c r="D2945" s="3" t="s">
        <v>11</v>
      </c>
      <c r="E2945" s="3" t="s">
        <v>12</v>
      </c>
      <c r="F2945" s="3" t="s">
        <v>28</v>
      </c>
    </row>
    <row r="2946">
      <c r="A2946" s="3" t="s">
        <v>6</v>
      </c>
      <c r="B2946" s="3" t="s">
        <v>7</v>
      </c>
      <c r="C2946" s="3" t="s">
        <v>15</v>
      </c>
      <c r="D2946" s="3" t="s">
        <v>16</v>
      </c>
      <c r="E2946" s="3" t="s">
        <v>28</v>
      </c>
    </row>
    <row r="2947">
      <c r="A2947" s="3" t="s">
        <v>6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</row>
    <row r="2948">
      <c r="A2948" s="3" t="s">
        <v>6</v>
      </c>
      <c r="B2948" s="3" t="s">
        <v>7</v>
      </c>
      <c r="C2948" s="3" t="s">
        <v>11</v>
      </c>
    </row>
    <row r="2949">
      <c r="A2949" s="3" t="s">
        <v>6</v>
      </c>
      <c r="B2949" s="3" t="s">
        <v>7</v>
      </c>
      <c r="C2949" s="3" t="s">
        <v>15</v>
      </c>
    </row>
    <row r="2950">
      <c r="A2950" s="3" t="s">
        <v>6</v>
      </c>
      <c r="B2950" s="3" t="s">
        <v>9</v>
      </c>
      <c r="C2950" s="3" t="s">
        <v>10</v>
      </c>
      <c r="D2950" s="3" t="s">
        <v>15</v>
      </c>
      <c r="E2950" s="3" t="s">
        <v>16</v>
      </c>
      <c r="F2950" s="3" t="s">
        <v>18</v>
      </c>
      <c r="G2950" s="3" t="s">
        <v>24</v>
      </c>
    </row>
    <row r="2951">
      <c r="A2951" s="3" t="s">
        <v>6</v>
      </c>
      <c r="B2951" s="3" t="s">
        <v>7</v>
      </c>
      <c r="C2951" s="3" t="s">
        <v>8</v>
      </c>
      <c r="D2951" s="3" t="s">
        <v>9</v>
      </c>
      <c r="E2951" s="3" t="s">
        <v>10</v>
      </c>
      <c r="F2951" s="3" t="s">
        <v>18</v>
      </c>
      <c r="G2951" s="3" t="s">
        <v>24</v>
      </c>
    </row>
    <row r="2952">
      <c r="A2952" s="3" t="s">
        <v>6</v>
      </c>
      <c r="B2952" s="3" t="s">
        <v>7</v>
      </c>
      <c r="C2952" s="3" t="s">
        <v>11</v>
      </c>
      <c r="D2952" s="3" t="s">
        <v>12</v>
      </c>
    </row>
    <row r="2953">
      <c r="A2953" s="3" t="s">
        <v>6</v>
      </c>
      <c r="B2953" s="3" t="s">
        <v>7</v>
      </c>
      <c r="C2953" s="3" t="s">
        <v>8</v>
      </c>
    </row>
    <row r="2954">
      <c r="A2954" s="3" t="s">
        <v>6</v>
      </c>
      <c r="B2954" s="3" t="s">
        <v>7</v>
      </c>
      <c r="C2954" s="3" t="s">
        <v>8</v>
      </c>
      <c r="D2954" s="3" t="s">
        <v>9</v>
      </c>
      <c r="E2954" s="3" t="s">
        <v>13</v>
      </c>
      <c r="F2954" s="3" t="s">
        <v>14</v>
      </c>
      <c r="G2954" s="3" t="s">
        <v>17</v>
      </c>
    </row>
    <row r="2955">
      <c r="A2955" s="3" t="s">
        <v>6</v>
      </c>
      <c r="B2955" s="3" t="s">
        <v>7</v>
      </c>
      <c r="C2955" s="3" t="s">
        <v>15</v>
      </c>
    </row>
    <row r="2956">
      <c r="A2956" s="3" t="s">
        <v>6</v>
      </c>
      <c r="B2956" s="3" t="s">
        <v>7</v>
      </c>
      <c r="C2956" s="3" t="s">
        <v>11</v>
      </c>
      <c r="D2956" s="3" t="s">
        <v>12</v>
      </c>
      <c r="E2956" s="3" t="s">
        <v>15</v>
      </c>
      <c r="F2956" s="3" t="s">
        <v>17</v>
      </c>
      <c r="G2956" s="3" t="s">
        <v>18</v>
      </c>
    </row>
    <row r="2957">
      <c r="A2957" s="3" t="s">
        <v>6</v>
      </c>
      <c r="B2957" s="3" t="s">
        <v>11</v>
      </c>
    </row>
    <row r="2958">
      <c r="A2958" s="3" t="s">
        <v>6</v>
      </c>
      <c r="B2958" s="3" t="s">
        <v>7</v>
      </c>
      <c r="C2958" s="3" t="s">
        <v>13</v>
      </c>
    </row>
    <row r="2959">
      <c r="A2959" s="3" t="s">
        <v>6</v>
      </c>
      <c r="B2959" s="3" t="s">
        <v>7</v>
      </c>
    </row>
    <row r="2960">
      <c r="A2960" s="3" t="s">
        <v>6</v>
      </c>
      <c r="B2960" s="3" t="s">
        <v>7</v>
      </c>
      <c r="C2960" s="3" t="s">
        <v>8</v>
      </c>
    </row>
    <row r="2961">
      <c r="A2961" s="3" t="s">
        <v>6</v>
      </c>
      <c r="B2961" s="3" t="s">
        <v>13</v>
      </c>
      <c r="C2961" s="3" t="s">
        <v>14</v>
      </c>
      <c r="D2961" s="3" t="s">
        <v>17</v>
      </c>
    </row>
    <row r="2962">
      <c r="A2962" s="3" t="s">
        <v>6</v>
      </c>
      <c r="B2962" s="3" t="s">
        <v>11</v>
      </c>
      <c r="C2962" s="3" t="s">
        <v>15</v>
      </c>
    </row>
    <row r="2963">
      <c r="A2963" s="3" t="s">
        <v>6</v>
      </c>
      <c r="B2963" s="3" t="s">
        <v>13</v>
      </c>
      <c r="C2963" s="3" t="s">
        <v>17</v>
      </c>
      <c r="D2963" s="3" t="s">
        <v>28</v>
      </c>
    </row>
    <row r="2964">
      <c r="A2964" s="3" t="s">
        <v>6</v>
      </c>
      <c r="B2964" s="3" t="s">
        <v>7</v>
      </c>
      <c r="C2964" s="3" t="s">
        <v>8</v>
      </c>
    </row>
    <row r="2965">
      <c r="A2965" s="3" t="s">
        <v>6</v>
      </c>
      <c r="B2965" s="3" t="s">
        <v>7</v>
      </c>
      <c r="C2965" s="3" t="s">
        <v>8</v>
      </c>
    </row>
    <row r="2966">
      <c r="A2966" s="3" t="s">
        <v>6</v>
      </c>
      <c r="B2966" s="3" t="s">
        <v>11</v>
      </c>
      <c r="C2966" s="3" t="s">
        <v>12</v>
      </c>
      <c r="D2966" s="3" t="s">
        <v>17</v>
      </c>
      <c r="E2966" s="3" t="s">
        <v>18</v>
      </c>
      <c r="F2966" s="3" t="s">
        <v>28</v>
      </c>
    </row>
    <row r="2967">
      <c r="A2967" s="3" t="s">
        <v>6</v>
      </c>
      <c r="B2967" s="3" t="s">
        <v>13</v>
      </c>
      <c r="C2967" s="3" t="s">
        <v>14</v>
      </c>
    </row>
    <row r="2968">
      <c r="A2968" s="3" t="s">
        <v>6</v>
      </c>
      <c r="B2968" s="3" t="s">
        <v>7</v>
      </c>
    </row>
    <row r="2969">
      <c r="A2969" s="3" t="s">
        <v>6</v>
      </c>
      <c r="B2969" s="3" t="s">
        <v>7</v>
      </c>
      <c r="C2969" s="3" t="s">
        <v>10</v>
      </c>
      <c r="D2969" s="3" t="s">
        <v>13</v>
      </c>
      <c r="E2969" s="3" t="s">
        <v>14</v>
      </c>
      <c r="F2969" s="3" t="s">
        <v>18</v>
      </c>
    </row>
    <row r="2970">
      <c r="A2970" s="3" t="s">
        <v>6</v>
      </c>
      <c r="B2970" s="3" t="s">
        <v>7</v>
      </c>
      <c r="C2970" s="3" t="s">
        <v>9</v>
      </c>
    </row>
    <row r="2971">
      <c r="A2971" s="3" t="s">
        <v>6</v>
      </c>
      <c r="B2971" s="3" t="s">
        <v>11</v>
      </c>
      <c r="C2971" s="3" t="s">
        <v>12</v>
      </c>
    </row>
    <row r="2972">
      <c r="A2972" s="3" t="s">
        <v>6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18</v>
      </c>
    </row>
    <row r="2973">
      <c r="A2973" s="3" t="s">
        <v>6</v>
      </c>
      <c r="B2973" s="3" t="s">
        <v>8</v>
      </c>
      <c r="C2973" s="3" t="s">
        <v>9</v>
      </c>
    </row>
    <row r="2974">
      <c r="A2974" s="3" t="s">
        <v>6</v>
      </c>
      <c r="B2974" s="3" t="s">
        <v>7</v>
      </c>
    </row>
    <row r="2975">
      <c r="A2975" s="3" t="s">
        <v>6</v>
      </c>
      <c r="B2975" s="3" t="s">
        <v>7</v>
      </c>
      <c r="C2975" s="3" t="s">
        <v>11</v>
      </c>
    </row>
    <row r="2976">
      <c r="A2976" s="3" t="s">
        <v>6</v>
      </c>
      <c r="B2976" s="3" t="s">
        <v>7</v>
      </c>
      <c r="C2976" s="3" t="s">
        <v>14</v>
      </c>
    </row>
    <row r="2977">
      <c r="A2977" s="3" t="s">
        <v>6</v>
      </c>
      <c r="B2977" s="3" t="s">
        <v>8</v>
      </c>
      <c r="C2977" s="3" t="s">
        <v>15</v>
      </c>
    </row>
    <row r="2978">
      <c r="A2978" s="3" t="s">
        <v>6</v>
      </c>
      <c r="B2978" s="3" t="s">
        <v>11</v>
      </c>
      <c r="C2978" s="3" t="s">
        <v>17</v>
      </c>
    </row>
    <row r="2979">
      <c r="A2979" s="3" t="s">
        <v>6</v>
      </c>
      <c r="B2979" s="3" t="s">
        <v>13</v>
      </c>
      <c r="C2979" s="3" t="s">
        <v>14</v>
      </c>
      <c r="D2979" s="3" t="s">
        <v>17</v>
      </c>
      <c r="E2979" s="3" t="s">
        <v>18</v>
      </c>
    </row>
    <row r="2980">
      <c r="A2980" s="3" t="s">
        <v>6</v>
      </c>
      <c r="B2980" s="3" t="s">
        <v>11</v>
      </c>
      <c r="C2980" s="3" t="s">
        <v>12</v>
      </c>
    </row>
    <row r="2981">
      <c r="A2981" s="3" t="s">
        <v>6</v>
      </c>
      <c r="B2981" s="3" t="s">
        <v>7</v>
      </c>
      <c r="C2981" s="3" t="s">
        <v>11</v>
      </c>
      <c r="D2981" s="3" t="s">
        <v>12</v>
      </c>
    </row>
    <row r="2982">
      <c r="A2982" s="3" t="s">
        <v>6</v>
      </c>
      <c r="B2982" s="3" t="s">
        <v>10</v>
      </c>
    </row>
    <row r="2983">
      <c r="A2983" s="3" t="s">
        <v>6</v>
      </c>
      <c r="B2983" s="3" t="s">
        <v>7</v>
      </c>
    </row>
    <row r="2984">
      <c r="A2984" s="3" t="s">
        <v>6</v>
      </c>
      <c r="B2984" s="3" t="s">
        <v>7</v>
      </c>
      <c r="C2984" s="3" t="s">
        <v>10</v>
      </c>
      <c r="D2984" s="3" t="s">
        <v>11</v>
      </c>
    </row>
    <row r="2985">
      <c r="A2985" s="3" t="s">
        <v>6</v>
      </c>
      <c r="B2985" s="3" t="s">
        <v>7</v>
      </c>
      <c r="C2985" s="3" t="s">
        <v>8</v>
      </c>
    </row>
    <row r="2986">
      <c r="A2986" s="3" t="s">
        <v>6</v>
      </c>
      <c r="B2986" s="3" t="s">
        <v>7</v>
      </c>
      <c r="C2986" s="3" t="s">
        <v>15</v>
      </c>
    </row>
    <row r="2987">
      <c r="A2987" s="3" t="s">
        <v>609</v>
      </c>
    </row>
    <row r="2988">
      <c r="A2988" s="3" t="s">
        <v>7</v>
      </c>
      <c r="B2988" s="3" t="s">
        <v>8</v>
      </c>
      <c r="C2988" s="3" t="s">
        <v>28</v>
      </c>
    </row>
    <row r="2989">
      <c r="A2989" s="3" t="s">
        <v>7</v>
      </c>
      <c r="B2989" s="3" t="s">
        <v>8</v>
      </c>
      <c r="C2989" s="3" t="s">
        <v>9</v>
      </c>
      <c r="D2989" s="3" t="s">
        <v>15</v>
      </c>
      <c r="E2989" s="3" t="s">
        <v>17</v>
      </c>
      <c r="F2989" s="3" t="s">
        <v>18</v>
      </c>
      <c r="G2989" s="3" t="s">
        <v>24</v>
      </c>
    </row>
    <row r="2990">
      <c r="A2990" s="3" t="s">
        <v>7</v>
      </c>
      <c r="B2990" s="3" t="s">
        <v>8</v>
      </c>
      <c r="C2990" s="3" t="s">
        <v>9</v>
      </c>
      <c r="D2990" s="3" t="s">
        <v>13</v>
      </c>
      <c r="E2990" s="3" t="s">
        <v>14</v>
      </c>
      <c r="F2990" s="3" t="s">
        <v>17</v>
      </c>
      <c r="G2990" s="3" t="s">
        <v>28</v>
      </c>
    </row>
    <row r="2991">
      <c r="A2991" s="3" t="s">
        <v>7</v>
      </c>
      <c r="B2991" s="3" t="s">
        <v>8</v>
      </c>
      <c r="C2991" s="3" t="s">
        <v>11</v>
      </c>
      <c r="D2991" s="3" t="s">
        <v>12</v>
      </c>
    </row>
    <row r="2992">
      <c r="A2992" s="3" t="s">
        <v>7</v>
      </c>
      <c r="B2992" s="3" t="s">
        <v>10</v>
      </c>
      <c r="C2992" s="3" t="s">
        <v>14</v>
      </c>
    </row>
    <row r="2993">
      <c r="A2993" s="3" t="s">
        <v>7</v>
      </c>
      <c r="B2993" s="3" t="s">
        <v>13</v>
      </c>
    </row>
    <row r="2994">
      <c r="A2994" s="3" t="s">
        <v>7</v>
      </c>
      <c r="B2994" s="3" t="s">
        <v>11</v>
      </c>
      <c r="C2994" s="3" t="s">
        <v>17</v>
      </c>
    </row>
    <row r="2995">
      <c r="A2995" s="3" t="s">
        <v>7</v>
      </c>
      <c r="B2995" s="3" t="s">
        <v>28</v>
      </c>
    </row>
    <row r="2996">
      <c r="A2996" s="3" t="s">
        <v>7</v>
      </c>
      <c r="B2996" s="3" t="s">
        <v>24</v>
      </c>
    </row>
    <row r="2997">
      <c r="A2997" s="3" t="s">
        <v>7</v>
      </c>
      <c r="B2997" s="3" t="s">
        <v>13</v>
      </c>
      <c r="C2997" s="3" t="s">
        <v>28</v>
      </c>
    </row>
    <row r="2998">
      <c r="A2998" s="3" t="s">
        <v>8</v>
      </c>
      <c r="B2998" s="3" t="s">
        <v>11</v>
      </c>
      <c r="C2998" s="3" t="s">
        <v>12</v>
      </c>
      <c r="D2998" s="3" t="s">
        <v>15</v>
      </c>
      <c r="E2998" s="3" t="s">
        <v>16</v>
      </c>
      <c r="F2998" s="3" t="s">
        <v>18</v>
      </c>
      <c r="G2998" s="3" t="s">
        <v>24</v>
      </c>
    </row>
    <row r="2999">
      <c r="A2999" s="3" t="s">
        <v>8</v>
      </c>
      <c r="B2999" s="3" t="s">
        <v>11</v>
      </c>
      <c r="C2999" s="3" t="s">
        <v>15</v>
      </c>
    </row>
    <row r="3000">
      <c r="A3000" s="3" t="s">
        <v>8</v>
      </c>
      <c r="B3000" s="3" t="s">
        <v>11</v>
      </c>
      <c r="C3000" s="3" t="s">
        <v>12</v>
      </c>
      <c r="D3000" s="3" t="s">
        <v>15</v>
      </c>
      <c r="E3000" s="3" t="s">
        <v>16</v>
      </c>
      <c r="F3000" s="3" t="s">
        <v>17</v>
      </c>
      <c r="G3000" s="3" t="s">
        <v>18</v>
      </c>
    </row>
    <row r="3001">
      <c r="A3001" s="3" t="s">
        <v>8</v>
      </c>
      <c r="B3001" s="3" t="s">
        <v>9</v>
      </c>
      <c r="C3001" s="3" t="s">
        <v>12</v>
      </c>
      <c r="D3001" s="3" t="s">
        <v>16</v>
      </c>
      <c r="E3001" s="3" t="s">
        <v>17</v>
      </c>
      <c r="F3001" s="3" t="s">
        <v>18</v>
      </c>
      <c r="G3001" s="3" t="s">
        <v>24</v>
      </c>
    </row>
    <row r="3002">
      <c r="A3002" s="3" t="s">
        <v>8</v>
      </c>
      <c r="B3002" s="3" t="s">
        <v>11</v>
      </c>
      <c r="C3002" s="3" t="s">
        <v>13</v>
      </c>
      <c r="D3002" s="3" t="s">
        <v>15</v>
      </c>
      <c r="E3002" s="3" t="s">
        <v>16</v>
      </c>
      <c r="F3002" s="3" t="s">
        <v>17</v>
      </c>
      <c r="G3002" s="3" t="s">
        <v>18</v>
      </c>
    </row>
    <row r="3003">
      <c r="A3003" s="3" t="s">
        <v>8</v>
      </c>
      <c r="B3003" s="3" t="s">
        <v>9</v>
      </c>
      <c r="C3003" s="3" t="s">
        <v>14</v>
      </c>
      <c r="D3003" s="3" t="s">
        <v>16</v>
      </c>
      <c r="E3003" s="3" t="s">
        <v>18</v>
      </c>
      <c r="F3003" s="3" t="s">
        <v>24</v>
      </c>
    </row>
    <row r="3004">
      <c r="A3004" s="3" t="s">
        <v>8</v>
      </c>
      <c r="B3004" s="3" t="s">
        <v>14</v>
      </c>
      <c r="C3004" s="3" t="s">
        <v>18</v>
      </c>
    </row>
    <row r="3005">
      <c r="A3005" s="3" t="s">
        <v>8</v>
      </c>
      <c r="B3005" s="3" t="s">
        <v>9</v>
      </c>
      <c r="C3005" s="3" t="s">
        <v>17</v>
      </c>
      <c r="D3005" s="3" t="s">
        <v>18</v>
      </c>
      <c r="E3005" s="3" t="s">
        <v>28</v>
      </c>
    </row>
    <row r="3006">
      <c r="A3006" s="3" t="s">
        <v>8</v>
      </c>
      <c r="B3006" s="3" t="s">
        <v>9</v>
      </c>
      <c r="C3006" s="3" t="s">
        <v>10</v>
      </c>
      <c r="D3006" s="3" t="s">
        <v>14</v>
      </c>
      <c r="E3006" s="3" t="s">
        <v>18</v>
      </c>
      <c r="F3006" s="3" t="s">
        <v>24</v>
      </c>
    </row>
    <row r="3007">
      <c r="A3007" s="3" t="s">
        <v>8</v>
      </c>
      <c r="B3007" s="3" t="s">
        <v>9</v>
      </c>
      <c r="C3007" s="3" t="s">
        <v>11</v>
      </c>
      <c r="D3007" s="3" t="s">
        <v>12</v>
      </c>
    </row>
    <row r="3008">
      <c r="A3008" s="3" t="s">
        <v>8</v>
      </c>
      <c r="B3008" s="3" t="s">
        <v>9</v>
      </c>
      <c r="C3008" s="3" t="s">
        <v>13</v>
      </c>
      <c r="D3008" s="3" t="s">
        <v>14</v>
      </c>
      <c r="E3008" s="3" t="s">
        <v>17</v>
      </c>
      <c r="F3008" s="3" t="s">
        <v>28</v>
      </c>
    </row>
    <row r="3009">
      <c r="A3009" s="3" t="s">
        <v>8</v>
      </c>
      <c r="B3009" s="3" t="s">
        <v>9</v>
      </c>
      <c r="C3009" s="3" t="s">
        <v>10</v>
      </c>
      <c r="D3009" s="3" t="s">
        <v>12</v>
      </c>
      <c r="E3009" s="3" t="s">
        <v>16</v>
      </c>
      <c r="F3009" s="3" t="s">
        <v>18</v>
      </c>
      <c r="G3009" s="3" t="s">
        <v>24</v>
      </c>
    </row>
    <row r="3010">
      <c r="A3010" s="3" t="s">
        <v>8</v>
      </c>
      <c r="B3010" s="3" t="s">
        <v>12</v>
      </c>
      <c r="C3010" s="3" t="s">
        <v>24</v>
      </c>
    </row>
    <row r="3011">
      <c r="A3011" s="3" t="s">
        <v>8</v>
      </c>
      <c r="B3011" s="3" t="s">
        <v>9</v>
      </c>
      <c r="C3011" s="3" t="s">
        <v>12</v>
      </c>
    </row>
    <row r="3012">
      <c r="A3012" s="3" t="s">
        <v>8</v>
      </c>
      <c r="B3012" s="3" t="s">
        <v>15</v>
      </c>
      <c r="C3012" s="3" t="s">
        <v>16</v>
      </c>
    </row>
    <row r="3013">
      <c r="A3013" s="3" t="s">
        <v>8</v>
      </c>
      <c r="B3013" s="3" t="s">
        <v>11</v>
      </c>
      <c r="C3013" s="3" t="s">
        <v>12</v>
      </c>
    </row>
    <row r="3014">
      <c r="A3014" s="3" t="s">
        <v>8</v>
      </c>
      <c r="B3014" s="3" t="s">
        <v>12</v>
      </c>
      <c r="C3014" s="3" t="s">
        <v>24</v>
      </c>
    </row>
    <row r="3015">
      <c r="A3015" s="3" t="s">
        <v>9</v>
      </c>
      <c r="B3015" s="3" t="s">
        <v>10</v>
      </c>
      <c r="C3015" s="3" t="s">
        <v>12</v>
      </c>
      <c r="D3015" s="3" t="s">
        <v>15</v>
      </c>
      <c r="E3015" s="3" t="s">
        <v>17</v>
      </c>
      <c r="F3015" s="3" t="s">
        <v>18</v>
      </c>
      <c r="G3015" s="3" t="s">
        <v>24</v>
      </c>
    </row>
    <row r="3016">
      <c r="A3016" s="3" t="s">
        <v>9</v>
      </c>
      <c r="B3016" s="3" t="s">
        <v>15</v>
      </c>
      <c r="C3016" s="3" t="s">
        <v>16</v>
      </c>
      <c r="D3016" s="3" t="s">
        <v>18</v>
      </c>
    </row>
    <row r="3017">
      <c r="A3017" s="3" t="s">
        <v>9</v>
      </c>
      <c r="B3017" s="3" t="s">
        <v>13</v>
      </c>
      <c r="C3017" s="3" t="s">
        <v>14</v>
      </c>
      <c r="D3017" s="3" t="s">
        <v>16</v>
      </c>
      <c r="E3017" s="3" t="s">
        <v>17</v>
      </c>
      <c r="F3017" s="3" t="s">
        <v>18</v>
      </c>
      <c r="G3017" s="3" t="s">
        <v>24</v>
      </c>
    </row>
    <row r="3018">
      <c r="A3018" s="3" t="s">
        <v>9</v>
      </c>
      <c r="B3018" s="3" t="s">
        <v>10</v>
      </c>
      <c r="C3018" s="3" t="s">
        <v>17</v>
      </c>
      <c r="D3018" s="3" t="s">
        <v>24</v>
      </c>
      <c r="E3018" s="3" t="s">
        <v>28</v>
      </c>
    </row>
    <row r="3019">
      <c r="A3019" s="3" t="s">
        <v>9</v>
      </c>
      <c r="B3019" s="3" t="s">
        <v>10</v>
      </c>
      <c r="C3019" s="3" t="s">
        <v>12</v>
      </c>
      <c r="D3019" s="3" t="s">
        <v>14</v>
      </c>
      <c r="E3019" s="3" t="s">
        <v>17</v>
      </c>
      <c r="F3019" s="3" t="s">
        <v>18</v>
      </c>
      <c r="G3019" s="3" t="s">
        <v>24</v>
      </c>
    </row>
    <row r="3020">
      <c r="A3020" s="3" t="s">
        <v>9</v>
      </c>
      <c r="B3020" s="3" t="s">
        <v>10</v>
      </c>
      <c r="C3020" s="3" t="s">
        <v>12</v>
      </c>
      <c r="D3020" s="3" t="s">
        <v>14</v>
      </c>
      <c r="E3020" s="3" t="s">
        <v>17</v>
      </c>
      <c r="F3020" s="3" t="s">
        <v>18</v>
      </c>
      <c r="G3020" s="3" t="s">
        <v>24</v>
      </c>
    </row>
    <row r="3021">
      <c r="A3021" s="3" t="s">
        <v>9</v>
      </c>
      <c r="B3021" s="3" t="s">
        <v>11</v>
      </c>
      <c r="C3021" s="3" t="s">
        <v>12</v>
      </c>
      <c r="D3021" s="3" t="s">
        <v>15</v>
      </c>
      <c r="E3021" s="3" t="s">
        <v>16</v>
      </c>
      <c r="F3021" s="3" t="s">
        <v>18</v>
      </c>
    </row>
    <row r="3022">
      <c r="A3022" s="3" t="s">
        <v>9</v>
      </c>
      <c r="B3022" s="3" t="s">
        <v>10</v>
      </c>
      <c r="C3022" s="3" t="s">
        <v>14</v>
      </c>
      <c r="D3022" s="3" t="s">
        <v>16</v>
      </c>
      <c r="E3022" s="3" t="s">
        <v>17</v>
      </c>
      <c r="F3022" s="3" t="s">
        <v>24</v>
      </c>
    </row>
    <row r="3023">
      <c r="A3023" s="3" t="s">
        <v>9</v>
      </c>
      <c r="B3023" s="3" t="s">
        <v>11</v>
      </c>
      <c r="C3023" s="3" t="s">
        <v>12</v>
      </c>
      <c r="D3023" s="3" t="s">
        <v>15</v>
      </c>
      <c r="E3023" s="3" t="s">
        <v>16</v>
      </c>
      <c r="F3023" s="3" t="s">
        <v>18</v>
      </c>
    </row>
    <row r="3024">
      <c r="A3024" s="3" t="s">
        <v>9</v>
      </c>
      <c r="B3024" s="3" t="s">
        <v>11</v>
      </c>
      <c r="C3024" s="3" t="s">
        <v>12</v>
      </c>
      <c r="D3024" s="3" t="s">
        <v>15</v>
      </c>
      <c r="E3024" s="3" t="s">
        <v>17</v>
      </c>
      <c r="F3024" s="3" t="s">
        <v>18</v>
      </c>
      <c r="G3024" s="3" t="s">
        <v>24</v>
      </c>
    </row>
    <row r="3025">
      <c r="A3025" s="3" t="s">
        <v>9</v>
      </c>
      <c r="B3025" s="3" t="s">
        <v>10</v>
      </c>
      <c r="C3025" s="3" t="s">
        <v>11</v>
      </c>
      <c r="D3025" s="3" t="s">
        <v>12</v>
      </c>
      <c r="E3025" s="3" t="s">
        <v>18</v>
      </c>
    </row>
    <row r="3026">
      <c r="A3026" s="3" t="s">
        <v>9</v>
      </c>
      <c r="B3026" s="3" t="s">
        <v>10</v>
      </c>
      <c r="C3026" s="3" t="s">
        <v>13</v>
      </c>
      <c r="D3026" s="3" t="s">
        <v>14</v>
      </c>
      <c r="E3026" s="3" t="s">
        <v>16</v>
      </c>
      <c r="F3026" s="3" t="s">
        <v>18</v>
      </c>
      <c r="G3026" s="3" t="s">
        <v>24</v>
      </c>
    </row>
    <row r="3027">
      <c r="A3027" s="3" t="s">
        <v>9</v>
      </c>
      <c r="B3027" s="3" t="s">
        <v>10</v>
      </c>
      <c r="C3027" s="3" t="s">
        <v>16</v>
      </c>
      <c r="D3027" s="3" t="s">
        <v>18</v>
      </c>
      <c r="E3027" s="3" t="s">
        <v>24</v>
      </c>
    </row>
    <row r="3028">
      <c r="A3028" s="3" t="s">
        <v>9</v>
      </c>
      <c r="B3028" s="3" t="s">
        <v>12</v>
      </c>
      <c r="C3028" s="3" t="s">
        <v>24</v>
      </c>
    </row>
    <row r="3029">
      <c r="A3029" s="3" t="s">
        <v>9</v>
      </c>
      <c r="B3029" s="3" t="s">
        <v>10</v>
      </c>
      <c r="C3029" s="3" t="s">
        <v>13</v>
      </c>
      <c r="D3029" s="3" t="s">
        <v>14</v>
      </c>
      <c r="E3029" s="3" t="s">
        <v>17</v>
      </c>
    </row>
    <row r="3030">
      <c r="A3030" s="3" t="s">
        <v>9</v>
      </c>
      <c r="B3030" s="3" t="s">
        <v>10</v>
      </c>
      <c r="C3030" s="3" t="s">
        <v>15</v>
      </c>
      <c r="D3030" s="3" t="s">
        <v>16</v>
      </c>
      <c r="E3030" s="3" t="s">
        <v>18</v>
      </c>
      <c r="F3030" s="3" t="s">
        <v>24</v>
      </c>
    </row>
    <row r="3031">
      <c r="A3031" s="3" t="s">
        <v>10</v>
      </c>
      <c r="B3031" s="3" t="s">
        <v>14</v>
      </c>
      <c r="C3031" s="3" t="s">
        <v>24</v>
      </c>
    </row>
    <row r="3032">
      <c r="A3032" s="3" t="s">
        <v>10</v>
      </c>
      <c r="B3032" s="3" t="s">
        <v>15</v>
      </c>
      <c r="C3032" s="3" t="s">
        <v>28</v>
      </c>
    </row>
    <row r="3033">
      <c r="A3033" s="3" t="s">
        <v>10</v>
      </c>
      <c r="B3033" s="3" t="s">
        <v>16</v>
      </c>
      <c r="C3033" s="3" t="s">
        <v>28</v>
      </c>
    </row>
    <row r="3034">
      <c r="A3034" s="3" t="s">
        <v>11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</row>
    <row r="3035">
      <c r="A3035" s="3" t="s">
        <v>11</v>
      </c>
      <c r="B3035" s="3" t="s">
        <v>12</v>
      </c>
      <c r="C3035" s="3" t="s">
        <v>13</v>
      </c>
      <c r="D3035" s="3" t="s">
        <v>15</v>
      </c>
      <c r="E3035" s="3" t="s">
        <v>16</v>
      </c>
      <c r="F3035" s="3" t="s">
        <v>17</v>
      </c>
      <c r="G3035" s="3" t="s">
        <v>18</v>
      </c>
    </row>
    <row r="3036">
      <c r="A3036" s="3" t="s">
        <v>11</v>
      </c>
      <c r="B3036" s="3" t="s">
        <v>12</v>
      </c>
      <c r="C3036" s="3" t="s">
        <v>13</v>
      </c>
      <c r="D3036" s="3" t="s">
        <v>15</v>
      </c>
      <c r="E3036" s="3" t="s">
        <v>16</v>
      </c>
      <c r="F3036" s="3" t="s">
        <v>17</v>
      </c>
      <c r="G3036" s="3" t="s">
        <v>18</v>
      </c>
    </row>
    <row r="3037">
      <c r="A3037" s="3" t="s">
        <v>11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28</v>
      </c>
    </row>
    <row r="3038">
      <c r="A3038" s="3" t="s">
        <v>11</v>
      </c>
      <c r="B3038" s="3" t="s">
        <v>12</v>
      </c>
      <c r="C3038" s="3" t="s">
        <v>15</v>
      </c>
      <c r="D3038" s="3" t="s">
        <v>16</v>
      </c>
      <c r="E3038" s="3" t="s">
        <v>17</v>
      </c>
      <c r="F3038" s="3" t="s">
        <v>18</v>
      </c>
      <c r="G3038" s="3" t="s">
        <v>28</v>
      </c>
    </row>
    <row r="3039">
      <c r="A3039" s="3" t="s">
        <v>11</v>
      </c>
      <c r="B3039" s="3" t="s">
        <v>15</v>
      </c>
      <c r="C3039" s="3" t="s">
        <v>16</v>
      </c>
    </row>
    <row r="3040">
      <c r="A3040" s="3" t="s">
        <v>11</v>
      </c>
      <c r="B3040" s="3" t="s">
        <v>12</v>
      </c>
      <c r="C3040" s="3" t="s">
        <v>15</v>
      </c>
    </row>
    <row r="3041">
      <c r="A3041" s="3" t="s">
        <v>11</v>
      </c>
      <c r="B3041" s="3" t="s">
        <v>15</v>
      </c>
      <c r="C3041" s="3" t="s">
        <v>28</v>
      </c>
    </row>
    <row r="3042">
      <c r="A3042" s="3" t="s">
        <v>11</v>
      </c>
      <c r="B3042" s="3" t="s">
        <v>13</v>
      </c>
      <c r="C3042" s="3" t="s">
        <v>17</v>
      </c>
      <c r="D3042" s="3" t="s">
        <v>28</v>
      </c>
    </row>
    <row r="3043">
      <c r="A3043" s="3" t="s">
        <v>11</v>
      </c>
      <c r="B3043" s="3" t="s">
        <v>12</v>
      </c>
      <c r="C3043" s="3" t="s">
        <v>13</v>
      </c>
      <c r="D3043" s="3" t="s">
        <v>14</v>
      </c>
      <c r="E3043" s="3" t="s">
        <v>15</v>
      </c>
      <c r="F3043" s="3" t="s">
        <v>17</v>
      </c>
      <c r="G3043" s="3" t="s">
        <v>18</v>
      </c>
    </row>
    <row r="3044">
      <c r="A3044" s="3" t="s">
        <v>11</v>
      </c>
      <c r="B3044" s="3" t="s">
        <v>12</v>
      </c>
      <c r="C3044" s="3" t="s">
        <v>24</v>
      </c>
    </row>
    <row r="3045">
      <c r="A3045" s="3" t="s">
        <v>11</v>
      </c>
      <c r="B3045" s="3" t="s">
        <v>12</v>
      </c>
      <c r="C3045" s="3" t="s">
        <v>14</v>
      </c>
      <c r="D3045" s="3" t="s">
        <v>16</v>
      </c>
      <c r="E3045" s="3" t="s">
        <v>17</v>
      </c>
      <c r="F3045" s="3" t="s">
        <v>18</v>
      </c>
    </row>
    <row r="3046">
      <c r="A3046" s="3" t="s">
        <v>12</v>
      </c>
      <c r="B3046" s="3" t="s">
        <v>18</v>
      </c>
    </row>
    <row r="3047">
      <c r="A3047" s="3" t="s">
        <v>12</v>
      </c>
      <c r="B3047" s="3" t="s">
        <v>13</v>
      </c>
      <c r="C3047" s="3" t="s">
        <v>14</v>
      </c>
    </row>
    <row r="3048">
      <c r="A3048" s="3" t="s">
        <v>13</v>
      </c>
      <c r="B3048" s="3" t="s">
        <v>28</v>
      </c>
    </row>
    <row r="3049">
      <c r="A3049" s="3" t="s">
        <v>13</v>
      </c>
      <c r="B3049" s="3" t="s">
        <v>14</v>
      </c>
      <c r="C3049" s="3" t="s">
        <v>28</v>
      </c>
    </row>
    <row r="3050">
      <c r="A3050" s="3" t="s">
        <v>13</v>
      </c>
      <c r="B3050" s="3" t="s">
        <v>14</v>
      </c>
      <c r="C3050" s="3" t="s">
        <v>15</v>
      </c>
      <c r="D3050" s="3" t="s">
        <v>16</v>
      </c>
      <c r="E3050" s="3" t="s">
        <v>17</v>
      </c>
    </row>
    <row r="3051">
      <c r="A3051" s="3" t="s">
        <v>13</v>
      </c>
      <c r="B3051" s="3" t="s">
        <v>14</v>
      </c>
      <c r="C3051" s="3" t="s">
        <v>17</v>
      </c>
      <c r="D3051" s="3" t="s">
        <v>28</v>
      </c>
    </row>
    <row r="3052">
      <c r="A3052" s="3" t="s">
        <v>13</v>
      </c>
      <c r="B3052" s="3" t="s">
        <v>14</v>
      </c>
      <c r="C3052" s="3" t="s">
        <v>16</v>
      </c>
    </row>
    <row r="3053">
      <c r="A3053" s="3" t="s">
        <v>13</v>
      </c>
      <c r="B3053" s="3" t="s">
        <v>14</v>
      </c>
      <c r="C3053" s="3" t="s">
        <v>28</v>
      </c>
    </row>
    <row r="3054">
      <c r="A3054" s="3" t="s">
        <v>13</v>
      </c>
      <c r="B3054" s="3" t="s">
        <v>17</v>
      </c>
      <c r="C3054" s="3" t="s">
        <v>28</v>
      </c>
    </row>
    <row r="3055">
      <c r="A3055" s="3" t="s">
        <v>13</v>
      </c>
      <c r="B3055" s="3" t="s">
        <v>14</v>
      </c>
      <c r="C3055" s="3" t="s">
        <v>28</v>
      </c>
    </row>
    <row r="3056">
      <c r="A3056" s="3" t="s">
        <v>13</v>
      </c>
      <c r="B3056" s="3" t="s">
        <v>14</v>
      </c>
      <c r="C3056" s="3" t="s">
        <v>18</v>
      </c>
    </row>
    <row r="3057">
      <c r="A3057" s="3" t="s">
        <v>13</v>
      </c>
      <c r="B3057" s="3" t="s">
        <v>14</v>
      </c>
      <c r="C3057" s="3" t="s">
        <v>28</v>
      </c>
    </row>
    <row r="3058">
      <c r="A3058" s="3" t="s">
        <v>13</v>
      </c>
      <c r="B3058" s="3" t="s">
        <v>14</v>
      </c>
    </row>
    <row r="3059">
      <c r="A3059" s="3" t="s">
        <v>13</v>
      </c>
      <c r="B3059" s="3" t="s">
        <v>14</v>
      </c>
      <c r="C3059" s="3" t="s">
        <v>17</v>
      </c>
    </row>
    <row r="3060">
      <c r="A3060" s="3" t="s">
        <v>14</v>
      </c>
      <c r="B3060" s="3" t="s">
        <v>16</v>
      </c>
      <c r="C3060" s="3" t="s">
        <v>18</v>
      </c>
    </row>
    <row r="3061">
      <c r="A3061" s="3" t="s">
        <v>14</v>
      </c>
      <c r="B3061" s="3" t="s">
        <v>16</v>
      </c>
      <c r="C3061" s="3" t="s">
        <v>18</v>
      </c>
    </row>
    <row r="3062">
      <c r="A3062" s="3" t="s">
        <v>14</v>
      </c>
      <c r="B3062" s="3" t="s">
        <v>15</v>
      </c>
      <c r="C3062" s="3" t="s">
        <v>16</v>
      </c>
    </row>
    <row r="3063">
      <c r="A3063" s="3" t="s">
        <v>14</v>
      </c>
      <c r="B3063" s="3" t="s">
        <v>15</v>
      </c>
      <c r="C3063" s="3" t="s">
        <v>16</v>
      </c>
      <c r="D3063" s="3" t="s">
        <v>18</v>
      </c>
    </row>
    <row r="3064">
      <c r="A3064" s="3" t="s">
        <v>15</v>
      </c>
    </row>
    <row r="3065">
      <c r="A3065" s="3" t="s">
        <v>6</v>
      </c>
      <c r="B3065" s="3" t="s">
        <v>11</v>
      </c>
    </row>
    <row r="3066">
      <c r="A3066" s="3" t="s">
        <v>6</v>
      </c>
      <c r="B3066" s="3" t="s">
        <v>7</v>
      </c>
      <c r="C3066" s="3" t="s">
        <v>8</v>
      </c>
      <c r="D3066" s="3" t="s">
        <v>13</v>
      </c>
      <c r="E3066" s="3" t="s">
        <v>15</v>
      </c>
      <c r="F3066" s="3" t="s">
        <v>17</v>
      </c>
      <c r="G3066" s="3" t="s">
        <v>28</v>
      </c>
    </row>
    <row r="3067">
      <c r="A3067" s="3" t="s">
        <v>6</v>
      </c>
      <c r="B3067" s="3" t="s">
        <v>7</v>
      </c>
      <c r="C3067" s="3" t="s">
        <v>13</v>
      </c>
      <c r="D3067" s="3" t="s">
        <v>14</v>
      </c>
    </row>
    <row r="3068">
      <c r="A3068" s="3" t="s">
        <v>6</v>
      </c>
      <c r="B3068" s="3" t="s">
        <v>7</v>
      </c>
      <c r="C3068" s="3" t="s">
        <v>15</v>
      </c>
    </row>
    <row r="3069">
      <c r="A3069" s="3" t="s">
        <v>6</v>
      </c>
      <c r="B3069" s="3" t="s">
        <v>7</v>
      </c>
      <c r="C3069" s="3" t="s">
        <v>11</v>
      </c>
      <c r="D3069" s="3" t="s">
        <v>15</v>
      </c>
      <c r="E3069" s="3" t="s">
        <v>28</v>
      </c>
    </row>
    <row r="3070">
      <c r="A3070" s="3" t="s">
        <v>6</v>
      </c>
      <c r="B3070" s="3" t="s">
        <v>7</v>
      </c>
      <c r="C3070" s="3" t="s">
        <v>8</v>
      </c>
      <c r="D3070" s="3" t="s">
        <v>11</v>
      </c>
    </row>
    <row r="3071">
      <c r="A3071" s="3" t="s">
        <v>6</v>
      </c>
      <c r="B3071" s="3" t="s">
        <v>7</v>
      </c>
      <c r="C3071" s="3" t="s">
        <v>13</v>
      </c>
    </row>
    <row r="3072">
      <c r="A3072" s="3" t="s">
        <v>6</v>
      </c>
      <c r="B3072" s="3" t="s">
        <v>7</v>
      </c>
      <c r="C3072" s="3" t="s">
        <v>15</v>
      </c>
    </row>
    <row r="3073">
      <c r="A3073" s="3" t="s">
        <v>6</v>
      </c>
      <c r="B3073" s="3" t="s">
        <v>7</v>
      </c>
      <c r="C3073" s="3" t="s">
        <v>8</v>
      </c>
      <c r="D3073" s="3" t="s">
        <v>9</v>
      </c>
      <c r="E3073" s="3" t="s">
        <v>11</v>
      </c>
      <c r="F3073" s="3" t="s">
        <v>15</v>
      </c>
      <c r="G3073" s="3" t="s">
        <v>28</v>
      </c>
    </row>
    <row r="3074">
      <c r="A3074" s="3" t="s">
        <v>6</v>
      </c>
      <c r="B3074" s="3" t="s">
        <v>7</v>
      </c>
      <c r="C3074" s="3" t="s">
        <v>17</v>
      </c>
      <c r="D3074" s="3" t="s">
        <v>18</v>
      </c>
      <c r="E3074" s="3" t="s">
        <v>24</v>
      </c>
    </row>
    <row r="3075">
      <c r="A3075" s="3" t="s">
        <v>6</v>
      </c>
      <c r="B3075" s="3" t="s">
        <v>7</v>
      </c>
      <c r="C3075" s="3" t="s">
        <v>8</v>
      </c>
      <c r="D3075" s="3" t="s">
        <v>11</v>
      </c>
      <c r="E3075" s="3" t="s">
        <v>12</v>
      </c>
      <c r="F3075" s="3" t="s">
        <v>18</v>
      </c>
    </row>
    <row r="3076">
      <c r="A3076" s="3" t="s">
        <v>6</v>
      </c>
      <c r="B3076" s="3" t="s">
        <v>7</v>
      </c>
      <c r="C3076" s="3" t="s">
        <v>8</v>
      </c>
      <c r="D3076" s="3" t="s">
        <v>9</v>
      </c>
      <c r="E3076" s="3" t="s">
        <v>15</v>
      </c>
      <c r="F3076" s="3" t="s">
        <v>28</v>
      </c>
    </row>
    <row r="3077">
      <c r="A3077" s="3" t="s">
        <v>6</v>
      </c>
      <c r="B3077" s="3" t="s">
        <v>7</v>
      </c>
      <c r="C3077" s="3" t="s">
        <v>8</v>
      </c>
      <c r="D3077" s="3" t="s">
        <v>11</v>
      </c>
      <c r="E3077" s="3" t="s">
        <v>15</v>
      </c>
      <c r="F3077" s="3" t="s">
        <v>28</v>
      </c>
    </row>
    <row r="3078">
      <c r="A3078" s="3" t="s">
        <v>6</v>
      </c>
      <c r="B3078" s="3" t="s">
        <v>7</v>
      </c>
      <c r="C3078" s="3" t="s">
        <v>9</v>
      </c>
    </row>
    <row r="3079">
      <c r="A3079" s="3" t="s">
        <v>6</v>
      </c>
      <c r="B3079" s="3" t="s">
        <v>7</v>
      </c>
      <c r="C3079" s="3" t="s">
        <v>11</v>
      </c>
      <c r="D3079" s="3" t="s">
        <v>15</v>
      </c>
      <c r="E3079" s="3" t="s">
        <v>16</v>
      </c>
      <c r="F3079" s="3" t="s">
        <v>18</v>
      </c>
      <c r="G3079" s="3" t="s">
        <v>28</v>
      </c>
    </row>
    <row r="3080">
      <c r="A3080" s="3" t="s">
        <v>6</v>
      </c>
      <c r="B3080" s="3" t="s">
        <v>7</v>
      </c>
      <c r="C3080" s="3" t="s">
        <v>8</v>
      </c>
      <c r="D3080" s="3" t="s">
        <v>9</v>
      </c>
    </row>
    <row r="3081">
      <c r="A3081" s="3" t="s">
        <v>6</v>
      </c>
      <c r="B3081" s="3" t="s">
        <v>7</v>
      </c>
      <c r="C3081" s="3" t="s">
        <v>15</v>
      </c>
    </row>
    <row r="3082">
      <c r="A3082" s="3" t="s">
        <v>6</v>
      </c>
      <c r="B3082" s="3" t="s">
        <v>7</v>
      </c>
    </row>
    <row r="3083">
      <c r="A3083" s="3" t="s">
        <v>6</v>
      </c>
      <c r="B3083" s="3" t="s">
        <v>7</v>
      </c>
      <c r="C3083" s="3" t="s">
        <v>8</v>
      </c>
      <c r="D3083" s="3" t="s">
        <v>9</v>
      </c>
      <c r="E3083" s="3" t="s">
        <v>24</v>
      </c>
    </row>
    <row r="3084">
      <c r="A3084" s="3" t="s">
        <v>6</v>
      </c>
      <c r="B3084" s="3" t="s">
        <v>13</v>
      </c>
      <c r="C3084" s="3" t="s">
        <v>14</v>
      </c>
      <c r="D3084" s="3" t="s">
        <v>17</v>
      </c>
      <c r="E3084" s="3" t="s">
        <v>28</v>
      </c>
    </row>
    <row r="3085">
      <c r="A3085" s="3" t="s">
        <v>6</v>
      </c>
      <c r="B3085" s="3" t="s">
        <v>7</v>
      </c>
      <c r="C3085" s="3" t="s">
        <v>11</v>
      </c>
      <c r="D3085" s="3" t="s">
        <v>12</v>
      </c>
      <c r="E3085" s="3" t="s">
        <v>15</v>
      </c>
      <c r="F3085" s="3" t="s">
        <v>17</v>
      </c>
      <c r="G3085" s="3" t="s">
        <v>18</v>
      </c>
    </row>
    <row r="3086">
      <c r="A3086" s="3" t="s">
        <v>6</v>
      </c>
      <c r="B3086" s="3" t="s">
        <v>7</v>
      </c>
      <c r="C3086" s="3" t="s">
        <v>8</v>
      </c>
      <c r="D3086" s="3" t="s">
        <v>17</v>
      </c>
      <c r="E3086" s="3" t="s">
        <v>28</v>
      </c>
    </row>
    <row r="3087">
      <c r="A3087" s="3" t="s">
        <v>6</v>
      </c>
      <c r="B3087" s="3" t="s">
        <v>7</v>
      </c>
      <c r="C3087" s="3" t="s">
        <v>15</v>
      </c>
    </row>
    <row r="3088">
      <c r="A3088" s="3" t="s">
        <v>6</v>
      </c>
      <c r="B3088" s="3" t="s">
        <v>7</v>
      </c>
      <c r="C3088" s="3" t="s">
        <v>13</v>
      </c>
      <c r="D3088" s="3" t="s">
        <v>14</v>
      </c>
      <c r="E3088" s="3" t="s">
        <v>15</v>
      </c>
      <c r="F3088" s="3" t="s">
        <v>17</v>
      </c>
      <c r="G3088" s="3" t="s">
        <v>18</v>
      </c>
    </row>
    <row r="3089">
      <c r="A3089" s="3" t="s">
        <v>6</v>
      </c>
      <c r="B3089" s="3" t="s">
        <v>7</v>
      </c>
      <c r="C3089" s="3" t="s">
        <v>11</v>
      </c>
      <c r="D3089" s="3" t="s">
        <v>12</v>
      </c>
    </row>
    <row r="3090">
      <c r="A3090" s="3" t="s">
        <v>6</v>
      </c>
      <c r="B3090" s="3" t="s">
        <v>7</v>
      </c>
      <c r="C3090" s="3" t="s">
        <v>11</v>
      </c>
      <c r="D3090" s="3" t="s">
        <v>12</v>
      </c>
    </row>
    <row r="3091">
      <c r="A3091" s="3" t="s">
        <v>6</v>
      </c>
      <c r="B3091" s="3" t="s">
        <v>11</v>
      </c>
      <c r="C3091" s="3" t="s">
        <v>12</v>
      </c>
      <c r="D3091" s="3" t="s">
        <v>17</v>
      </c>
      <c r="E3091" s="3" t="s">
        <v>18</v>
      </c>
      <c r="F3091" s="3" t="s">
        <v>28</v>
      </c>
    </row>
    <row r="3092">
      <c r="A3092" s="3" t="s">
        <v>6</v>
      </c>
      <c r="B3092" s="3" t="s">
        <v>7</v>
      </c>
      <c r="C3092" s="3" t="s">
        <v>11</v>
      </c>
    </row>
    <row r="3093">
      <c r="A3093" s="3" t="s">
        <v>6</v>
      </c>
      <c r="B3093" s="3" t="s">
        <v>7</v>
      </c>
      <c r="C3093" s="3" t="s">
        <v>11</v>
      </c>
      <c r="D3093" s="3" t="s">
        <v>12</v>
      </c>
    </row>
    <row r="3094">
      <c r="A3094" s="3" t="s">
        <v>6</v>
      </c>
      <c r="B3094" s="3" t="s">
        <v>16</v>
      </c>
      <c r="C3094" s="3" t="s">
        <v>24</v>
      </c>
    </row>
    <row r="3095">
      <c r="A3095" s="3" t="s">
        <v>6</v>
      </c>
      <c r="B3095" s="3" t="s">
        <v>7</v>
      </c>
      <c r="C3095" s="3" t="s">
        <v>11</v>
      </c>
    </row>
    <row r="3096">
      <c r="A3096" s="3" t="s">
        <v>6</v>
      </c>
      <c r="B3096" s="3" t="s">
        <v>17</v>
      </c>
    </row>
    <row r="3097">
      <c r="A3097" s="3" t="s">
        <v>6</v>
      </c>
      <c r="B3097" s="3" t="s">
        <v>7</v>
      </c>
      <c r="C3097" s="3" t="s">
        <v>15</v>
      </c>
    </row>
    <row r="3098">
      <c r="A3098" s="3" t="s">
        <v>6</v>
      </c>
      <c r="B3098" s="3" t="s">
        <v>7</v>
      </c>
      <c r="C3098" s="3" t="s">
        <v>16</v>
      </c>
    </row>
    <row r="3099">
      <c r="A3099" s="3" t="s">
        <v>6</v>
      </c>
      <c r="B3099" s="3" t="s">
        <v>7</v>
      </c>
      <c r="C3099" s="3" t="s">
        <v>11</v>
      </c>
      <c r="D3099" s="3" t="s">
        <v>12</v>
      </c>
      <c r="E3099" s="3" t="s">
        <v>15</v>
      </c>
      <c r="F3099" s="3" t="s">
        <v>16</v>
      </c>
      <c r="G3099" s="3" t="s">
        <v>18</v>
      </c>
    </row>
    <row r="3100">
      <c r="A3100" s="3" t="s">
        <v>6</v>
      </c>
      <c r="B3100" s="3" t="s">
        <v>13</v>
      </c>
      <c r="C3100" s="3" t="s">
        <v>14</v>
      </c>
      <c r="D3100" s="3" t="s">
        <v>15</v>
      </c>
      <c r="E3100" s="3" t="s">
        <v>17</v>
      </c>
      <c r="F3100" s="3" t="s">
        <v>28</v>
      </c>
    </row>
    <row r="3101">
      <c r="A3101" s="3" t="s">
        <v>6</v>
      </c>
      <c r="B3101" s="3" t="s">
        <v>7</v>
      </c>
      <c r="C3101" s="3" t="s">
        <v>15</v>
      </c>
    </row>
    <row r="3102">
      <c r="A3102" s="3" t="s">
        <v>6</v>
      </c>
      <c r="B3102" s="3" t="s">
        <v>15</v>
      </c>
      <c r="C3102" s="3" t="s">
        <v>16</v>
      </c>
      <c r="D3102" s="3" t="s">
        <v>18</v>
      </c>
    </row>
    <row r="3103">
      <c r="A3103" s="3" t="s">
        <v>6</v>
      </c>
      <c r="B3103" s="3" t="s">
        <v>7</v>
      </c>
      <c r="C3103" s="3" t="s">
        <v>11</v>
      </c>
      <c r="D3103" s="3" t="s">
        <v>12</v>
      </c>
    </row>
    <row r="3104">
      <c r="A3104" s="3" t="s">
        <v>6</v>
      </c>
      <c r="B3104" s="3" t="s">
        <v>7</v>
      </c>
      <c r="C3104" s="3" t="s">
        <v>11</v>
      </c>
    </row>
    <row r="3105">
      <c r="A3105" s="3" t="s">
        <v>6</v>
      </c>
      <c r="B3105" s="3" t="s">
        <v>8</v>
      </c>
      <c r="C3105" s="3" t="s">
        <v>11</v>
      </c>
      <c r="D3105" s="3" t="s">
        <v>12</v>
      </c>
      <c r="E3105" s="3" t="s">
        <v>15</v>
      </c>
      <c r="F3105" s="3" t="s">
        <v>16</v>
      </c>
      <c r="G3105" s="3" t="s">
        <v>17</v>
      </c>
    </row>
    <row r="3106">
      <c r="A3106" s="3" t="s">
        <v>6</v>
      </c>
      <c r="B3106" s="3" t="s">
        <v>15</v>
      </c>
      <c r="C3106" s="3" t="s">
        <v>16</v>
      </c>
    </row>
    <row r="3107">
      <c r="A3107" s="3" t="s">
        <v>6</v>
      </c>
      <c r="B3107" s="3" t="s">
        <v>7</v>
      </c>
      <c r="C3107" s="3" t="s">
        <v>28</v>
      </c>
    </row>
    <row r="3108">
      <c r="A3108" s="3" t="s">
        <v>6</v>
      </c>
      <c r="B3108" s="3" t="s">
        <v>11</v>
      </c>
      <c r="C3108" s="3" t="s">
        <v>13</v>
      </c>
      <c r="D3108" s="3" t="s">
        <v>14</v>
      </c>
      <c r="E3108" s="3" t="s">
        <v>17</v>
      </c>
      <c r="F3108" s="3" t="s">
        <v>28</v>
      </c>
    </row>
    <row r="3109">
      <c r="A3109" s="3" t="s">
        <v>6</v>
      </c>
      <c r="B3109" s="3" t="s">
        <v>9</v>
      </c>
      <c r="C3109" s="3" t="s">
        <v>10</v>
      </c>
      <c r="D3109" s="3" t="s">
        <v>24</v>
      </c>
    </row>
    <row r="3110">
      <c r="A3110" s="3" t="s">
        <v>6</v>
      </c>
      <c r="B3110" s="3" t="s">
        <v>15</v>
      </c>
      <c r="C3110" s="3" t="s">
        <v>16</v>
      </c>
    </row>
    <row r="3111">
      <c r="A3111" s="3" t="s">
        <v>6</v>
      </c>
      <c r="B3111" s="3" t="s">
        <v>7</v>
      </c>
      <c r="C3111" s="3" t="s">
        <v>11</v>
      </c>
    </row>
    <row r="3112">
      <c r="A3112" s="3" t="s">
        <v>6</v>
      </c>
      <c r="B3112" s="3" t="s">
        <v>13</v>
      </c>
      <c r="C3112" s="3" t="s">
        <v>17</v>
      </c>
      <c r="D3112" s="3" t="s">
        <v>28</v>
      </c>
    </row>
    <row r="3113">
      <c r="A3113" s="3" t="s">
        <v>6</v>
      </c>
      <c r="B3113" s="3" t="s">
        <v>11</v>
      </c>
    </row>
    <row r="3114">
      <c r="A3114" s="3" t="s">
        <v>6</v>
      </c>
      <c r="B3114" s="3" t="s">
        <v>9</v>
      </c>
      <c r="C3114" s="3" t="s">
        <v>14</v>
      </c>
      <c r="D3114" s="3" t="s">
        <v>17</v>
      </c>
      <c r="E3114" s="3" t="s">
        <v>18</v>
      </c>
      <c r="F3114" s="3" t="s">
        <v>24</v>
      </c>
      <c r="G3114" s="3" t="s">
        <v>28</v>
      </c>
    </row>
    <row r="3115">
      <c r="A3115" s="3" t="s">
        <v>6</v>
      </c>
      <c r="B3115" s="3" t="s">
        <v>7</v>
      </c>
      <c r="C3115" s="3" t="s">
        <v>11</v>
      </c>
      <c r="D3115" s="3" t="s">
        <v>15</v>
      </c>
    </row>
    <row r="3116">
      <c r="A3116" s="3" t="s">
        <v>6</v>
      </c>
      <c r="B3116" s="3" t="s">
        <v>10</v>
      </c>
      <c r="C3116" s="3" t="s">
        <v>28</v>
      </c>
    </row>
    <row r="3117">
      <c r="A3117" s="3" t="s">
        <v>6</v>
      </c>
      <c r="B3117" s="3" t="s">
        <v>7</v>
      </c>
      <c r="C3117" s="3" t="s">
        <v>17</v>
      </c>
    </row>
    <row r="3118">
      <c r="A3118" s="3" t="s">
        <v>6</v>
      </c>
      <c r="B3118" s="3" t="s">
        <v>11</v>
      </c>
      <c r="C3118" s="3" t="s">
        <v>12</v>
      </c>
      <c r="D3118" s="3" t="s">
        <v>24</v>
      </c>
    </row>
    <row r="3119">
      <c r="A3119" s="3" t="s">
        <v>6</v>
      </c>
      <c r="B3119" s="3" t="s">
        <v>14</v>
      </c>
      <c r="C3119" s="3" t="s">
        <v>16</v>
      </c>
      <c r="D3119" s="3" t="s">
        <v>17</v>
      </c>
      <c r="E3119" s="3" t="s">
        <v>18</v>
      </c>
      <c r="F3119" s="3" t="s">
        <v>28</v>
      </c>
    </row>
    <row r="3120">
      <c r="A3120" s="3" t="s">
        <v>6</v>
      </c>
      <c r="B3120" s="3" t="s">
        <v>13</v>
      </c>
      <c r="C3120" s="3" t="s">
        <v>14</v>
      </c>
      <c r="D3120" s="3" t="s">
        <v>17</v>
      </c>
      <c r="E3120" s="3" t="s">
        <v>28</v>
      </c>
    </row>
    <row r="3121">
      <c r="A3121" s="3" t="s">
        <v>6</v>
      </c>
      <c r="B3121" s="3" t="s">
        <v>17</v>
      </c>
    </row>
    <row r="3122">
      <c r="A3122" s="3" t="s">
        <v>6</v>
      </c>
      <c r="B3122" s="3" t="s">
        <v>7</v>
      </c>
      <c r="C3122" s="3" t="s">
        <v>11</v>
      </c>
    </row>
    <row r="3123">
      <c r="A3123" s="3" t="s">
        <v>6</v>
      </c>
      <c r="B3123" s="3" t="s">
        <v>7</v>
      </c>
      <c r="C3123" s="3" t="s">
        <v>15</v>
      </c>
    </row>
    <row r="3124">
      <c r="A3124" s="3" t="s">
        <v>6</v>
      </c>
      <c r="B3124" s="3" t="s">
        <v>11</v>
      </c>
    </row>
    <row r="3125">
      <c r="A3125" s="3" t="s">
        <v>609</v>
      </c>
    </row>
    <row r="3126">
      <c r="A3126" s="3" t="s">
        <v>7</v>
      </c>
      <c r="B3126" s="3" t="s">
        <v>11</v>
      </c>
      <c r="C3126" s="3" t="s">
        <v>12</v>
      </c>
      <c r="D3126" s="3" t="s">
        <v>17</v>
      </c>
    </row>
    <row r="3127">
      <c r="A3127" s="3" t="s">
        <v>7</v>
      </c>
      <c r="B3127" s="3" t="s">
        <v>8</v>
      </c>
      <c r="C3127" s="3" t="s">
        <v>9</v>
      </c>
      <c r="D3127" s="3" t="s">
        <v>10</v>
      </c>
      <c r="E3127" s="3" t="s">
        <v>11</v>
      </c>
      <c r="F3127" s="3" t="s">
        <v>12</v>
      </c>
      <c r="G3127" s="3" t="s">
        <v>24</v>
      </c>
    </row>
    <row r="3128">
      <c r="A3128" s="3" t="s">
        <v>7</v>
      </c>
      <c r="B3128" s="3" t="s">
        <v>8</v>
      </c>
      <c r="C3128" s="3" t="s">
        <v>9</v>
      </c>
      <c r="D3128" s="3" t="s">
        <v>11</v>
      </c>
      <c r="E3128" s="3" t="s">
        <v>12</v>
      </c>
      <c r="F3128" s="3" t="s">
        <v>15</v>
      </c>
      <c r="G3128" s="3" t="s">
        <v>28</v>
      </c>
    </row>
    <row r="3129">
      <c r="A3129" s="3" t="s">
        <v>7</v>
      </c>
      <c r="B3129" s="3" t="s">
        <v>8</v>
      </c>
    </row>
    <row r="3130">
      <c r="A3130" s="3" t="s">
        <v>7</v>
      </c>
      <c r="B3130" s="3" t="s">
        <v>14</v>
      </c>
      <c r="C3130" s="3" t="s">
        <v>15</v>
      </c>
      <c r="D3130" s="3" t="s">
        <v>16</v>
      </c>
      <c r="E3130" s="3" t="s">
        <v>28</v>
      </c>
    </row>
    <row r="3131">
      <c r="A3131" s="3" t="s">
        <v>7</v>
      </c>
      <c r="B3131" s="3" t="s">
        <v>9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18</v>
      </c>
    </row>
    <row r="3132">
      <c r="A3132" s="3" t="s">
        <v>7</v>
      </c>
      <c r="B3132" s="3" t="s">
        <v>13</v>
      </c>
      <c r="C3132" s="3" t="s">
        <v>28</v>
      </c>
    </row>
    <row r="3133">
      <c r="A3133" s="3" t="s">
        <v>7</v>
      </c>
      <c r="B3133" s="3" t="s">
        <v>8</v>
      </c>
      <c r="C3133" s="3" t="s">
        <v>9</v>
      </c>
      <c r="D3133" s="3" t="s">
        <v>10</v>
      </c>
      <c r="E3133" s="3" t="s">
        <v>24</v>
      </c>
    </row>
    <row r="3134">
      <c r="A3134" s="3" t="s">
        <v>7</v>
      </c>
      <c r="B3134" s="3" t="s">
        <v>8</v>
      </c>
      <c r="C3134" s="3" t="s">
        <v>9</v>
      </c>
      <c r="D3134" s="3" t="s">
        <v>13</v>
      </c>
      <c r="E3134" s="3" t="s">
        <v>17</v>
      </c>
      <c r="F3134" s="3" t="s">
        <v>18</v>
      </c>
    </row>
    <row r="3135">
      <c r="A3135" s="3" t="s">
        <v>7</v>
      </c>
      <c r="B3135" s="3" t="s">
        <v>12</v>
      </c>
      <c r="C3135" s="3" t="s">
        <v>24</v>
      </c>
    </row>
    <row r="3136">
      <c r="A3136" s="3" t="s">
        <v>7</v>
      </c>
      <c r="B3136" s="3" t="s">
        <v>11</v>
      </c>
    </row>
    <row r="3137">
      <c r="A3137" s="3" t="s">
        <v>7</v>
      </c>
      <c r="B3137" s="3" t="s">
        <v>13</v>
      </c>
      <c r="C3137" s="3" t="s">
        <v>28</v>
      </c>
    </row>
    <row r="3138">
      <c r="A3138" s="3" t="s">
        <v>7</v>
      </c>
      <c r="B3138" s="3" t="s">
        <v>13</v>
      </c>
      <c r="C3138" s="3" t="s">
        <v>28</v>
      </c>
    </row>
    <row r="3139">
      <c r="A3139" s="3" t="s">
        <v>7</v>
      </c>
      <c r="B3139" s="3" t="s">
        <v>13</v>
      </c>
      <c r="C3139" s="3" t="s">
        <v>14</v>
      </c>
    </row>
    <row r="3140">
      <c r="A3140" s="3" t="s">
        <v>7</v>
      </c>
      <c r="B3140" s="3" t="s">
        <v>8</v>
      </c>
      <c r="C3140" s="3" t="s">
        <v>10</v>
      </c>
    </row>
    <row r="3141">
      <c r="A3141" s="3" t="s">
        <v>7</v>
      </c>
      <c r="B3141" s="3" t="s">
        <v>13</v>
      </c>
      <c r="C3141" s="3" t="s">
        <v>28</v>
      </c>
    </row>
    <row r="3142">
      <c r="A3142" s="3" t="s">
        <v>7</v>
      </c>
      <c r="B3142" s="3" t="s">
        <v>11</v>
      </c>
      <c r="C3142" s="3" t="s">
        <v>12</v>
      </c>
    </row>
    <row r="3143">
      <c r="A3143" s="3" t="s">
        <v>7</v>
      </c>
      <c r="B3143" s="3" t="s">
        <v>8</v>
      </c>
      <c r="C3143" s="3" t="s">
        <v>12</v>
      </c>
    </row>
    <row r="3144">
      <c r="A3144" s="3" t="s">
        <v>8</v>
      </c>
      <c r="B3144" s="3" t="s">
        <v>12</v>
      </c>
    </row>
    <row r="3145">
      <c r="A3145" s="3" t="s">
        <v>8</v>
      </c>
      <c r="B3145" s="3" t="s">
        <v>9</v>
      </c>
      <c r="C3145" s="3" t="s">
        <v>12</v>
      </c>
      <c r="D3145" s="3" t="s">
        <v>15</v>
      </c>
      <c r="E3145" s="3" t="s">
        <v>16</v>
      </c>
      <c r="F3145" s="3" t="s">
        <v>18</v>
      </c>
      <c r="G3145" s="3" t="s">
        <v>24</v>
      </c>
    </row>
    <row r="3146">
      <c r="A3146" s="3" t="s">
        <v>8</v>
      </c>
      <c r="B3146" s="3" t="s">
        <v>9</v>
      </c>
      <c r="C3146" s="3" t="s">
        <v>11</v>
      </c>
      <c r="D3146" s="3" t="s">
        <v>16</v>
      </c>
      <c r="E3146" s="3" t="s">
        <v>17</v>
      </c>
      <c r="F3146" s="3" t="s">
        <v>18</v>
      </c>
      <c r="G3146" s="3" t="s">
        <v>28</v>
      </c>
    </row>
    <row r="3147">
      <c r="A3147" s="3" t="s">
        <v>8</v>
      </c>
      <c r="B3147" s="3" t="s">
        <v>9</v>
      </c>
      <c r="C3147" s="3" t="s">
        <v>10</v>
      </c>
      <c r="D3147" s="3" t="s">
        <v>15</v>
      </c>
      <c r="E3147" s="3" t="s">
        <v>16</v>
      </c>
      <c r="F3147" s="3" t="s">
        <v>18</v>
      </c>
      <c r="G3147" s="3" t="s">
        <v>24</v>
      </c>
    </row>
    <row r="3148">
      <c r="A3148" s="3" t="s">
        <v>8</v>
      </c>
      <c r="B3148" s="3" t="s">
        <v>9</v>
      </c>
      <c r="C3148" s="3" t="s">
        <v>10</v>
      </c>
      <c r="D3148" s="3" t="s">
        <v>18</v>
      </c>
      <c r="E3148" s="3" t="s">
        <v>24</v>
      </c>
    </row>
    <row r="3149">
      <c r="A3149" s="3" t="s">
        <v>8</v>
      </c>
      <c r="B3149" s="3" t="s">
        <v>11</v>
      </c>
      <c r="C3149" s="3" t="s">
        <v>12</v>
      </c>
    </row>
    <row r="3150">
      <c r="A3150" s="3" t="s">
        <v>8</v>
      </c>
      <c r="B3150" s="3" t="s">
        <v>15</v>
      </c>
      <c r="C3150" s="3" t="s">
        <v>16</v>
      </c>
    </row>
    <row r="3151">
      <c r="A3151" s="3" t="s">
        <v>8</v>
      </c>
      <c r="B3151" s="3" t="s">
        <v>11</v>
      </c>
      <c r="C3151" s="3" t="s">
        <v>12</v>
      </c>
    </row>
    <row r="3152">
      <c r="A3152" s="3" t="s">
        <v>9</v>
      </c>
      <c r="B3152" s="3" t="s">
        <v>11</v>
      </c>
      <c r="C3152" s="3" t="s">
        <v>12</v>
      </c>
      <c r="D3152" s="3" t="s">
        <v>15</v>
      </c>
      <c r="E3152" s="3" t="s">
        <v>16</v>
      </c>
      <c r="F3152" s="3" t="s">
        <v>17</v>
      </c>
      <c r="G3152" s="3" t="s">
        <v>18</v>
      </c>
    </row>
    <row r="3153">
      <c r="A3153" s="3" t="s">
        <v>9</v>
      </c>
      <c r="B3153" s="3" t="s">
        <v>18</v>
      </c>
    </row>
    <row r="3154">
      <c r="A3154" s="3" t="s">
        <v>9</v>
      </c>
      <c r="B3154" s="3" t="s">
        <v>10</v>
      </c>
      <c r="C3154" s="3" t="s">
        <v>15</v>
      </c>
      <c r="D3154" s="3" t="s">
        <v>16</v>
      </c>
      <c r="E3154" s="3" t="s">
        <v>18</v>
      </c>
      <c r="F3154" s="3" t="s">
        <v>24</v>
      </c>
    </row>
    <row r="3155">
      <c r="A3155" s="3" t="s">
        <v>9</v>
      </c>
      <c r="B3155" s="3" t="s">
        <v>10</v>
      </c>
      <c r="C3155" s="3" t="s">
        <v>15</v>
      </c>
      <c r="D3155" s="3" t="s">
        <v>16</v>
      </c>
      <c r="E3155" s="3" t="s">
        <v>17</v>
      </c>
      <c r="F3155" s="3" t="s">
        <v>18</v>
      </c>
      <c r="G3155" s="3" t="s">
        <v>24</v>
      </c>
    </row>
    <row r="3156">
      <c r="A3156" s="3" t="s">
        <v>9</v>
      </c>
      <c r="B3156" s="3" t="s">
        <v>15</v>
      </c>
      <c r="C3156" s="3" t="s">
        <v>17</v>
      </c>
      <c r="D3156" s="3" t="s">
        <v>18</v>
      </c>
      <c r="E3156" s="3" t="s">
        <v>24</v>
      </c>
      <c r="F3156" s="3" t="s">
        <v>28</v>
      </c>
    </row>
    <row r="3157">
      <c r="A3157" s="3" t="s">
        <v>9</v>
      </c>
      <c r="B3157" s="3" t="s">
        <v>10</v>
      </c>
      <c r="C3157" s="3" t="s">
        <v>24</v>
      </c>
    </row>
    <row r="3158">
      <c r="A3158" s="3" t="s">
        <v>9</v>
      </c>
      <c r="B3158" s="3" t="s">
        <v>10</v>
      </c>
      <c r="C3158" s="3" t="s">
        <v>14</v>
      </c>
      <c r="D3158" s="3" t="s">
        <v>16</v>
      </c>
      <c r="E3158" s="3" t="s">
        <v>18</v>
      </c>
      <c r="F3158" s="3" t="s">
        <v>24</v>
      </c>
    </row>
    <row r="3159">
      <c r="A3159" s="3" t="s">
        <v>9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18</v>
      </c>
    </row>
    <row r="3160">
      <c r="A3160" s="3" t="s">
        <v>9</v>
      </c>
      <c r="B3160" s="3" t="s">
        <v>10</v>
      </c>
      <c r="C3160" s="3" t="s">
        <v>13</v>
      </c>
      <c r="D3160" s="3" t="s">
        <v>14</v>
      </c>
    </row>
    <row r="3161">
      <c r="A3161" s="3" t="s">
        <v>9</v>
      </c>
      <c r="B3161" s="3" t="s">
        <v>10</v>
      </c>
      <c r="C3161" s="3" t="s">
        <v>18</v>
      </c>
    </row>
    <row r="3162">
      <c r="A3162" s="3" t="s">
        <v>10</v>
      </c>
      <c r="B3162" s="3" t="s">
        <v>16</v>
      </c>
      <c r="C3162" s="3" t="s">
        <v>24</v>
      </c>
    </row>
    <row r="3163">
      <c r="A3163" s="3" t="s">
        <v>10</v>
      </c>
      <c r="B3163" s="3" t="s">
        <v>12</v>
      </c>
      <c r="C3163" s="3" t="s">
        <v>24</v>
      </c>
    </row>
    <row r="3164">
      <c r="A3164" s="3" t="s">
        <v>10</v>
      </c>
      <c r="B3164" s="3" t="s">
        <v>14</v>
      </c>
      <c r="C3164" s="3" t="s">
        <v>16</v>
      </c>
      <c r="D3164" s="3" t="s">
        <v>18</v>
      </c>
      <c r="E3164" s="3" t="s">
        <v>28</v>
      </c>
    </row>
    <row r="3165">
      <c r="A3165" s="3" t="s">
        <v>10</v>
      </c>
      <c r="B3165" s="3" t="s">
        <v>13</v>
      </c>
      <c r="C3165" s="3" t="s">
        <v>14</v>
      </c>
      <c r="D3165" s="3" t="s">
        <v>17</v>
      </c>
      <c r="E3165" s="3" t="s">
        <v>18</v>
      </c>
      <c r="F3165" s="3" t="s">
        <v>28</v>
      </c>
    </row>
    <row r="3166">
      <c r="A3166" s="3" t="s">
        <v>11</v>
      </c>
      <c r="B3166" s="3" t="s">
        <v>12</v>
      </c>
      <c r="C3166" s="3" t="s">
        <v>15</v>
      </c>
      <c r="D3166" s="3" t="s">
        <v>16</v>
      </c>
      <c r="E3166" s="3" t="s">
        <v>17</v>
      </c>
      <c r="F3166" s="3" t="s">
        <v>28</v>
      </c>
    </row>
    <row r="3167">
      <c r="A3167" s="3" t="s">
        <v>11</v>
      </c>
      <c r="B3167" s="3" t="s">
        <v>12</v>
      </c>
      <c r="C3167" s="3" t="s">
        <v>15</v>
      </c>
      <c r="D3167" s="3" t="s">
        <v>16</v>
      </c>
      <c r="E3167" s="3" t="s">
        <v>17</v>
      </c>
      <c r="F3167" s="3" t="s">
        <v>18</v>
      </c>
      <c r="G3167" s="3" t="s">
        <v>28</v>
      </c>
    </row>
    <row r="3168">
      <c r="A3168" s="3" t="s">
        <v>11</v>
      </c>
      <c r="B3168" s="3" t="s">
        <v>12</v>
      </c>
      <c r="C3168" s="3" t="s">
        <v>18</v>
      </c>
    </row>
    <row r="3169">
      <c r="A3169" s="3" t="s">
        <v>11</v>
      </c>
      <c r="B3169" s="3" t="s">
        <v>12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28</v>
      </c>
    </row>
    <row r="3170">
      <c r="A3170" s="3" t="s">
        <v>11</v>
      </c>
      <c r="B3170" s="3" t="s">
        <v>12</v>
      </c>
      <c r="C3170" s="3" t="s">
        <v>14</v>
      </c>
      <c r="D3170" s="3" t="s">
        <v>17</v>
      </c>
      <c r="E3170" s="3" t="s">
        <v>18</v>
      </c>
      <c r="F3170" s="3" t="s">
        <v>28</v>
      </c>
    </row>
    <row r="3171">
      <c r="A3171" s="3" t="s">
        <v>11</v>
      </c>
      <c r="B3171" s="3" t="s">
        <v>12</v>
      </c>
      <c r="C3171" s="3" t="s">
        <v>18</v>
      </c>
    </row>
    <row r="3172">
      <c r="A3172" s="3" t="s">
        <v>11</v>
      </c>
      <c r="B3172" s="3" t="s">
        <v>12</v>
      </c>
      <c r="C3172" s="3" t="s">
        <v>17</v>
      </c>
      <c r="D3172" s="3" t="s">
        <v>28</v>
      </c>
    </row>
    <row r="3173">
      <c r="A3173" s="3" t="s">
        <v>11</v>
      </c>
      <c r="B3173" s="3" t="s">
        <v>12</v>
      </c>
      <c r="C3173" s="3" t="s">
        <v>18</v>
      </c>
    </row>
    <row r="3174">
      <c r="A3174" s="3" t="s">
        <v>11</v>
      </c>
      <c r="B3174" s="3" t="s">
        <v>12</v>
      </c>
      <c r="C3174" s="3" t="s">
        <v>24</v>
      </c>
    </row>
    <row r="3175">
      <c r="A3175" s="3" t="s">
        <v>11</v>
      </c>
      <c r="B3175" s="3" t="s">
        <v>12</v>
      </c>
      <c r="C3175" s="3" t="s">
        <v>15</v>
      </c>
    </row>
    <row r="3176">
      <c r="A3176" s="3" t="s">
        <v>11</v>
      </c>
      <c r="B3176" s="3" t="s">
        <v>12</v>
      </c>
      <c r="C3176" s="3" t="s">
        <v>15</v>
      </c>
      <c r="D3176" s="3" t="s">
        <v>16</v>
      </c>
    </row>
    <row r="3177">
      <c r="A3177" s="3" t="s">
        <v>12</v>
      </c>
      <c r="B3177" s="3" t="s">
        <v>24</v>
      </c>
    </row>
    <row r="3178">
      <c r="A3178" s="3" t="s">
        <v>13</v>
      </c>
      <c r="B3178" s="3" t="s">
        <v>14</v>
      </c>
      <c r="C3178" s="3" t="s">
        <v>17</v>
      </c>
      <c r="D3178" s="3" t="s">
        <v>18</v>
      </c>
      <c r="E3178" s="3" t="s">
        <v>28</v>
      </c>
    </row>
    <row r="3179">
      <c r="A3179" s="3" t="s">
        <v>13</v>
      </c>
      <c r="B3179" s="3" t="s">
        <v>14</v>
      </c>
      <c r="C3179" s="3" t="s">
        <v>17</v>
      </c>
      <c r="D3179" s="3" t="s">
        <v>18</v>
      </c>
      <c r="E3179" s="3" t="s">
        <v>24</v>
      </c>
      <c r="F3179" s="3" t="s">
        <v>28</v>
      </c>
    </row>
    <row r="3180">
      <c r="A3180" s="3" t="s">
        <v>13</v>
      </c>
      <c r="B3180" s="3" t="s">
        <v>14</v>
      </c>
      <c r="C3180" s="3" t="s">
        <v>17</v>
      </c>
    </row>
    <row r="3181">
      <c r="A3181" s="3" t="s">
        <v>13</v>
      </c>
      <c r="B3181" s="3" t="s">
        <v>14</v>
      </c>
      <c r="C3181" s="3" t="s">
        <v>15</v>
      </c>
      <c r="D3181" s="3" t="s">
        <v>16</v>
      </c>
      <c r="E3181" s="3" t="s">
        <v>18</v>
      </c>
      <c r="F3181" s="3" t="s">
        <v>28</v>
      </c>
    </row>
    <row r="3182">
      <c r="A3182" s="3" t="s">
        <v>13</v>
      </c>
      <c r="B3182" s="3" t="s">
        <v>14</v>
      </c>
      <c r="C3182" s="3" t="s">
        <v>17</v>
      </c>
      <c r="D3182" s="3" t="s">
        <v>28</v>
      </c>
    </row>
    <row r="3183">
      <c r="A3183" s="3" t="s">
        <v>13</v>
      </c>
      <c r="B3183" s="3" t="s">
        <v>14</v>
      </c>
      <c r="C3183" s="3" t="s">
        <v>28</v>
      </c>
    </row>
    <row r="3184">
      <c r="A3184" s="3" t="s">
        <v>13</v>
      </c>
      <c r="B3184" s="3" t="s">
        <v>14</v>
      </c>
      <c r="C3184" s="3" t="s">
        <v>17</v>
      </c>
      <c r="D3184" s="3" t="s">
        <v>28</v>
      </c>
    </row>
    <row r="3185">
      <c r="A3185" s="3" t="s">
        <v>13</v>
      </c>
      <c r="B3185" s="3" t="s">
        <v>14</v>
      </c>
      <c r="C3185" s="3" t="s">
        <v>17</v>
      </c>
      <c r="D3185" s="3" t="s">
        <v>28</v>
      </c>
    </row>
    <row r="3186">
      <c r="A3186" s="3" t="s">
        <v>13</v>
      </c>
      <c r="B3186" s="3" t="s">
        <v>14</v>
      </c>
      <c r="C3186" s="3" t="s">
        <v>17</v>
      </c>
    </row>
    <row r="3187">
      <c r="A3187" s="3" t="s">
        <v>13</v>
      </c>
      <c r="B3187" s="3" t="s">
        <v>14</v>
      </c>
      <c r="C3187" s="3" t="s">
        <v>17</v>
      </c>
    </row>
    <row r="3188">
      <c r="A3188" s="3" t="s">
        <v>13</v>
      </c>
      <c r="B3188" s="3" t="s">
        <v>14</v>
      </c>
      <c r="C3188" s="3" t="s">
        <v>28</v>
      </c>
    </row>
    <row r="3189">
      <c r="A3189" s="3" t="s">
        <v>13</v>
      </c>
      <c r="B3189" s="3" t="s">
        <v>14</v>
      </c>
      <c r="C3189" s="3" t="s">
        <v>17</v>
      </c>
      <c r="D3189" s="3" t="s">
        <v>18</v>
      </c>
      <c r="E3189" s="3" t="s">
        <v>28</v>
      </c>
    </row>
    <row r="3190">
      <c r="A3190" s="3" t="s">
        <v>13</v>
      </c>
      <c r="B3190" s="3" t="s">
        <v>14</v>
      </c>
      <c r="C3190" s="3" t="s">
        <v>15</v>
      </c>
    </row>
    <row r="3191">
      <c r="A3191" s="3" t="s">
        <v>13</v>
      </c>
      <c r="B3191" s="3" t="s">
        <v>14</v>
      </c>
      <c r="C3191" s="3" t="s">
        <v>28</v>
      </c>
    </row>
    <row r="3192">
      <c r="A3192" s="3" t="s">
        <v>13</v>
      </c>
      <c r="B3192" s="3" t="s">
        <v>14</v>
      </c>
      <c r="C3192" s="3" t="s">
        <v>17</v>
      </c>
    </row>
    <row r="3193">
      <c r="A3193" s="3" t="s">
        <v>13</v>
      </c>
      <c r="B3193" s="3" t="s">
        <v>17</v>
      </c>
      <c r="C3193" s="3" t="s">
        <v>28</v>
      </c>
    </row>
    <row r="3194">
      <c r="A3194" s="3" t="s">
        <v>14</v>
      </c>
      <c r="B3194" s="3" t="s">
        <v>15</v>
      </c>
      <c r="C3194" s="3" t="s">
        <v>17</v>
      </c>
    </row>
    <row r="3195">
      <c r="A3195" s="3" t="s">
        <v>14</v>
      </c>
    </row>
    <row r="3196">
      <c r="A3196" s="3" t="s">
        <v>14</v>
      </c>
      <c r="B3196" s="3" t="s">
        <v>18</v>
      </c>
    </row>
    <row r="3197">
      <c r="A3197" s="3" t="s">
        <v>15</v>
      </c>
    </row>
    <row r="3198">
      <c r="A3198" s="3" t="s">
        <v>6</v>
      </c>
      <c r="B3198" s="3" t="s">
        <v>13</v>
      </c>
      <c r="C3198" s="3" t="s">
        <v>14</v>
      </c>
      <c r="D3198" s="3" t="s">
        <v>18</v>
      </c>
    </row>
    <row r="3199">
      <c r="A3199" s="3" t="s">
        <v>6</v>
      </c>
      <c r="B3199" s="3" t="s">
        <v>7</v>
      </c>
      <c r="C3199" s="3" t="s">
        <v>8</v>
      </c>
      <c r="D3199" s="3" t="s">
        <v>11</v>
      </c>
      <c r="E3199" s="3" t="s">
        <v>12</v>
      </c>
      <c r="F3199" s="3" t="s">
        <v>15</v>
      </c>
    </row>
    <row r="3200">
      <c r="A3200" s="3" t="s">
        <v>6</v>
      </c>
      <c r="B3200" s="3" t="s">
        <v>7</v>
      </c>
      <c r="C3200" s="3" t="s">
        <v>11</v>
      </c>
      <c r="D3200" s="3" t="s">
        <v>15</v>
      </c>
    </row>
    <row r="3201">
      <c r="A3201" s="3" t="s">
        <v>6</v>
      </c>
      <c r="B3201" s="3" t="s">
        <v>7</v>
      </c>
      <c r="C3201" s="3" t="s">
        <v>8</v>
      </c>
      <c r="D3201" s="3" t="s">
        <v>11</v>
      </c>
      <c r="E3201" s="3" t="s">
        <v>15</v>
      </c>
    </row>
    <row r="3202">
      <c r="A3202" s="3" t="s">
        <v>6</v>
      </c>
      <c r="B3202" s="3" t="s">
        <v>7</v>
      </c>
      <c r="C3202" s="3" t="s">
        <v>13</v>
      </c>
      <c r="D3202" s="3" t="s">
        <v>15</v>
      </c>
    </row>
    <row r="3203">
      <c r="A3203" s="3" t="s">
        <v>6</v>
      </c>
      <c r="B3203" s="3" t="s">
        <v>7</v>
      </c>
      <c r="C3203" s="3" t="s">
        <v>8</v>
      </c>
      <c r="D3203" s="3" t="s">
        <v>11</v>
      </c>
      <c r="E3203" s="3" t="s">
        <v>15</v>
      </c>
      <c r="F3203" s="3" t="s">
        <v>17</v>
      </c>
    </row>
    <row r="3204">
      <c r="A3204" s="3" t="s">
        <v>6</v>
      </c>
      <c r="B3204" s="3" t="s">
        <v>7</v>
      </c>
      <c r="C3204" s="3" t="s">
        <v>11</v>
      </c>
      <c r="D3204" s="3" t="s">
        <v>13</v>
      </c>
      <c r="E3204" s="3" t="s">
        <v>15</v>
      </c>
      <c r="F3204" s="3" t="s">
        <v>17</v>
      </c>
    </row>
    <row r="3205">
      <c r="A3205" s="3" t="s">
        <v>6</v>
      </c>
      <c r="B3205" s="3" t="s">
        <v>7</v>
      </c>
      <c r="C3205" s="3" t="s">
        <v>8</v>
      </c>
      <c r="D3205" s="3" t="s">
        <v>13</v>
      </c>
      <c r="E3205" s="3" t="s">
        <v>14</v>
      </c>
      <c r="F3205" s="3" t="s">
        <v>15</v>
      </c>
      <c r="G3205" s="3" t="s">
        <v>17</v>
      </c>
    </row>
    <row r="3206">
      <c r="A3206" s="3" t="s">
        <v>6</v>
      </c>
      <c r="B3206" s="3" t="s">
        <v>7</v>
      </c>
      <c r="C3206" s="3" t="s">
        <v>8</v>
      </c>
      <c r="D3206" s="3" t="s">
        <v>11</v>
      </c>
      <c r="E3206" s="3" t="s">
        <v>15</v>
      </c>
    </row>
    <row r="3207">
      <c r="A3207" s="3" t="s">
        <v>6</v>
      </c>
      <c r="B3207" s="3" t="s">
        <v>7</v>
      </c>
      <c r="C3207" s="3" t="s">
        <v>8</v>
      </c>
      <c r="D3207" s="3" t="s">
        <v>11</v>
      </c>
      <c r="E3207" s="3" t="s">
        <v>12</v>
      </c>
      <c r="F3207" s="3" t="s">
        <v>15</v>
      </c>
    </row>
    <row r="3208">
      <c r="A3208" s="3" t="s">
        <v>6</v>
      </c>
      <c r="B3208" s="3" t="s">
        <v>7</v>
      </c>
      <c r="C3208" s="3" t="s">
        <v>14</v>
      </c>
      <c r="D3208" s="3" t="s">
        <v>17</v>
      </c>
    </row>
    <row r="3209">
      <c r="A3209" s="3" t="s">
        <v>6</v>
      </c>
      <c r="B3209" s="3" t="s">
        <v>14</v>
      </c>
      <c r="C3209" s="3" t="s">
        <v>15</v>
      </c>
      <c r="D3209" s="3" t="s">
        <v>16</v>
      </c>
      <c r="E3209" s="3" t="s">
        <v>17</v>
      </c>
      <c r="F3209" s="3" t="s">
        <v>18</v>
      </c>
    </row>
    <row r="3210">
      <c r="A3210" s="3" t="s">
        <v>6</v>
      </c>
      <c r="B3210" s="3" t="s">
        <v>7</v>
      </c>
      <c r="C3210" s="3" t="s">
        <v>13</v>
      </c>
      <c r="D3210" s="3" t="s">
        <v>15</v>
      </c>
    </row>
    <row r="3211">
      <c r="A3211" s="3" t="s">
        <v>6</v>
      </c>
      <c r="B3211" s="3" t="s">
        <v>7</v>
      </c>
      <c r="C3211" s="3" t="s">
        <v>11</v>
      </c>
      <c r="D3211" s="3" t="s">
        <v>15</v>
      </c>
    </row>
    <row r="3212">
      <c r="A3212" s="3" t="s">
        <v>6</v>
      </c>
      <c r="B3212" s="3" t="s">
        <v>7</v>
      </c>
      <c r="C3212" s="3" t="s">
        <v>11</v>
      </c>
    </row>
    <row r="3213">
      <c r="A3213" s="3" t="s">
        <v>6</v>
      </c>
    </row>
    <row r="3214">
      <c r="A3214" s="3" t="s">
        <v>6</v>
      </c>
      <c r="B3214" s="3" t="s">
        <v>17</v>
      </c>
    </row>
    <row r="3215">
      <c r="A3215" s="3" t="s">
        <v>6</v>
      </c>
      <c r="B3215" s="3" t="s">
        <v>8</v>
      </c>
      <c r="C3215" s="3" t="s">
        <v>11</v>
      </c>
      <c r="D3215" s="3" t="s">
        <v>15</v>
      </c>
    </row>
    <row r="3216">
      <c r="A3216" s="3" t="s">
        <v>6</v>
      </c>
      <c r="B3216" s="3" t="s">
        <v>9</v>
      </c>
    </row>
    <row r="3217">
      <c r="A3217" s="3" t="s">
        <v>6</v>
      </c>
      <c r="B3217" s="3" t="s">
        <v>7</v>
      </c>
      <c r="C3217" s="3" t="s">
        <v>11</v>
      </c>
      <c r="D3217" s="3" t="s">
        <v>16</v>
      </c>
    </row>
    <row r="3218">
      <c r="A3218" s="3" t="s">
        <v>6</v>
      </c>
      <c r="B3218" s="3" t="s">
        <v>7</v>
      </c>
    </row>
    <row r="3219">
      <c r="A3219" s="3" t="s">
        <v>6</v>
      </c>
      <c r="B3219" s="3" t="s">
        <v>8</v>
      </c>
      <c r="C3219" s="3" t="s">
        <v>12</v>
      </c>
    </row>
    <row r="3220">
      <c r="A3220" s="3" t="s">
        <v>6</v>
      </c>
      <c r="B3220" s="3" t="s">
        <v>7</v>
      </c>
    </row>
    <row r="3221">
      <c r="A3221" s="3" t="s">
        <v>6</v>
      </c>
      <c r="B3221" s="3" t="s">
        <v>7</v>
      </c>
    </row>
    <row r="3222">
      <c r="A3222" s="3" t="s">
        <v>6</v>
      </c>
      <c r="B3222" s="3" t="s">
        <v>11</v>
      </c>
    </row>
    <row r="3223">
      <c r="A3223" s="3" t="s">
        <v>6</v>
      </c>
      <c r="B3223" s="3" t="s">
        <v>9</v>
      </c>
      <c r="C3223" s="3" t="s">
        <v>17</v>
      </c>
    </row>
    <row r="3224">
      <c r="A3224" s="3" t="s">
        <v>6</v>
      </c>
      <c r="B3224" s="3" t="s">
        <v>11</v>
      </c>
      <c r="C3224" s="3" t="s">
        <v>17</v>
      </c>
    </row>
    <row r="3225">
      <c r="A3225" s="3" t="s">
        <v>6</v>
      </c>
      <c r="B3225" s="3" t="s">
        <v>14</v>
      </c>
      <c r="C3225" s="3" t="s">
        <v>15</v>
      </c>
    </row>
    <row r="3226">
      <c r="A3226" s="3" t="s">
        <v>6</v>
      </c>
      <c r="B3226" s="3" t="s">
        <v>7</v>
      </c>
      <c r="C3226" s="3" t="s">
        <v>8</v>
      </c>
      <c r="D3226" s="3" t="s">
        <v>11</v>
      </c>
      <c r="E3226" s="3" t="s">
        <v>13</v>
      </c>
      <c r="F3226" s="3" t="s">
        <v>14</v>
      </c>
      <c r="G3226" s="3" t="s">
        <v>15</v>
      </c>
      <c r="H3226" s="3" t="s">
        <v>17</v>
      </c>
    </row>
    <row r="3227">
      <c r="A3227" s="3" t="s">
        <v>6</v>
      </c>
      <c r="B3227" s="3" t="s">
        <v>8</v>
      </c>
      <c r="C3227" s="3" t="s">
        <v>9</v>
      </c>
      <c r="D3227" s="3" t="s">
        <v>12</v>
      </c>
      <c r="E3227" s="3" t="s">
        <v>15</v>
      </c>
      <c r="F3227" s="3" t="s">
        <v>16</v>
      </c>
    </row>
    <row r="3228">
      <c r="A3228" s="3" t="s">
        <v>6</v>
      </c>
      <c r="B3228" s="3" t="s">
        <v>11</v>
      </c>
      <c r="C3228" s="3" t="s">
        <v>13</v>
      </c>
      <c r="D3228" s="3" t="s">
        <v>15</v>
      </c>
    </row>
    <row r="3229">
      <c r="A3229" s="3" t="s">
        <v>6</v>
      </c>
      <c r="B3229" s="3" t="s">
        <v>7</v>
      </c>
      <c r="C3229" s="3" t="s">
        <v>8</v>
      </c>
      <c r="D3229" s="3" t="s">
        <v>11</v>
      </c>
      <c r="E3229" s="3" t="s">
        <v>13</v>
      </c>
      <c r="F3229" s="3" t="s">
        <v>14</v>
      </c>
      <c r="G3229" s="3" t="s">
        <v>17</v>
      </c>
    </row>
    <row r="3230">
      <c r="A3230" s="3" t="s">
        <v>6</v>
      </c>
    </row>
    <row r="3231">
      <c r="A3231" s="3" t="s">
        <v>6</v>
      </c>
      <c r="B3231" s="3" t="s">
        <v>7</v>
      </c>
      <c r="C3231" s="3" t="s">
        <v>8</v>
      </c>
      <c r="D3231" s="3" t="s">
        <v>11</v>
      </c>
      <c r="E3231" s="3" t="s">
        <v>12</v>
      </c>
    </row>
    <row r="3232">
      <c r="A3232" s="3" t="s">
        <v>6</v>
      </c>
      <c r="B3232" s="3" t="s">
        <v>11</v>
      </c>
    </row>
    <row r="3233">
      <c r="A3233" s="3" t="s">
        <v>6</v>
      </c>
      <c r="B3233" s="3" t="s">
        <v>7</v>
      </c>
      <c r="C3233" s="3" t="s">
        <v>11</v>
      </c>
      <c r="D3233" s="3" t="s">
        <v>15</v>
      </c>
    </row>
    <row r="3234">
      <c r="A3234" s="3" t="s">
        <v>6</v>
      </c>
      <c r="B3234" s="3" t="s">
        <v>7</v>
      </c>
      <c r="C3234" s="3" t="s">
        <v>8</v>
      </c>
      <c r="D3234" s="3" t="s">
        <v>11</v>
      </c>
      <c r="E3234" s="3" t="s">
        <v>18</v>
      </c>
    </row>
    <row r="3235">
      <c r="A3235" s="3" t="s">
        <v>6</v>
      </c>
      <c r="B3235" s="3" t="s">
        <v>7</v>
      </c>
    </row>
    <row r="3236">
      <c r="A3236" s="3" t="s">
        <v>6</v>
      </c>
      <c r="B3236" s="3" t="s">
        <v>8</v>
      </c>
    </row>
    <row r="3237">
      <c r="A3237" s="3" t="s">
        <v>6</v>
      </c>
      <c r="B3237" s="3" t="s">
        <v>11</v>
      </c>
      <c r="C3237" s="3" t="s">
        <v>13</v>
      </c>
    </row>
    <row r="3238">
      <c r="A3238" s="3" t="s">
        <v>6</v>
      </c>
      <c r="B3238" s="3" t="s">
        <v>7</v>
      </c>
      <c r="C3238" s="3" t="s">
        <v>15</v>
      </c>
    </row>
    <row r="3239">
      <c r="A3239" s="3" t="s">
        <v>6</v>
      </c>
      <c r="B3239" s="3" t="s">
        <v>11</v>
      </c>
      <c r="C3239" s="3" t="s">
        <v>13</v>
      </c>
    </row>
    <row r="3240">
      <c r="A3240" s="3" t="s">
        <v>6</v>
      </c>
      <c r="B3240" s="3" t="s">
        <v>7</v>
      </c>
    </row>
    <row r="3241">
      <c r="A3241" s="3" t="s">
        <v>6</v>
      </c>
      <c r="B3241" s="3" t="s">
        <v>7</v>
      </c>
      <c r="C3241" s="3" t="s">
        <v>14</v>
      </c>
    </row>
    <row r="3242">
      <c r="A3242" s="3" t="s">
        <v>6</v>
      </c>
      <c r="B3242" s="3" t="s">
        <v>7</v>
      </c>
    </row>
    <row r="3243">
      <c r="A3243" s="3" t="s">
        <v>6</v>
      </c>
      <c r="B3243" s="3" t="s">
        <v>7</v>
      </c>
      <c r="C3243" s="3" t="s">
        <v>8</v>
      </c>
      <c r="D3243" s="3" t="s">
        <v>11</v>
      </c>
      <c r="E3243" s="3" t="s">
        <v>12</v>
      </c>
    </row>
    <row r="3244">
      <c r="A3244" s="3" t="s">
        <v>6</v>
      </c>
      <c r="B3244" s="3" t="s">
        <v>8</v>
      </c>
      <c r="C3244" s="3" t="s">
        <v>11</v>
      </c>
      <c r="D3244" s="3" t="s">
        <v>12</v>
      </c>
      <c r="E3244" s="3" t="s">
        <v>15</v>
      </c>
      <c r="F3244" s="3" t="s">
        <v>16</v>
      </c>
    </row>
    <row r="3245">
      <c r="A3245" s="3" t="s">
        <v>6</v>
      </c>
      <c r="B3245" s="3" t="s">
        <v>7</v>
      </c>
      <c r="C3245" s="3" t="s">
        <v>15</v>
      </c>
    </row>
    <row r="3246">
      <c r="A3246" s="3" t="s">
        <v>6</v>
      </c>
    </row>
    <row r="3247">
      <c r="A3247" s="3" t="s">
        <v>6</v>
      </c>
      <c r="B3247" s="3" t="s">
        <v>7</v>
      </c>
    </row>
    <row r="3248">
      <c r="A3248" s="3" t="s">
        <v>6</v>
      </c>
      <c r="B3248" s="3" t="s">
        <v>14</v>
      </c>
      <c r="C3248" s="3" t="s">
        <v>16</v>
      </c>
    </row>
    <row r="3249">
      <c r="A3249" s="3" t="s">
        <v>6</v>
      </c>
    </row>
    <row r="3250">
      <c r="A3250" s="3" t="s">
        <v>6</v>
      </c>
      <c r="B3250" s="3" t="s">
        <v>7</v>
      </c>
    </row>
    <row r="3251">
      <c r="A3251" s="3" t="s">
        <v>6</v>
      </c>
      <c r="B3251" s="3" t="s">
        <v>13</v>
      </c>
      <c r="C3251" s="3" t="s">
        <v>14</v>
      </c>
      <c r="D3251" s="3" t="s">
        <v>15</v>
      </c>
    </row>
    <row r="3252">
      <c r="A3252" s="3" t="s">
        <v>6</v>
      </c>
      <c r="B3252" s="3" t="s">
        <v>15</v>
      </c>
    </row>
    <row r="3253">
      <c r="A3253" s="3" t="s">
        <v>6</v>
      </c>
      <c r="B3253" s="3" t="s">
        <v>7</v>
      </c>
      <c r="C3253" s="3" t="s">
        <v>8</v>
      </c>
      <c r="D3253" s="3" t="s">
        <v>15</v>
      </c>
      <c r="E3253" s="3" t="s">
        <v>17</v>
      </c>
    </row>
    <row r="3254">
      <c r="A3254" s="3" t="s">
        <v>6</v>
      </c>
      <c r="B3254" s="3" t="s">
        <v>7</v>
      </c>
      <c r="C3254" s="3" t="s">
        <v>11</v>
      </c>
    </row>
    <row r="3255">
      <c r="A3255" s="3" t="s">
        <v>6</v>
      </c>
      <c r="B3255" s="3" t="s">
        <v>15</v>
      </c>
    </row>
    <row r="3256">
      <c r="A3256" s="3" t="s">
        <v>6</v>
      </c>
      <c r="B3256" s="3" t="s">
        <v>7</v>
      </c>
      <c r="C3256" s="3" t="s">
        <v>11</v>
      </c>
      <c r="D3256" s="3" t="s">
        <v>12</v>
      </c>
      <c r="E3256" s="3" t="s">
        <v>15</v>
      </c>
      <c r="F3256" s="3" t="s">
        <v>18</v>
      </c>
    </row>
    <row r="3257">
      <c r="A3257" s="3" t="s">
        <v>6</v>
      </c>
    </row>
    <row r="3258">
      <c r="A3258" s="3" t="s">
        <v>6</v>
      </c>
      <c r="B3258" s="3" t="s">
        <v>8</v>
      </c>
      <c r="C3258" s="3" t="s">
        <v>11</v>
      </c>
      <c r="D3258" s="3" t="s">
        <v>15</v>
      </c>
      <c r="E3258" s="3" t="s">
        <v>16</v>
      </c>
      <c r="F3258" s="3" t="s">
        <v>17</v>
      </c>
    </row>
    <row r="3259">
      <c r="A3259" s="3" t="s">
        <v>6</v>
      </c>
    </row>
    <row r="3260">
      <c r="A3260" s="3" t="s">
        <v>6</v>
      </c>
      <c r="B3260" s="3" t="s">
        <v>7</v>
      </c>
      <c r="C3260" s="3" t="s">
        <v>9</v>
      </c>
      <c r="D3260" s="3" t="s">
        <v>10</v>
      </c>
      <c r="E3260" s="3" t="s">
        <v>18</v>
      </c>
      <c r="F3260" s="3" t="s">
        <v>24</v>
      </c>
    </row>
    <row r="3261">
      <c r="A3261" s="3" t="s">
        <v>6</v>
      </c>
      <c r="B3261" s="3" t="s">
        <v>7</v>
      </c>
      <c r="C3261" s="3" t="s">
        <v>11</v>
      </c>
      <c r="D3261" s="3" t="s">
        <v>15</v>
      </c>
    </row>
    <row r="3262">
      <c r="A3262" s="3" t="s">
        <v>6</v>
      </c>
      <c r="B3262" s="3" t="s">
        <v>7</v>
      </c>
    </row>
    <row r="3263">
      <c r="A3263" s="3" t="s">
        <v>6</v>
      </c>
      <c r="B3263" s="3" t="s">
        <v>7</v>
      </c>
      <c r="C3263" s="3" t="s">
        <v>12</v>
      </c>
    </row>
    <row r="3264">
      <c r="A3264" s="3" t="s">
        <v>6</v>
      </c>
      <c r="B3264" s="3" t="s">
        <v>7</v>
      </c>
      <c r="C3264" s="3" t="s">
        <v>8</v>
      </c>
      <c r="D3264" s="3" t="s">
        <v>11</v>
      </c>
      <c r="E3264" s="3" t="s">
        <v>12</v>
      </c>
      <c r="F3264" s="3" t="s">
        <v>17</v>
      </c>
      <c r="G3264" s="3" t="s">
        <v>18</v>
      </c>
    </row>
    <row r="3265">
      <c r="A3265" s="3" t="s">
        <v>6</v>
      </c>
    </row>
    <row r="3266">
      <c r="A3266" s="3" t="s">
        <v>6</v>
      </c>
      <c r="B3266" s="3" t="s">
        <v>7</v>
      </c>
      <c r="C3266" s="3" t="s">
        <v>8</v>
      </c>
      <c r="D3266" s="3" t="s">
        <v>9</v>
      </c>
      <c r="E3266" s="3" t="s">
        <v>12</v>
      </c>
      <c r="F3266" s="3" t="s">
        <v>13</v>
      </c>
      <c r="G3266" s="3" t="s">
        <v>17</v>
      </c>
    </row>
    <row r="3267">
      <c r="A3267" s="3" t="s">
        <v>6</v>
      </c>
    </row>
    <row r="3268">
      <c r="A3268" s="3" t="s">
        <v>6</v>
      </c>
      <c r="B3268" s="3" t="s">
        <v>9</v>
      </c>
      <c r="C3268" s="3" t="s">
        <v>16</v>
      </c>
    </row>
    <row r="3269">
      <c r="A3269" s="3" t="s">
        <v>6</v>
      </c>
      <c r="B3269" s="3" t="s">
        <v>13</v>
      </c>
      <c r="C3269" s="3" t="s">
        <v>14</v>
      </c>
      <c r="D3269" s="3" t="s">
        <v>17</v>
      </c>
      <c r="E3269" s="3" t="s">
        <v>18</v>
      </c>
    </row>
    <row r="3270">
      <c r="A3270" s="3" t="s">
        <v>6</v>
      </c>
      <c r="B3270" s="3" t="s">
        <v>7</v>
      </c>
      <c r="C3270" s="3" t="s">
        <v>8</v>
      </c>
    </row>
    <row r="3271">
      <c r="A3271" s="3" t="s">
        <v>6</v>
      </c>
      <c r="B3271" s="3" t="s">
        <v>12</v>
      </c>
      <c r="C3271" s="3" t="s">
        <v>15</v>
      </c>
    </row>
    <row r="3272">
      <c r="A3272" s="3" t="s">
        <v>6</v>
      </c>
    </row>
    <row r="3273">
      <c r="A3273" s="3" t="s">
        <v>6</v>
      </c>
      <c r="B3273" s="3" t="s">
        <v>7</v>
      </c>
      <c r="C3273" s="3" t="s">
        <v>8</v>
      </c>
      <c r="D3273" s="3" t="s">
        <v>9</v>
      </c>
      <c r="E3273" s="3" t="s">
        <v>11</v>
      </c>
      <c r="F3273" s="3" t="s">
        <v>12</v>
      </c>
    </row>
    <row r="3274">
      <c r="A3274" s="3" t="s">
        <v>6</v>
      </c>
      <c r="B3274" s="3" t="s">
        <v>11</v>
      </c>
      <c r="C3274" s="3" t="s">
        <v>12</v>
      </c>
      <c r="D3274" s="3" t="s">
        <v>17</v>
      </c>
      <c r="E3274" s="3" t="s">
        <v>24</v>
      </c>
    </row>
    <row r="3275">
      <c r="A3275" s="3" t="s">
        <v>6</v>
      </c>
      <c r="B3275" s="3" t="s">
        <v>7</v>
      </c>
      <c r="C3275" s="3" t="s">
        <v>11</v>
      </c>
      <c r="D3275" s="3" t="s">
        <v>13</v>
      </c>
      <c r="E3275" s="3" t="s">
        <v>14</v>
      </c>
      <c r="F3275" s="3" t="s">
        <v>15</v>
      </c>
      <c r="G3275" s="3" t="s">
        <v>16</v>
      </c>
    </row>
    <row r="3276">
      <c r="A3276" s="3" t="s">
        <v>6</v>
      </c>
      <c r="B3276" s="3" t="s">
        <v>8</v>
      </c>
    </row>
    <row r="3277">
      <c r="A3277" s="3" t="s">
        <v>6</v>
      </c>
      <c r="B3277" s="3" t="s">
        <v>7</v>
      </c>
      <c r="C3277" s="3" t="s">
        <v>11</v>
      </c>
      <c r="D3277" s="3" t="s">
        <v>12</v>
      </c>
      <c r="E3277" s="3" t="s">
        <v>15</v>
      </c>
    </row>
    <row r="3278">
      <c r="A3278" s="3" t="s">
        <v>6</v>
      </c>
      <c r="B3278" s="3" t="s">
        <v>15</v>
      </c>
      <c r="C3278" s="3" t="s">
        <v>16</v>
      </c>
    </row>
    <row r="3279">
      <c r="A3279" s="3" t="s">
        <v>6</v>
      </c>
      <c r="B3279" s="3" t="s">
        <v>11</v>
      </c>
    </row>
    <row r="3280">
      <c r="A3280" s="3" t="s">
        <v>6</v>
      </c>
      <c r="B3280" s="3" t="s">
        <v>7</v>
      </c>
      <c r="C3280" s="3" t="s">
        <v>11</v>
      </c>
      <c r="D3280" s="3" t="s">
        <v>15</v>
      </c>
      <c r="E3280" s="3" t="s">
        <v>16</v>
      </c>
    </row>
    <row r="3281">
      <c r="A3281" s="3" t="s">
        <v>6</v>
      </c>
      <c r="B3281" s="3" t="s">
        <v>7</v>
      </c>
    </row>
    <row r="3282">
      <c r="A3282" s="3" t="s">
        <v>6</v>
      </c>
      <c r="B3282" s="3" t="s">
        <v>7</v>
      </c>
    </row>
    <row r="3283">
      <c r="A3283" s="3" t="s">
        <v>6</v>
      </c>
      <c r="B3283" s="3" t="s">
        <v>7</v>
      </c>
      <c r="C3283" s="3" t="s">
        <v>14</v>
      </c>
      <c r="D3283" s="3" t="s">
        <v>24</v>
      </c>
    </row>
    <row r="3284">
      <c r="A3284" s="3" t="s">
        <v>6</v>
      </c>
      <c r="B3284" s="3" t="s">
        <v>7</v>
      </c>
      <c r="C3284" s="3" t="s">
        <v>8</v>
      </c>
      <c r="D3284" s="3" t="s">
        <v>11</v>
      </c>
      <c r="E3284" s="3" t="s">
        <v>15</v>
      </c>
      <c r="F3284" s="3" t="s">
        <v>16</v>
      </c>
    </row>
    <row r="3285">
      <c r="A3285" s="3" t="s">
        <v>6</v>
      </c>
    </row>
    <row r="3286">
      <c r="A3286" s="3" t="s">
        <v>6</v>
      </c>
    </row>
    <row r="3287">
      <c r="A3287" s="3" t="s">
        <v>6</v>
      </c>
      <c r="B3287" s="3" t="s">
        <v>13</v>
      </c>
    </row>
    <row r="3288">
      <c r="A3288" s="3" t="s">
        <v>6</v>
      </c>
      <c r="B3288" s="3" t="s">
        <v>7</v>
      </c>
      <c r="C3288" s="3" t="s">
        <v>12</v>
      </c>
      <c r="D3288" s="3" t="s">
        <v>17</v>
      </c>
    </row>
    <row r="3289">
      <c r="A3289" s="3" t="s">
        <v>6</v>
      </c>
      <c r="B3289" s="3" t="s">
        <v>7</v>
      </c>
      <c r="C3289" s="3" t="s">
        <v>14</v>
      </c>
      <c r="D3289" s="3" t="s">
        <v>17</v>
      </c>
    </row>
    <row r="3290">
      <c r="A3290" s="3" t="s">
        <v>6</v>
      </c>
      <c r="B3290" s="3" t="s">
        <v>11</v>
      </c>
      <c r="C3290" s="3" t="s">
        <v>15</v>
      </c>
      <c r="D3290" s="3" t="s">
        <v>16</v>
      </c>
      <c r="E3290" s="3" t="s">
        <v>17</v>
      </c>
    </row>
    <row r="3291">
      <c r="A3291" s="3" t="s">
        <v>6</v>
      </c>
    </row>
    <row r="3292">
      <c r="A3292" s="3" t="s">
        <v>6</v>
      </c>
      <c r="B3292" s="3" t="s">
        <v>13</v>
      </c>
      <c r="C3292" s="3" t="s">
        <v>14</v>
      </c>
      <c r="D3292" s="3" t="s">
        <v>15</v>
      </c>
    </row>
    <row r="3293">
      <c r="A3293" s="3" t="s">
        <v>6</v>
      </c>
      <c r="B3293" s="3" t="s">
        <v>13</v>
      </c>
      <c r="C3293" s="3" t="s">
        <v>14</v>
      </c>
      <c r="D3293" s="3" t="s">
        <v>15</v>
      </c>
    </row>
    <row r="3294">
      <c r="A3294" s="3" t="s">
        <v>6</v>
      </c>
      <c r="B3294" s="3" t="s">
        <v>13</v>
      </c>
      <c r="C3294" s="3" t="s">
        <v>14</v>
      </c>
    </row>
    <row r="3295">
      <c r="A3295" s="3" t="s">
        <v>6</v>
      </c>
      <c r="B3295" s="3" t="s">
        <v>7</v>
      </c>
      <c r="C3295" s="3" t="s">
        <v>17</v>
      </c>
    </row>
    <row r="3296">
      <c r="A3296" s="3" t="s">
        <v>6</v>
      </c>
      <c r="B3296" s="3" t="s">
        <v>16</v>
      </c>
    </row>
    <row r="3297">
      <c r="A3297" s="3" t="s">
        <v>6</v>
      </c>
      <c r="B3297" s="3" t="s">
        <v>7</v>
      </c>
      <c r="C3297" s="3" t="s">
        <v>8</v>
      </c>
      <c r="D3297" s="3" t="s">
        <v>15</v>
      </c>
      <c r="E3297" s="3" t="s">
        <v>24</v>
      </c>
    </row>
    <row r="3298">
      <c r="A3298" s="3" t="s">
        <v>6</v>
      </c>
      <c r="B3298" s="3" t="s">
        <v>7</v>
      </c>
      <c r="C3298" s="3" t="s">
        <v>12</v>
      </c>
      <c r="D3298" s="3" t="s">
        <v>16</v>
      </c>
    </row>
    <row r="3299">
      <c r="A3299" s="3" t="s">
        <v>6</v>
      </c>
      <c r="B3299" s="3" t="s">
        <v>7</v>
      </c>
      <c r="C3299" s="3" t="s">
        <v>13</v>
      </c>
      <c r="D3299" s="3" t="s">
        <v>14</v>
      </c>
      <c r="E3299" s="3" t="s">
        <v>15</v>
      </c>
    </row>
    <row r="3300">
      <c r="A3300" s="3" t="s">
        <v>6</v>
      </c>
    </row>
    <row r="3301">
      <c r="A3301" s="3" t="s">
        <v>6</v>
      </c>
    </row>
    <row r="3302">
      <c r="A3302" s="3" t="s">
        <v>6</v>
      </c>
      <c r="B3302" s="3" t="s">
        <v>11</v>
      </c>
      <c r="C3302" s="3" t="s">
        <v>13</v>
      </c>
      <c r="D3302" s="3" t="s">
        <v>18</v>
      </c>
    </row>
    <row r="3303">
      <c r="A3303" s="3" t="s">
        <v>6</v>
      </c>
      <c r="B3303" s="3" t="s">
        <v>11</v>
      </c>
      <c r="C3303" s="3" t="s">
        <v>13</v>
      </c>
      <c r="D3303" s="3" t="s">
        <v>16</v>
      </c>
      <c r="E3303" s="3" t="s">
        <v>18</v>
      </c>
    </row>
    <row r="3304">
      <c r="A3304" s="3" t="s">
        <v>6</v>
      </c>
      <c r="B3304" s="3" t="s">
        <v>7</v>
      </c>
      <c r="C3304" s="3" t="s">
        <v>14</v>
      </c>
      <c r="D3304" s="3" t="s">
        <v>16</v>
      </c>
    </row>
    <row r="3305">
      <c r="A3305" s="3" t="s">
        <v>6</v>
      </c>
      <c r="B3305" s="3" t="s">
        <v>7</v>
      </c>
      <c r="C3305" s="3" t="s">
        <v>8</v>
      </c>
      <c r="D3305" s="3" t="s">
        <v>11</v>
      </c>
      <c r="E3305" s="3" t="s">
        <v>12</v>
      </c>
    </row>
    <row r="3306">
      <c r="A3306" s="3" t="s">
        <v>609</v>
      </c>
    </row>
    <row r="3307">
      <c r="A3307" s="3" t="s">
        <v>7</v>
      </c>
      <c r="B3307" s="3" t="s">
        <v>12</v>
      </c>
      <c r="C3307" s="3" t="s">
        <v>17</v>
      </c>
    </row>
    <row r="3308">
      <c r="A3308" s="3" t="s">
        <v>7</v>
      </c>
      <c r="B3308" s="3" t="s">
        <v>8</v>
      </c>
      <c r="C3308" s="3" t="s">
        <v>15</v>
      </c>
    </row>
    <row r="3309">
      <c r="A3309" s="3" t="s">
        <v>7</v>
      </c>
      <c r="B3309" s="3" t="s">
        <v>8</v>
      </c>
      <c r="C3309" s="3" t="s">
        <v>9</v>
      </c>
      <c r="D3309" s="3" t="s">
        <v>11</v>
      </c>
      <c r="E3309" s="3" t="s">
        <v>12</v>
      </c>
      <c r="F3309" s="3" t="s">
        <v>15</v>
      </c>
      <c r="G3309" s="3" t="s">
        <v>17</v>
      </c>
    </row>
    <row r="3310">
      <c r="A3310" s="3" t="s">
        <v>7</v>
      </c>
      <c r="B3310" s="3" t="s">
        <v>16</v>
      </c>
    </row>
    <row r="3311">
      <c r="A3311" s="3" t="s">
        <v>7</v>
      </c>
      <c r="B3311" s="3" t="s">
        <v>8</v>
      </c>
      <c r="C3311" s="3" t="s">
        <v>12</v>
      </c>
      <c r="D3311" s="3" t="s">
        <v>13</v>
      </c>
      <c r="E3311" s="3" t="s">
        <v>15</v>
      </c>
      <c r="F3311" s="3" t="s">
        <v>17</v>
      </c>
    </row>
    <row r="3312">
      <c r="A3312" s="3" t="s">
        <v>7</v>
      </c>
      <c r="B3312" s="3" t="s">
        <v>15</v>
      </c>
    </row>
    <row r="3313">
      <c r="A3313" s="3" t="s">
        <v>7</v>
      </c>
      <c r="B3313" s="3" t="s">
        <v>12</v>
      </c>
    </row>
    <row r="3314">
      <c r="A3314" s="3" t="s">
        <v>7</v>
      </c>
      <c r="B3314" s="3" t="s">
        <v>17</v>
      </c>
    </row>
    <row r="3315">
      <c r="A3315" s="3" t="s">
        <v>7</v>
      </c>
    </row>
    <row r="3316">
      <c r="A3316" s="3" t="s">
        <v>7</v>
      </c>
      <c r="B3316" s="3" t="s">
        <v>8</v>
      </c>
      <c r="C3316" s="3" t="s">
        <v>13</v>
      </c>
    </row>
    <row r="3317">
      <c r="A3317" s="3" t="s">
        <v>7</v>
      </c>
      <c r="B3317" s="3" t="s">
        <v>14</v>
      </c>
      <c r="C3317" s="3" t="s">
        <v>15</v>
      </c>
    </row>
    <row r="3318">
      <c r="A3318" s="3" t="s">
        <v>7</v>
      </c>
      <c r="B3318" s="3" t="s">
        <v>12</v>
      </c>
      <c r="C3318" s="3" t="s">
        <v>16</v>
      </c>
    </row>
    <row r="3319">
      <c r="A3319" s="3" t="s">
        <v>7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18</v>
      </c>
    </row>
    <row r="3320">
      <c r="A3320" s="3" t="s">
        <v>7</v>
      </c>
      <c r="B3320" s="3" t="s">
        <v>12</v>
      </c>
      <c r="C3320" s="3" t="s">
        <v>17</v>
      </c>
      <c r="D3320" s="3" t="s">
        <v>18</v>
      </c>
    </row>
    <row r="3321">
      <c r="A3321" s="3" t="s">
        <v>7</v>
      </c>
      <c r="B3321" s="3" t="s">
        <v>13</v>
      </c>
    </row>
    <row r="3322">
      <c r="A3322" s="3" t="s">
        <v>7</v>
      </c>
      <c r="B3322" s="3" t="s">
        <v>8</v>
      </c>
      <c r="C3322" s="3" t="s">
        <v>9</v>
      </c>
      <c r="D3322" s="3" t="s">
        <v>15</v>
      </c>
      <c r="E3322" s="3" t="s">
        <v>16</v>
      </c>
    </row>
    <row r="3323">
      <c r="A3323" s="3" t="s">
        <v>7</v>
      </c>
      <c r="B3323" s="3" t="s">
        <v>11</v>
      </c>
      <c r="C3323" s="3" t="s">
        <v>13</v>
      </c>
    </row>
    <row r="3324">
      <c r="A3324" s="3" t="s">
        <v>7</v>
      </c>
      <c r="B3324" s="3" t="s">
        <v>13</v>
      </c>
      <c r="C3324" s="3" t="s">
        <v>14</v>
      </c>
    </row>
    <row r="3325">
      <c r="A3325" s="3" t="s">
        <v>7</v>
      </c>
      <c r="B3325" s="3" t="s">
        <v>11</v>
      </c>
    </row>
    <row r="3326">
      <c r="A3326" s="3" t="s">
        <v>7</v>
      </c>
      <c r="B3326" s="3" t="s">
        <v>15</v>
      </c>
    </row>
    <row r="3327">
      <c r="A3327" s="3" t="s">
        <v>7</v>
      </c>
      <c r="B3327" s="3" t="s">
        <v>8</v>
      </c>
      <c r="C3327" s="3" t="s">
        <v>15</v>
      </c>
      <c r="D3327" s="3" t="s">
        <v>16</v>
      </c>
      <c r="E3327" s="3" t="s">
        <v>17</v>
      </c>
      <c r="F3327" s="3" t="s">
        <v>18</v>
      </c>
    </row>
    <row r="3328">
      <c r="A3328" s="3" t="s">
        <v>7</v>
      </c>
      <c r="B3328" s="3" t="s">
        <v>15</v>
      </c>
      <c r="C3328" s="3" t="s">
        <v>16</v>
      </c>
    </row>
    <row r="3329">
      <c r="A3329" s="3" t="s">
        <v>7</v>
      </c>
      <c r="B3329" s="3" t="s">
        <v>17</v>
      </c>
    </row>
    <row r="3330">
      <c r="A3330" s="3" t="s">
        <v>7</v>
      </c>
      <c r="B3330" s="3" t="s">
        <v>8</v>
      </c>
      <c r="C3330" s="3" t="s">
        <v>9</v>
      </c>
      <c r="D3330" s="3" t="s">
        <v>12</v>
      </c>
      <c r="E3330" s="3" t="s">
        <v>15</v>
      </c>
    </row>
    <row r="3331">
      <c r="A3331" s="3" t="s">
        <v>7</v>
      </c>
      <c r="B3331" s="3" t="s">
        <v>9</v>
      </c>
      <c r="C3331" s="3" t="s">
        <v>13</v>
      </c>
      <c r="D3331" s="3" t="s">
        <v>14</v>
      </c>
      <c r="E3331" s="3" t="s">
        <v>17</v>
      </c>
      <c r="F3331" s="3" t="s">
        <v>18</v>
      </c>
    </row>
    <row r="3332">
      <c r="A3332" s="3" t="s">
        <v>7</v>
      </c>
      <c r="B3332" s="3" t="s">
        <v>12</v>
      </c>
      <c r="C3332" s="3" t="s">
        <v>13</v>
      </c>
      <c r="D3332" s="3" t="s">
        <v>18</v>
      </c>
      <c r="E3332" s="3" t="s">
        <v>24</v>
      </c>
    </row>
    <row r="3333">
      <c r="A3333" s="3" t="s">
        <v>7</v>
      </c>
      <c r="B3333" s="3" t="s">
        <v>13</v>
      </c>
      <c r="C3333" s="3" t="s">
        <v>17</v>
      </c>
    </row>
    <row r="3334">
      <c r="A3334" s="3" t="s">
        <v>7</v>
      </c>
      <c r="B3334" s="3" t="s">
        <v>9</v>
      </c>
      <c r="C3334" s="3" t="s">
        <v>11</v>
      </c>
      <c r="D3334" s="3" t="s">
        <v>14</v>
      </c>
      <c r="E3334" s="3" t="s">
        <v>16</v>
      </c>
      <c r="F3334" s="3" t="s">
        <v>17</v>
      </c>
    </row>
    <row r="3335">
      <c r="A3335" s="3" t="s">
        <v>7</v>
      </c>
      <c r="B3335" s="3" t="s">
        <v>15</v>
      </c>
      <c r="C3335" s="3" t="s">
        <v>16</v>
      </c>
    </row>
    <row r="3336">
      <c r="A3336" s="3" t="s">
        <v>7</v>
      </c>
      <c r="B3336" s="3" t="s">
        <v>13</v>
      </c>
    </row>
    <row r="3337">
      <c r="A3337" s="3" t="s">
        <v>7</v>
      </c>
      <c r="B3337" s="3" t="s">
        <v>13</v>
      </c>
      <c r="C3337" s="3" t="s">
        <v>15</v>
      </c>
    </row>
    <row r="3338">
      <c r="A3338" s="3" t="s">
        <v>7</v>
      </c>
      <c r="B3338" s="3" t="s">
        <v>8</v>
      </c>
      <c r="C3338" s="3" t="s">
        <v>11</v>
      </c>
      <c r="D3338" s="3" t="s">
        <v>13</v>
      </c>
    </row>
    <row r="3339">
      <c r="A3339" s="3" t="s">
        <v>7</v>
      </c>
      <c r="B3339" s="3" t="s">
        <v>16</v>
      </c>
    </row>
    <row r="3340">
      <c r="A3340" s="3" t="s">
        <v>7</v>
      </c>
      <c r="B3340" s="3" t="s">
        <v>15</v>
      </c>
    </row>
    <row r="3341">
      <c r="A3341" s="3" t="s">
        <v>7</v>
      </c>
      <c r="B3341" s="3" t="s">
        <v>12</v>
      </c>
    </row>
    <row r="3342">
      <c r="A3342" s="3" t="s">
        <v>8</v>
      </c>
      <c r="B3342" s="3" t="s">
        <v>15</v>
      </c>
    </row>
    <row r="3343">
      <c r="A3343" s="3" t="s">
        <v>8</v>
      </c>
      <c r="B3343" s="3" t="s">
        <v>9</v>
      </c>
      <c r="C3343" s="3" t="s">
        <v>24</v>
      </c>
    </row>
    <row r="3344">
      <c r="A3344" s="3" t="s">
        <v>8</v>
      </c>
      <c r="B3344" s="3" t="s">
        <v>11</v>
      </c>
      <c r="C3344" s="3" t="s">
        <v>12</v>
      </c>
      <c r="D3344" s="3" t="s">
        <v>13</v>
      </c>
      <c r="E3344" s="3" t="s">
        <v>15</v>
      </c>
      <c r="F3344" s="3" t="s">
        <v>16</v>
      </c>
    </row>
    <row r="3345">
      <c r="A3345" s="3" t="s">
        <v>8</v>
      </c>
      <c r="B3345" s="3" t="s">
        <v>11</v>
      </c>
      <c r="C3345" s="3" t="s">
        <v>15</v>
      </c>
    </row>
    <row r="3346">
      <c r="A3346" s="3" t="s">
        <v>8</v>
      </c>
      <c r="B3346" s="3" t="s">
        <v>9</v>
      </c>
      <c r="C3346" s="3" t="s">
        <v>24</v>
      </c>
    </row>
    <row r="3347">
      <c r="A3347" s="3" t="s">
        <v>8</v>
      </c>
      <c r="B3347" s="3" t="s">
        <v>11</v>
      </c>
      <c r="C3347" s="3" t="s">
        <v>12</v>
      </c>
      <c r="D3347" s="3" t="s">
        <v>13</v>
      </c>
    </row>
    <row r="3348">
      <c r="A3348" s="3" t="s">
        <v>8</v>
      </c>
      <c r="B3348" s="3" t="s">
        <v>9</v>
      </c>
      <c r="C3348" s="3" t="s">
        <v>10</v>
      </c>
      <c r="D3348" s="3" t="s">
        <v>18</v>
      </c>
    </row>
    <row r="3349">
      <c r="A3349" s="3" t="s">
        <v>8</v>
      </c>
      <c r="B3349" s="3" t="s">
        <v>18</v>
      </c>
    </row>
    <row r="3350">
      <c r="A3350" s="3" t="s">
        <v>8</v>
      </c>
    </row>
    <row r="3351">
      <c r="A3351" s="3" t="s">
        <v>8</v>
      </c>
    </row>
    <row r="3352">
      <c r="A3352" s="3" t="s">
        <v>8</v>
      </c>
      <c r="B3352" s="3" t="s">
        <v>9</v>
      </c>
      <c r="C3352" s="3" t="s">
        <v>12</v>
      </c>
      <c r="D3352" s="3" t="s">
        <v>15</v>
      </c>
    </row>
    <row r="3353">
      <c r="A3353" s="3" t="s">
        <v>8</v>
      </c>
      <c r="B3353" s="3" t="s">
        <v>9</v>
      </c>
      <c r="C3353" s="3" t="s">
        <v>15</v>
      </c>
      <c r="D3353" s="3" t="s">
        <v>16</v>
      </c>
      <c r="E3353" s="3" t="s">
        <v>17</v>
      </c>
    </row>
    <row r="3354">
      <c r="A3354" s="3" t="s">
        <v>8</v>
      </c>
    </row>
    <row r="3355">
      <c r="A3355" s="3" t="s">
        <v>8</v>
      </c>
      <c r="B3355" s="3" t="s">
        <v>9</v>
      </c>
      <c r="C3355" s="3" t="s">
        <v>16</v>
      </c>
      <c r="D3355" s="3" t="s">
        <v>18</v>
      </c>
      <c r="E3355" s="3" t="s">
        <v>24</v>
      </c>
    </row>
    <row r="3356">
      <c r="A3356" s="3" t="s">
        <v>8</v>
      </c>
      <c r="B3356" s="3" t="s">
        <v>13</v>
      </c>
      <c r="C3356" s="3" t="s">
        <v>17</v>
      </c>
    </row>
    <row r="3357">
      <c r="A3357" s="3" t="s">
        <v>8</v>
      </c>
      <c r="B3357" s="3" t="s">
        <v>12</v>
      </c>
      <c r="C3357" s="3" t="s">
        <v>15</v>
      </c>
      <c r="D3357" s="3" t="s">
        <v>16</v>
      </c>
      <c r="E3357" s="3" t="s">
        <v>17</v>
      </c>
      <c r="F3357" s="3" t="s">
        <v>18</v>
      </c>
    </row>
    <row r="3358">
      <c r="A3358" s="3" t="s">
        <v>8</v>
      </c>
      <c r="B3358" s="3" t="s">
        <v>15</v>
      </c>
      <c r="C3358" s="3" t="s">
        <v>16</v>
      </c>
      <c r="D3358" s="3" t="s">
        <v>18</v>
      </c>
    </row>
    <row r="3359">
      <c r="A3359" s="3" t="s">
        <v>8</v>
      </c>
      <c r="B3359" s="3" t="s">
        <v>9</v>
      </c>
      <c r="C3359" s="3" t="s">
        <v>24</v>
      </c>
    </row>
    <row r="3360">
      <c r="A3360" s="3" t="s">
        <v>8</v>
      </c>
      <c r="B3360" s="3" t="s">
        <v>16</v>
      </c>
      <c r="C3360" s="3" t="s">
        <v>18</v>
      </c>
    </row>
    <row r="3361">
      <c r="A3361" s="3" t="s">
        <v>8</v>
      </c>
      <c r="B3361" s="3" t="s">
        <v>9</v>
      </c>
      <c r="C3361" s="3" t="s">
        <v>15</v>
      </c>
      <c r="D3361" s="3" t="s">
        <v>16</v>
      </c>
      <c r="E3361" s="3" t="s">
        <v>18</v>
      </c>
      <c r="F3361" s="3" t="s">
        <v>24</v>
      </c>
    </row>
    <row r="3362">
      <c r="A3362" s="3" t="s">
        <v>8</v>
      </c>
      <c r="B3362" s="3" t="s">
        <v>9</v>
      </c>
      <c r="C3362" s="3" t="s">
        <v>10</v>
      </c>
      <c r="D3362" s="3" t="s">
        <v>15</v>
      </c>
      <c r="E3362" s="3" t="s">
        <v>17</v>
      </c>
      <c r="F3362" s="3" t="s">
        <v>18</v>
      </c>
    </row>
    <row r="3363">
      <c r="A3363" s="3" t="s">
        <v>8</v>
      </c>
      <c r="B3363" s="3" t="s">
        <v>9</v>
      </c>
      <c r="C3363" s="3" t="s">
        <v>16</v>
      </c>
    </row>
    <row r="3364">
      <c r="A3364" s="3" t="s">
        <v>8</v>
      </c>
    </row>
    <row r="3365">
      <c r="A3365" s="3" t="s">
        <v>8</v>
      </c>
      <c r="B3365" s="3" t="s">
        <v>9</v>
      </c>
      <c r="C3365" s="3" t="s">
        <v>11</v>
      </c>
      <c r="D3365" s="3" t="s">
        <v>12</v>
      </c>
      <c r="E3365" s="3" t="s">
        <v>18</v>
      </c>
    </row>
    <row r="3366">
      <c r="A3366" s="3" t="s">
        <v>8</v>
      </c>
      <c r="B3366" s="3" t="s">
        <v>9</v>
      </c>
      <c r="C3366" s="3" t="s">
        <v>15</v>
      </c>
      <c r="D3366" s="3" t="s">
        <v>16</v>
      </c>
    </row>
    <row r="3367">
      <c r="A3367" s="3" t="s">
        <v>8</v>
      </c>
      <c r="B3367" s="3" t="s">
        <v>15</v>
      </c>
      <c r="C3367" s="3" t="s">
        <v>16</v>
      </c>
      <c r="D3367" s="3" t="s">
        <v>18</v>
      </c>
    </row>
    <row r="3368">
      <c r="A3368" s="3" t="s">
        <v>8</v>
      </c>
      <c r="B3368" s="3" t="s">
        <v>9</v>
      </c>
      <c r="C3368" s="3" t="s">
        <v>10</v>
      </c>
      <c r="D3368" s="3" t="s">
        <v>24</v>
      </c>
    </row>
    <row r="3369">
      <c r="A3369" s="3" t="s">
        <v>8</v>
      </c>
      <c r="B3369" s="3" t="s">
        <v>11</v>
      </c>
      <c r="C3369" s="3" t="s">
        <v>12</v>
      </c>
    </row>
    <row r="3370">
      <c r="A3370" s="3" t="s">
        <v>8</v>
      </c>
      <c r="B3370" s="3" t="s">
        <v>16</v>
      </c>
    </row>
    <row r="3371">
      <c r="A3371" s="3" t="s">
        <v>8</v>
      </c>
      <c r="B3371" s="3" t="s">
        <v>15</v>
      </c>
    </row>
    <row r="3372">
      <c r="A3372" s="3" t="s">
        <v>8</v>
      </c>
      <c r="B3372" s="3" t="s">
        <v>15</v>
      </c>
    </row>
    <row r="3373">
      <c r="A3373" s="3" t="s">
        <v>9</v>
      </c>
      <c r="B3373" s="3" t="s">
        <v>11</v>
      </c>
    </row>
    <row r="3374">
      <c r="A3374" s="3" t="s">
        <v>9</v>
      </c>
      <c r="B3374" s="3" t="s">
        <v>12</v>
      </c>
      <c r="C3374" s="3" t="s">
        <v>15</v>
      </c>
      <c r="D3374" s="3" t="s">
        <v>16</v>
      </c>
    </row>
    <row r="3375">
      <c r="A3375" s="3" t="s">
        <v>9</v>
      </c>
      <c r="B3375" s="3" t="s">
        <v>16</v>
      </c>
    </row>
    <row r="3376">
      <c r="A3376" s="3" t="s">
        <v>9</v>
      </c>
      <c r="B3376" s="3" t="s">
        <v>12</v>
      </c>
      <c r="C3376" s="3" t="s">
        <v>14</v>
      </c>
    </row>
    <row r="3377">
      <c r="A3377" s="3" t="s">
        <v>9</v>
      </c>
      <c r="B3377" s="3" t="s">
        <v>10</v>
      </c>
      <c r="C3377" s="3" t="s">
        <v>11</v>
      </c>
      <c r="D3377" s="3" t="s">
        <v>12</v>
      </c>
      <c r="E3377" s="3" t="s">
        <v>18</v>
      </c>
      <c r="F3377" s="3" t="s">
        <v>24</v>
      </c>
    </row>
    <row r="3378">
      <c r="A3378" s="3" t="s">
        <v>9</v>
      </c>
      <c r="B3378" s="3" t="s">
        <v>10</v>
      </c>
      <c r="C3378" s="3" t="s">
        <v>18</v>
      </c>
      <c r="D3378" s="3" t="s">
        <v>24</v>
      </c>
    </row>
    <row r="3379">
      <c r="A3379" s="3" t="s">
        <v>9</v>
      </c>
      <c r="B3379" s="3" t="s">
        <v>12</v>
      </c>
      <c r="C3379" s="3" t="s">
        <v>16</v>
      </c>
      <c r="D3379" s="3" t="s">
        <v>18</v>
      </c>
      <c r="E3379" s="3" t="s">
        <v>24</v>
      </c>
    </row>
    <row r="3380">
      <c r="A3380" s="3" t="s">
        <v>10</v>
      </c>
      <c r="B3380" s="3" t="s">
        <v>16</v>
      </c>
      <c r="C3380" s="3" t="s">
        <v>24</v>
      </c>
    </row>
    <row r="3381">
      <c r="A3381" s="3" t="s">
        <v>10</v>
      </c>
    </row>
    <row r="3382">
      <c r="A3382" s="3" t="s">
        <v>10</v>
      </c>
      <c r="B3382" s="3" t="s">
        <v>12</v>
      </c>
      <c r="C3382" s="3" t="s">
        <v>18</v>
      </c>
    </row>
    <row r="3383">
      <c r="A3383" s="3" t="s">
        <v>10</v>
      </c>
      <c r="B3383" s="3" t="s">
        <v>13</v>
      </c>
    </row>
    <row r="3384">
      <c r="A3384" s="3" t="s">
        <v>10</v>
      </c>
    </row>
    <row r="3385">
      <c r="A3385" s="3" t="s">
        <v>10</v>
      </c>
      <c r="B3385" s="3" t="s">
        <v>24</v>
      </c>
    </row>
    <row r="3386">
      <c r="A3386" s="3" t="s">
        <v>10</v>
      </c>
    </row>
    <row r="3387">
      <c r="A3387" s="3" t="s">
        <v>10</v>
      </c>
    </row>
    <row r="3388">
      <c r="A3388" s="3" t="s">
        <v>11</v>
      </c>
    </row>
    <row r="3389">
      <c r="A3389" s="3" t="s">
        <v>11</v>
      </c>
      <c r="B3389" s="3" t="s">
        <v>12</v>
      </c>
      <c r="C3389" s="3" t="s">
        <v>13</v>
      </c>
    </row>
    <row r="3390">
      <c r="A3390" s="3" t="s">
        <v>11</v>
      </c>
    </row>
    <row r="3391">
      <c r="A3391" s="3" t="s">
        <v>11</v>
      </c>
      <c r="B3391" s="3" t="s">
        <v>12</v>
      </c>
      <c r="C3391" s="3" t="s">
        <v>13</v>
      </c>
      <c r="D3391" s="3" t="s">
        <v>14</v>
      </c>
      <c r="E3391" s="3" t="s">
        <v>17</v>
      </c>
      <c r="F3391" s="3" t="s">
        <v>18</v>
      </c>
    </row>
    <row r="3392">
      <c r="A3392" s="3" t="s">
        <v>11</v>
      </c>
      <c r="B3392" s="3" t="s">
        <v>12</v>
      </c>
      <c r="C3392" s="3" t="s">
        <v>13</v>
      </c>
      <c r="D3392" s="3" t="s">
        <v>14</v>
      </c>
      <c r="E3392" s="3" t="s">
        <v>15</v>
      </c>
      <c r="F3392" s="3" t="s">
        <v>17</v>
      </c>
    </row>
    <row r="3393">
      <c r="A3393" s="3" t="s">
        <v>11</v>
      </c>
      <c r="B3393" s="3" t="s">
        <v>12</v>
      </c>
      <c r="C3393" s="3" t="s">
        <v>15</v>
      </c>
    </row>
    <row r="3394">
      <c r="A3394" s="3" t="s">
        <v>11</v>
      </c>
      <c r="B3394" s="3" t="s">
        <v>12</v>
      </c>
    </row>
    <row r="3395">
      <c r="A3395" s="3" t="s">
        <v>11</v>
      </c>
      <c r="B3395" s="3" t="s">
        <v>12</v>
      </c>
    </row>
    <row r="3396">
      <c r="A3396" s="3" t="s">
        <v>11</v>
      </c>
    </row>
    <row r="3397">
      <c r="A3397" s="3" t="s">
        <v>11</v>
      </c>
      <c r="B3397" s="3" t="s">
        <v>12</v>
      </c>
      <c r="C3397" s="3" t="s">
        <v>15</v>
      </c>
      <c r="D3397" s="3" t="s">
        <v>16</v>
      </c>
      <c r="E3397" s="3" t="s">
        <v>18</v>
      </c>
    </row>
    <row r="3398">
      <c r="A3398" s="3" t="s">
        <v>11</v>
      </c>
    </row>
    <row r="3399">
      <c r="A3399" s="3" t="s">
        <v>11</v>
      </c>
      <c r="B3399" s="3" t="s">
        <v>15</v>
      </c>
      <c r="C3399" s="3" t="s">
        <v>16</v>
      </c>
    </row>
    <row r="3400">
      <c r="A3400" s="3" t="s">
        <v>11</v>
      </c>
    </row>
    <row r="3401">
      <c r="A3401" s="3" t="s">
        <v>11</v>
      </c>
    </row>
    <row r="3402">
      <c r="A3402" s="3" t="s">
        <v>11</v>
      </c>
      <c r="B3402" s="3" t="s">
        <v>12</v>
      </c>
      <c r="C3402" s="3" t="s">
        <v>15</v>
      </c>
    </row>
    <row r="3403">
      <c r="A3403" s="3" t="s">
        <v>11</v>
      </c>
      <c r="B3403" s="3" t="s">
        <v>12</v>
      </c>
      <c r="C3403" s="3" t="s">
        <v>15</v>
      </c>
    </row>
    <row r="3404">
      <c r="A3404" s="3" t="s">
        <v>11</v>
      </c>
      <c r="B3404" s="3" t="s">
        <v>12</v>
      </c>
      <c r="C3404" s="3" t="s">
        <v>13</v>
      </c>
      <c r="D3404" s="3" t="s">
        <v>17</v>
      </c>
    </row>
    <row r="3405">
      <c r="A3405" s="3" t="s">
        <v>11</v>
      </c>
      <c r="B3405" s="3" t="s">
        <v>12</v>
      </c>
      <c r="C3405" s="3" t="s">
        <v>15</v>
      </c>
    </row>
    <row r="3406">
      <c r="A3406" s="3" t="s">
        <v>11</v>
      </c>
      <c r="B3406" s="3" t="s">
        <v>12</v>
      </c>
    </row>
    <row r="3407">
      <c r="A3407" s="3" t="s">
        <v>11</v>
      </c>
      <c r="B3407" s="3" t="s">
        <v>15</v>
      </c>
      <c r="C3407" s="3" t="s">
        <v>16</v>
      </c>
    </row>
    <row r="3408">
      <c r="A3408" s="3" t="s">
        <v>11</v>
      </c>
    </row>
    <row r="3409">
      <c r="A3409" s="3" t="s">
        <v>11</v>
      </c>
      <c r="B3409" s="3" t="s">
        <v>12</v>
      </c>
    </row>
    <row r="3410">
      <c r="A3410" s="3" t="s">
        <v>11</v>
      </c>
    </row>
    <row r="3411">
      <c r="A3411" s="3" t="s">
        <v>11</v>
      </c>
      <c r="B3411" s="3" t="s">
        <v>12</v>
      </c>
    </row>
    <row r="3412">
      <c r="A3412" s="3" t="s">
        <v>11</v>
      </c>
      <c r="B3412" s="3" t="s">
        <v>15</v>
      </c>
    </row>
    <row r="3413">
      <c r="A3413" s="3" t="s">
        <v>11</v>
      </c>
      <c r="B3413" s="3" t="s">
        <v>12</v>
      </c>
    </row>
    <row r="3414">
      <c r="A3414" s="3" t="s">
        <v>11</v>
      </c>
    </row>
    <row r="3415">
      <c r="A3415" s="3" t="s">
        <v>11</v>
      </c>
      <c r="B3415" s="3" t="s">
        <v>13</v>
      </c>
    </row>
    <row r="3416">
      <c r="A3416" s="3" t="s">
        <v>11</v>
      </c>
      <c r="B3416" s="3" t="s">
        <v>12</v>
      </c>
      <c r="C3416" s="3" t="s">
        <v>13</v>
      </c>
      <c r="D3416" s="3" t="s">
        <v>14</v>
      </c>
      <c r="E3416" s="3" t="s">
        <v>17</v>
      </c>
      <c r="F3416" s="3" t="s">
        <v>18</v>
      </c>
    </row>
    <row r="3417">
      <c r="A3417" s="3" t="s">
        <v>11</v>
      </c>
      <c r="B3417" s="3" t="s">
        <v>12</v>
      </c>
      <c r="C3417" s="3" t="s">
        <v>16</v>
      </c>
    </row>
    <row r="3418">
      <c r="A3418" s="3" t="s">
        <v>11</v>
      </c>
    </row>
    <row r="3419">
      <c r="A3419" s="3" t="s">
        <v>11</v>
      </c>
      <c r="B3419" s="3" t="s">
        <v>12</v>
      </c>
      <c r="C3419" s="3" t="s">
        <v>17</v>
      </c>
    </row>
    <row r="3420">
      <c r="A3420" s="3" t="s">
        <v>11</v>
      </c>
      <c r="B3420" s="3" t="s">
        <v>12</v>
      </c>
      <c r="C3420" s="3" t="s">
        <v>15</v>
      </c>
      <c r="D3420" s="3" t="s">
        <v>16</v>
      </c>
    </row>
    <row r="3421">
      <c r="A3421" s="3" t="s">
        <v>12</v>
      </c>
      <c r="B3421" s="3" t="s">
        <v>17</v>
      </c>
    </row>
    <row r="3422">
      <c r="A3422" s="3" t="s">
        <v>12</v>
      </c>
    </row>
    <row r="3423">
      <c r="A3423" s="3" t="s">
        <v>12</v>
      </c>
      <c r="B3423" s="3" t="s">
        <v>17</v>
      </c>
      <c r="C3423" s="3" t="s">
        <v>18</v>
      </c>
    </row>
    <row r="3424">
      <c r="A3424" s="3" t="s">
        <v>12</v>
      </c>
    </row>
    <row r="3425">
      <c r="A3425" s="3" t="s">
        <v>12</v>
      </c>
    </row>
    <row r="3426">
      <c r="A3426" s="3" t="s">
        <v>12</v>
      </c>
      <c r="B3426" s="3" t="s">
        <v>17</v>
      </c>
    </row>
    <row r="3427">
      <c r="A3427" s="3" t="s">
        <v>12</v>
      </c>
    </row>
    <row r="3428">
      <c r="A3428" s="3" t="s">
        <v>12</v>
      </c>
    </row>
    <row r="3429">
      <c r="A3429" s="3" t="s">
        <v>12</v>
      </c>
      <c r="B3429" s="3" t="s">
        <v>16</v>
      </c>
    </row>
    <row r="3430">
      <c r="A3430" s="3" t="s">
        <v>12</v>
      </c>
      <c r="B3430" s="3" t="s">
        <v>13</v>
      </c>
      <c r="C3430" s="3" t="s">
        <v>15</v>
      </c>
      <c r="D3430" s="3" t="s">
        <v>16</v>
      </c>
      <c r="E3430" s="3" t="s">
        <v>18</v>
      </c>
    </row>
    <row r="3431">
      <c r="A3431" s="3" t="s">
        <v>12</v>
      </c>
      <c r="B3431" s="3" t="s">
        <v>17</v>
      </c>
    </row>
    <row r="3432">
      <c r="A3432" s="3" t="s">
        <v>12</v>
      </c>
      <c r="B3432" s="3" t="s">
        <v>17</v>
      </c>
    </row>
    <row r="3433">
      <c r="A3433" s="3" t="s">
        <v>12</v>
      </c>
    </row>
    <row r="3434">
      <c r="A3434" s="3" t="s">
        <v>12</v>
      </c>
      <c r="B3434" s="3" t="s">
        <v>14</v>
      </c>
      <c r="C3434" s="3" t="s">
        <v>15</v>
      </c>
      <c r="D3434" s="3" t="s">
        <v>18</v>
      </c>
    </row>
    <row r="3435">
      <c r="A3435" s="3" t="s">
        <v>12</v>
      </c>
      <c r="B3435" s="3" t="s">
        <v>15</v>
      </c>
      <c r="C3435" s="3" t="s">
        <v>16</v>
      </c>
      <c r="D3435" s="3" t="s">
        <v>18</v>
      </c>
    </row>
    <row r="3436">
      <c r="A3436" s="3" t="s">
        <v>12</v>
      </c>
    </row>
    <row r="3437">
      <c r="A3437" s="3" t="s">
        <v>12</v>
      </c>
    </row>
    <row r="3438">
      <c r="A3438" s="3" t="s">
        <v>12</v>
      </c>
    </row>
    <row r="3439">
      <c r="A3439" s="3" t="s">
        <v>12</v>
      </c>
      <c r="B3439" s="3" t="s">
        <v>13</v>
      </c>
      <c r="C3439" s="3" t="s">
        <v>14</v>
      </c>
      <c r="D3439" s="3" t="s">
        <v>17</v>
      </c>
      <c r="E3439" s="3" t="s">
        <v>18</v>
      </c>
    </row>
    <row r="3440">
      <c r="A3440" s="3" t="s">
        <v>13</v>
      </c>
      <c r="B3440" s="3" t="s">
        <v>15</v>
      </c>
    </row>
    <row r="3441">
      <c r="A3441" s="3" t="s">
        <v>13</v>
      </c>
      <c r="B3441" s="3" t="s">
        <v>14</v>
      </c>
      <c r="C3441" s="3" t="s">
        <v>18</v>
      </c>
    </row>
    <row r="3442">
      <c r="A3442" s="3" t="s">
        <v>13</v>
      </c>
      <c r="B3442" s="3" t="s">
        <v>14</v>
      </c>
    </row>
    <row r="3443">
      <c r="A3443" s="3" t="s">
        <v>13</v>
      </c>
      <c r="B3443" s="3" t="s">
        <v>14</v>
      </c>
      <c r="C3443" s="3" t="s">
        <v>18</v>
      </c>
    </row>
    <row r="3444">
      <c r="A3444" s="3" t="s">
        <v>13</v>
      </c>
      <c r="B3444" s="3" t="s">
        <v>14</v>
      </c>
    </row>
    <row r="3445">
      <c r="A3445" s="3" t="s">
        <v>13</v>
      </c>
    </row>
    <row r="3446">
      <c r="A3446" s="3" t="s">
        <v>13</v>
      </c>
    </row>
    <row r="3447">
      <c r="A3447" s="3" t="s">
        <v>13</v>
      </c>
      <c r="B3447" s="3" t="s">
        <v>15</v>
      </c>
    </row>
    <row r="3448">
      <c r="A3448" s="3" t="s">
        <v>13</v>
      </c>
      <c r="B3448" s="3" t="s">
        <v>14</v>
      </c>
    </row>
    <row r="3449">
      <c r="A3449" s="3" t="s">
        <v>13</v>
      </c>
    </row>
    <row r="3450">
      <c r="A3450" s="3" t="s">
        <v>13</v>
      </c>
    </row>
    <row r="3451">
      <c r="A3451" s="3" t="s">
        <v>13</v>
      </c>
      <c r="B3451" s="3" t="s">
        <v>14</v>
      </c>
    </row>
    <row r="3452">
      <c r="A3452" s="3" t="s">
        <v>13</v>
      </c>
    </row>
    <row r="3453">
      <c r="A3453" s="3" t="s">
        <v>13</v>
      </c>
      <c r="B3453" s="3" t="s">
        <v>17</v>
      </c>
      <c r="C3453" s="3" t="s">
        <v>18</v>
      </c>
    </row>
    <row r="3454">
      <c r="A3454" s="3" t="s">
        <v>13</v>
      </c>
      <c r="B3454" s="3" t="s">
        <v>14</v>
      </c>
      <c r="C3454" s="3" t="s">
        <v>17</v>
      </c>
    </row>
    <row r="3455">
      <c r="A3455" s="3" t="s">
        <v>13</v>
      </c>
      <c r="B3455" s="3" t="s">
        <v>14</v>
      </c>
      <c r="C3455" s="3" t="s">
        <v>15</v>
      </c>
      <c r="D3455" s="3" t="s">
        <v>17</v>
      </c>
      <c r="E3455" s="3" t="s">
        <v>18</v>
      </c>
    </row>
    <row r="3456">
      <c r="A3456" s="3" t="s">
        <v>13</v>
      </c>
      <c r="B3456" s="3" t="s">
        <v>14</v>
      </c>
    </row>
    <row r="3457">
      <c r="A3457" s="3" t="s">
        <v>13</v>
      </c>
      <c r="B3457" s="3" t="s">
        <v>14</v>
      </c>
      <c r="C3457" s="3" t="s">
        <v>16</v>
      </c>
      <c r="D3457" s="3" t="s">
        <v>17</v>
      </c>
      <c r="E3457" s="3" t="s">
        <v>18</v>
      </c>
    </row>
    <row r="3458">
      <c r="A3458" s="3" t="s">
        <v>13</v>
      </c>
      <c r="B3458" s="3" t="s">
        <v>14</v>
      </c>
      <c r="C3458" s="3" t="s">
        <v>17</v>
      </c>
      <c r="D3458" s="3" t="s">
        <v>18</v>
      </c>
    </row>
    <row r="3459">
      <c r="A3459" s="3" t="s">
        <v>13</v>
      </c>
    </row>
    <row r="3460">
      <c r="A3460" s="3" t="s">
        <v>13</v>
      </c>
      <c r="B3460" s="3" t="s">
        <v>14</v>
      </c>
      <c r="C3460" s="3" t="s">
        <v>17</v>
      </c>
      <c r="D3460" s="3" t="s">
        <v>18</v>
      </c>
    </row>
    <row r="3461">
      <c r="A3461" s="3" t="s">
        <v>13</v>
      </c>
    </row>
    <row r="3462">
      <c r="A3462" s="3" t="s">
        <v>13</v>
      </c>
      <c r="B3462" s="3" t="s">
        <v>14</v>
      </c>
    </row>
    <row r="3463">
      <c r="A3463" s="3" t="s">
        <v>13</v>
      </c>
      <c r="B3463" s="3" t="s">
        <v>14</v>
      </c>
      <c r="C3463" s="3" t="s">
        <v>16</v>
      </c>
      <c r="D3463" s="3" t="s">
        <v>17</v>
      </c>
      <c r="E3463" s="3" t="s">
        <v>18</v>
      </c>
    </row>
    <row r="3464">
      <c r="A3464" s="3" t="s">
        <v>13</v>
      </c>
      <c r="B3464" s="3" t="s">
        <v>15</v>
      </c>
      <c r="C3464" s="3" t="s">
        <v>16</v>
      </c>
      <c r="D3464" s="3" t="s">
        <v>18</v>
      </c>
    </row>
    <row r="3465">
      <c r="A3465" s="3" t="s">
        <v>13</v>
      </c>
    </row>
    <row r="3466">
      <c r="A3466" s="3" t="s">
        <v>13</v>
      </c>
      <c r="B3466" s="3" t="s">
        <v>14</v>
      </c>
    </row>
    <row r="3467">
      <c r="A3467" s="3" t="s">
        <v>13</v>
      </c>
    </row>
    <row r="3468">
      <c r="A3468" s="3" t="s">
        <v>13</v>
      </c>
    </row>
    <row r="3469">
      <c r="A3469" s="3" t="s">
        <v>13</v>
      </c>
    </row>
    <row r="3470">
      <c r="A3470" s="3" t="s">
        <v>13</v>
      </c>
      <c r="B3470" s="3" t="s">
        <v>14</v>
      </c>
      <c r="C3470" s="3" t="s">
        <v>17</v>
      </c>
    </row>
    <row r="3471">
      <c r="A3471" s="3" t="s">
        <v>13</v>
      </c>
    </row>
    <row r="3472">
      <c r="A3472" s="3" t="s">
        <v>13</v>
      </c>
      <c r="B3472" s="3" t="s">
        <v>15</v>
      </c>
      <c r="C3472" s="3" t="s">
        <v>16</v>
      </c>
    </row>
    <row r="3473">
      <c r="A3473" s="3" t="s">
        <v>13</v>
      </c>
      <c r="B3473" s="3" t="s">
        <v>14</v>
      </c>
    </row>
    <row r="3474">
      <c r="A3474" s="3" t="s">
        <v>13</v>
      </c>
      <c r="B3474" s="3" t="s">
        <v>15</v>
      </c>
      <c r="C3474" s="3" t="s">
        <v>17</v>
      </c>
    </row>
    <row r="3475">
      <c r="A3475" s="3" t="s">
        <v>13</v>
      </c>
    </row>
    <row r="3476">
      <c r="A3476" s="3" t="s">
        <v>13</v>
      </c>
      <c r="B3476" s="3" t="s">
        <v>17</v>
      </c>
    </row>
    <row r="3477">
      <c r="A3477" s="3" t="s">
        <v>13</v>
      </c>
      <c r="B3477" s="3" t="s">
        <v>15</v>
      </c>
    </row>
    <row r="3478">
      <c r="A3478" s="3" t="s">
        <v>13</v>
      </c>
    </row>
    <row r="3479">
      <c r="A3479" s="3" t="s">
        <v>13</v>
      </c>
      <c r="B3479" s="3" t="s">
        <v>15</v>
      </c>
    </row>
    <row r="3480">
      <c r="A3480" s="3" t="s">
        <v>13</v>
      </c>
      <c r="B3480" s="3" t="s">
        <v>15</v>
      </c>
    </row>
    <row r="3481">
      <c r="A3481" s="3" t="s">
        <v>13</v>
      </c>
    </row>
    <row r="3482">
      <c r="A3482" s="3" t="s">
        <v>13</v>
      </c>
      <c r="B3482" s="3" t="s">
        <v>16</v>
      </c>
      <c r="C3482" s="3" t="s">
        <v>17</v>
      </c>
      <c r="D3482" s="3" t="s">
        <v>18</v>
      </c>
    </row>
    <row r="3483">
      <c r="A3483" s="3" t="s">
        <v>13</v>
      </c>
      <c r="B3483" s="3" t="s">
        <v>15</v>
      </c>
    </row>
    <row r="3484">
      <c r="A3484" s="3" t="s">
        <v>13</v>
      </c>
    </row>
    <row r="3485">
      <c r="A3485" s="3" t="s">
        <v>13</v>
      </c>
    </row>
    <row r="3486">
      <c r="A3486" s="3" t="s">
        <v>13</v>
      </c>
    </row>
    <row r="3487">
      <c r="A3487" s="3" t="s">
        <v>13</v>
      </c>
    </row>
    <row r="3488">
      <c r="A3488" s="3" t="s">
        <v>13</v>
      </c>
    </row>
    <row r="3489">
      <c r="A3489" s="3" t="s">
        <v>13</v>
      </c>
      <c r="B3489" s="3" t="s">
        <v>17</v>
      </c>
    </row>
    <row r="3490">
      <c r="A3490" s="3" t="s">
        <v>13</v>
      </c>
      <c r="B3490" s="3" t="s">
        <v>14</v>
      </c>
    </row>
    <row r="3491">
      <c r="A3491" s="3" t="s">
        <v>13</v>
      </c>
    </row>
    <row r="3492">
      <c r="A3492" s="3" t="s">
        <v>13</v>
      </c>
    </row>
    <row r="3493">
      <c r="A3493" s="3" t="s">
        <v>13</v>
      </c>
      <c r="B3493" s="3" t="s">
        <v>14</v>
      </c>
    </row>
    <row r="3494">
      <c r="A3494" s="3" t="s">
        <v>13</v>
      </c>
    </row>
    <row r="3495">
      <c r="A3495" s="3" t="s">
        <v>14</v>
      </c>
    </row>
    <row r="3496">
      <c r="A3496" s="3" t="s">
        <v>14</v>
      </c>
    </row>
    <row r="3497">
      <c r="A3497" s="3" t="s">
        <v>14</v>
      </c>
    </row>
    <row r="3498">
      <c r="A3498" s="3" t="s">
        <v>14</v>
      </c>
      <c r="B3498" s="3" t="s">
        <v>15</v>
      </c>
      <c r="C3498" s="3" t="s">
        <v>16</v>
      </c>
      <c r="D3498" s="3" t="s">
        <v>18</v>
      </c>
    </row>
    <row r="3499">
      <c r="A3499" s="3" t="s">
        <v>14</v>
      </c>
      <c r="B3499" s="3" t="s">
        <v>18</v>
      </c>
    </row>
    <row r="3500">
      <c r="A3500" s="3" t="s">
        <v>14</v>
      </c>
    </row>
    <row r="3501">
      <c r="A3501" s="3" t="s">
        <v>14</v>
      </c>
      <c r="B3501" s="3" t="s">
        <v>16</v>
      </c>
      <c r="C3501" s="3" t="s">
        <v>18</v>
      </c>
    </row>
    <row r="3502">
      <c r="A3502" s="3" t="s">
        <v>14</v>
      </c>
    </row>
    <row r="3503">
      <c r="A3503" s="3" t="s">
        <v>15</v>
      </c>
      <c r="B3503" s="3" t="s">
        <v>16</v>
      </c>
    </row>
    <row r="3504">
      <c r="A3504" s="3" t="s">
        <v>15</v>
      </c>
      <c r="B3504" s="3" t="s">
        <v>16</v>
      </c>
    </row>
    <row r="3505">
      <c r="A3505" s="3" t="s">
        <v>15</v>
      </c>
      <c r="B3505" s="3" t="s">
        <v>16</v>
      </c>
    </row>
    <row r="3506">
      <c r="A3506" s="3" t="s">
        <v>15</v>
      </c>
    </row>
    <row r="3507">
      <c r="A3507" s="3" t="s">
        <v>15</v>
      </c>
    </row>
    <row r="3508">
      <c r="A3508" s="3" t="s">
        <v>15</v>
      </c>
    </row>
    <row r="3509">
      <c r="A3509" s="3" t="s">
        <v>15</v>
      </c>
    </row>
    <row r="3510">
      <c r="A3510" s="3" t="s">
        <v>15</v>
      </c>
      <c r="B3510" s="3" t="s">
        <v>16</v>
      </c>
    </row>
    <row r="3511">
      <c r="A3511" s="3" t="s">
        <v>15</v>
      </c>
      <c r="B3511" s="3" t="s">
        <v>16</v>
      </c>
    </row>
    <row r="3512">
      <c r="A3512" s="3" t="s">
        <v>15</v>
      </c>
    </row>
    <row r="3513">
      <c r="A3513" s="3" t="s">
        <v>15</v>
      </c>
    </row>
    <row r="3514">
      <c r="A3514" s="3" t="s">
        <v>15</v>
      </c>
    </row>
    <row r="3515">
      <c r="A3515" s="3" t="s">
        <v>15</v>
      </c>
    </row>
    <row r="3516">
      <c r="A3516" s="3" t="s">
        <v>15</v>
      </c>
    </row>
    <row r="3517">
      <c r="A3517" s="3" t="s">
        <v>15</v>
      </c>
      <c r="B3517" s="3" t="s">
        <v>16</v>
      </c>
    </row>
    <row r="3518">
      <c r="A3518" s="3" t="s">
        <v>16</v>
      </c>
    </row>
    <row r="3519">
      <c r="A3519" s="3" t="s">
        <v>16</v>
      </c>
      <c r="B3519" s="3" t="s">
        <v>17</v>
      </c>
    </row>
    <row r="3520">
      <c r="A3520" s="3" t="s">
        <v>16</v>
      </c>
      <c r="B3520" s="3" t="s">
        <v>17</v>
      </c>
    </row>
    <row r="3521">
      <c r="A3521" s="3" t="s">
        <v>16</v>
      </c>
    </row>
    <row r="3522">
      <c r="A3522" s="3" t="s">
        <v>16</v>
      </c>
    </row>
    <row r="3523">
      <c r="A3523" s="3" t="s">
        <v>16</v>
      </c>
      <c r="B3523" s="3" t="s">
        <v>24</v>
      </c>
    </row>
    <row r="3524">
      <c r="A3524" s="3" t="s">
        <v>17</v>
      </c>
    </row>
    <row r="3525">
      <c r="A3525" s="3" t="s">
        <v>17</v>
      </c>
    </row>
    <row r="3526">
      <c r="A3526" s="3" t="s">
        <v>17</v>
      </c>
    </row>
    <row r="3527">
      <c r="A3527" s="3" t="s">
        <v>17</v>
      </c>
    </row>
    <row r="3528">
      <c r="A3528" s="3" t="s">
        <v>17</v>
      </c>
    </row>
    <row r="3529">
      <c r="A3529" s="3" t="s">
        <v>17</v>
      </c>
    </row>
    <row r="3530">
      <c r="A3530" s="3" t="s">
        <v>6</v>
      </c>
      <c r="B3530" s="3" t="s">
        <v>7</v>
      </c>
      <c r="C3530" s="3" t="s">
        <v>11</v>
      </c>
    </row>
    <row r="3531">
      <c r="A3531" s="3" t="s">
        <v>6</v>
      </c>
      <c r="B3531" s="3" t="s">
        <v>7</v>
      </c>
      <c r="C3531" s="3" t="s">
        <v>11</v>
      </c>
      <c r="D3531" s="3" t="s">
        <v>12</v>
      </c>
    </row>
    <row r="3532">
      <c r="A3532" s="3" t="s">
        <v>6</v>
      </c>
      <c r="B3532" s="3" t="s">
        <v>8</v>
      </c>
      <c r="C3532" s="3" t="s">
        <v>11</v>
      </c>
      <c r="D3532" s="3" t="s">
        <v>16</v>
      </c>
    </row>
    <row r="3533">
      <c r="A3533" s="3" t="s">
        <v>6</v>
      </c>
      <c r="B3533" s="3" t="s">
        <v>7</v>
      </c>
      <c r="C3533" s="3" t="s">
        <v>15</v>
      </c>
    </row>
    <row r="3534">
      <c r="A3534" s="3" t="s">
        <v>6</v>
      </c>
      <c r="B3534" s="3" t="s">
        <v>7</v>
      </c>
      <c r="C3534" s="3" t="s">
        <v>11</v>
      </c>
      <c r="D3534" s="3" t="s">
        <v>12</v>
      </c>
      <c r="E3534" s="3" t="s">
        <v>14</v>
      </c>
      <c r="F3534" s="3" t="s">
        <v>18</v>
      </c>
    </row>
    <row r="3535">
      <c r="A3535" s="3" t="s">
        <v>6</v>
      </c>
      <c r="B3535" s="3" t="s">
        <v>7</v>
      </c>
    </row>
    <row r="3536">
      <c r="A3536" s="3" t="s">
        <v>6</v>
      </c>
      <c r="B3536" s="3" t="s">
        <v>9</v>
      </c>
      <c r="C3536" s="3" t="s">
        <v>16</v>
      </c>
    </row>
    <row r="3537">
      <c r="A3537" s="3" t="s">
        <v>6</v>
      </c>
      <c r="B3537" s="3" t="s">
        <v>7</v>
      </c>
      <c r="C3537" s="3" t="s">
        <v>8</v>
      </c>
      <c r="D3537" s="3" t="s">
        <v>15</v>
      </c>
    </row>
    <row r="3538">
      <c r="A3538" s="3" t="s">
        <v>6</v>
      </c>
      <c r="B3538" s="3" t="s">
        <v>9</v>
      </c>
    </row>
    <row r="3539">
      <c r="A3539" s="3" t="s">
        <v>6</v>
      </c>
      <c r="B3539" s="3" t="s">
        <v>7</v>
      </c>
      <c r="C3539" s="3" t="s">
        <v>10</v>
      </c>
      <c r="D3539" s="3" t="s">
        <v>11</v>
      </c>
      <c r="E3539" s="3" t="s">
        <v>18</v>
      </c>
    </row>
    <row r="3540">
      <c r="A3540" s="3" t="s">
        <v>6</v>
      </c>
      <c r="B3540" s="3" t="s">
        <v>7</v>
      </c>
      <c r="C3540" s="3" t="s">
        <v>8</v>
      </c>
      <c r="D3540" s="3" t="s">
        <v>11</v>
      </c>
      <c r="E3540" s="3" t="s">
        <v>12</v>
      </c>
      <c r="F3540" s="3" t="s">
        <v>15</v>
      </c>
    </row>
    <row r="3541">
      <c r="A3541" s="3" t="s">
        <v>6</v>
      </c>
      <c r="B3541" s="3" t="s">
        <v>7</v>
      </c>
      <c r="C3541" s="3" t="s">
        <v>13</v>
      </c>
    </row>
    <row r="3542">
      <c r="A3542" s="3" t="s">
        <v>6</v>
      </c>
    </row>
    <row r="3543">
      <c r="A3543" s="3" t="s">
        <v>6</v>
      </c>
      <c r="B3543" s="3" t="s">
        <v>14</v>
      </c>
      <c r="C3543" s="3" t="s">
        <v>16</v>
      </c>
      <c r="D3543" s="3" t="s">
        <v>17</v>
      </c>
    </row>
    <row r="3544">
      <c r="A3544" s="3" t="s">
        <v>6</v>
      </c>
      <c r="B3544" s="3" t="s">
        <v>7</v>
      </c>
      <c r="C3544" s="3" t="s">
        <v>11</v>
      </c>
      <c r="D3544" s="3" t="s">
        <v>13</v>
      </c>
      <c r="E3544" s="3" t="s">
        <v>15</v>
      </c>
      <c r="F3544" s="3" t="s">
        <v>17</v>
      </c>
    </row>
    <row r="3545">
      <c r="A3545" s="3" t="s">
        <v>6</v>
      </c>
      <c r="B3545" s="3" t="s">
        <v>7</v>
      </c>
      <c r="C3545" s="3" t="s">
        <v>8</v>
      </c>
      <c r="D3545" s="3" t="s">
        <v>9</v>
      </c>
      <c r="E3545" s="3" t="s">
        <v>15</v>
      </c>
      <c r="F3545" s="3" t="s">
        <v>16</v>
      </c>
    </row>
    <row r="3546">
      <c r="A3546" s="3" t="s">
        <v>6</v>
      </c>
      <c r="B3546" s="3" t="s">
        <v>11</v>
      </c>
    </row>
    <row r="3547">
      <c r="A3547" s="3" t="s">
        <v>6</v>
      </c>
      <c r="B3547" s="3" t="s">
        <v>7</v>
      </c>
      <c r="C3547" s="3" t="s">
        <v>8</v>
      </c>
    </row>
    <row r="3548">
      <c r="A3548" s="3" t="s">
        <v>6</v>
      </c>
      <c r="B3548" s="3" t="s">
        <v>7</v>
      </c>
      <c r="C3548" s="3" t="s">
        <v>8</v>
      </c>
      <c r="D3548" s="3" t="s">
        <v>9</v>
      </c>
      <c r="E3548" s="3" t="s">
        <v>15</v>
      </c>
    </row>
    <row r="3549">
      <c r="A3549" s="3" t="s">
        <v>6</v>
      </c>
      <c r="B3549" s="3" t="s">
        <v>7</v>
      </c>
      <c r="C3549" s="3" t="s">
        <v>8</v>
      </c>
      <c r="D3549" s="3" t="s">
        <v>15</v>
      </c>
      <c r="E3549" s="3" t="s">
        <v>16</v>
      </c>
      <c r="F3549" s="3" t="s">
        <v>17</v>
      </c>
      <c r="G3549" s="3" t="s">
        <v>18</v>
      </c>
    </row>
    <row r="3550">
      <c r="A3550" s="3" t="s">
        <v>6</v>
      </c>
      <c r="B3550" s="3" t="s">
        <v>7</v>
      </c>
      <c r="C3550" s="3" t="s">
        <v>13</v>
      </c>
      <c r="D3550" s="3" t="s">
        <v>14</v>
      </c>
      <c r="E3550" s="3" t="s">
        <v>15</v>
      </c>
      <c r="F3550" s="3" t="s">
        <v>17</v>
      </c>
    </row>
    <row r="3551">
      <c r="A3551" s="3" t="s">
        <v>6</v>
      </c>
      <c r="B3551" s="3" t="s">
        <v>7</v>
      </c>
      <c r="C3551" s="3" t="s">
        <v>8</v>
      </c>
      <c r="D3551" s="3" t="s">
        <v>9</v>
      </c>
      <c r="E3551" s="3" t="s">
        <v>10</v>
      </c>
      <c r="F3551" s="3" t="s">
        <v>12</v>
      </c>
      <c r="G3551" s="3" t="s">
        <v>24</v>
      </c>
    </row>
    <row r="3552">
      <c r="A3552" s="3" t="s">
        <v>6</v>
      </c>
      <c r="B3552" s="3" t="s">
        <v>8</v>
      </c>
      <c r="C3552" s="3" t="s">
        <v>11</v>
      </c>
      <c r="D3552" s="3" t="s">
        <v>12</v>
      </c>
      <c r="E3552" s="3" t="s">
        <v>17</v>
      </c>
    </row>
    <row r="3553">
      <c r="A3553" s="3" t="s">
        <v>6</v>
      </c>
      <c r="B3553" s="3" t="s">
        <v>7</v>
      </c>
      <c r="C3553" s="3" t="s">
        <v>8</v>
      </c>
      <c r="D3553" s="3" t="s">
        <v>11</v>
      </c>
      <c r="E3553" s="3" t="s">
        <v>12</v>
      </c>
      <c r="F3553" s="3" t="s">
        <v>17</v>
      </c>
    </row>
    <row r="3554">
      <c r="A3554" s="3" t="s">
        <v>6</v>
      </c>
      <c r="B3554" s="3" t="s">
        <v>8</v>
      </c>
      <c r="C3554" s="3" t="s">
        <v>14</v>
      </c>
      <c r="D3554" s="3" t="s">
        <v>15</v>
      </c>
      <c r="E3554" s="3" t="s">
        <v>18</v>
      </c>
    </row>
    <row r="3555">
      <c r="A3555" s="3" t="s">
        <v>6</v>
      </c>
      <c r="B3555" s="3" t="s">
        <v>16</v>
      </c>
      <c r="C3555" s="3" t="s">
        <v>17</v>
      </c>
      <c r="D3555" s="3" t="s">
        <v>18</v>
      </c>
    </row>
    <row r="3556">
      <c r="A3556" s="3" t="s">
        <v>6</v>
      </c>
      <c r="B3556" s="3" t="s">
        <v>8</v>
      </c>
      <c r="C3556" s="3" t="s">
        <v>11</v>
      </c>
      <c r="D3556" s="3" t="s">
        <v>12</v>
      </c>
      <c r="E3556" s="3" t="s">
        <v>13</v>
      </c>
      <c r="F3556" s="3" t="s">
        <v>17</v>
      </c>
    </row>
    <row r="3557">
      <c r="A3557" s="3" t="s">
        <v>6</v>
      </c>
      <c r="B3557" s="3" t="s">
        <v>7</v>
      </c>
      <c r="C3557" s="3" t="s">
        <v>8</v>
      </c>
      <c r="D3557" s="3" t="s">
        <v>11</v>
      </c>
      <c r="E3557" s="3" t="s">
        <v>12</v>
      </c>
      <c r="F3557" s="3" t="s">
        <v>15</v>
      </c>
    </row>
    <row r="3558">
      <c r="A3558" s="3" t="s">
        <v>6</v>
      </c>
      <c r="B3558" s="3" t="s">
        <v>7</v>
      </c>
      <c r="C3558" s="3" t="s">
        <v>8</v>
      </c>
      <c r="D3558" s="3" t="s">
        <v>11</v>
      </c>
      <c r="E3558" s="3" t="s">
        <v>12</v>
      </c>
      <c r="F3558" s="3" t="s">
        <v>15</v>
      </c>
    </row>
    <row r="3559">
      <c r="A3559" s="3" t="s">
        <v>6</v>
      </c>
      <c r="B3559" s="3" t="s">
        <v>11</v>
      </c>
      <c r="C3559" s="3" t="s">
        <v>15</v>
      </c>
    </row>
    <row r="3560">
      <c r="A3560" s="3" t="s">
        <v>6</v>
      </c>
      <c r="B3560" s="3" t="s">
        <v>7</v>
      </c>
      <c r="C3560" s="3" t="s">
        <v>8</v>
      </c>
      <c r="D3560" s="3" t="s">
        <v>9</v>
      </c>
      <c r="E3560" s="3" t="s">
        <v>12</v>
      </c>
      <c r="F3560" s="3" t="s">
        <v>13</v>
      </c>
      <c r="G3560" s="3" t="s">
        <v>14</v>
      </c>
    </row>
    <row r="3561">
      <c r="A3561" s="3" t="s">
        <v>6</v>
      </c>
      <c r="B3561" s="3" t="s">
        <v>7</v>
      </c>
      <c r="C3561" s="3" t="s">
        <v>8</v>
      </c>
      <c r="D3561" s="3" t="s">
        <v>11</v>
      </c>
      <c r="E3561" s="3" t="s">
        <v>15</v>
      </c>
      <c r="F3561" s="3" t="s">
        <v>16</v>
      </c>
    </row>
    <row r="3562">
      <c r="A3562" s="3" t="s">
        <v>6</v>
      </c>
      <c r="B3562" s="3" t="s">
        <v>7</v>
      </c>
      <c r="C3562" s="3" t="s">
        <v>13</v>
      </c>
    </row>
    <row r="3563">
      <c r="A3563" s="3" t="s">
        <v>6</v>
      </c>
      <c r="B3563" s="3" t="s">
        <v>7</v>
      </c>
      <c r="C3563" s="3" t="s">
        <v>8</v>
      </c>
      <c r="D3563" s="3" t="s">
        <v>11</v>
      </c>
      <c r="E3563" s="3" t="s">
        <v>15</v>
      </c>
      <c r="F3563" s="3" t="s">
        <v>17</v>
      </c>
    </row>
    <row r="3564">
      <c r="A3564" s="3" t="s">
        <v>6</v>
      </c>
      <c r="B3564" s="3" t="s">
        <v>7</v>
      </c>
      <c r="C3564" s="3" t="s">
        <v>11</v>
      </c>
      <c r="D3564" s="3" t="s">
        <v>12</v>
      </c>
      <c r="E3564" s="3" t="s">
        <v>15</v>
      </c>
      <c r="F3564" s="3" t="s">
        <v>17</v>
      </c>
    </row>
    <row r="3565">
      <c r="A3565" s="3" t="s">
        <v>6</v>
      </c>
      <c r="B3565" s="3" t="s">
        <v>7</v>
      </c>
      <c r="C3565" s="3" t="s">
        <v>8</v>
      </c>
      <c r="D3565" s="3" t="s">
        <v>11</v>
      </c>
      <c r="E3565" s="3" t="s">
        <v>15</v>
      </c>
      <c r="F3565" s="3" t="s">
        <v>16</v>
      </c>
    </row>
    <row r="3566">
      <c r="A3566" s="3" t="s">
        <v>6</v>
      </c>
      <c r="B3566" s="3" t="s">
        <v>13</v>
      </c>
      <c r="C3566" s="3" t="s">
        <v>14</v>
      </c>
      <c r="D3566" s="3" t="s">
        <v>15</v>
      </c>
      <c r="E3566" s="3" t="s">
        <v>17</v>
      </c>
      <c r="F3566" s="3" t="s">
        <v>18</v>
      </c>
    </row>
    <row r="3567">
      <c r="A3567" s="3" t="s">
        <v>6</v>
      </c>
      <c r="B3567" s="3" t="s">
        <v>14</v>
      </c>
    </row>
    <row r="3568">
      <c r="A3568" s="3" t="s">
        <v>6</v>
      </c>
      <c r="B3568" s="3" t="s">
        <v>14</v>
      </c>
      <c r="C3568" s="3" t="s">
        <v>16</v>
      </c>
      <c r="D3568" s="3" t="s">
        <v>17</v>
      </c>
    </row>
    <row r="3569">
      <c r="A3569" s="3" t="s">
        <v>6</v>
      </c>
      <c r="B3569" s="3" t="s">
        <v>7</v>
      </c>
      <c r="C3569" s="3" t="s">
        <v>15</v>
      </c>
    </row>
    <row r="3570">
      <c r="A3570" s="3" t="s">
        <v>6</v>
      </c>
      <c r="B3570" s="3" t="s">
        <v>7</v>
      </c>
      <c r="C3570" s="3" t="s">
        <v>11</v>
      </c>
      <c r="D3570" s="3" t="s">
        <v>13</v>
      </c>
    </row>
    <row r="3571">
      <c r="A3571" s="3" t="s">
        <v>6</v>
      </c>
      <c r="B3571" s="3" t="s">
        <v>7</v>
      </c>
      <c r="C3571" s="3" t="s">
        <v>11</v>
      </c>
      <c r="D3571" s="3" t="s">
        <v>13</v>
      </c>
      <c r="E3571" s="3" t="s">
        <v>15</v>
      </c>
      <c r="F3571" s="3" t="s">
        <v>17</v>
      </c>
    </row>
    <row r="3572">
      <c r="A3572" s="3" t="s">
        <v>6</v>
      </c>
      <c r="B3572" s="3" t="s">
        <v>7</v>
      </c>
      <c r="C3572" s="3" t="s">
        <v>11</v>
      </c>
      <c r="D3572" s="3" t="s">
        <v>13</v>
      </c>
      <c r="E3572" s="3" t="s">
        <v>17</v>
      </c>
    </row>
    <row r="3573">
      <c r="A3573" s="3" t="s">
        <v>6</v>
      </c>
      <c r="B3573" s="3" t="s">
        <v>7</v>
      </c>
      <c r="C3573" s="3" t="s">
        <v>8</v>
      </c>
    </row>
    <row r="3574">
      <c r="A3574" s="3" t="s">
        <v>6</v>
      </c>
    </row>
    <row r="3575">
      <c r="A3575" s="3" t="s">
        <v>6</v>
      </c>
      <c r="B3575" s="3" t="s">
        <v>7</v>
      </c>
      <c r="C3575" s="3" t="s">
        <v>8</v>
      </c>
      <c r="D3575" s="3" t="s">
        <v>11</v>
      </c>
      <c r="E3575" s="3" t="s">
        <v>12</v>
      </c>
    </row>
    <row r="3576">
      <c r="A3576" s="3" t="s">
        <v>6</v>
      </c>
      <c r="B3576" s="3" t="s">
        <v>18</v>
      </c>
    </row>
    <row r="3577">
      <c r="A3577" s="3" t="s">
        <v>6</v>
      </c>
      <c r="B3577" s="3" t="s">
        <v>7</v>
      </c>
      <c r="C3577" s="3" t="s">
        <v>8</v>
      </c>
      <c r="D3577" s="3" t="s">
        <v>11</v>
      </c>
      <c r="E3577" s="3" t="s">
        <v>12</v>
      </c>
    </row>
    <row r="3578">
      <c r="A3578" s="3" t="s">
        <v>6</v>
      </c>
    </row>
    <row r="3579">
      <c r="A3579" s="3" t="s">
        <v>6</v>
      </c>
      <c r="B3579" s="3" t="s">
        <v>7</v>
      </c>
      <c r="C3579" s="3" t="s">
        <v>15</v>
      </c>
    </row>
    <row r="3580">
      <c r="A3580" s="3" t="s">
        <v>6</v>
      </c>
      <c r="B3580" s="3" t="s">
        <v>13</v>
      </c>
      <c r="C3580" s="3" t="s">
        <v>14</v>
      </c>
      <c r="D3580" s="3" t="s">
        <v>17</v>
      </c>
    </row>
    <row r="3581">
      <c r="A3581" s="3" t="s">
        <v>6</v>
      </c>
      <c r="B3581" s="3" t="s">
        <v>7</v>
      </c>
      <c r="C3581" s="3" t="s">
        <v>14</v>
      </c>
    </row>
    <row r="3582">
      <c r="A3582" s="3" t="s">
        <v>6</v>
      </c>
      <c r="B3582" s="3" t="s">
        <v>7</v>
      </c>
      <c r="C3582" s="3" t="s">
        <v>8</v>
      </c>
      <c r="D3582" s="3" t="s">
        <v>9</v>
      </c>
      <c r="E3582" s="3" t="s">
        <v>13</v>
      </c>
      <c r="F3582" s="3" t="s">
        <v>14</v>
      </c>
    </row>
    <row r="3583">
      <c r="A3583" s="3" t="s">
        <v>6</v>
      </c>
      <c r="B3583" s="3" t="s">
        <v>7</v>
      </c>
      <c r="C3583" s="3" t="s">
        <v>8</v>
      </c>
      <c r="D3583" s="3" t="s">
        <v>9</v>
      </c>
      <c r="E3583" s="3" t="s">
        <v>13</v>
      </c>
      <c r="F3583" s="3" t="s">
        <v>17</v>
      </c>
    </row>
    <row r="3584">
      <c r="A3584" s="3" t="s">
        <v>6</v>
      </c>
      <c r="B3584" s="3" t="s">
        <v>7</v>
      </c>
    </row>
    <row r="3585">
      <c r="A3585" s="3" t="s">
        <v>6</v>
      </c>
      <c r="B3585" s="3" t="s">
        <v>7</v>
      </c>
      <c r="C3585" s="3" t="s">
        <v>15</v>
      </c>
      <c r="D3585" s="3" t="s">
        <v>17</v>
      </c>
    </row>
    <row r="3586">
      <c r="A3586" s="3" t="s">
        <v>6</v>
      </c>
      <c r="B3586" s="3" t="s">
        <v>8</v>
      </c>
      <c r="C3586" s="3" t="s">
        <v>11</v>
      </c>
      <c r="D3586" s="3" t="s">
        <v>15</v>
      </c>
    </row>
    <row r="3587">
      <c r="A3587" s="3" t="s">
        <v>6</v>
      </c>
    </row>
    <row r="3588">
      <c r="A3588" s="3" t="s">
        <v>6</v>
      </c>
      <c r="B3588" s="3" t="s">
        <v>7</v>
      </c>
      <c r="C3588" s="3" t="s">
        <v>11</v>
      </c>
      <c r="D3588" s="3" t="s">
        <v>12</v>
      </c>
    </row>
    <row r="3589">
      <c r="A3589" s="3" t="s">
        <v>6</v>
      </c>
      <c r="B3589" s="3" t="s">
        <v>7</v>
      </c>
      <c r="C3589" s="3" t="s">
        <v>8</v>
      </c>
      <c r="D3589" s="3" t="s">
        <v>15</v>
      </c>
      <c r="E3589" s="3" t="s">
        <v>17</v>
      </c>
    </row>
    <row r="3590">
      <c r="A3590" s="3" t="s">
        <v>6</v>
      </c>
      <c r="B3590" s="3" t="s">
        <v>7</v>
      </c>
      <c r="C3590" s="3" t="s">
        <v>8</v>
      </c>
    </row>
    <row r="3591">
      <c r="A3591" s="3" t="s">
        <v>6</v>
      </c>
    </row>
    <row r="3592">
      <c r="A3592" s="3" t="s">
        <v>6</v>
      </c>
      <c r="B3592" s="3" t="s">
        <v>7</v>
      </c>
      <c r="C3592" s="3" t="s">
        <v>8</v>
      </c>
      <c r="D3592" s="3" t="s">
        <v>11</v>
      </c>
      <c r="E3592" s="3" t="s">
        <v>12</v>
      </c>
      <c r="F3592" s="3" t="s">
        <v>15</v>
      </c>
    </row>
    <row r="3593">
      <c r="A3593" s="3" t="s">
        <v>6</v>
      </c>
      <c r="B3593" s="3" t="s">
        <v>7</v>
      </c>
      <c r="C3593" s="3" t="s">
        <v>8</v>
      </c>
      <c r="D3593" s="3" t="s">
        <v>15</v>
      </c>
      <c r="E3593" s="3" t="s">
        <v>16</v>
      </c>
      <c r="F3593" s="3" t="s">
        <v>17</v>
      </c>
      <c r="G3593" s="3" t="s">
        <v>18</v>
      </c>
    </row>
    <row r="3594">
      <c r="A3594" s="3" t="s">
        <v>6</v>
      </c>
      <c r="B3594" s="3" t="s">
        <v>7</v>
      </c>
      <c r="C3594" s="3" t="s">
        <v>8</v>
      </c>
      <c r="D3594" s="3" t="s">
        <v>9</v>
      </c>
      <c r="E3594" s="3" t="s">
        <v>11</v>
      </c>
      <c r="F3594" s="3" t="s">
        <v>15</v>
      </c>
    </row>
    <row r="3595">
      <c r="A3595" s="3" t="s">
        <v>6</v>
      </c>
      <c r="B3595" s="3" t="s">
        <v>7</v>
      </c>
      <c r="C3595" s="3" t="s">
        <v>13</v>
      </c>
      <c r="D3595" s="3" t="s">
        <v>15</v>
      </c>
      <c r="E3595" s="3" t="s">
        <v>16</v>
      </c>
      <c r="F3595" s="3" t="s">
        <v>17</v>
      </c>
    </row>
    <row r="3596">
      <c r="A3596" s="3" t="s">
        <v>6</v>
      </c>
      <c r="B3596" s="3" t="s">
        <v>7</v>
      </c>
    </row>
    <row r="3597">
      <c r="A3597" s="3" t="s">
        <v>6</v>
      </c>
      <c r="B3597" s="3" t="s">
        <v>7</v>
      </c>
      <c r="C3597" s="3" t="s">
        <v>14</v>
      </c>
      <c r="D3597" s="3" t="s">
        <v>17</v>
      </c>
    </row>
    <row r="3598">
      <c r="A3598" s="3" t="s">
        <v>6</v>
      </c>
      <c r="B3598" s="3" t="s">
        <v>7</v>
      </c>
      <c r="C3598" s="3" t="s">
        <v>13</v>
      </c>
    </row>
    <row r="3599">
      <c r="A3599" s="3" t="s">
        <v>6</v>
      </c>
      <c r="B3599" s="3" t="s">
        <v>7</v>
      </c>
      <c r="C3599" s="3" t="s">
        <v>8</v>
      </c>
      <c r="D3599" s="3" t="s">
        <v>15</v>
      </c>
      <c r="E3599" s="3" t="s">
        <v>16</v>
      </c>
    </row>
    <row r="3600">
      <c r="A3600" s="3" t="s">
        <v>6</v>
      </c>
      <c r="B3600" s="3" t="s">
        <v>7</v>
      </c>
      <c r="C3600" s="3" t="s">
        <v>11</v>
      </c>
      <c r="D3600" s="3" t="s">
        <v>15</v>
      </c>
    </row>
    <row r="3601">
      <c r="A3601" s="3" t="s">
        <v>6</v>
      </c>
      <c r="B3601" s="3" t="s">
        <v>7</v>
      </c>
      <c r="C3601" s="3" t="s">
        <v>9</v>
      </c>
      <c r="D3601" s="3" t="s">
        <v>10</v>
      </c>
      <c r="E3601" s="3" t="s">
        <v>16</v>
      </c>
    </row>
    <row r="3602">
      <c r="A3602" s="3" t="s">
        <v>6</v>
      </c>
      <c r="B3602" s="3" t="s">
        <v>7</v>
      </c>
      <c r="C3602" s="3" t="s">
        <v>8</v>
      </c>
      <c r="D3602" s="3" t="s">
        <v>15</v>
      </c>
      <c r="E3602" s="3" t="s">
        <v>16</v>
      </c>
      <c r="F3602" s="3" t="s">
        <v>17</v>
      </c>
    </row>
    <row r="3603">
      <c r="A3603" s="3" t="s">
        <v>6</v>
      </c>
      <c r="B3603" s="3" t="s">
        <v>7</v>
      </c>
    </row>
    <row r="3604">
      <c r="A3604" s="3" t="s">
        <v>6</v>
      </c>
      <c r="B3604" s="3" t="s">
        <v>9</v>
      </c>
      <c r="C3604" s="3" t="s">
        <v>11</v>
      </c>
    </row>
    <row r="3605">
      <c r="A3605" s="3" t="s">
        <v>6</v>
      </c>
      <c r="B3605" s="3" t="s">
        <v>7</v>
      </c>
      <c r="C3605" s="3" t="s">
        <v>8</v>
      </c>
      <c r="D3605" s="3" t="s">
        <v>17</v>
      </c>
    </row>
    <row r="3606">
      <c r="A3606" s="3" t="s">
        <v>6</v>
      </c>
      <c r="B3606" s="3" t="s">
        <v>7</v>
      </c>
      <c r="C3606" s="3" t="s">
        <v>11</v>
      </c>
      <c r="D3606" s="3" t="s">
        <v>12</v>
      </c>
    </row>
    <row r="3607">
      <c r="A3607" s="3" t="s">
        <v>6</v>
      </c>
      <c r="B3607" s="3" t="s">
        <v>7</v>
      </c>
      <c r="C3607" s="3" t="s">
        <v>8</v>
      </c>
      <c r="D3607" s="3" t="s">
        <v>9</v>
      </c>
      <c r="E3607" s="3" t="s">
        <v>13</v>
      </c>
      <c r="F3607" s="3" t="s">
        <v>18</v>
      </c>
      <c r="G3607" s="3" t="s">
        <v>24</v>
      </c>
    </row>
    <row r="3608">
      <c r="A3608" s="3" t="s">
        <v>6</v>
      </c>
      <c r="B3608" s="3" t="s">
        <v>7</v>
      </c>
    </row>
    <row r="3609">
      <c r="A3609" s="3" t="s">
        <v>6</v>
      </c>
      <c r="B3609" s="3" t="s">
        <v>7</v>
      </c>
      <c r="C3609" s="3" t="s">
        <v>11</v>
      </c>
      <c r="D3609" s="3" t="s">
        <v>12</v>
      </c>
      <c r="E3609" s="3" t="s">
        <v>13</v>
      </c>
      <c r="F3609" s="3" t="s">
        <v>17</v>
      </c>
    </row>
    <row r="3610">
      <c r="A3610" s="3" t="s">
        <v>6</v>
      </c>
      <c r="B3610" s="3" t="s">
        <v>7</v>
      </c>
      <c r="C3610" s="3" t="s">
        <v>15</v>
      </c>
      <c r="D3610" s="3" t="s">
        <v>16</v>
      </c>
      <c r="E3610" s="3" t="s">
        <v>17</v>
      </c>
    </row>
    <row r="3611">
      <c r="A3611" s="3" t="s">
        <v>6</v>
      </c>
      <c r="B3611" s="3" t="s">
        <v>8</v>
      </c>
      <c r="C3611" s="3" t="s">
        <v>9</v>
      </c>
      <c r="D3611" s="3" t="s">
        <v>10</v>
      </c>
      <c r="E3611" s="3" t="s">
        <v>16</v>
      </c>
      <c r="F3611" s="3" t="s">
        <v>24</v>
      </c>
    </row>
    <row r="3612">
      <c r="A3612" s="3" t="s">
        <v>6</v>
      </c>
    </row>
    <row r="3613">
      <c r="A3613" s="3" t="s">
        <v>6</v>
      </c>
      <c r="B3613" s="3" t="s">
        <v>9</v>
      </c>
    </row>
    <row r="3614">
      <c r="A3614" s="3" t="s">
        <v>6</v>
      </c>
      <c r="B3614" s="3" t="s">
        <v>11</v>
      </c>
    </row>
    <row r="3615">
      <c r="A3615" s="3" t="s">
        <v>6</v>
      </c>
      <c r="B3615" s="3" t="s">
        <v>11</v>
      </c>
      <c r="C3615" s="3" t="s">
        <v>15</v>
      </c>
    </row>
    <row r="3616">
      <c r="A3616" s="3" t="s">
        <v>6</v>
      </c>
    </row>
    <row r="3617">
      <c r="A3617" s="3" t="s">
        <v>6</v>
      </c>
      <c r="B3617" s="3" t="s">
        <v>8</v>
      </c>
      <c r="C3617" s="3" t="s">
        <v>18</v>
      </c>
    </row>
    <row r="3618">
      <c r="A3618" s="3" t="s">
        <v>6</v>
      </c>
      <c r="B3618" s="3" t="s">
        <v>8</v>
      </c>
      <c r="C3618" s="3" t="s">
        <v>11</v>
      </c>
    </row>
    <row r="3619">
      <c r="A3619" s="3" t="s">
        <v>6</v>
      </c>
      <c r="B3619" s="3" t="s">
        <v>11</v>
      </c>
      <c r="C3619" s="3" t="s">
        <v>12</v>
      </c>
    </row>
    <row r="3620">
      <c r="A3620" s="3" t="s">
        <v>6</v>
      </c>
    </row>
    <row r="3621">
      <c r="A3621" s="3" t="s">
        <v>6</v>
      </c>
      <c r="B3621" s="3" t="s">
        <v>11</v>
      </c>
    </row>
    <row r="3622">
      <c r="A3622" s="3" t="s">
        <v>6</v>
      </c>
      <c r="B3622" s="3" t="s">
        <v>7</v>
      </c>
      <c r="C3622" s="3" t="s">
        <v>14</v>
      </c>
      <c r="D3622" s="3" t="s">
        <v>17</v>
      </c>
    </row>
    <row r="3623">
      <c r="A3623" s="3" t="s">
        <v>6</v>
      </c>
      <c r="B3623" s="3" t="s">
        <v>13</v>
      </c>
      <c r="C3623" s="3" t="s">
        <v>14</v>
      </c>
      <c r="D3623" s="3" t="s">
        <v>17</v>
      </c>
    </row>
    <row r="3624">
      <c r="A3624" s="3" t="s">
        <v>6</v>
      </c>
    </row>
    <row r="3625">
      <c r="A3625" s="3" t="s">
        <v>6</v>
      </c>
    </row>
    <row r="3626">
      <c r="A3626" s="3" t="s">
        <v>6</v>
      </c>
      <c r="B3626" s="3" t="s">
        <v>7</v>
      </c>
      <c r="C3626" s="3" t="s">
        <v>13</v>
      </c>
    </row>
    <row r="3627">
      <c r="A3627" s="3" t="s">
        <v>6</v>
      </c>
    </row>
    <row r="3628">
      <c r="A3628" s="3" t="s">
        <v>6</v>
      </c>
      <c r="B3628" s="3" t="s">
        <v>13</v>
      </c>
      <c r="C3628" s="3" t="s">
        <v>14</v>
      </c>
    </row>
    <row r="3629">
      <c r="A3629" s="3" t="s">
        <v>6</v>
      </c>
    </row>
    <row r="3630">
      <c r="A3630" s="3" t="s">
        <v>6</v>
      </c>
    </row>
    <row r="3631">
      <c r="A3631" s="3" t="s">
        <v>6</v>
      </c>
    </row>
    <row r="3632">
      <c r="A3632" s="3" t="s">
        <v>6</v>
      </c>
      <c r="B3632" s="3" t="s">
        <v>7</v>
      </c>
    </row>
    <row r="3633">
      <c r="A3633" s="3" t="s">
        <v>6</v>
      </c>
      <c r="B3633" s="3" t="s">
        <v>13</v>
      </c>
    </row>
    <row r="3634">
      <c r="A3634" s="3" t="s">
        <v>6</v>
      </c>
      <c r="B3634" s="3" t="s">
        <v>17</v>
      </c>
    </row>
    <row r="3635">
      <c r="A3635" s="3" t="s">
        <v>6</v>
      </c>
      <c r="B3635" s="3" t="s">
        <v>14</v>
      </c>
    </row>
    <row r="3636">
      <c r="A3636" s="3" t="s">
        <v>6</v>
      </c>
      <c r="B3636" s="3" t="s">
        <v>11</v>
      </c>
    </row>
    <row r="3637">
      <c r="A3637" s="3" t="s">
        <v>6</v>
      </c>
    </row>
    <row r="3638">
      <c r="A3638" s="3" t="s">
        <v>6</v>
      </c>
      <c r="B3638" s="3" t="s">
        <v>8</v>
      </c>
      <c r="C3638" s="3" t="s">
        <v>13</v>
      </c>
      <c r="D3638" s="3" t="s">
        <v>14</v>
      </c>
      <c r="E3638" s="3" t="s">
        <v>15</v>
      </c>
      <c r="F3638" s="3" t="s">
        <v>17</v>
      </c>
    </row>
    <row r="3639">
      <c r="A3639" s="3" t="s">
        <v>6</v>
      </c>
      <c r="B3639" s="3" t="s">
        <v>8</v>
      </c>
    </row>
    <row r="3640">
      <c r="A3640" s="3" t="s">
        <v>6</v>
      </c>
      <c r="B3640" s="3" t="s">
        <v>11</v>
      </c>
      <c r="C3640" s="3" t="s">
        <v>15</v>
      </c>
      <c r="D3640" s="3" t="s">
        <v>16</v>
      </c>
      <c r="E3640" s="3" t="s">
        <v>17</v>
      </c>
    </row>
    <row r="3641">
      <c r="A3641" s="3" t="s">
        <v>6</v>
      </c>
      <c r="B3641" s="3" t="s">
        <v>7</v>
      </c>
      <c r="C3641" s="3" t="s">
        <v>13</v>
      </c>
      <c r="D3641" s="3" t="s">
        <v>15</v>
      </c>
    </row>
    <row r="3642">
      <c r="A3642" s="3" t="s">
        <v>6</v>
      </c>
      <c r="B3642" s="3" t="s">
        <v>7</v>
      </c>
      <c r="C3642" s="3" t="s">
        <v>8</v>
      </c>
      <c r="D3642" s="3" t="s">
        <v>11</v>
      </c>
      <c r="E3642" s="3" t="s">
        <v>12</v>
      </c>
      <c r="F3642" s="3" t="s">
        <v>15</v>
      </c>
    </row>
    <row r="3643">
      <c r="A3643" s="3" t="s">
        <v>6</v>
      </c>
      <c r="B3643" s="3" t="s">
        <v>7</v>
      </c>
    </row>
    <row r="3644">
      <c r="A3644" s="3" t="s">
        <v>6</v>
      </c>
    </row>
    <row r="3645">
      <c r="A3645" s="3" t="s">
        <v>6</v>
      </c>
      <c r="B3645" s="3" t="s">
        <v>13</v>
      </c>
      <c r="C3645" s="3" t="s">
        <v>14</v>
      </c>
    </row>
    <row r="3646">
      <c r="A3646" s="3" t="s">
        <v>6</v>
      </c>
      <c r="B3646" s="3" t="s">
        <v>7</v>
      </c>
      <c r="C3646" s="3" t="s">
        <v>8</v>
      </c>
      <c r="D3646" s="3" t="s">
        <v>9</v>
      </c>
      <c r="E3646" s="3" t="s">
        <v>16</v>
      </c>
      <c r="F3646" s="3" t="s">
        <v>18</v>
      </c>
    </row>
    <row r="3647">
      <c r="A3647" s="3" t="s">
        <v>6</v>
      </c>
    </row>
    <row r="3648">
      <c r="A3648" s="3" t="s">
        <v>6</v>
      </c>
      <c r="B3648" s="3" t="s">
        <v>15</v>
      </c>
    </row>
    <row r="3649">
      <c r="A3649" s="3" t="s">
        <v>6</v>
      </c>
    </row>
    <row r="3650">
      <c r="A3650" s="3" t="s">
        <v>6</v>
      </c>
      <c r="B3650" s="3" t="s">
        <v>13</v>
      </c>
      <c r="C3650" s="3" t="s">
        <v>14</v>
      </c>
    </row>
    <row r="3651">
      <c r="A3651" s="3" t="s">
        <v>6</v>
      </c>
      <c r="B3651" s="3" t="s">
        <v>14</v>
      </c>
    </row>
    <row r="3652">
      <c r="A3652" s="3" t="s">
        <v>6</v>
      </c>
    </row>
    <row r="3653">
      <c r="A3653" s="3" t="s">
        <v>6</v>
      </c>
      <c r="B3653" s="3" t="s">
        <v>11</v>
      </c>
    </row>
    <row r="3654">
      <c r="A3654" s="3" t="s">
        <v>6</v>
      </c>
      <c r="B3654" s="3" t="s">
        <v>7</v>
      </c>
      <c r="C3654" s="3" t="s">
        <v>8</v>
      </c>
      <c r="D3654" s="3" t="s">
        <v>11</v>
      </c>
      <c r="E3654" s="3" t="s">
        <v>15</v>
      </c>
      <c r="F3654" s="3" t="s">
        <v>16</v>
      </c>
    </row>
    <row r="3655">
      <c r="A3655" s="3" t="s">
        <v>609</v>
      </c>
    </row>
    <row r="3656">
      <c r="A3656" s="3" t="s">
        <v>7</v>
      </c>
      <c r="B3656" s="3" t="s">
        <v>11</v>
      </c>
      <c r="C3656" s="3" t="s">
        <v>12</v>
      </c>
      <c r="D3656" s="3" t="s">
        <v>14</v>
      </c>
      <c r="E3656" s="3" t="s">
        <v>17</v>
      </c>
    </row>
    <row r="3657">
      <c r="A3657" s="3" t="s">
        <v>7</v>
      </c>
      <c r="B3657" s="3" t="s">
        <v>8</v>
      </c>
      <c r="C3657" s="3" t="s">
        <v>10</v>
      </c>
      <c r="D3657" s="3" t="s">
        <v>13</v>
      </c>
      <c r="E3657" s="3" t="s">
        <v>17</v>
      </c>
    </row>
    <row r="3658">
      <c r="A3658" s="3" t="s">
        <v>7</v>
      </c>
      <c r="B3658" s="3" t="s">
        <v>12</v>
      </c>
      <c r="C3658" s="3" t="s">
        <v>15</v>
      </c>
    </row>
    <row r="3659">
      <c r="A3659" s="3" t="s">
        <v>7</v>
      </c>
      <c r="B3659" s="3" t="s">
        <v>9</v>
      </c>
      <c r="C3659" s="3" t="s">
        <v>14</v>
      </c>
      <c r="D3659" s="3" t="s">
        <v>17</v>
      </c>
    </row>
    <row r="3660">
      <c r="A3660" s="3" t="s">
        <v>7</v>
      </c>
      <c r="B3660" s="3" t="s">
        <v>9</v>
      </c>
      <c r="C3660" s="3" t="s">
        <v>12</v>
      </c>
      <c r="D3660" s="3" t="s">
        <v>15</v>
      </c>
    </row>
    <row r="3661">
      <c r="A3661" s="3" t="s">
        <v>7</v>
      </c>
    </row>
    <row r="3662">
      <c r="A3662" s="3" t="s">
        <v>7</v>
      </c>
      <c r="B3662" s="3" t="s">
        <v>15</v>
      </c>
      <c r="C3662" s="3" t="s">
        <v>16</v>
      </c>
    </row>
    <row r="3663">
      <c r="A3663" s="3" t="s">
        <v>7</v>
      </c>
      <c r="B3663" s="3" t="s">
        <v>8</v>
      </c>
      <c r="C3663" s="3" t="s">
        <v>9</v>
      </c>
      <c r="D3663" s="3" t="s">
        <v>13</v>
      </c>
      <c r="E3663" s="3" t="s">
        <v>15</v>
      </c>
    </row>
    <row r="3664">
      <c r="A3664" s="3" t="s">
        <v>7</v>
      </c>
      <c r="B3664" s="3" t="s">
        <v>8</v>
      </c>
      <c r="C3664" s="3" t="s">
        <v>12</v>
      </c>
      <c r="D3664" s="3" t="s">
        <v>15</v>
      </c>
      <c r="E3664" s="3" t="s">
        <v>17</v>
      </c>
    </row>
    <row r="3665">
      <c r="A3665" s="3" t="s">
        <v>7</v>
      </c>
      <c r="B3665" s="3" t="s">
        <v>8</v>
      </c>
      <c r="C3665" s="3" t="s">
        <v>12</v>
      </c>
      <c r="D3665" s="3" t="s">
        <v>17</v>
      </c>
    </row>
    <row r="3666">
      <c r="A3666" s="3" t="s">
        <v>7</v>
      </c>
      <c r="B3666" s="3" t="s">
        <v>17</v>
      </c>
    </row>
    <row r="3667">
      <c r="A3667" s="3" t="s">
        <v>7</v>
      </c>
      <c r="B3667" s="3" t="s">
        <v>8</v>
      </c>
      <c r="C3667" s="3" t="s">
        <v>17</v>
      </c>
      <c r="D3667" s="3" t="s">
        <v>18</v>
      </c>
    </row>
    <row r="3668">
      <c r="A3668" s="3" t="s">
        <v>7</v>
      </c>
      <c r="B3668" s="3" t="s">
        <v>17</v>
      </c>
    </row>
    <row r="3669">
      <c r="A3669" s="3" t="s">
        <v>7</v>
      </c>
      <c r="B3669" s="3" t="s">
        <v>9</v>
      </c>
      <c r="C3669" s="3" t="s">
        <v>15</v>
      </c>
      <c r="D3669" s="3" t="s">
        <v>16</v>
      </c>
      <c r="E3669" s="3" t="s">
        <v>18</v>
      </c>
    </row>
    <row r="3670">
      <c r="A3670" s="3" t="s">
        <v>7</v>
      </c>
    </row>
    <row r="3671">
      <c r="A3671" s="3" t="s">
        <v>7</v>
      </c>
      <c r="B3671" s="3" t="s">
        <v>11</v>
      </c>
      <c r="C3671" s="3" t="s">
        <v>14</v>
      </c>
      <c r="D3671" s="3" t="s">
        <v>16</v>
      </c>
    </row>
    <row r="3672">
      <c r="A3672" s="3" t="s">
        <v>7</v>
      </c>
      <c r="B3672" s="3" t="s">
        <v>8</v>
      </c>
      <c r="C3672" s="3" t="s">
        <v>15</v>
      </c>
      <c r="D3672" s="3" t="s">
        <v>16</v>
      </c>
      <c r="E3672" s="3" t="s">
        <v>17</v>
      </c>
      <c r="F3672" s="3" t="s">
        <v>18</v>
      </c>
    </row>
    <row r="3673">
      <c r="A3673" s="3" t="s">
        <v>7</v>
      </c>
      <c r="B3673" s="3" t="s">
        <v>15</v>
      </c>
      <c r="C3673" s="3" t="s">
        <v>17</v>
      </c>
    </row>
    <row r="3674">
      <c r="A3674" s="3" t="s">
        <v>7</v>
      </c>
      <c r="B3674" s="3" t="s">
        <v>17</v>
      </c>
    </row>
    <row r="3675">
      <c r="A3675" s="3" t="s">
        <v>7</v>
      </c>
      <c r="B3675" s="3" t="s">
        <v>8</v>
      </c>
      <c r="C3675" s="3" t="s">
        <v>11</v>
      </c>
    </row>
    <row r="3676">
      <c r="A3676" s="3" t="s">
        <v>7</v>
      </c>
      <c r="B3676" s="3" t="s">
        <v>12</v>
      </c>
    </row>
    <row r="3677">
      <c r="A3677" s="3" t="s">
        <v>7</v>
      </c>
    </row>
    <row r="3678">
      <c r="A3678" s="3" t="s">
        <v>7</v>
      </c>
      <c r="B3678" s="3" t="s">
        <v>8</v>
      </c>
      <c r="C3678" s="3" t="s">
        <v>9</v>
      </c>
      <c r="D3678" s="3" t="s">
        <v>10</v>
      </c>
      <c r="E3678" s="3" t="s">
        <v>16</v>
      </c>
      <c r="F3678" s="3" t="s">
        <v>18</v>
      </c>
      <c r="G3678" s="3" t="s">
        <v>24</v>
      </c>
    </row>
    <row r="3679">
      <c r="A3679" s="3" t="s">
        <v>7</v>
      </c>
      <c r="B3679" s="3" t="s">
        <v>9</v>
      </c>
      <c r="C3679" s="3" t="s">
        <v>13</v>
      </c>
      <c r="D3679" s="3" t="s">
        <v>14</v>
      </c>
      <c r="E3679" s="3" t="s">
        <v>17</v>
      </c>
      <c r="F3679" s="3" t="s">
        <v>18</v>
      </c>
    </row>
    <row r="3680">
      <c r="A3680" s="3" t="s">
        <v>7</v>
      </c>
      <c r="B3680" s="3" t="s">
        <v>8</v>
      </c>
      <c r="C3680" s="3" t="s">
        <v>11</v>
      </c>
      <c r="D3680" s="3" t="s">
        <v>15</v>
      </c>
    </row>
    <row r="3681">
      <c r="A3681" s="3" t="s">
        <v>7</v>
      </c>
    </row>
    <row r="3682">
      <c r="A3682" s="3" t="s">
        <v>7</v>
      </c>
      <c r="B3682" s="3" t="s">
        <v>8</v>
      </c>
      <c r="C3682" s="3" t="s">
        <v>15</v>
      </c>
      <c r="D3682" s="3" t="s">
        <v>16</v>
      </c>
    </row>
    <row r="3683">
      <c r="A3683" s="3" t="s">
        <v>7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18</v>
      </c>
    </row>
    <row r="3684">
      <c r="A3684" s="3" t="s">
        <v>7</v>
      </c>
      <c r="B3684" s="3" t="s">
        <v>8</v>
      </c>
      <c r="C3684" s="3" t="s">
        <v>15</v>
      </c>
      <c r="D3684" s="3" t="s">
        <v>17</v>
      </c>
    </row>
    <row r="3685">
      <c r="A3685" s="3" t="s">
        <v>7</v>
      </c>
      <c r="B3685" s="3" t="s">
        <v>11</v>
      </c>
      <c r="C3685" s="3" t="s">
        <v>15</v>
      </c>
      <c r="D3685" s="3" t="s">
        <v>17</v>
      </c>
    </row>
    <row r="3686">
      <c r="A3686" s="3" t="s">
        <v>7</v>
      </c>
      <c r="B3686" s="3" t="s">
        <v>8</v>
      </c>
      <c r="C3686" s="3" t="s">
        <v>15</v>
      </c>
      <c r="D3686" s="3" t="s">
        <v>16</v>
      </c>
    </row>
    <row r="3687">
      <c r="A3687" s="3" t="s">
        <v>7</v>
      </c>
      <c r="B3687" s="3" t="s">
        <v>13</v>
      </c>
      <c r="C3687" s="3" t="s">
        <v>15</v>
      </c>
    </row>
    <row r="3688">
      <c r="A3688" s="3" t="s">
        <v>7</v>
      </c>
      <c r="B3688" s="3" t="s">
        <v>8</v>
      </c>
      <c r="C3688" s="3" t="s">
        <v>15</v>
      </c>
    </row>
    <row r="3689">
      <c r="A3689" s="3" t="s">
        <v>7</v>
      </c>
      <c r="B3689" s="3" t="s">
        <v>8</v>
      </c>
      <c r="C3689" s="3" t="s">
        <v>12</v>
      </c>
      <c r="D3689" s="3" t="s">
        <v>15</v>
      </c>
    </row>
    <row r="3690">
      <c r="A3690" s="3" t="s">
        <v>7</v>
      </c>
      <c r="B3690" s="3" t="s">
        <v>16</v>
      </c>
    </row>
    <row r="3691">
      <c r="A3691" s="3" t="s">
        <v>7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18</v>
      </c>
    </row>
    <row r="3692">
      <c r="A3692" s="3" t="s">
        <v>7</v>
      </c>
      <c r="B3692" s="3" t="s">
        <v>8</v>
      </c>
      <c r="C3692" s="3" t="s">
        <v>9</v>
      </c>
      <c r="D3692" s="3" t="s">
        <v>10</v>
      </c>
      <c r="E3692" s="3" t="s">
        <v>16</v>
      </c>
      <c r="F3692" s="3" t="s">
        <v>18</v>
      </c>
      <c r="G3692" s="3" t="s">
        <v>24</v>
      </c>
    </row>
    <row r="3693">
      <c r="A3693" s="3" t="s">
        <v>7</v>
      </c>
      <c r="B3693" s="3" t="s">
        <v>8</v>
      </c>
      <c r="C3693" s="3" t="s">
        <v>9</v>
      </c>
      <c r="D3693" s="3" t="s">
        <v>10</v>
      </c>
      <c r="E3693" s="3" t="s">
        <v>17</v>
      </c>
    </row>
    <row r="3694">
      <c r="A3694" s="3" t="s">
        <v>7</v>
      </c>
      <c r="B3694" s="3" t="s">
        <v>16</v>
      </c>
    </row>
    <row r="3695">
      <c r="A3695" s="3" t="s">
        <v>7</v>
      </c>
      <c r="B3695" s="3" t="s">
        <v>17</v>
      </c>
    </row>
    <row r="3696">
      <c r="A3696" s="3" t="s">
        <v>7</v>
      </c>
      <c r="B3696" s="3" t="s">
        <v>8</v>
      </c>
      <c r="C3696" s="3" t="s">
        <v>15</v>
      </c>
      <c r="D3696" s="3" t="s">
        <v>16</v>
      </c>
    </row>
    <row r="3697">
      <c r="A3697" s="3" t="s">
        <v>7</v>
      </c>
      <c r="B3697" s="3" t="s">
        <v>17</v>
      </c>
    </row>
    <row r="3698">
      <c r="A3698" s="3" t="s">
        <v>7</v>
      </c>
    </row>
    <row r="3699">
      <c r="A3699" s="3" t="s">
        <v>7</v>
      </c>
      <c r="B3699" s="3" t="s">
        <v>12</v>
      </c>
    </row>
    <row r="3700">
      <c r="A3700" s="3" t="s">
        <v>7</v>
      </c>
      <c r="B3700" s="3" t="s">
        <v>13</v>
      </c>
    </row>
    <row r="3701">
      <c r="A3701" s="3" t="s">
        <v>7</v>
      </c>
      <c r="B3701" s="3" t="s">
        <v>11</v>
      </c>
    </row>
    <row r="3702">
      <c r="A3702" s="3" t="s">
        <v>8</v>
      </c>
      <c r="B3702" s="3" t="s">
        <v>11</v>
      </c>
      <c r="C3702" s="3" t="s">
        <v>14</v>
      </c>
      <c r="D3702" s="3" t="s">
        <v>15</v>
      </c>
      <c r="E3702" s="3" t="s">
        <v>17</v>
      </c>
    </row>
    <row r="3703">
      <c r="A3703" s="3" t="s">
        <v>8</v>
      </c>
      <c r="B3703" s="3" t="s">
        <v>9</v>
      </c>
      <c r="C3703" s="3" t="s">
        <v>10</v>
      </c>
      <c r="D3703" s="3" t="s">
        <v>24</v>
      </c>
    </row>
    <row r="3704">
      <c r="A3704" s="3" t="s">
        <v>8</v>
      </c>
      <c r="B3704" s="3" t="s">
        <v>9</v>
      </c>
      <c r="C3704" s="3" t="s">
        <v>12</v>
      </c>
      <c r="D3704" s="3" t="s">
        <v>17</v>
      </c>
    </row>
    <row r="3705">
      <c r="A3705" s="3" t="s">
        <v>8</v>
      </c>
    </row>
    <row r="3706">
      <c r="A3706" s="3" t="s">
        <v>8</v>
      </c>
      <c r="B3706" s="3" t="s">
        <v>9</v>
      </c>
      <c r="C3706" s="3" t="s">
        <v>12</v>
      </c>
      <c r="D3706" s="3" t="s">
        <v>15</v>
      </c>
      <c r="E3706" s="3" t="s">
        <v>16</v>
      </c>
      <c r="F3706" s="3" t="s">
        <v>24</v>
      </c>
    </row>
    <row r="3707">
      <c r="A3707" s="3" t="s">
        <v>8</v>
      </c>
      <c r="B3707" s="3" t="s">
        <v>9</v>
      </c>
      <c r="C3707" s="3" t="s">
        <v>11</v>
      </c>
      <c r="D3707" s="3" t="s">
        <v>15</v>
      </c>
      <c r="E3707" s="3" t="s">
        <v>16</v>
      </c>
      <c r="F3707" s="3" t="s">
        <v>17</v>
      </c>
    </row>
    <row r="3708">
      <c r="A3708" s="3" t="s">
        <v>8</v>
      </c>
      <c r="B3708" s="3" t="s">
        <v>9</v>
      </c>
      <c r="C3708" s="3" t="s">
        <v>11</v>
      </c>
      <c r="D3708" s="3" t="s">
        <v>12</v>
      </c>
      <c r="E3708" s="3" t="s">
        <v>17</v>
      </c>
      <c r="F3708" s="3" t="s">
        <v>18</v>
      </c>
    </row>
    <row r="3709">
      <c r="A3709" s="3" t="s">
        <v>8</v>
      </c>
      <c r="B3709" s="3" t="s">
        <v>16</v>
      </c>
      <c r="C3709" s="3" t="s">
        <v>18</v>
      </c>
    </row>
    <row r="3710">
      <c r="A3710" s="3" t="s">
        <v>8</v>
      </c>
      <c r="B3710" s="3" t="s">
        <v>12</v>
      </c>
    </row>
    <row r="3711">
      <c r="A3711" s="3" t="s">
        <v>8</v>
      </c>
      <c r="B3711" s="3" t="s">
        <v>12</v>
      </c>
      <c r="C3711" s="3" t="s">
        <v>17</v>
      </c>
      <c r="D3711" s="3" t="s">
        <v>18</v>
      </c>
    </row>
    <row r="3712">
      <c r="A3712" s="3" t="s">
        <v>8</v>
      </c>
      <c r="B3712" s="3" t="s">
        <v>9</v>
      </c>
      <c r="C3712" s="3" t="s">
        <v>10</v>
      </c>
      <c r="D3712" s="3" t="s">
        <v>16</v>
      </c>
    </row>
    <row r="3713">
      <c r="A3713" s="3" t="s">
        <v>8</v>
      </c>
      <c r="B3713" s="3" t="s">
        <v>9</v>
      </c>
      <c r="C3713" s="3" t="s">
        <v>11</v>
      </c>
      <c r="D3713" s="3" t="s">
        <v>12</v>
      </c>
      <c r="E3713" s="3" t="s">
        <v>24</v>
      </c>
    </row>
    <row r="3714">
      <c r="A3714" s="3" t="s">
        <v>8</v>
      </c>
      <c r="B3714" s="3" t="s">
        <v>9</v>
      </c>
      <c r="C3714" s="3" t="s">
        <v>10</v>
      </c>
    </row>
    <row r="3715">
      <c r="A3715" s="3" t="s">
        <v>8</v>
      </c>
      <c r="B3715" s="3" t="s">
        <v>12</v>
      </c>
      <c r="C3715" s="3" t="s">
        <v>15</v>
      </c>
      <c r="D3715" s="3" t="s">
        <v>16</v>
      </c>
      <c r="E3715" s="3" t="s">
        <v>18</v>
      </c>
    </row>
    <row r="3716">
      <c r="A3716" s="3" t="s">
        <v>8</v>
      </c>
      <c r="B3716" s="3" t="s">
        <v>12</v>
      </c>
      <c r="C3716" s="3" t="s">
        <v>16</v>
      </c>
      <c r="D3716" s="3" t="s">
        <v>18</v>
      </c>
    </row>
    <row r="3717">
      <c r="A3717" s="3" t="s">
        <v>8</v>
      </c>
      <c r="B3717" s="3" t="s">
        <v>11</v>
      </c>
      <c r="C3717" s="3" t="s">
        <v>12</v>
      </c>
      <c r="D3717" s="3" t="s">
        <v>17</v>
      </c>
      <c r="E3717" s="3" t="s">
        <v>18</v>
      </c>
    </row>
    <row r="3718">
      <c r="A3718" s="3" t="s">
        <v>8</v>
      </c>
      <c r="B3718" s="3" t="s">
        <v>13</v>
      </c>
      <c r="C3718" s="3" t="s">
        <v>17</v>
      </c>
    </row>
    <row r="3719">
      <c r="A3719" s="3" t="s">
        <v>8</v>
      </c>
      <c r="B3719" s="3" t="s">
        <v>9</v>
      </c>
      <c r="C3719" s="3" t="s">
        <v>14</v>
      </c>
      <c r="D3719" s="3" t="s">
        <v>24</v>
      </c>
    </row>
    <row r="3720">
      <c r="A3720" s="3" t="s">
        <v>8</v>
      </c>
      <c r="B3720" s="3" t="s">
        <v>9</v>
      </c>
      <c r="C3720" s="3" t="s">
        <v>11</v>
      </c>
      <c r="D3720" s="3" t="s">
        <v>12</v>
      </c>
      <c r="E3720" s="3" t="s">
        <v>15</v>
      </c>
      <c r="F3720" s="3" t="s">
        <v>17</v>
      </c>
      <c r="G3720" s="3" t="s">
        <v>18</v>
      </c>
    </row>
    <row r="3721">
      <c r="A3721" s="3" t="s">
        <v>8</v>
      </c>
      <c r="B3721" s="3" t="s">
        <v>9</v>
      </c>
      <c r="C3721" s="3" t="s">
        <v>11</v>
      </c>
      <c r="D3721" s="3" t="s">
        <v>12</v>
      </c>
      <c r="E3721" s="3" t="s">
        <v>15</v>
      </c>
      <c r="F3721" s="3" t="s">
        <v>16</v>
      </c>
      <c r="G3721" s="3" t="s">
        <v>24</v>
      </c>
    </row>
    <row r="3722">
      <c r="A3722" s="3" t="s">
        <v>8</v>
      </c>
      <c r="B3722" s="3" t="s">
        <v>9</v>
      </c>
      <c r="C3722" s="3" t="s">
        <v>11</v>
      </c>
      <c r="D3722" s="3" t="s">
        <v>12</v>
      </c>
      <c r="E3722" s="3" t="s">
        <v>17</v>
      </c>
      <c r="F3722" s="3" t="s">
        <v>18</v>
      </c>
    </row>
    <row r="3723">
      <c r="A3723" s="3" t="s">
        <v>8</v>
      </c>
      <c r="B3723" s="3" t="s">
        <v>9</v>
      </c>
      <c r="C3723" s="3" t="s">
        <v>13</v>
      </c>
      <c r="D3723" s="3" t="s">
        <v>14</v>
      </c>
      <c r="E3723" s="3" t="s">
        <v>17</v>
      </c>
      <c r="F3723" s="3" t="s">
        <v>18</v>
      </c>
    </row>
    <row r="3724">
      <c r="A3724" s="3" t="s">
        <v>8</v>
      </c>
      <c r="B3724" s="3" t="s">
        <v>9</v>
      </c>
      <c r="C3724" s="3" t="s">
        <v>12</v>
      </c>
    </row>
    <row r="3725">
      <c r="A3725" s="3" t="s">
        <v>8</v>
      </c>
      <c r="B3725" s="3" t="s">
        <v>13</v>
      </c>
      <c r="C3725" s="3" t="s">
        <v>14</v>
      </c>
      <c r="D3725" s="3" t="s">
        <v>18</v>
      </c>
    </row>
    <row r="3726">
      <c r="A3726" s="3" t="s">
        <v>8</v>
      </c>
      <c r="B3726" s="3" t="s">
        <v>15</v>
      </c>
      <c r="C3726" s="3" t="s">
        <v>16</v>
      </c>
    </row>
    <row r="3727">
      <c r="A3727" s="3" t="s">
        <v>8</v>
      </c>
      <c r="B3727" s="3" t="s">
        <v>9</v>
      </c>
    </row>
    <row r="3728">
      <c r="A3728" s="3" t="s">
        <v>8</v>
      </c>
      <c r="B3728" s="3" t="s">
        <v>16</v>
      </c>
    </row>
    <row r="3729">
      <c r="A3729" s="3" t="s">
        <v>8</v>
      </c>
    </row>
    <row r="3730">
      <c r="A3730" s="3" t="s">
        <v>8</v>
      </c>
      <c r="B3730" s="3" t="s">
        <v>9</v>
      </c>
      <c r="C3730" s="3" t="s">
        <v>12</v>
      </c>
      <c r="D3730" s="3" t="s">
        <v>14</v>
      </c>
      <c r="E3730" s="3" t="s">
        <v>17</v>
      </c>
      <c r="F3730" s="3" t="s">
        <v>18</v>
      </c>
      <c r="G3730" s="3" t="s">
        <v>24</v>
      </c>
    </row>
    <row r="3731">
      <c r="A3731" s="3" t="s">
        <v>8</v>
      </c>
    </row>
    <row r="3732">
      <c r="A3732" s="3" t="s">
        <v>9</v>
      </c>
    </row>
    <row r="3733">
      <c r="A3733" s="3" t="s">
        <v>9</v>
      </c>
      <c r="B3733" s="3" t="s">
        <v>11</v>
      </c>
    </row>
    <row r="3734">
      <c r="A3734" s="3" t="s">
        <v>9</v>
      </c>
      <c r="B3734" s="3" t="s">
        <v>11</v>
      </c>
      <c r="C3734" s="3" t="s">
        <v>14</v>
      </c>
    </row>
    <row r="3735">
      <c r="A3735" s="3" t="s">
        <v>9</v>
      </c>
      <c r="B3735" s="3" t="s">
        <v>13</v>
      </c>
      <c r="C3735" s="3" t="s">
        <v>14</v>
      </c>
      <c r="D3735" s="3" t="s">
        <v>16</v>
      </c>
      <c r="E3735" s="3" t="s">
        <v>18</v>
      </c>
    </row>
    <row r="3736">
      <c r="A3736" s="3" t="s">
        <v>9</v>
      </c>
      <c r="B3736" s="3" t="s">
        <v>16</v>
      </c>
      <c r="C3736" s="3" t="s">
        <v>18</v>
      </c>
    </row>
    <row r="3737">
      <c r="A3737" s="3" t="s">
        <v>9</v>
      </c>
      <c r="B3737" s="3" t="s">
        <v>15</v>
      </c>
      <c r="C3737" s="3" t="s">
        <v>16</v>
      </c>
      <c r="D3737" s="3" t="s">
        <v>24</v>
      </c>
    </row>
    <row r="3738">
      <c r="A3738" s="3" t="s">
        <v>9</v>
      </c>
    </row>
    <row r="3739">
      <c r="A3739" s="3" t="s">
        <v>9</v>
      </c>
      <c r="B3739" s="3" t="s">
        <v>15</v>
      </c>
      <c r="C3739" s="3" t="s">
        <v>16</v>
      </c>
      <c r="D3739" s="3" t="s">
        <v>17</v>
      </c>
      <c r="E3739" s="3" t="s">
        <v>18</v>
      </c>
    </row>
    <row r="3740">
      <c r="A3740" s="3" t="s">
        <v>9</v>
      </c>
      <c r="B3740" s="3" t="s">
        <v>10</v>
      </c>
      <c r="C3740" s="3" t="s">
        <v>24</v>
      </c>
    </row>
    <row r="3741">
      <c r="A3741" s="3" t="s">
        <v>9</v>
      </c>
      <c r="B3741" s="3" t="s">
        <v>10</v>
      </c>
      <c r="C3741" s="3" t="s">
        <v>24</v>
      </c>
    </row>
    <row r="3742">
      <c r="A3742" s="3" t="s">
        <v>9</v>
      </c>
    </row>
    <row r="3743">
      <c r="A3743" s="3" t="s">
        <v>9</v>
      </c>
      <c r="B3743" s="3" t="s">
        <v>10</v>
      </c>
      <c r="C3743" s="3" t="s">
        <v>11</v>
      </c>
      <c r="D3743" s="3" t="s">
        <v>12</v>
      </c>
      <c r="E3743" s="3" t="s">
        <v>16</v>
      </c>
      <c r="F3743" s="3" t="s">
        <v>18</v>
      </c>
      <c r="G3743" s="3" t="s">
        <v>24</v>
      </c>
    </row>
    <row r="3744">
      <c r="A3744" s="3" t="s">
        <v>9</v>
      </c>
    </row>
    <row r="3745">
      <c r="A3745" s="3" t="s">
        <v>10</v>
      </c>
      <c r="B3745" s="3" t="s">
        <v>12</v>
      </c>
      <c r="C3745" s="3" t="s">
        <v>24</v>
      </c>
    </row>
    <row r="3746">
      <c r="A3746" s="3" t="s">
        <v>10</v>
      </c>
      <c r="B3746" s="3" t="s">
        <v>16</v>
      </c>
    </row>
    <row r="3747">
      <c r="A3747" s="3" t="s">
        <v>10</v>
      </c>
      <c r="B3747" s="3" t="s">
        <v>18</v>
      </c>
      <c r="C3747" s="3" t="s">
        <v>24</v>
      </c>
    </row>
    <row r="3748">
      <c r="A3748" s="3" t="s">
        <v>10</v>
      </c>
      <c r="B3748" s="3" t="s">
        <v>13</v>
      </c>
      <c r="C3748" s="3" t="s">
        <v>14</v>
      </c>
      <c r="D3748" s="3" t="s">
        <v>17</v>
      </c>
    </row>
    <row r="3749">
      <c r="A3749" s="3" t="s">
        <v>10</v>
      </c>
    </row>
    <row r="3750">
      <c r="A3750" s="3" t="s">
        <v>11</v>
      </c>
      <c r="B3750" s="3" t="s">
        <v>12</v>
      </c>
      <c r="C3750" s="3" t="s">
        <v>14</v>
      </c>
      <c r="D3750" s="3" t="s">
        <v>17</v>
      </c>
    </row>
    <row r="3751">
      <c r="A3751" s="3" t="s">
        <v>11</v>
      </c>
      <c r="B3751" s="3" t="s">
        <v>13</v>
      </c>
      <c r="C3751" s="3" t="s">
        <v>15</v>
      </c>
    </row>
    <row r="3752">
      <c r="A3752" s="3" t="s">
        <v>11</v>
      </c>
      <c r="B3752" s="3" t="s">
        <v>13</v>
      </c>
    </row>
    <row r="3753">
      <c r="A3753" s="3" t="s">
        <v>11</v>
      </c>
      <c r="B3753" s="3" t="s">
        <v>12</v>
      </c>
      <c r="C3753" s="3" t="s">
        <v>15</v>
      </c>
      <c r="D3753" s="3" t="s">
        <v>16</v>
      </c>
      <c r="E3753" s="3" t="s">
        <v>17</v>
      </c>
    </row>
    <row r="3754">
      <c r="A3754" s="3" t="s">
        <v>11</v>
      </c>
      <c r="B3754" s="3" t="s">
        <v>14</v>
      </c>
      <c r="C3754" s="3" t="s">
        <v>17</v>
      </c>
    </row>
    <row r="3755">
      <c r="A3755" s="3" t="s">
        <v>11</v>
      </c>
      <c r="B3755" s="3" t="s">
        <v>12</v>
      </c>
    </row>
    <row r="3756">
      <c r="A3756" s="3" t="s">
        <v>11</v>
      </c>
      <c r="B3756" s="3" t="s">
        <v>15</v>
      </c>
    </row>
    <row r="3757">
      <c r="A3757" s="3" t="s">
        <v>11</v>
      </c>
    </row>
    <row r="3758">
      <c r="A3758" s="3" t="s">
        <v>11</v>
      </c>
      <c r="B3758" s="3" t="s">
        <v>12</v>
      </c>
    </row>
    <row r="3759">
      <c r="A3759" s="3" t="s">
        <v>11</v>
      </c>
      <c r="B3759" s="3" t="s">
        <v>12</v>
      </c>
    </row>
    <row r="3760">
      <c r="A3760" s="3" t="s">
        <v>11</v>
      </c>
      <c r="B3760" s="3" t="s">
        <v>12</v>
      </c>
      <c r="C3760" s="3" t="s">
        <v>13</v>
      </c>
      <c r="D3760" s="3" t="s">
        <v>14</v>
      </c>
    </row>
    <row r="3761">
      <c r="A3761" s="3" t="s">
        <v>11</v>
      </c>
      <c r="B3761" s="3" t="s">
        <v>12</v>
      </c>
      <c r="C3761" s="3" t="s">
        <v>13</v>
      </c>
      <c r="D3761" s="3" t="s">
        <v>14</v>
      </c>
      <c r="E3761" s="3" t="s">
        <v>17</v>
      </c>
    </row>
    <row r="3762">
      <c r="A3762" s="3" t="s">
        <v>11</v>
      </c>
      <c r="B3762" s="3" t="s">
        <v>13</v>
      </c>
      <c r="C3762" s="3" t="s">
        <v>18</v>
      </c>
    </row>
    <row r="3763">
      <c r="A3763" s="3" t="s">
        <v>11</v>
      </c>
      <c r="B3763" s="3" t="s">
        <v>12</v>
      </c>
    </row>
    <row r="3764">
      <c r="A3764" s="3" t="s">
        <v>11</v>
      </c>
      <c r="B3764" s="3" t="s">
        <v>12</v>
      </c>
      <c r="C3764" s="3" t="s">
        <v>14</v>
      </c>
      <c r="D3764" s="3" t="s">
        <v>15</v>
      </c>
      <c r="E3764" s="3" t="s">
        <v>16</v>
      </c>
      <c r="F3764" s="3" t="s">
        <v>18</v>
      </c>
    </row>
    <row r="3765">
      <c r="A3765" s="3" t="s">
        <v>11</v>
      </c>
      <c r="B3765" s="3" t="s">
        <v>12</v>
      </c>
      <c r="C3765" s="3" t="s">
        <v>13</v>
      </c>
      <c r="D3765" s="3" t="s">
        <v>14</v>
      </c>
      <c r="E3765" s="3" t="s">
        <v>17</v>
      </c>
    </row>
    <row r="3766">
      <c r="A3766" s="3" t="s">
        <v>11</v>
      </c>
    </row>
    <row r="3767">
      <c r="A3767" s="3" t="s">
        <v>11</v>
      </c>
      <c r="B3767" s="3" t="s">
        <v>15</v>
      </c>
      <c r="C3767" s="3" t="s">
        <v>18</v>
      </c>
    </row>
    <row r="3768">
      <c r="A3768" s="3" t="s">
        <v>11</v>
      </c>
    </row>
    <row r="3769">
      <c r="A3769" s="3" t="s">
        <v>11</v>
      </c>
    </row>
    <row r="3770">
      <c r="A3770" s="3" t="s">
        <v>11</v>
      </c>
      <c r="B3770" s="3" t="s">
        <v>12</v>
      </c>
      <c r="C3770" s="3" t="s">
        <v>15</v>
      </c>
      <c r="D3770" s="3" t="s">
        <v>16</v>
      </c>
    </row>
    <row r="3771">
      <c r="A3771" s="3" t="s">
        <v>11</v>
      </c>
    </row>
    <row r="3772">
      <c r="A3772" s="3" t="s">
        <v>11</v>
      </c>
    </row>
    <row r="3773">
      <c r="A3773" s="3" t="s">
        <v>11</v>
      </c>
      <c r="B3773" s="3" t="s">
        <v>12</v>
      </c>
    </row>
    <row r="3774">
      <c r="A3774" s="3" t="s">
        <v>11</v>
      </c>
      <c r="B3774" s="3" t="s">
        <v>12</v>
      </c>
    </row>
    <row r="3775">
      <c r="A3775" s="3" t="s">
        <v>11</v>
      </c>
      <c r="B3775" s="3" t="s">
        <v>12</v>
      </c>
      <c r="C3775" s="3" t="s">
        <v>16</v>
      </c>
    </row>
    <row r="3776">
      <c r="A3776" s="3" t="s">
        <v>11</v>
      </c>
      <c r="B3776" s="3" t="s">
        <v>15</v>
      </c>
      <c r="C3776" s="3" t="s">
        <v>16</v>
      </c>
    </row>
    <row r="3777">
      <c r="A3777" s="3" t="s">
        <v>11</v>
      </c>
    </row>
    <row r="3778">
      <c r="A3778" s="3" t="s">
        <v>11</v>
      </c>
      <c r="B3778" s="3" t="s">
        <v>12</v>
      </c>
      <c r="C3778" s="3" t="s">
        <v>13</v>
      </c>
      <c r="D3778" s="3" t="s">
        <v>17</v>
      </c>
    </row>
    <row r="3779">
      <c r="A3779" s="3" t="s">
        <v>11</v>
      </c>
    </row>
    <row r="3780">
      <c r="A3780" s="3" t="s">
        <v>12</v>
      </c>
    </row>
    <row r="3781">
      <c r="A3781" s="3" t="s">
        <v>12</v>
      </c>
      <c r="B3781" s="3" t="s">
        <v>17</v>
      </c>
    </row>
    <row r="3782">
      <c r="A3782" s="3" t="s">
        <v>12</v>
      </c>
      <c r="B3782" s="3" t="s">
        <v>17</v>
      </c>
    </row>
    <row r="3783">
      <c r="A3783" s="3" t="s">
        <v>12</v>
      </c>
    </row>
    <row r="3784">
      <c r="A3784" s="3" t="s">
        <v>12</v>
      </c>
    </row>
    <row r="3785">
      <c r="A3785" s="3" t="s">
        <v>12</v>
      </c>
    </row>
    <row r="3786">
      <c r="A3786" s="3" t="s">
        <v>12</v>
      </c>
      <c r="B3786" s="3" t="s">
        <v>13</v>
      </c>
      <c r="C3786" s="3" t="s">
        <v>15</v>
      </c>
      <c r="D3786" s="3" t="s">
        <v>17</v>
      </c>
      <c r="E3786" s="3" t="s">
        <v>18</v>
      </c>
    </row>
    <row r="3787">
      <c r="A3787" s="3" t="s">
        <v>12</v>
      </c>
    </row>
    <row r="3788">
      <c r="A3788" s="3" t="s">
        <v>12</v>
      </c>
      <c r="B3788" s="3" t="s">
        <v>17</v>
      </c>
    </row>
    <row r="3789">
      <c r="A3789" s="3" t="s">
        <v>12</v>
      </c>
      <c r="B3789" s="3" t="s">
        <v>15</v>
      </c>
      <c r="C3789" s="3" t="s">
        <v>16</v>
      </c>
      <c r="D3789" s="3" t="s">
        <v>18</v>
      </c>
    </row>
    <row r="3790">
      <c r="A3790" s="3" t="s">
        <v>12</v>
      </c>
      <c r="B3790" s="3" t="s">
        <v>15</v>
      </c>
      <c r="C3790" s="3" t="s">
        <v>16</v>
      </c>
      <c r="D3790" s="3" t="s">
        <v>18</v>
      </c>
    </row>
    <row r="3791">
      <c r="A3791" s="3" t="s">
        <v>13</v>
      </c>
      <c r="B3791" s="3" t="s">
        <v>14</v>
      </c>
    </row>
    <row r="3792">
      <c r="A3792" s="3" t="s">
        <v>13</v>
      </c>
      <c r="B3792" s="3" t="s">
        <v>14</v>
      </c>
      <c r="C3792" s="3" t="s">
        <v>15</v>
      </c>
      <c r="D3792" s="3" t="s">
        <v>17</v>
      </c>
    </row>
    <row r="3793">
      <c r="A3793" s="3" t="s">
        <v>13</v>
      </c>
      <c r="B3793" s="3" t="s">
        <v>14</v>
      </c>
      <c r="C3793" s="3" t="s">
        <v>17</v>
      </c>
      <c r="D3793" s="3" t="s">
        <v>18</v>
      </c>
    </row>
    <row r="3794">
      <c r="A3794" s="3" t="s">
        <v>13</v>
      </c>
      <c r="B3794" s="3" t="s">
        <v>14</v>
      </c>
      <c r="C3794" s="3" t="s">
        <v>17</v>
      </c>
      <c r="D3794" s="3" t="s">
        <v>18</v>
      </c>
    </row>
    <row r="3795">
      <c r="A3795" s="3" t="s">
        <v>13</v>
      </c>
      <c r="B3795" s="3" t="s">
        <v>14</v>
      </c>
      <c r="C3795" s="3" t="s">
        <v>15</v>
      </c>
    </row>
    <row r="3796">
      <c r="A3796" s="3" t="s">
        <v>13</v>
      </c>
      <c r="B3796" s="3" t="s">
        <v>18</v>
      </c>
    </row>
    <row r="3797">
      <c r="A3797" s="3" t="s">
        <v>13</v>
      </c>
      <c r="B3797" s="3" t="s">
        <v>17</v>
      </c>
    </row>
    <row r="3798">
      <c r="A3798" s="3" t="s">
        <v>13</v>
      </c>
    </row>
    <row r="3799">
      <c r="A3799" s="3" t="s">
        <v>13</v>
      </c>
      <c r="B3799" s="3" t="s">
        <v>14</v>
      </c>
    </row>
    <row r="3800">
      <c r="A3800" s="3" t="s">
        <v>13</v>
      </c>
      <c r="B3800" s="3" t="s">
        <v>14</v>
      </c>
    </row>
    <row r="3801">
      <c r="A3801" s="3" t="s">
        <v>13</v>
      </c>
      <c r="B3801" s="3" t="s">
        <v>14</v>
      </c>
    </row>
    <row r="3802">
      <c r="A3802" s="3" t="s">
        <v>13</v>
      </c>
      <c r="B3802" s="3" t="s">
        <v>14</v>
      </c>
    </row>
    <row r="3803">
      <c r="A3803" s="3" t="s">
        <v>13</v>
      </c>
      <c r="B3803" s="3" t="s">
        <v>14</v>
      </c>
      <c r="C3803" s="3" t="s">
        <v>15</v>
      </c>
      <c r="D3803" s="3" t="s">
        <v>17</v>
      </c>
    </row>
    <row r="3804">
      <c r="A3804" s="3" t="s">
        <v>13</v>
      </c>
      <c r="B3804" s="3" t="s">
        <v>14</v>
      </c>
    </row>
    <row r="3805">
      <c r="A3805" s="3" t="s">
        <v>13</v>
      </c>
    </row>
    <row r="3806">
      <c r="A3806" s="3" t="s">
        <v>13</v>
      </c>
      <c r="B3806" s="3" t="s">
        <v>14</v>
      </c>
    </row>
    <row r="3807">
      <c r="A3807" s="3" t="s">
        <v>13</v>
      </c>
      <c r="B3807" s="3" t="s">
        <v>15</v>
      </c>
    </row>
    <row r="3808">
      <c r="A3808" s="3" t="s">
        <v>13</v>
      </c>
    </row>
    <row r="3809">
      <c r="A3809" s="3" t="s">
        <v>13</v>
      </c>
      <c r="B3809" s="3" t="s">
        <v>14</v>
      </c>
    </row>
    <row r="3810">
      <c r="A3810" s="3" t="s">
        <v>13</v>
      </c>
    </row>
    <row r="3811">
      <c r="A3811" s="3" t="s">
        <v>13</v>
      </c>
      <c r="B3811" s="3" t="s">
        <v>14</v>
      </c>
    </row>
    <row r="3812">
      <c r="A3812" s="3" t="s">
        <v>13</v>
      </c>
      <c r="B3812" s="3" t="s">
        <v>14</v>
      </c>
    </row>
    <row r="3813">
      <c r="A3813" s="3" t="s">
        <v>13</v>
      </c>
    </row>
    <row r="3814">
      <c r="A3814" s="3" t="s">
        <v>13</v>
      </c>
    </row>
    <row r="3815">
      <c r="A3815" s="3" t="s">
        <v>13</v>
      </c>
      <c r="B3815" s="3" t="s">
        <v>14</v>
      </c>
    </row>
    <row r="3816">
      <c r="A3816" s="3" t="s">
        <v>13</v>
      </c>
    </row>
    <row r="3817">
      <c r="A3817" s="3" t="s">
        <v>13</v>
      </c>
      <c r="B3817" s="3" t="s">
        <v>14</v>
      </c>
    </row>
    <row r="3818">
      <c r="A3818" s="3" t="s">
        <v>13</v>
      </c>
    </row>
    <row r="3819">
      <c r="A3819" s="3" t="s">
        <v>13</v>
      </c>
      <c r="B3819" s="3" t="s">
        <v>15</v>
      </c>
      <c r="C3819" s="3" t="s">
        <v>16</v>
      </c>
    </row>
    <row r="3820">
      <c r="A3820" s="3" t="s">
        <v>13</v>
      </c>
      <c r="B3820" s="3" t="s">
        <v>14</v>
      </c>
    </row>
    <row r="3821">
      <c r="A3821" s="3" t="s">
        <v>13</v>
      </c>
    </row>
    <row r="3822">
      <c r="A3822" s="3" t="s">
        <v>13</v>
      </c>
      <c r="B3822" s="3" t="s">
        <v>14</v>
      </c>
    </row>
    <row r="3823">
      <c r="A3823" s="3" t="s">
        <v>13</v>
      </c>
    </row>
    <row r="3824">
      <c r="A3824" s="3" t="s">
        <v>13</v>
      </c>
      <c r="B3824" s="3" t="s">
        <v>15</v>
      </c>
    </row>
    <row r="3825">
      <c r="A3825" s="3" t="s">
        <v>13</v>
      </c>
    </row>
    <row r="3826">
      <c r="A3826" s="3" t="s">
        <v>13</v>
      </c>
    </row>
    <row r="3827">
      <c r="A3827" s="3" t="s">
        <v>13</v>
      </c>
    </row>
    <row r="3828">
      <c r="A3828" s="3" t="s">
        <v>13</v>
      </c>
      <c r="B3828" s="3" t="s">
        <v>17</v>
      </c>
    </row>
    <row r="3829">
      <c r="A3829" s="3" t="s">
        <v>13</v>
      </c>
    </row>
    <row r="3830">
      <c r="A3830" s="3" t="s">
        <v>13</v>
      </c>
      <c r="B3830" s="3" t="s">
        <v>14</v>
      </c>
    </row>
    <row r="3831">
      <c r="A3831" s="3" t="s">
        <v>13</v>
      </c>
    </row>
    <row r="3832">
      <c r="A3832" s="3" t="s">
        <v>13</v>
      </c>
    </row>
    <row r="3833">
      <c r="A3833" s="3" t="s">
        <v>13</v>
      </c>
    </row>
    <row r="3834">
      <c r="A3834" s="3" t="s">
        <v>13</v>
      </c>
    </row>
    <row r="3835">
      <c r="A3835" s="3" t="s">
        <v>13</v>
      </c>
      <c r="B3835" s="3" t="s">
        <v>15</v>
      </c>
      <c r="C3835" s="3" t="s">
        <v>16</v>
      </c>
    </row>
    <row r="3836">
      <c r="A3836" s="3" t="s">
        <v>13</v>
      </c>
    </row>
    <row r="3837">
      <c r="A3837" s="3" t="s">
        <v>13</v>
      </c>
      <c r="B3837" s="3" t="s">
        <v>15</v>
      </c>
      <c r="C3837" s="3" t="s">
        <v>16</v>
      </c>
      <c r="D3837" s="3" t="s">
        <v>17</v>
      </c>
    </row>
    <row r="3838">
      <c r="A3838" s="3" t="s">
        <v>13</v>
      </c>
    </row>
    <row r="3839">
      <c r="A3839" s="3" t="s">
        <v>13</v>
      </c>
      <c r="B3839" s="3" t="s">
        <v>14</v>
      </c>
    </row>
    <row r="3840">
      <c r="A3840" s="3" t="s">
        <v>13</v>
      </c>
      <c r="B3840" s="3" t="s">
        <v>14</v>
      </c>
    </row>
    <row r="3841">
      <c r="A3841" s="3" t="s">
        <v>13</v>
      </c>
    </row>
    <row r="3842">
      <c r="A3842" s="3" t="s">
        <v>13</v>
      </c>
    </row>
    <row r="3843">
      <c r="A3843" s="3" t="s">
        <v>13</v>
      </c>
    </row>
    <row r="3844">
      <c r="A3844" s="3" t="s">
        <v>13</v>
      </c>
    </row>
    <row r="3845">
      <c r="A3845" s="3" t="s">
        <v>13</v>
      </c>
    </row>
    <row r="3846">
      <c r="A3846" s="3" t="s">
        <v>14</v>
      </c>
      <c r="B3846" s="3" t="s">
        <v>17</v>
      </c>
    </row>
    <row r="3847">
      <c r="A3847" s="3" t="s">
        <v>14</v>
      </c>
      <c r="B3847" s="3" t="s">
        <v>18</v>
      </c>
    </row>
    <row r="3848">
      <c r="A3848" s="3" t="s">
        <v>14</v>
      </c>
    </row>
    <row r="3849">
      <c r="A3849" s="3" t="s">
        <v>14</v>
      </c>
    </row>
    <row r="3850">
      <c r="A3850" s="3" t="s">
        <v>14</v>
      </c>
    </row>
    <row r="3851">
      <c r="A3851" s="3" t="s">
        <v>14</v>
      </c>
    </row>
    <row r="3852">
      <c r="A3852" s="3" t="s">
        <v>14</v>
      </c>
      <c r="B3852" s="3" t="s">
        <v>15</v>
      </c>
    </row>
    <row r="3853">
      <c r="A3853" s="3" t="s">
        <v>14</v>
      </c>
      <c r="B3853" s="3" t="s">
        <v>16</v>
      </c>
      <c r="C3853" s="3" t="s">
        <v>18</v>
      </c>
    </row>
    <row r="3854">
      <c r="A3854" s="3" t="s">
        <v>14</v>
      </c>
      <c r="B3854" s="3" t="s">
        <v>16</v>
      </c>
    </row>
    <row r="3855">
      <c r="A3855" s="3" t="s">
        <v>14</v>
      </c>
    </row>
    <row r="3856">
      <c r="A3856" s="3" t="s">
        <v>14</v>
      </c>
    </row>
    <row r="3857">
      <c r="A3857" s="3" t="s">
        <v>14</v>
      </c>
    </row>
    <row r="3858">
      <c r="A3858" s="3" t="s">
        <v>14</v>
      </c>
    </row>
    <row r="3859">
      <c r="A3859" s="3" t="s">
        <v>15</v>
      </c>
    </row>
    <row r="3860">
      <c r="A3860" s="3" t="s">
        <v>15</v>
      </c>
    </row>
    <row r="3861">
      <c r="A3861" s="3" t="s">
        <v>15</v>
      </c>
      <c r="B3861" s="3" t="s">
        <v>16</v>
      </c>
      <c r="C3861" s="3" t="s">
        <v>18</v>
      </c>
    </row>
    <row r="3862">
      <c r="A3862" s="3" t="s">
        <v>15</v>
      </c>
      <c r="B3862" s="3" t="s">
        <v>16</v>
      </c>
    </row>
    <row r="3863">
      <c r="A3863" s="3" t="s">
        <v>15</v>
      </c>
      <c r="B3863" s="3" t="s">
        <v>16</v>
      </c>
    </row>
    <row r="3864">
      <c r="A3864" s="3" t="s">
        <v>15</v>
      </c>
      <c r="B3864" s="3" t="s">
        <v>16</v>
      </c>
      <c r="C3864" s="3" t="s">
        <v>18</v>
      </c>
    </row>
    <row r="3865">
      <c r="A3865" s="3" t="s">
        <v>15</v>
      </c>
      <c r="B3865" s="3" t="s">
        <v>16</v>
      </c>
      <c r="C3865" s="3" t="s">
        <v>18</v>
      </c>
    </row>
    <row r="3866">
      <c r="A3866" s="3" t="s">
        <v>15</v>
      </c>
      <c r="B3866" s="3" t="s">
        <v>16</v>
      </c>
    </row>
    <row r="3867">
      <c r="A3867" s="3" t="s">
        <v>15</v>
      </c>
      <c r="B3867" s="3" t="s">
        <v>16</v>
      </c>
    </row>
    <row r="3868">
      <c r="A3868" s="3" t="s">
        <v>15</v>
      </c>
    </row>
    <row r="3869">
      <c r="A3869" s="3" t="s">
        <v>15</v>
      </c>
      <c r="B3869" s="3" t="s">
        <v>16</v>
      </c>
    </row>
    <row r="3870">
      <c r="A3870" s="3" t="s">
        <v>15</v>
      </c>
      <c r="B3870" s="3" t="s">
        <v>16</v>
      </c>
    </row>
    <row r="3871">
      <c r="A3871" s="3" t="s">
        <v>15</v>
      </c>
      <c r="B3871" s="3" t="s">
        <v>16</v>
      </c>
    </row>
    <row r="3872">
      <c r="A3872" s="3" t="s">
        <v>15</v>
      </c>
      <c r="B3872" s="3" t="s">
        <v>16</v>
      </c>
    </row>
    <row r="3873">
      <c r="A3873" s="3" t="s">
        <v>15</v>
      </c>
      <c r="B3873" s="3" t="s">
        <v>16</v>
      </c>
      <c r="C3873" s="3" t="s">
        <v>17</v>
      </c>
    </row>
    <row r="3874">
      <c r="A3874" s="3" t="s">
        <v>15</v>
      </c>
    </row>
    <row r="3875">
      <c r="A3875" s="3" t="s">
        <v>15</v>
      </c>
    </row>
    <row r="3876">
      <c r="A3876" s="3" t="s">
        <v>15</v>
      </c>
    </row>
    <row r="3877">
      <c r="A3877" s="3" t="s">
        <v>15</v>
      </c>
    </row>
    <row r="3878">
      <c r="A3878" s="3" t="s">
        <v>15</v>
      </c>
      <c r="B3878" s="3" t="s">
        <v>16</v>
      </c>
      <c r="C3878" s="3" t="s">
        <v>17</v>
      </c>
      <c r="D3878" s="3" t="s">
        <v>18</v>
      </c>
      <c r="E3878" s="3" t="s">
        <v>24</v>
      </c>
    </row>
    <row r="3879">
      <c r="A3879" s="3" t="s">
        <v>15</v>
      </c>
    </row>
    <row r="3880">
      <c r="A3880" s="3" t="s">
        <v>15</v>
      </c>
    </row>
    <row r="3881">
      <c r="A3881" s="3" t="s">
        <v>15</v>
      </c>
      <c r="B3881" s="3" t="s">
        <v>16</v>
      </c>
    </row>
    <row r="3882">
      <c r="A3882" s="3" t="s">
        <v>15</v>
      </c>
    </row>
    <row r="3883">
      <c r="A3883" s="3" t="s">
        <v>15</v>
      </c>
      <c r="B3883" s="3" t="s">
        <v>16</v>
      </c>
    </row>
    <row r="3884">
      <c r="A3884" s="3" t="s">
        <v>15</v>
      </c>
      <c r="B3884" s="3" t="s">
        <v>16</v>
      </c>
    </row>
    <row r="3885">
      <c r="A3885" s="3" t="s">
        <v>15</v>
      </c>
      <c r="B3885" s="3" t="s">
        <v>16</v>
      </c>
    </row>
    <row r="3886">
      <c r="A3886" s="3" t="s">
        <v>15</v>
      </c>
    </row>
    <row r="3887">
      <c r="A3887" s="3" t="s">
        <v>15</v>
      </c>
    </row>
    <row r="3888">
      <c r="A3888" s="3" t="s">
        <v>16</v>
      </c>
      <c r="B3888" s="3" t="s">
        <v>17</v>
      </c>
    </row>
    <row r="3889">
      <c r="A3889" s="3" t="s">
        <v>16</v>
      </c>
    </row>
    <row r="3890">
      <c r="A3890" s="3" t="s">
        <v>16</v>
      </c>
    </row>
    <row r="3891">
      <c r="A3891" s="3" t="s">
        <v>16</v>
      </c>
      <c r="B3891" s="3" t="s">
        <v>17</v>
      </c>
    </row>
    <row r="3892">
      <c r="A3892" s="3" t="s">
        <v>16</v>
      </c>
    </row>
    <row r="3893">
      <c r="A3893" s="3" t="s">
        <v>16</v>
      </c>
    </row>
    <row r="3894">
      <c r="A3894" s="3" t="s">
        <v>16</v>
      </c>
    </row>
    <row r="3895">
      <c r="A3895" s="3" t="s">
        <v>16</v>
      </c>
    </row>
    <row r="3896">
      <c r="A3896" s="3" t="s">
        <v>16</v>
      </c>
    </row>
    <row r="3897">
      <c r="A3897" s="3" t="s">
        <v>16</v>
      </c>
    </row>
    <row r="3898">
      <c r="A3898" s="3" t="s">
        <v>16</v>
      </c>
    </row>
    <row r="3899">
      <c r="A3899" s="3" t="s">
        <v>16</v>
      </c>
    </row>
    <row r="3900">
      <c r="A3900" s="3" t="s">
        <v>17</v>
      </c>
      <c r="B3900" s="3" t="s">
        <v>18</v>
      </c>
    </row>
    <row r="3901">
      <c r="A3901" s="3" t="s">
        <v>17</v>
      </c>
    </row>
    <row r="3902">
      <c r="A3902" s="3" t="s">
        <v>17</v>
      </c>
    </row>
    <row r="3903">
      <c r="A3903" s="3" t="s">
        <v>17</v>
      </c>
    </row>
    <row r="3904">
      <c r="A3904" s="3" t="s">
        <v>17</v>
      </c>
    </row>
    <row r="3905">
      <c r="A3905" s="3" t="s">
        <v>6</v>
      </c>
      <c r="B3905" s="3" t="s">
        <v>7</v>
      </c>
      <c r="C3905" s="3" t="s">
        <v>8</v>
      </c>
      <c r="D3905" s="3" t="s">
        <v>9</v>
      </c>
      <c r="E3905" s="3" t="s">
        <v>15</v>
      </c>
      <c r="F3905" s="3" t="s">
        <v>17</v>
      </c>
    </row>
    <row r="3906">
      <c r="A3906" s="3" t="s">
        <v>6</v>
      </c>
      <c r="B3906" s="3" t="s">
        <v>7</v>
      </c>
      <c r="C3906" s="3" t="s">
        <v>8</v>
      </c>
      <c r="D3906" s="3" t="s">
        <v>15</v>
      </c>
    </row>
    <row r="3907">
      <c r="A3907" s="3" t="s">
        <v>6</v>
      </c>
      <c r="B3907" s="3" t="s">
        <v>7</v>
      </c>
      <c r="C3907" s="3" t="s">
        <v>8</v>
      </c>
      <c r="D3907" s="3" t="s">
        <v>9</v>
      </c>
      <c r="E3907" s="3" t="s">
        <v>12</v>
      </c>
      <c r="F3907" s="3" t="s">
        <v>18</v>
      </c>
    </row>
    <row r="3908">
      <c r="A3908" s="3" t="s">
        <v>6</v>
      </c>
      <c r="B3908" s="3" t="s">
        <v>7</v>
      </c>
      <c r="C3908" s="3" t="s">
        <v>13</v>
      </c>
      <c r="D3908" s="3" t="s">
        <v>14</v>
      </c>
      <c r="E3908" s="3" t="s">
        <v>17</v>
      </c>
    </row>
    <row r="3909">
      <c r="A3909" s="3" t="s">
        <v>6</v>
      </c>
      <c r="B3909" s="3" t="s">
        <v>7</v>
      </c>
      <c r="C3909" s="3" t="s">
        <v>8</v>
      </c>
      <c r="D3909" s="3" t="s">
        <v>11</v>
      </c>
      <c r="E3909" s="3" t="s">
        <v>12</v>
      </c>
      <c r="F3909" s="3" t="s">
        <v>15</v>
      </c>
    </row>
    <row r="3910">
      <c r="A3910" s="3" t="s">
        <v>6</v>
      </c>
      <c r="B3910" s="3" t="s">
        <v>7</v>
      </c>
      <c r="C3910" s="3" t="s">
        <v>8</v>
      </c>
      <c r="D3910" s="3" t="s">
        <v>9</v>
      </c>
      <c r="E3910" s="3" t="s">
        <v>10</v>
      </c>
      <c r="F3910" s="3" t="s">
        <v>12</v>
      </c>
    </row>
    <row r="3911">
      <c r="A3911" s="3" t="s">
        <v>6</v>
      </c>
      <c r="B3911" s="3" t="s">
        <v>7</v>
      </c>
      <c r="C3911" s="3" t="s">
        <v>8</v>
      </c>
      <c r="D3911" s="3" t="s">
        <v>11</v>
      </c>
      <c r="E3911" s="3" t="s">
        <v>15</v>
      </c>
    </row>
    <row r="3912">
      <c r="A3912" s="3" t="s">
        <v>6</v>
      </c>
      <c r="B3912" s="3" t="s">
        <v>7</v>
      </c>
      <c r="C3912" s="3" t="s">
        <v>8</v>
      </c>
      <c r="D3912" s="3" t="s">
        <v>11</v>
      </c>
      <c r="E3912" s="3" t="s">
        <v>12</v>
      </c>
      <c r="F3912" s="3" t="s">
        <v>15</v>
      </c>
    </row>
    <row r="3913">
      <c r="A3913" s="3" t="s">
        <v>6</v>
      </c>
      <c r="B3913" s="3" t="s">
        <v>7</v>
      </c>
      <c r="C3913" s="3" t="s">
        <v>11</v>
      </c>
      <c r="D3913" s="3" t="s">
        <v>12</v>
      </c>
      <c r="E3913" s="3" t="s">
        <v>15</v>
      </c>
      <c r="F3913" s="3" t="s">
        <v>17</v>
      </c>
    </row>
    <row r="3914">
      <c r="A3914" s="3" t="s">
        <v>6</v>
      </c>
      <c r="B3914" s="3" t="s">
        <v>7</v>
      </c>
      <c r="C3914" s="3" t="s">
        <v>13</v>
      </c>
      <c r="D3914" s="3" t="s">
        <v>15</v>
      </c>
      <c r="E3914" s="3" t="s">
        <v>17</v>
      </c>
    </row>
    <row r="3915">
      <c r="A3915" s="3" t="s">
        <v>6</v>
      </c>
      <c r="B3915" s="3" t="s">
        <v>7</v>
      </c>
      <c r="C3915" s="3" t="s">
        <v>8</v>
      </c>
      <c r="D3915" s="3" t="s">
        <v>9</v>
      </c>
      <c r="E3915" s="3" t="s">
        <v>17</v>
      </c>
      <c r="F3915" s="3" t="s">
        <v>18</v>
      </c>
    </row>
    <row r="3916">
      <c r="A3916" s="3" t="s">
        <v>6</v>
      </c>
      <c r="B3916" s="3" t="s">
        <v>7</v>
      </c>
      <c r="C3916" s="3" t="s">
        <v>8</v>
      </c>
      <c r="D3916" s="3" t="s">
        <v>11</v>
      </c>
      <c r="E3916" s="3" t="s">
        <v>15</v>
      </c>
    </row>
    <row r="3917">
      <c r="A3917" s="3" t="s">
        <v>6</v>
      </c>
      <c r="B3917" s="3" t="s">
        <v>13</v>
      </c>
      <c r="C3917" s="3" t="s">
        <v>15</v>
      </c>
      <c r="D3917" s="3" t="s">
        <v>16</v>
      </c>
      <c r="E3917" s="3" t="s">
        <v>17</v>
      </c>
    </row>
    <row r="3918">
      <c r="A3918" s="3" t="s">
        <v>6</v>
      </c>
      <c r="B3918" s="3" t="s">
        <v>7</v>
      </c>
      <c r="C3918" s="3" t="s">
        <v>11</v>
      </c>
      <c r="D3918" s="3" t="s">
        <v>14</v>
      </c>
      <c r="E3918" s="3" t="s">
        <v>17</v>
      </c>
    </row>
    <row r="3919">
      <c r="A3919" s="3" t="s">
        <v>6</v>
      </c>
      <c r="B3919" s="3" t="s">
        <v>11</v>
      </c>
    </row>
    <row r="3920">
      <c r="A3920" s="3" t="s">
        <v>6</v>
      </c>
      <c r="B3920" s="3" t="s">
        <v>7</v>
      </c>
    </row>
    <row r="3921">
      <c r="A3921" s="3" t="s">
        <v>6</v>
      </c>
      <c r="B3921" s="3" t="s">
        <v>7</v>
      </c>
      <c r="C3921" s="3" t="s">
        <v>13</v>
      </c>
    </row>
    <row r="3922">
      <c r="A3922" s="3" t="s">
        <v>6</v>
      </c>
      <c r="B3922" s="3" t="s">
        <v>7</v>
      </c>
      <c r="C3922" s="3" t="s">
        <v>8</v>
      </c>
      <c r="D3922" s="3" t="s">
        <v>9</v>
      </c>
      <c r="E3922" s="3" t="s">
        <v>15</v>
      </c>
      <c r="F3922" s="3" t="s">
        <v>17</v>
      </c>
    </row>
    <row r="3923">
      <c r="A3923" s="3" t="s">
        <v>6</v>
      </c>
      <c r="B3923" s="3" t="s">
        <v>7</v>
      </c>
      <c r="C3923" s="3" t="s">
        <v>9</v>
      </c>
      <c r="D3923" s="3" t="s">
        <v>12</v>
      </c>
      <c r="E3923" s="3" t="s">
        <v>16</v>
      </c>
    </row>
    <row r="3924">
      <c r="A3924" s="3" t="s">
        <v>6</v>
      </c>
      <c r="B3924" s="3" t="s">
        <v>7</v>
      </c>
      <c r="C3924" s="3" t="s">
        <v>11</v>
      </c>
    </row>
    <row r="3925">
      <c r="A3925" s="3" t="s">
        <v>6</v>
      </c>
      <c r="B3925" s="3" t="s">
        <v>7</v>
      </c>
      <c r="C3925" s="3" t="s">
        <v>8</v>
      </c>
      <c r="D3925" s="3" t="s">
        <v>13</v>
      </c>
      <c r="E3925" s="3" t="s">
        <v>14</v>
      </c>
      <c r="F3925" s="3" t="s">
        <v>17</v>
      </c>
    </row>
    <row r="3926">
      <c r="A3926" s="3" t="s">
        <v>6</v>
      </c>
      <c r="B3926" s="3" t="s">
        <v>7</v>
      </c>
      <c r="C3926" s="3" t="s">
        <v>11</v>
      </c>
      <c r="D3926" s="3" t="s">
        <v>17</v>
      </c>
    </row>
    <row r="3927">
      <c r="A3927" s="3" t="s">
        <v>6</v>
      </c>
      <c r="B3927" s="3" t="s">
        <v>7</v>
      </c>
      <c r="C3927" s="3" t="s">
        <v>17</v>
      </c>
    </row>
    <row r="3928">
      <c r="A3928" s="3" t="s">
        <v>6</v>
      </c>
      <c r="B3928" s="3" t="s">
        <v>7</v>
      </c>
      <c r="C3928" s="3" t="s">
        <v>8</v>
      </c>
      <c r="D3928" s="3" t="s">
        <v>11</v>
      </c>
      <c r="E3928" s="3" t="s">
        <v>12</v>
      </c>
      <c r="F3928" s="3" t="s">
        <v>17</v>
      </c>
    </row>
    <row r="3929">
      <c r="A3929" s="3" t="s">
        <v>6</v>
      </c>
      <c r="B3929" s="3" t="s">
        <v>7</v>
      </c>
      <c r="C3929" s="3" t="s">
        <v>8</v>
      </c>
      <c r="D3929" s="3" t="s">
        <v>9</v>
      </c>
      <c r="E3929" s="3" t="s">
        <v>15</v>
      </c>
      <c r="F3929" s="3" t="s">
        <v>16</v>
      </c>
    </row>
    <row r="3930">
      <c r="A3930" s="3" t="s">
        <v>6</v>
      </c>
      <c r="B3930" s="3" t="s">
        <v>7</v>
      </c>
      <c r="C3930" s="3" t="s">
        <v>8</v>
      </c>
      <c r="D3930" s="3" t="s">
        <v>15</v>
      </c>
      <c r="E3930" s="3" t="s">
        <v>16</v>
      </c>
      <c r="F3930" s="3" t="s">
        <v>17</v>
      </c>
    </row>
    <row r="3931">
      <c r="A3931" s="3" t="s">
        <v>6</v>
      </c>
      <c r="B3931" s="3" t="s">
        <v>7</v>
      </c>
      <c r="C3931" s="3" t="s">
        <v>8</v>
      </c>
      <c r="D3931" s="3" t="s">
        <v>11</v>
      </c>
      <c r="E3931" s="3" t="s">
        <v>13</v>
      </c>
      <c r="F3931" s="3" t="s">
        <v>17</v>
      </c>
    </row>
    <row r="3932">
      <c r="A3932" s="3" t="s">
        <v>6</v>
      </c>
      <c r="B3932" s="3" t="s">
        <v>7</v>
      </c>
      <c r="C3932" s="3" t="s">
        <v>13</v>
      </c>
      <c r="D3932" s="3" t="s">
        <v>15</v>
      </c>
    </row>
    <row r="3933">
      <c r="A3933" s="3" t="s">
        <v>6</v>
      </c>
      <c r="B3933" s="3" t="s">
        <v>11</v>
      </c>
      <c r="C3933" s="3" t="s">
        <v>12</v>
      </c>
      <c r="D3933" s="3" t="s">
        <v>13</v>
      </c>
      <c r="E3933" s="3" t="s">
        <v>14</v>
      </c>
      <c r="F3933" s="3" t="s">
        <v>17</v>
      </c>
    </row>
    <row r="3934">
      <c r="A3934" s="3" t="s">
        <v>6</v>
      </c>
      <c r="B3934" s="3" t="s">
        <v>7</v>
      </c>
      <c r="C3934" s="3" t="s">
        <v>8</v>
      </c>
      <c r="D3934" s="3" t="s">
        <v>13</v>
      </c>
      <c r="E3934" s="3" t="s">
        <v>17</v>
      </c>
    </row>
    <row r="3935">
      <c r="A3935" s="3" t="s">
        <v>6</v>
      </c>
      <c r="B3935" s="3" t="s">
        <v>7</v>
      </c>
      <c r="C3935" s="3" t="s">
        <v>8</v>
      </c>
      <c r="D3935" s="3" t="s">
        <v>11</v>
      </c>
      <c r="E3935" s="3" t="s">
        <v>15</v>
      </c>
      <c r="F3935" s="3" t="s">
        <v>17</v>
      </c>
    </row>
    <row r="3936">
      <c r="A3936" s="3" t="s">
        <v>6</v>
      </c>
      <c r="B3936" s="3" t="s">
        <v>7</v>
      </c>
      <c r="C3936" s="3" t="s">
        <v>8</v>
      </c>
      <c r="D3936" s="3" t="s">
        <v>11</v>
      </c>
      <c r="E3936" s="3" t="s">
        <v>12</v>
      </c>
      <c r="F3936" s="3" t="s">
        <v>15</v>
      </c>
    </row>
    <row r="3937">
      <c r="A3937" s="3" t="s">
        <v>6</v>
      </c>
      <c r="B3937" s="3" t="s">
        <v>7</v>
      </c>
      <c r="C3937" s="3" t="s">
        <v>11</v>
      </c>
      <c r="D3937" s="3" t="s">
        <v>13</v>
      </c>
      <c r="E3937" s="3" t="s">
        <v>15</v>
      </c>
    </row>
    <row r="3938">
      <c r="A3938" s="3" t="s">
        <v>6</v>
      </c>
      <c r="B3938" s="3" t="s">
        <v>7</v>
      </c>
      <c r="C3938" s="3" t="s">
        <v>8</v>
      </c>
      <c r="D3938" s="3" t="s">
        <v>11</v>
      </c>
      <c r="E3938" s="3" t="s">
        <v>13</v>
      </c>
      <c r="F3938" s="3" t="s">
        <v>17</v>
      </c>
    </row>
    <row r="3939">
      <c r="A3939" s="3" t="s">
        <v>6</v>
      </c>
      <c r="B3939" s="3" t="s">
        <v>7</v>
      </c>
      <c r="C3939" s="3" t="s">
        <v>9</v>
      </c>
      <c r="D3939" s="3" t="s">
        <v>14</v>
      </c>
      <c r="E3939" s="3" t="s">
        <v>17</v>
      </c>
    </row>
    <row r="3940">
      <c r="A3940" s="3" t="s">
        <v>6</v>
      </c>
      <c r="B3940" s="3" t="s">
        <v>7</v>
      </c>
      <c r="C3940" s="3" t="s">
        <v>8</v>
      </c>
      <c r="D3940" s="3" t="s">
        <v>9</v>
      </c>
      <c r="E3940" s="3" t="s">
        <v>10</v>
      </c>
      <c r="F3940" s="3" t="s">
        <v>13</v>
      </c>
    </row>
    <row r="3941">
      <c r="A3941" s="3" t="s">
        <v>6</v>
      </c>
      <c r="B3941" s="3" t="s">
        <v>7</v>
      </c>
      <c r="C3941" s="3" t="s">
        <v>8</v>
      </c>
      <c r="D3941" s="3" t="s">
        <v>9</v>
      </c>
      <c r="E3941" s="3" t="s">
        <v>15</v>
      </c>
      <c r="F3941" s="3" t="s">
        <v>16</v>
      </c>
    </row>
    <row r="3942">
      <c r="A3942" s="3" t="s">
        <v>6</v>
      </c>
      <c r="B3942" s="3" t="s">
        <v>7</v>
      </c>
      <c r="C3942" s="3" t="s">
        <v>8</v>
      </c>
      <c r="D3942" s="3" t="s">
        <v>11</v>
      </c>
      <c r="E3942" s="3" t="s">
        <v>12</v>
      </c>
      <c r="F3942" s="3" t="s">
        <v>13</v>
      </c>
    </row>
    <row r="3943">
      <c r="A3943" s="3" t="s">
        <v>6</v>
      </c>
      <c r="B3943" s="3" t="s">
        <v>7</v>
      </c>
      <c r="C3943" s="3" t="s">
        <v>8</v>
      </c>
      <c r="D3943" s="3" t="s">
        <v>11</v>
      </c>
      <c r="E3943" s="3" t="s">
        <v>12</v>
      </c>
      <c r="F3943" s="3" t="s">
        <v>15</v>
      </c>
    </row>
    <row r="3944">
      <c r="A3944" s="3" t="s">
        <v>6</v>
      </c>
      <c r="B3944" s="3" t="s">
        <v>7</v>
      </c>
      <c r="C3944" s="3" t="s">
        <v>8</v>
      </c>
      <c r="D3944" s="3" t="s">
        <v>13</v>
      </c>
      <c r="E3944" s="3" t="s">
        <v>14</v>
      </c>
      <c r="F3944" s="3" t="s">
        <v>17</v>
      </c>
    </row>
    <row r="3945">
      <c r="A3945" s="3" t="s">
        <v>6</v>
      </c>
      <c r="B3945" s="3" t="s">
        <v>7</v>
      </c>
      <c r="C3945" s="3" t="s">
        <v>8</v>
      </c>
      <c r="D3945" s="3" t="s">
        <v>13</v>
      </c>
      <c r="E3945" s="3" t="s">
        <v>14</v>
      </c>
      <c r="F3945" s="3" t="s">
        <v>17</v>
      </c>
    </row>
    <row r="3946">
      <c r="A3946" s="3" t="s">
        <v>6</v>
      </c>
      <c r="B3946" s="3" t="s">
        <v>7</v>
      </c>
      <c r="C3946" s="3" t="s">
        <v>9</v>
      </c>
      <c r="D3946" s="3" t="s">
        <v>11</v>
      </c>
      <c r="E3946" s="3" t="s">
        <v>13</v>
      </c>
      <c r="F3946" s="3" t="s">
        <v>17</v>
      </c>
    </row>
    <row r="3947">
      <c r="A3947" s="3" t="s">
        <v>6</v>
      </c>
      <c r="B3947" s="3" t="s">
        <v>7</v>
      </c>
      <c r="C3947" s="3" t="s">
        <v>8</v>
      </c>
      <c r="D3947" s="3" t="s">
        <v>15</v>
      </c>
      <c r="E3947" s="3" t="s">
        <v>16</v>
      </c>
      <c r="F3947" s="3" t="s">
        <v>17</v>
      </c>
    </row>
    <row r="3948">
      <c r="A3948" s="3" t="s">
        <v>6</v>
      </c>
      <c r="B3948" s="3" t="s">
        <v>12</v>
      </c>
      <c r="C3948" s="3" t="s">
        <v>13</v>
      </c>
      <c r="D3948" s="3" t="s">
        <v>15</v>
      </c>
      <c r="E3948" s="3" t="s">
        <v>17</v>
      </c>
      <c r="F3948" s="3" t="s">
        <v>18</v>
      </c>
    </row>
    <row r="3949">
      <c r="A3949" s="3" t="s">
        <v>6</v>
      </c>
      <c r="B3949" s="3" t="s">
        <v>7</v>
      </c>
      <c r="C3949" s="3" t="s">
        <v>11</v>
      </c>
      <c r="D3949" s="3" t="s">
        <v>12</v>
      </c>
      <c r="E3949" s="3" t="s">
        <v>17</v>
      </c>
    </row>
    <row r="3950">
      <c r="A3950" s="3" t="s">
        <v>6</v>
      </c>
      <c r="B3950" s="3" t="s">
        <v>14</v>
      </c>
    </row>
    <row r="3951">
      <c r="A3951" s="3" t="s">
        <v>6</v>
      </c>
      <c r="B3951" s="3" t="s">
        <v>7</v>
      </c>
      <c r="C3951" s="3" t="s">
        <v>8</v>
      </c>
      <c r="D3951" s="3" t="s">
        <v>9</v>
      </c>
      <c r="E3951" s="3" t="s">
        <v>13</v>
      </c>
      <c r="F3951" s="3" t="s">
        <v>17</v>
      </c>
    </row>
    <row r="3952">
      <c r="A3952" s="3" t="s">
        <v>6</v>
      </c>
      <c r="B3952" s="3" t="s">
        <v>7</v>
      </c>
    </row>
    <row r="3953">
      <c r="A3953" s="3" t="s">
        <v>6</v>
      </c>
      <c r="B3953" s="3" t="s">
        <v>7</v>
      </c>
      <c r="C3953" s="3" t="s">
        <v>11</v>
      </c>
      <c r="D3953" s="3" t="s">
        <v>12</v>
      </c>
      <c r="E3953" s="3" t="s">
        <v>15</v>
      </c>
    </row>
    <row r="3954">
      <c r="A3954" s="3" t="s">
        <v>6</v>
      </c>
      <c r="B3954" s="3" t="s">
        <v>14</v>
      </c>
      <c r="C3954" s="3" t="s">
        <v>16</v>
      </c>
      <c r="D3954" s="3" t="s">
        <v>17</v>
      </c>
    </row>
    <row r="3955">
      <c r="A3955" s="3" t="s">
        <v>6</v>
      </c>
      <c r="B3955" s="3" t="s">
        <v>7</v>
      </c>
      <c r="C3955" s="3" t="s">
        <v>15</v>
      </c>
    </row>
    <row r="3956">
      <c r="A3956" s="3" t="s">
        <v>6</v>
      </c>
      <c r="B3956" s="3" t="s">
        <v>7</v>
      </c>
      <c r="C3956" s="3" t="s">
        <v>11</v>
      </c>
      <c r="D3956" s="3" t="s">
        <v>12</v>
      </c>
      <c r="E3956" s="3" t="s">
        <v>15</v>
      </c>
      <c r="F3956" s="3" t="s">
        <v>16</v>
      </c>
    </row>
    <row r="3957">
      <c r="A3957" s="3" t="s">
        <v>6</v>
      </c>
      <c r="B3957" s="3" t="s">
        <v>7</v>
      </c>
      <c r="C3957" s="3" t="s">
        <v>13</v>
      </c>
      <c r="D3957" s="3" t="s">
        <v>14</v>
      </c>
    </row>
    <row r="3958">
      <c r="A3958" s="3" t="s">
        <v>6</v>
      </c>
      <c r="B3958" s="3" t="s">
        <v>7</v>
      </c>
      <c r="C3958" s="3" t="s">
        <v>11</v>
      </c>
      <c r="D3958" s="3" t="s">
        <v>12</v>
      </c>
      <c r="E3958" s="3" t="s">
        <v>13</v>
      </c>
      <c r="F3958" s="3" t="s">
        <v>15</v>
      </c>
    </row>
    <row r="3959">
      <c r="A3959" s="3" t="s">
        <v>6</v>
      </c>
    </row>
    <row r="3960">
      <c r="A3960" s="3" t="s">
        <v>6</v>
      </c>
      <c r="B3960" s="3" t="s">
        <v>8</v>
      </c>
      <c r="C3960" s="3" t="s">
        <v>15</v>
      </c>
    </row>
    <row r="3961">
      <c r="A3961" s="3" t="s">
        <v>6</v>
      </c>
      <c r="B3961" s="3" t="s">
        <v>8</v>
      </c>
    </row>
    <row r="3962">
      <c r="A3962" s="3" t="s">
        <v>6</v>
      </c>
      <c r="B3962" s="3" t="s">
        <v>7</v>
      </c>
      <c r="C3962" s="3" t="s">
        <v>11</v>
      </c>
      <c r="D3962" s="3" t="s">
        <v>12</v>
      </c>
    </row>
    <row r="3963">
      <c r="A3963" s="3" t="s">
        <v>6</v>
      </c>
      <c r="B3963" s="3" t="s">
        <v>7</v>
      </c>
      <c r="C3963" s="3" t="s">
        <v>8</v>
      </c>
      <c r="D3963" s="3" t="s">
        <v>13</v>
      </c>
      <c r="E3963" s="3" t="s">
        <v>17</v>
      </c>
    </row>
    <row r="3964">
      <c r="A3964" s="3" t="s">
        <v>6</v>
      </c>
      <c r="B3964" s="3" t="s">
        <v>11</v>
      </c>
      <c r="C3964" s="3" t="s">
        <v>12</v>
      </c>
      <c r="D3964" s="3" t="s">
        <v>13</v>
      </c>
      <c r="E3964" s="3" t="s">
        <v>14</v>
      </c>
      <c r="F3964" s="3" t="s">
        <v>17</v>
      </c>
    </row>
    <row r="3965">
      <c r="A3965" s="3" t="s">
        <v>6</v>
      </c>
      <c r="B3965" s="3" t="s">
        <v>7</v>
      </c>
      <c r="C3965" s="3" t="s">
        <v>8</v>
      </c>
      <c r="D3965" s="3" t="s">
        <v>11</v>
      </c>
      <c r="E3965" s="3" t="s">
        <v>12</v>
      </c>
      <c r="F3965" s="3" t="s">
        <v>18</v>
      </c>
    </row>
    <row r="3966">
      <c r="A3966" s="3" t="s">
        <v>6</v>
      </c>
      <c r="B3966" s="3" t="s">
        <v>7</v>
      </c>
      <c r="C3966" s="3" t="s">
        <v>11</v>
      </c>
      <c r="D3966" s="3" t="s">
        <v>12</v>
      </c>
    </row>
    <row r="3967">
      <c r="A3967" s="3" t="s">
        <v>6</v>
      </c>
      <c r="B3967" s="3" t="s">
        <v>7</v>
      </c>
      <c r="C3967" s="3" t="s">
        <v>11</v>
      </c>
    </row>
    <row r="3968">
      <c r="A3968" s="3" t="s">
        <v>6</v>
      </c>
      <c r="B3968" s="3" t="s">
        <v>7</v>
      </c>
    </row>
    <row r="3969">
      <c r="A3969" s="3" t="s">
        <v>6</v>
      </c>
      <c r="B3969" s="3" t="s">
        <v>7</v>
      </c>
      <c r="C3969" s="3" t="s">
        <v>11</v>
      </c>
      <c r="D3969" s="3" t="s">
        <v>15</v>
      </c>
    </row>
    <row r="3970">
      <c r="A3970" s="3" t="s">
        <v>6</v>
      </c>
      <c r="B3970" s="3" t="s">
        <v>7</v>
      </c>
      <c r="C3970" s="3" t="s">
        <v>11</v>
      </c>
      <c r="D3970" s="3" t="s">
        <v>15</v>
      </c>
    </row>
    <row r="3971">
      <c r="A3971" s="3" t="s">
        <v>6</v>
      </c>
      <c r="B3971" s="3" t="s">
        <v>11</v>
      </c>
      <c r="C3971" s="3" t="s">
        <v>12</v>
      </c>
      <c r="D3971" s="3" t="s">
        <v>17</v>
      </c>
    </row>
    <row r="3972">
      <c r="A3972" s="3" t="s">
        <v>6</v>
      </c>
      <c r="B3972" s="3" t="s">
        <v>8</v>
      </c>
      <c r="C3972" s="3" t="s">
        <v>11</v>
      </c>
      <c r="D3972" s="3" t="s">
        <v>12</v>
      </c>
      <c r="E3972" s="3" t="s">
        <v>15</v>
      </c>
    </row>
    <row r="3973">
      <c r="A3973" s="3" t="s">
        <v>6</v>
      </c>
      <c r="B3973" s="3" t="s">
        <v>7</v>
      </c>
      <c r="C3973" s="3" t="s">
        <v>16</v>
      </c>
    </row>
    <row r="3974">
      <c r="A3974" s="3" t="s">
        <v>6</v>
      </c>
      <c r="B3974" s="3" t="s">
        <v>7</v>
      </c>
      <c r="C3974" s="3" t="s">
        <v>8</v>
      </c>
    </row>
    <row r="3975">
      <c r="A3975" s="3" t="s">
        <v>6</v>
      </c>
      <c r="B3975" s="3" t="s">
        <v>11</v>
      </c>
      <c r="C3975" s="3" t="s">
        <v>12</v>
      </c>
      <c r="D3975" s="3" t="s">
        <v>17</v>
      </c>
    </row>
    <row r="3976">
      <c r="A3976" s="3" t="s">
        <v>6</v>
      </c>
      <c r="B3976" s="3" t="s">
        <v>7</v>
      </c>
      <c r="C3976" s="3" t="s">
        <v>8</v>
      </c>
      <c r="D3976" s="3" t="s">
        <v>9</v>
      </c>
      <c r="E3976" s="3" t="s">
        <v>10</v>
      </c>
      <c r="F3976" s="3" t="s">
        <v>24</v>
      </c>
    </row>
    <row r="3977">
      <c r="A3977" s="3" t="s">
        <v>6</v>
      </c>
      <c r="B3977" s="3" t="s">
        <v>7</v>
      </c>
      <c r="C3977" s="3" t="s">
        <v>13</v>
      </c>
      <c r="D3977" s="3" t="s">
        <v>14</v>
      </c>
      <c r="E3977" s="3" t="s">
        <v>17</v>
      </c>
    </row>
    <row r="3978">
      <c r="A3978" s="3" t="s">
        <v>6</v>
      </c>
      <c r="B3978" s="3" t="s">
        <v>7</v>
      </c>
      <c r="C3978" s="3" t="s">
        <v>13</v>
      </c>
      <c r="D3978" s="3" t="s">
        <v>15</v>
      </c>
      <c r="E3978" s="3" t="s">
        <v>16</v>
      </c>
      <c r="F3978" s="3" t="s">
        <v>17</v>
      </c>
    </row>
    <row r="3979">
      <c r="A3979" s="3" t="s">
        <v>6</v>
      </c>
      <c r="B3979" s="3" t="s">
        <v>7</v>
      </c>
      <c r="C3979" s="3" t="s">
        <v>11</v>
      </c>
      <c r="D3979" s="3" t="s">
        <v>12</v>
      </c>
      <c r="E3979" s="3" t="s">
        <v>15</v>
      </c>
      <c r="F3979" s="3" t="s">
        <v>16</v>
      </c>
    </row>
    <row r="3980">
      <c r="A3980" s="3" t="s">
        <v>6</v>
      </c>
      <c r="B3980" s="3" t="s">
        <v>7</v>
      </c>
      <c r="C3980" s="3" t="s">
        <v>8</v>
      </c>
      <c r="D3980" s="3" t="s">
        <v>13</v>
      </c>
      <c r="E3980" s="3" t="s">
        <v>15</v>
      </c>
      <c r="F3980" s="3" t="s">
        <v>17</v>
      </c>
    </row>
    <row r="3981">
      <c r="A3981" s="3" t="s">
        <v>6</v>
      </c>
      <c r="B3981" s="3" t="s">
        <v>7</v>
      </c>
      <c r="C3981" s="3" t="s">
        <v>13</v>
      </c>
      <c r="D3981" s="3" t="s">
        <v>14</v>
      </c>
    </row>
    <row r="3982">
      <c r="A3982" s="3" t="s">
        <v>6</v>
      </c>
      <c r="B3982" s="3" t="s">
        <v>8</v>
      </c>
      <c r="C3982" s="3" t="s">
        <v>13</v>
      </c>
      <c r="D3982" s="3" t="s">
        <v>14</v>
      </c>
      <c r="E3982" s="3" t="s">
        <v>17</v>
      </c>
      <c r="F3982" s="3" t="s">
        <v>24</v>
      </c>
    </row>
    <row r="3983">
      <c r="A3983" s="3" t="s">
        <v>6</v>
      </c>
      <c r="B3983" s="3" t="s">
        <v>11</v>
      </c>
    </row>
    <row r="3984">
      <c r="A3984" s="3" t="s">
        <v>6</v>
      </c>
      <c r="B3984" s="3" t="s">
        <v>13</v>
      </c>
    </row>
    <row r="3985">
      <c r="A3985" s="3" t="s">
        <v>6</v>
      </c>
      <c r="B3985" s="3" t="s">
        <v>7</v>
      </c>
      <c r="C3985" s="3" t="s">
        <v>13</v>
      </c>
      <c r="D3985" s="3" t="s">
        <v>15</v>
      </c>
    </row>
    <row r="3986">
      <c r="A3986" s="3" t="s">
        <v>6</v>
      </c>
      <c r="B3986" s="3" t="s">
        <v>7</v>
      </c>
    </row>
    <row r="3987">
      <c r="A3987" s="3" t="s">
        <v>6</v>
      </c>
      <c r="B3987" s="3" t="s">
        <v>8</v>
      </c>
      <c r="C3987" s="3" t="s">
        <v>9</v>
      </c>
      <c r="D3987" s="3" t="s">
        <v>18</v>
      </c>
    </row>
    <row r="3988">
      <c r="A3988" s="3" t="s">
        <v>6</v>
      </c>
      <c r="B3988" s="3" t="s">
        <v>7</v>
      </c>
      <c r="C3988" s="3" t="s">
        <v>11</v>
      </c>
      <c r="D3988" s="3" t="s">
        <v>12</v>
      </c>
    </row>
    <row r="3989">
      <c r="A3989" s="3" t="s">
        <v>6</v>
      </c>
      <c r="B3989" s="3" t="s">
        <v>7</v>
      </c>
      <c r="C3989" s="3" t="s">
        <v>8</v>
      </c>
      <c r="D3989" s="3" t="s">
        <v>9</v>
      </c>
      <c r="E3989" s="3" t="s">
        <v>10</v>
      </c>
      <c r="F3989" s="3" t="s">
        <v>24</v>
      </c>
    </row>
    <row r="3990">
      <c r="A3990" s="3" t="s">
        <v>6</v>
      </c>
      <c r="B3990" s="3" t="s">
        <v>13</v>
      </c>
      <c r="C3990" s="3" t="s">
        <v>14</v>
      </c>
    </row>
    <row r="3991">
      <c r="A3991" s="3" t="s">
        <v>6</v>
      </c>
      <c r="B3991" s="3" t="s">
        <v>11</v>
      </c>
      <c r="C3991" s="3" t="s">
        <v>13</v>
      </c>
      <c r="D3991" s="3" t="s">
        <v>15</v>
      </c>
      <c r="E3991" s="3" t="s">
        <v>16</v>
      </c>
      <c r="F3991" s="3" t="s">
        <v>17</v>
      </c>
    </row>
    <row r="3992">
      <c r="A3992" s="3" t="s">
        <v>6</v>
      </c>
      <c r="B3992" s="3" t="s">
        <v>7</v>
      </c>
      <c r="C3992" s="3" t="s">
        <v>13</v>
      </c>
    </row>
    <row r="3993">
      <c r="A3993" s="3" t="s">
        <v>6</v>
      </c>
      <c r="B3993" s="3" t="s">
        <v>7</v>
      </c>
    </row>
    <row r="3994">
      <c r="A3994" s="3" t="s">
        <v>6</v>
      </c>
      <c r="B3994" s="3" t="s">
        <v>7</v>
      </c>
      <c r="C3994" s="3" t="s">
        <v>8</v>
      </c>
      <c r="D3994" s="3" t="s">
        <v>9</v>
      </c>
      <c r="E3994" s="3" t="s">
        <v>15</v>
      </c>
      <c r="F3994" s="3" t="s">
        <v>16</v>
      </c>
    </row>
    <row r="3995">
      <c r="A3995" s="3" t="s">
        <v>6</v>
      </c>
      <c r="B3995" s="3" t="s">
        <v>11</v>
      </c>
      <c r="C3995" s="3" t="s">
        <v>12</v>
      </c>
    </row>
    <row r="3996">
      <c r="A3996" s="3" t="s">
        <v>6</v>
      </c>
      <c r="B3996" s="3" t="s">
        <v>15</v>
      </c>
    </row>
    <row r="3997">
      <c r="A3997" s="3" t="s">
        <v>6</v>
      </c>
      <c r="B3997" s="3" t="s">
        <v>7</v>
      </c>
    </row>
    <row r="3998">
      <c r="A3998" s="3" t="s">
        <v>6</v>
      </c>
      <c r="B3998" s="3" t="s">
        <v>7</v>
      </c>
      <c r="C3998" s="3" t="s">
        <v>12</v>
      </c>
    </row>
    <row r="3999">
      <c r="A3999" s="3" t="s">
        <v>6</v>
      </c>
      <c r="B3999" s="3" t="s">
        <v>10</v>
      </c>
      <c r="C3999" s="3" t="s">
        <v>13</v>
      </c>
      <c r="D3999" s="3" t="s">
        <v>14</v>
      </c>
      <c r="E3999" s="3" t="s">
        <v>17</v>
      </c>
      <c r="F3999" s="3" t="s">
        <v>24</v>
      </c>
    </row>
    <row r="4000">
      <c r="A4000" s="3" t="s">
        <v>6</v>
      </c>
      <c r="B4000" s="3" t="s">
        <v>8</v>
      </c>
      <c r="C4000" s="3" t="s">
        <v>15</v>
      </c>
      <c r="D4000" s="3" t="s">
        <v>16</v>
      </c>
    </row>
    <row r="4001">
      <c r="A4001" s="3" t="s">
        <v>6</v>
      </c>
    </row>
    <row r="4002">
      <c r="A4002" s="3" t="s">
        <v>6</v>
      </c>
      <c r="B4002" s="3" t="s">
        <v>7</v>
      </c>
      <c r="C4002" s="3" t="s">
        <v>8</v>
      </c>
      <c r="D4002" s="3" t="s">
        <v>11</v>
      </c>
      <c r="E4002" s="3" t="s">
        <v>15</v>
      </c>
      <c r="F4002" s="3" t="s">
        <v>16</v>
      </c>
      <c r="G4002" s="3" t="s">
        <v>17</v>
      </c>
    </row>
    <row r="4003">
      <c r="A4003" s="3" t="s">
        <v>6</v>
      </c>
      <c r="B4003" s="3" t="s">
        <v>7</v>
      </c>
      <c r="C4003" s="3" t="s">
        <v>8</v>
      </c>
      <c r="D4003" s="3" t="s">
        <v>15</v>
      </c>
      <c r="E4003" s="3" t="s">
        <v>17</v>
      </c>
    </row>
    <row r="4004">
      <c r="A4004" s="3" t="s">
        <v>6</v>
      </c>
      <c r="B4004" s="3" t="s">
        <v>15</v>
      </c>
      <c r="C4004" s="3" t="s">
        <v>16</v>
      </c>
      <c r="D4004" s="3" t="s">
        <v>18</v>
      </c>
    </row>
    <row r="4005">
      <c r="A4005" s="3" t="s">
        <v>609</v>
      </c>
    </row>
    <row r="4006">
      <c r="A4006" s="3" t="s">
        <v>7</v>
      </c>
      <c r="B4006" s="3" t="s">
        <v>8</v>
      </c>
      <c r="C4006" s="3" t="s">
        <v>11</v>
      </c>
      <c r="D4006" s="3" t="s">
        <v>12</v>
      </c>
      <c r="E4006" s="3" t="s">
        <v>15</v>
      </c>
      <c r="F4006" s="3" t="s">
        <v>16</v>
      </c>
    </row>
    <row r="4007">
      <c r="A4007" s="3" t="s">
        <v>7</v>
      </c>
      <c r="B4007" s="3" t="s">
        <v>11</v>
      </c>
      <c r="C4007" s="3" t="s">
        <v>12</v>
      </c>
      <c r="D4007" s="3" t="s">
        <v>13</v>
      </c>
      <c r="E4007" s="3" t="s">
        <v>16</v>
      </c>
      <c r="F4007" s="3" t="s">
        <v>24</v>
      </c>
    </row>
    <row r="4008">
      <c r="A4008" s="3" t="s">
        <v>7</v>
      </c>
      <c r="B4008" s="3" t="s">
        <v>9</v>
      </c>
      <c r="C4008" s="3" t="s">
        <v>13</v>
      </c>
      <c r="D4008" s="3" t="s">
        <v>14</v>
      </c>
      <c r="E4008" s="3" t="s">
        <v>17</v>
      </c>
      <c r="F4008" s="3" t="s">
        <v>18</v>
      </c>
    </row>
    <row r="4009">
      <c r="A4009" s="3" t="s">
        <v>7</v>
      </c>
      <c r="B4009" s="3" t="s">
        <v>8</v>
      </c>
      <c r="C4009" s="3" t="s">
        <v>9</v>
      </c>
      <c r="D4009" s="3" t="s">
        <v>11</v>
      </c>
      <c r="E4009" s="3" t="s">
        <v>12</v>
      </c>
      <c r="F4009" s="3" t="s">
        <v>18</v>
      </c>
    </row>
    <row r="4010">
      <c r="A4010" s="3" t="s">
        <v>7</v>
      </c>
      <c r="B4010" s="3" t="s">
        <v>8</v>
      </c>
      <c r="C4010" s="3" t="s">
        <v>11</v>
      </c>
      <c r="D4010" s="3" t="s">
        <v>15</v>
      </c>
      <c r="E4010" s="3" t="s">
        <v>16</v>
      </c>
      <c r="F4010" s="3" t="s">
        <v>17</v>
      </c>
    </row>
    <row r="4011">
      <c r="A4011" s="3" t="s">
        <v>7</v>
      </c>
      <c r="B4011" s="3" t="s">
        <v>11</v>
      </c>
      <c r="C4011" s="3" t="s">
        <v>15</v>
      </c>
      <c r="D4011" s="3" t="s">
        <v>16</v>
      </c>
      <c r="E4011" s="3" t="s">
        <v>17</v>
      </c>
      <c r="F4011" s="3" t="s">
        <v>18</v>
      </c>
    </row>
    <row r="4012">
      <c r="A4012" s="3" t="s">
        <v>7</v>
      </c>
      <c r="B4012" s="3" t="s">
        <v>8</v>
      </c>
      <c r="C4012" s="3" t="s">
        <v>11</v>
      </c>
      <c r="D4012" s="3" t="s">
        <v>12</v>
      </c>
      <c r="E4012" s="3" t="s">
        <v>15</v>
      </c>
      <c r="F4012" s="3" t="s">
        <v>16</v>
      </c>
    </row>
    <row r="4013">
      <c r="A4013" s="3" t="s">
        <v>7</v>
      </c>
      <c r="B4013" s="3" t="s">
        <v>8</v>
      </c>
      <c r="C4013" s="3" t="s">
        <v>9</v>
      </c>
      <c r="D4013" s="3" t="s">
        <v>11</v>
      </c>
      <c r="E4013" s="3" t="s">
        <v>12</v>
      </c>
      <c r="F4013" s="3" t="s">
        <v>18</v>
      </c>
    </row>
    <row r="4014">
      <c r="A4014" s="3" t="s">
        <v>7</v>
      </c>
      <c r="B4014" s="3" t="s">
        <v>8</v>
      </c>
      <c r="C4014" s="3" t="s">
        <v>15</v>
      </c>
      <c r="D4014" s="3" t="s">
        <v>17</v>
      </c>
    </row>
    <row r="4015">
      <c r="A4015" s="3" t="s">
        <v>7</v>
      </c>
      <c r="B4015" s="3" t="s">
        <v>8</v>
      </c>
      <c r="C4015" s="3" t="s">
        <v>11</v>
      </c>
      <c r="D4015" s="3" t="s">
        <v>12</v>
      </c>
      <c r="E4015" s="3" t="s">
        <v>15</v>
      </c>
      <c r="F4015" s="3" t="s">
        <v>16</v>
      </c>
    </row>
    <row r="4016">
      <c r="A4016" s="3" t="s">
        <v>7</v>
      </c>
      <c r="B4016" s="3" t="s">
        <v>14</v>
      </c>
      <c r="C4016" s="3" t="s">
        <v>15</v>
      </c>
      <c r="D4016" s="3" t="s">
        <v>16</v>
      </c>
      <c r="E4016" s="3" t="s">
        <v>17</v>
      </c>
      <c r="F4016" s="3" t="s">
        <v>18</v>
      </c>
    </row>
    <row r="4017">
      <c r="A4017" s="3" t="s">
        <v>7</v>
      </c>
      <c r="B4017" s="3" t="s">
        <v>8</v>
      </c>
      <c r="C4017" s="3" t="s">
        <v>11</v>
      </c>
      <c r="D4017" s="3" t="s">
        <v>15</v>
      </c>
      <c r="E4017" s="3" t="s">
        <v>16</v>
      </c>
      <c r="F4017" s="3" t="s">
        <v>17</v>
      </c>
    </row>
    <row r="4018">
      <c r="A4018" s="3" t="s">
        <v>7</v>
      </c>
      <c r="B4018" s="3" t="s">
        <v>13</v>
      </c>
      <c r="C4018" s="3" t="s">
        <v>14</v>
      </c>
      <c r="D4018" s="3" t="s">
        <v>17</v>
      </c>
      <c r="E4018" s="3" t="s">
        <v>18</v>
      </c>
    </row>
    <row r="4019">
      <c r="A4019" s="3" t="s">
        <v>7</v>
      </c>
      <c r="B4019" s="3" t="s">
        <v>8</v>
      </c>
      <c r="C4019" s="3" t="s">
        <v>9</v>
      </c>
      <c r="D4019" s="3" t="s">
        <v>15</v>
      </c>
      <c r="E4019" s="3" t="s">
        <v>16</v>
      </c>
      <c r="F4019" s="3" t="s">
        <v>17</v>
      </c>
    </row>
    <row r="4020">
      <c r="A4020" s="3" t="s">
        <v>7</v>
      </c>
      <c r="B4020" s="3" t="s">
        <v>11</v>
      </c>
      <c r="C4020" s="3" t="s">
        <v>13</v>
      </c>
      <c r="D4020" s="3" t="s">
        <v>14</v>
      </c>
      <c r="E4020" s="3" t="s">
        <v>17</v>
      </c>
      <c r="F4020" s="3" t="s">
        <v>18</v>
      </c>
    </row>
    <row r="4021">
      <c r="A4021" s="3" t="s">
        <v>7</v>
      </c>
      <c r="B4021" s="3" t="s">
        <v>14</v>
      </c>
      <c r="C4021" s="3" t="s">
        <v>17</v>
      </c>
    </row>
    <row r="4022">
      <c r="A4022" s="3" t="s">
        <v>7</v>
      </c>
      <c r="B4022" s="3" t="s">
        <v>11</v>
      </c>
      <c r="C4022" s="3" t="s">
        <v>13</v>
      </c>
      <c r="D4022" s="3" t="s">
        <v>15</v>
      </c>
      <c r="E4022" s="3" t="s">
        <v>16</v>
      </c>
      <c r="F4022" s="3" t="s">
        <v>17</v>
      </c>
    </row>
    <row r="4023">
      <c r="A4023" s="3" t="s">
        <v>7</v>
      </c>
      <c r="B4023" s="3" t="s">
        <v>11</v>
      </c>
      <c r="C4023" s="3" t="s">
        <v>13</v>
      </c>
      <c r="D4023" s="3" t="s">
        <v>14</v>
      </c>
      <c r="E4023" s="3" t="s">
        <v>15</v>
      </c>
      <c r="F4023" s="3" t="s">
        <v>17</v>
      </c>
    </row>
    <row r="4024">
      <c r="A4024" s="3" t="s">
        <v>7</v>
      </c>
      <c r="B4024" s="3" t="s">
        <v>8</v>
      </c>
      <c r="C4024" s="3" t="s">
        <v>11</v>
      </c>
      <c r="D4024" s="3" t="s">
        <v>12</v>
      </c>
      <c r="E4024" s="3" t="s">
        <v>15</v>
      </c>
    </row>
    <row r="4025">
      <c r="A4025" s="3" t="s">
        <v>7</v>
      </c>
      <c r="B4025" s="3" t="s">
        <v>9</v>
      </c>
      <c r="C4025" s="3" t="s">
        <v>13</v>
      </c>
      <c r="D4025" s="3" t="s">
        <v>14</v>
      </c>
      <c r="E4025" s="3" t="s">
        <v>17</v>
      </c>
      <c r="F4025" s="3" t="s">
        <v>18</v>
      </c>
    </row>
    <row r="4026">
      <c r="A4026" s="3" t="s">
        <v>7</v>
      </c>
      <c r="B4026" s="3" t="s">
        <v>14</v>
      </c>
      <c r="C4026" s="3" t="s">
        <v>15</v>
      </c>
      <c r="D4026" s="3" t="s">
        <v>16</v>
      </c>
      <c r="E4026" s="3" t="s">
        <v>17</v>
      </c>
      <c r="F4026" s="3" t="s">
        <v>18</v>
      </c>
    </row>
    <row r="4027">
      <c r="A4027" s="3" t="s">
        <v>7</v>
      </c>
      <c r="B4027" s="3" t="s">
        <v>11</v>
      </c>
      <c r="C4027" s="3" t="s">
        <v>13</v>
      </c>
      <c r="D4027" s="3" t="s">
        <v>14</v>
      </c>
      <c r="E4027" s="3" t="s">
        <v>15</v>
      </c>
      <c r="F4027" s="3" t="s">
        <v>17</v>
      </c>
    </row>
    <row r="4028">
      <c r="A4028" s="3" t="s">
        <v>7</v>
      </c>
      <c r="B4028" s="3" t="s">
        <v>9</v>
      </c>
      <c r="C4028" s="3" t="s">
        <v>15</v>
      </c>
      <c r="D4028" s="3" t="s">
        <v>16</v>
      </c>
    </row>
    <row r="4029">
      <c r="A4029" s="3" t="s">
        <v>7</v>
      </c>
      <c r="B4029" s="3" t="s">
        <v>11</v>
      </c>
      <c r="C4029" s="3" t="s">
        <v>13</v>
      </c>
      <c r="D4029" s="3" t="s">
        <v>14</v>
      </c>
      <c r="E4029" s="3" t="s">
        <v>17</v>
      </c>
      <c r="F4029" s="3" t="s">
        <v>18</v>
      </c>
    </row>
    <row r="4030">
      <c r="A4030" s="3" t="s">
        <v>7</v>
      </c>
      <c r="B4030" s="3" t="s">
        <v>13</v>
      </c>
      <c r="C4030" s="3" t="s">
        <v>14</v>
      </c>
      <c r="D4030" s="3" t="s">
        <v>16</v>
      </c>
      <c r="E4030" s="3" t="s">
        <v>17</v>
      </c>
      <c r="F4030" s="3" t="s">
        <v>18</v>
      </c>
    </row>
    <row r="4031">
      <c r="A4031" s="3" t="s">
        <v>7</v>
      </c>
      <c r="B4031" s="3" t="s">
        <v>8</v>
      </c>
      <c r="C4031" s="3" t="s">
        <v>15</v>
      </c>
      <c r="D4031" s="3" t="s">
        <v>16</v>
      </c>
      <c r="E4031" s="3" t="s">
        <v>17</v>
      </c>
      <c r="F4031" s="3" t="s">
        <v>24</v>
      </c>
    </row>
    <row r="4032">
      <c r="A4032" s="3" t="s">
        <v>7</v>
      </c>
      <c r="B4032" s="3" t="s">
        <v>14</v>
      </c>
      <c r="C4032" s="3" t="s">
        <v>17</v>
      </c>
    </row>
    <row r="4033">
      <c r="A4033" s="3" t="s">
        <v>7</v>
      </c>
      <c r="B4033" s="3" t="s">
        <v>11</v>
      </c>
      <c r="C4033" s="3" t="s">
        <v>12</v>
      </c>
    </row>
    <row r="4034">
      <c r="A4034" s="3" t="s">
        <v>7</v>
      </c>
      <c r="B4034" s="3" t="s">
        <v>8</v>
      </c>
      <c r="C4034" s="3" t="s">
        <v>9</v>
      </c>
      <c r="D4034" s="3" t="s">
        <v>11</v>
      </c>
      <c r="E4034" s="3" t="s">
        <v>12</v>
      </c>
    </row>
    <row r="4035">
      <c r="A4035" s="3" t="s">
        <v>7</v>
      </c>
      <c r="B4035" s="3" t="s">
        <v>13</v>
      </c>
      <c r="C4035" s="3" t="s">
        <v>14</v>
      </c>
      <c r="D4035" s="3" t="s">
        <v>17</v>
      </c>
      <c r="E4035" s="3" t="s">
        <v>18</v>
      </c>
    </row>
    <row r="4036">
      <c r="A4036" s="3" t="s">
        <v>7</v>
      </c>
      <c r="B4036" s="3" t="s">
        <v>8</v>
      </c>
      <c r="C4036" s="3" t="s">
        <v>9</v>
      </c>
      <c r="D4036" s="3" t="s">
        <v>11</v>
      </c>
      <c r="E4036" s="3" t="s">
        <v>12</v>
      </c>
      <c r="F4036" s="3" t="s">
        <v>24</v>
      </c>
    </row>
    <row r="4037">
      <c r="A4037" s="3" t="s">
        <v>7</v>
      </c>
      <c r="B4037" s="3" t="s">
        <v>13</v>
      </c>
    </row>
    <row r="4038">
      <c r="A4038" s="3" t="s">
        <v>7</v>
      </c>
      <c r="B4038" s="3" t="s">
        <v>11</v>
      </c>
      <c r="C4038" s="3" t="s">
        <v>12</v>
      </c>
    </row>
    <row r="4039">
      <c r="A4039" s="3" t="s">
        <v>7</v>
      </c>
      <c r="B4039" s="3" t="s">
        <v>8</v>
      </c>
      <c r="C4039" s="3" t="s">
        <v>10</v>
      </c>
      <c r="D4039" s="3" t="s">
        <v>24</v>
      </c>
    </row>
    <row r="4040">
      <c r="A4040" s="3" t="s">
        <v>7</v>
      </c>
      <c r="B4040" s="3" t="s">
        <v>8</v>
      </c>
      <c r="C4040" s="3" t="s">
        <v>12</v>
      </c>
      <c r="D4040" s="3" t="s">
        <v>15</v>
      </c>
      <c r="E4040" s="3" t="s">
        <v>16</v>
      </c>
    </row>
    <row r="4041">
      <c r="A4041" s="3" t="s">
        <v>7</v>
      </c>
      <c r="B4041" s="3" t="s">
        <v>13</v>
      </c>
    </row>
    <row r="4042">
      <c r="A4042" s="3" t="s">
        <v>7</v>
      </c>
      <c r="B4042" s="3" t="s">
        <v>11</v>
      </c>
      <c r="C4042" s="3" t="s">
        <v>12</v>
      </c>
      <c r="D4042" s="3" t="s">
        <v>15</v>
      </c>
      <c r="E4042" s="3" t="s">
        <v>16</v>
      </c>
    </row>
    <row r="4043">
      <c r="A4043" s="3" t="s">
        <v>8</v>
      </c>
      <c r="B4043" s="3" t="s">
        <v>9</v>
      </c>
      <c r="C4043" s="3" t="s">
        <v>10</v>
      </c>
      <c r="D4043" s="3" t="s">
        <v>15</v>
      </c>
      <c r="E4043" s="3" t="s">
        <v>16</v>
      </c>
      <c r="F4043" s="3" t="s">
        <v>24</v>
      </c>
    </row>
    <row r="4044">
      <c r="A4044" s="3" t="s">
        <v>8</v>
      </c>
      <c r="B4044" s="3" t="s">
        <v>11</v>
      </c>
      <c r="C4044" s="3" t="s">
        <v>12</v>
      </c>
      <c r="D4044" s="3" t="s">
        <v>16</v>
      </c>
      <c r="E4044" s="3" t="s">
        <v>17</v>
      </c>
      <c r="F4044" s="3" t="s">
        <v>18</v>
      </c>
    </row>
    <row r="4045">
      <c r="A4045" s="3" t="s">
        <v>8</v>
      </c>
      <c r="B4045" s="3" t="s">
        <v>9</v>
      </c>
      <c r="C4045" s="3" t="s">
        <v>10</v>
      </c>
      <c r="D4045" s="3" t="s">
        <v>17</v>
      </c>
      <c r="E4045" s="3" t="s">
        <v>18</v>
      </c>
    </row>
    <row r="4046">
      <c r="A4046" s="3" t="s">
        <v>8</v>
      </c>
      <c r="B4046" s="3" t="s">
        <v>9</v>
      </c>
      <c r="C4046" s="3" t="s">
        <v>10</v>
      </c>
      <c r="D4046" s="3" t="s">
        <v>14</v>
      </c>
      <c r="E4046" s="3" t="s">
        <v>18</v>
      </c>
      <c r="F4046" s="3" t="s">
        <v>24</v>
      </c>
    </row>
    <row r="4047">
      <c r="A4047" s="3" t="s">
        <v>8</v>
      </c>
      <c r="B4047" s="3" t="s">
        <v>9</v>
      </c>
      <c r="C4047" s="3" t="s">
        <v>11</v>
      </c>
      <c r="D4047" s="3" t="s">
        <v>12</v>
      </c>
      <c r="E4047" s="3" t="s">
        <v>17</v>
      </c>
      <c r="F4047" s="3" t="s">
        <v>18</v>
      </c>
    </row>
    <row r="4048">
      <c r="A4048" s="3" t="s">
        <v>8</v>
      </c>
      <c r="B4048" s="3" t="s">
        <v>9</v>
      </c>
      <c r="C4048" s="3" t="s">
        <v>10</v>
      </c>
      <c r="D4048" s="3" t="s">
        <v>12</v>
      </c>
      <c r="E4048" s="3" t="s">
        <v>18</v>
      </c>
      <c r="F4048" s="3" t="s">
        <v>24</v>
      </c>
    </row>
    <row r="4049">
      <c r="A4049" s="3" t="s">
        <v>8</v>
      </c>
      <c r="B4049" s="3" t="s">
        <v>11</v>
      </c>
      <c r="C4049" s="3" t="s">
        <v>12</v>
      </c>
      <c r="D4049" s="3" t="s">
        <v>16</v>
      </c>
      <c r="E4049" s="3" t="s">
        <v>17</v>
      </c>
      <c r="F4049" s="3" t="s">
        <v>18</v>
      </c>
    </row>
    <row r="4050">
      <c r="A4050" s="3" t="s">
        <v>8</v>
      </c>
      <c r="B4050" s="3" t="s">
        <v>9</v>
      </c>
      <c r="C4050" s="3" t="s">
        <v>12</v>
      </c>
      <c r="D4050" s="3" t="s">
        <v>15</v>
      </c>
      <c r="E4050" s="3" t="s">
        <v>16</v>
      </c>
      <c r="F4050" s="3" t="s">
        <v>24</v>
      </c>
    </row>
    <row r="4051">
      <c r="A4051" s="3" t="s">
        <v>8</v>
      </c>
      <c r="B4051" s="3" t="s">
        <v>9</v>
      </c>
      <c r="C4051" s="3" t="s">
        <v>11</v>
      </c>
      <c r="D4051" s="3" t="s">
        <v>12</v>
      </c>
      <c r="E4051" s="3" t="s">
        <v>18</v>
      </c>
      <c r="F4051" s="3" t="s">
        <v>24</v>
      </c>
    </row>
    <row r="4052">
      <c r="A4052" s="3" t="s">
        <v>8</v>
      </c>
      <c r="B4052" s="3" t="s">
        <v>11</v>
      </c>
      <c r="C4052" s="3" t="s">
        <v>12</v>
      </c>
      <c r="D4052" s="3" t="s">
        <v>15</v>
      </c>
      <c r="E4052" s="3" t="s">
        <v>16</v>
      </c>
      <c r="F4052" s="3" t="s">
        <v>17</v>
      </c>
    </row>
    <row r="4053">
      <c r="A4053" s="3" t="s">
        <v>8</v>
      </c>
      <c r="B4053" s="3" t="s">
        <v>9</v>
      </c>
      <c r="C4053" s="3" t="s">
        <v>11</v>
      </c>
      <c r="D4053" s="3" t="s">
        <v>12</v>
      </c>
      <c r="E4053" s="3" t="s">
        <v>17</v>
      </c>
      <c r="F4053" s="3" t="s">
        <v>18</v>
      </c>
    </row>
    <row r="4054">
      <c r="A4054" s="3" t="s">
        <v>8</v>
      </c>
      <c r="B4054" s="3" t="s">
        <v>9</v>
      </c>
      <c r="C4054" s="3" t="s">
        <v>11</v>
      </c>
      <c r="D4054" s="3" t="s">
        <v>15</v>
      </c>
      <c r="E4054" s="3" t="s">
        <v>17</v>
      </c>
      <c r="F4054" s="3" t="s">
        <v>24</v>
      </c>
    </row>
    <row r="4055">
      <c r="A4055" s="3" t="s">
        <v>8</v>
      </c>
      <c r="B4055" s="3" t="s">
        <v>9</v>
      </c>
      <c r="C4055" s="3" t="s">
        <v>16</v>
      </c>
      <c r="D4055" s="3" t="s">
        <v>18</v>
      </c>
    </row>
    <row r="4056">
      <c r="A4056" s="3" t="s">
        <v>8</v>
      </c>
      <c r="B4056" s="3" t="s">
        <v>9</v>
      </c>
      <c r="C4056" s="3" t="s">
        <v>12</v>
      </c>
      <c r="D4056" s="3" t="s">
        <v>16</v>
      </c>
      <c r="E4056" s="3" t="s">
        <v>18</v>
      </c>
      <c r="F4056" s="3" t="s">
        <v>24</v>
      </c>
    </row>
    <row r="4057">
      <c r="A4057" s="3" t="s">
        <v>8</v>
      </c>
      <c r="B4057" s="3" t="s">
        <v>9</v>
      </c>
      <c r="C4057" s="3" t="s">
        <v>11</v>
      </c>
      <c r="D4057" s="3" t="s">
        <v>12</v>
      </c>
      <c r="E4057" s="3" t="s">
        <v>17</v>
      </c>
      <c r="F4057" s="3" t="s">
        <v>18</v>
      </c>
    </row>
    <row r="4058">
      <c r="A4058" s="3" t="s">
        <v>8</v>
      </c>
      <c r="B4058" s="3" t="s">
        <v>9</v>
      </c>
      <c r="C4058" s="3" t="s">
        <v>10</v>
      </c>
      <c r="D4058" s="3" t="s">
        <v>12</v>
      </c>
      <c r="E4058" s="3" t="s">
        <v>16</v>
      </c>
      <c r="F4058" s="3" t="s">
        <v>24</v>
      </c>
    </row>
    <row r="4059">
      <c r="A4059" s="3" t="s">
        <v>8</v>
      </c>
      <c r="B4059" s="3" t="s">
        <v>9</v>
      </c>
      <c r="C4059" s="3" t="s">
        <v>10</v>
      </c>
      <c r="D4059" s="3" t="s">
        <v>11</v>
      </c>
    </row>
    <row r="4060">
      <c r="A4060" s="3" t="s">
        <v>8</v>
      </c>
      <c r="B4060" s="3" t="s">
        <v>9</v>
      </c>
      <c r="C4060" s="3" t="s">
        <v>10</v>
      </c>
      <c r="D4060" s="3" t="s">
        <v>12</v>
      </c>
      <c r="E4060" s="3" t="s">
        <v>17</v>
      </c>
      <c r="F4060" s="3" t="s">
        <v>18</v>
      </c>
    </row>
    <row r="4061">
      <c r="A4061" s="3" t="s">
        <v>8</v>
      </c>
      <c r="B4061" s="3" t="s">
        <v>9</v>
      </c>
      <c r="C4061" s="3" t="s">
        <v>11</v>
      </c>
      <c r="D4061" s="3" t="s">
        <v>12</v>
      </c>
      <c r="E4061" s="3" t="s">
        <v>15</v>
      </c>
      <c r="F4061" s="3" t="s">
        <v>17</v>
      </c>
    </row>
    <row r="4062">
      <c r="A4062" s="3" t="s">
        <v>8</v>
      </c>
      <c r="B4062" s="3" t="s">
        <v>9</v>
      </c>
      <c r="C4062" s="3" t="s">
        <v>12</v>
      </c>
      <c r="D4062" s="3" t="s">
        <v>15</v>
      </c>
      <c r="E4062" s="3" t="s">
        <v>16</v>
      </c>
      <c r="F4062" s="3" t="s">
        <v>24</v>
      </c>
    </row>
    <row r="4063">
      <c r="A4063" s="3" t="s">
        <v>8</v>
      </c>
      <c r="B4063" s="3" t="s">
        <v>9</v>
      </c>
      <c r="C4063" s="3" t="s">
        <v>10</v>
      </c>
      <c r="D4063" s="3" t="s">
        <v>16</v>
      </c>
      <c r="E4063" s="3" t="s">
        <v>18</v>
      </c>
      <c r="F4063" s="3" t="s">
        <v>24</v>
      </c>
    </row>
    <row r="4064">
      <c r="A4064" s="3" t="s">
        <v>8</v>
      </c>
      <c r="B4064" s="3" t="s">
        <v>9</v>
      </c>
      <c r="C4064" s="3" t="s">
        <v>11</v>
      </c>
      <c r="D4064" s="3" t="s">
        <v>12</v>
      </c>
      <c r="E4064" s="3" t="s">
        <v>16</v>
      </c>
      <c r="F4064" s="3" t="s">
        <v>17</v>
      </c>
    </row>
    <row r="4065">
      <c r="A4065" s="3" t="s">
        <v>8</v>
      </c>
      <c r="B4065" s="3" t="s">
        <v>9</v>
      </c>
      <c r="C4065" s="3" t="s">
        <v>11</v>
      </c>
      <c r="D4065" s="3" t="s">
        <v>12</v>
      </c>
      <c r="E4065" s="3" t="s">
        <v>18</v>
      </c>
      <c r="F4065" s="3" t="s">
        <v>24</v>
      </c>
    </row>
    <row r="4066">
      <c r="A4066" s="3" t="s">
        <v>8</v>
      </c>
      <c r="B4066" s="3" t="s">
        <v>9</v>
      </c>
      <c r="C4066" s="3" t="s">
        <v>11</v>
      </c>
      <c r="D4066" s="3" t="s">
        <v>15</v>
      </c>
      <c r="E4066" s="3" t="s">
        <v>16</v>
      </c>
      <c r="F4066" s="3" t="s">
        <v>17</v>
      </c>
    </row>
    <row r="4067">
      <c r="A4067" s="3" t="s">
        <v>8</v>
      </c>
      <c r="B4067" s="3" t="s">
        <v>11</v>
      </c>
      <c r="C4067" s="3" t="s">
        <v>12</v>
      </c>
      <c r="D4067" s="3" t="s">
        <v>15</v>
      </c>
      <c r="E4067" s="3" t="s">
        <v>16</v>
      </c>
      <c r="F4067" s="3" t="s">
        <v>24</v>
      </c>
    </row>
    <row r="4068">
      <c r="A4068" s="3" t="s">
        <v>8</v>
      </c>
      <c r="B4068" s="3" t="s">
        <v>9</v>
      </c>
      <c r="C4068" s="3" t="s">
        <v>10</v>
      </c>
      <c r="D4068" s="3" t="s">
        <v>16</v>
      </c>
      <c r="E4068" s="3" t="s">
        <v>18</v>
      </c>
      <c r="F4068" s="3" t="s">
        <v>24</v>
      </c>
    </row>
    <row r="4069">
      <c r="A4069" s="3" t="s">
        <v>8</v>
      </c>
      <c r="B4069" s="3" t="s">
        <v>9</v>
      </c>
      <c r="C4069" s="3" t="s">
        <v>10</v>
      </c>
      <c r="D4069" s="3" t="s">
        <v>16</v>
      </c>
      <c r="E4069" s="3" t="s">
        <v>17</v>
      </c>
      <c r="F4069" s="3" t="s">
        <v>24</v>
      </c>
    </row>
    <row r="4070">
      <c r="A4070" s="3" t="s">
        <v>8</v>
      </c>
      <c r="B4070" s="3" t="s">
        <v>9</v>
      </c>
      <c r="C4070" s="3" t="s">
        <v>10</v>
      </c>
      <c r="D4070" s="3" t="s">
        <v>11</v>
      </c>
      <c r="E4070" s="3" t="s">
        <v>12</v>
      </c>
      <c r="F4070" s="3" t="s">
        <v>24</v>
      </c>
    </row>
    <row r="4071">
      <c r="A4071" s="3" t="s">
        <v>8</v>
      </c>
      <c r="B4071" s="3" t="s">
        <v>9</v>
      </c>
      <c r="C4071" s="3" t="s">
        <v>11</v>
      </c>
      <c r="D4071" s="3" t="s">
        <v>12</v>
      </c>
      <c r="E4071" s="3" t="s">
        <v>18</v>
      </c>
    </row>
    <row r="4072">
      <c r="A4072" s="3" t="s">
        <v>8</v>
      </c>
      <c r="B4072" s="3" t="s">
        <v>13</v>
      </c>
      <c r="C4072" s="3" t="s">
        <v>14</v>
      </c>
    </row>
    <row r="4073">
      <c r="A4073" s="3" t="s">
        <v>8</v>
      </c>
      <c r="B4073" s="3" t="s">
        <v>13</v>
      </c>
      <c r="C4073" s="3" t="s">
        <v>14</v>
      </c>
      <c r="D4073" s="3" t="s">
        <v>17</v>
      </c>
    </row>
    <row r="4074">
      <c r="A4074" s="3" t="s">
        <v>8</v>
      </c>
      <c r="B4074" s="3" t="s">
        <v>9</v>
      </c>
      <c r="C4074" s="3" t="s">
        <v>11</v>
      </c>
      <c r="D4074" s="3" t="s">
        <v>12</v>
      </c>
      <c r="E4074" s="3" t="s">
        <v>18</v>
      </c>
      <c r="F4074" s="3" t="s">
        <v>24</v>
      </c>
    </row>
    <row r="4075">
      <c r="A4075" s="3" t="s">
        <v>8</v>
      </c>
      <c r="B4075" s="3" t="s">
        <v>11</v>
      </c>
      <c r="C4075" s="3" t="s">
        <v>12</v>
      </c>
      <c r="D4075" s="3" t="s">
        <v>15</v>
      </c>
      <c r="E4075" s="3" t="s">
        <v>16</v>
      </c>
    </row>
    <row r="4076">
      <c r="A4076" s="3" t="s">
        <v>8</v>
      </c>
      <c r="B4076" s="3" t="s">
        <v>9</v>
      </c>
      <c r="C4076" s="3" t="s">
        <v>10</v>
      </c>
      <c r="D4076" s="3" t="s">
        <v>13</v>
      </c>
      <c r="E4076" s="3" t="s">
        <v>14</v>
      </c>
      <c r="F4076" s="3" t="s">
        <v>24</v>
      </c>
    </row>
    <row r="4077">
      <c r="A4077" s="3" t="s">
        <v>8</v>
      </c>
      <c r="B4077" s="3" t="s">
        <v>9</v>
      </c>
      <c r="C4077" s="3" t="s">
        <v>10</v>
      </c>
      <c r="D4077" s="3" t="s">
        <v>24</v>
      </c>
    </row>
    <row r="4078">
      <c r="A4078" s="3" t="s">
        <v>8</v>
      </c>
      <c r="B4078" s="3" t="s">
        <v>10</v>
      </c>
      <c r="C4078" s="3" t="s">
        <v>24</v>
      </c>
    </row>
    <row r="4079">
      <c r="A4079" s="3" t="s">
        <v>8</v>
      </c>
      <c r="B4079" s="3" t="s">
        <v>9</v>
      </c>
      <c r="C4079" s="3" t="s">
        <v>10</v>
      </c>
      <c r="D4079" s="3" t="s">
        <v>17</v>
      </c>
      <c r="E4079" s="3" t="s">
        <v>18</v>
      </c>
      <c r="F4079" s="3" t="s">
        <v>24</v>
      </c>
    </row>
    <row r="4080">
      <c r="A4080" s="3" t="s">
        <v>8</v>
      </c>
      <c r="B4080" s="3" t="s">
        <v>10</v>
      </c>
      <c r="C4080" s="3" t="s">
        <v>12</v>
      </c>
      <c r="D4080" s="3" t="s">
        <v>18</v>
      </c>
      <c r="E4080" s="3" t="s">
        <v>24</v>
      </c>
    </row>
    <row r="4081">
      <c r="A4081" s="3" t="s">
        <v>8</v>
      </c>
      <c r="B4081" s="3" t="s">
        <v>11</v>
      </c>
      <c r="C4081" s="3" t="s">
        <v>13</v>
      </c>
      <c r="D4081" s="3" t="s">
        <v>17</v>
      </c>
    </row>
    <row r="4082">
      <c r="A4082" s="3" t="s">
        <v>8</v>
      </c>
      <c r="B4082" s="3" t="s">
        <v>10</v>
      </c>
    </row>
    <row r="4083">
      <c r="A4083" s="3" t="s">
        <v>9</v>
      </c>
      <c r="B4083" s="3" t="s">
        <v>10</v>
      </c>
      <c r="C4083" s="3" t="s">
        <v>16</v>
      </c>
      <c r="D4083" s="3" t="s">
        <v>17</v>
      </c>
      <c r="E4083" s="3" t="s">
        <v>18</v>
      </c>
      <c r="F4083" s="3" t="s">
        <v>24</v>
      </c>
    </row>
    <row r="4084">
      <c r="A4084" s="3" t="s">
        <v>9</v>
      </c>
      <c r="B4084" s="3" t="s">
        <v>13</v>
      </c>
      <c r="C4084" s="3" t="s">
        <v>15</v>
      </c>
      <c r="D4084" s="3" t="s">
        <v>17</v>
      </c>
      <c r="E4084" s="3" t="s">
        <v>18</v>
      </c>
      <c r="F4084" s="3" t="s">
        <v>24</v>
      </c>
    </row>
    <row r="4085">
      <c r="A4085" s="3" t="s">
        <v>9</v>
      </c>
      <c r="B4085" s="3" t="s">
        <v>10</v>
      </c>
      <c r="C4085" s="3" t="s">
        <v>14</v>
      </c>
      <c r="D4085" s="3" t="s">
        <v>17</v>
      </c>
      <c r="E4085" s="3" t="s">
        <v>18</v>
      </c>
      <c r="F4085" s="3" t="s">
        <v>24</v>
      </c>
    </row>
    <row r="4086">
      <c r="A4086" s="3" t="s">
        <v>9</v>
      </c>
      <c r="B4086" s="3" t="s">
        <v>10</v>
      </c>
      <c r="C4086" s="3" t="s">
        <v>15</v>
      </c>
      <c r="D4086" s="3" t="s">
        <v>16</v>
      </c>
      <c r="E4086" s="3" t="s">
        <v>17</v>
      </c>
      <c r="F4086" s="3" t="s">
        <v>18</v>
      </c>
    </row>
    <row r="4087">
      <c r="A4087" s="3" t="s">
        <v>9</v>
      </c>
      <c r="B4087" s="3" t="s">
        <v>10</v>
      </c>
      <c r="C4087" s="3" t="s">
        <v>11</v>
      </c>
      <c r="D4087" s="3" t="s">
        <v>12</v>
      </c>
      <c r="E4087" s="3" t="s">
        <v>18</v>
      </c>
      <c r="F4087" s="3" t="s">
        <v>24</v>
      </c>
    </row>
    <row r="4088">
      <c r="A4088" s="3" t="s">
        <v>9</v>
      </c>
      <c r="B4088" s="3" t="s">
        <v>13</v>
      </c>
      <c r="C4088" s="3" t="s">
        <v>14</v>
      </c>
      <c r="D4088" s="3" t="s">
        <v>17</v>
      </c>
      <c r="E4088" s="3" t="s">
        <v>18</v>
      </c>
      <c r="F4088" s="3" t="s">
        <v>24</v>
      </c>
    </row>
    <row r="4089">
      <c r="A4089" s="3" t="s">
        <v>9</v>
      </c>
      <c r="B4089" s="3" t="s">
        <v>13</v>
      </c>
      <c r="C4089" s="3" t="s">
        <v>14</v>
      </c>
      <c r="D4089" s="3" t="s">
        <v>17</v>
      </c>
      <c r="E4089" s="3" t="s">
        <v>18</v>
      </c>
      <c r="F4089" s="3" t="s">
        <v>24</v>
      </c>
    </row>
    <row r="4090">
      <c r="A4090" s="3" t="s">
        <v>9</v>
      </c>
      <c r="B4090" s="3" t="s">
        <v>10</v>
      </c>
      <c r="C4090" s="3" t="s">
        <v>12</v>
      </c>
      <c r="D4090" s="3" t="s">
        <v>17</v>
      </c>
      <c r="E4090" s="3" t="s">
        <v>18</v>
      </c>
      <c r="F4090" s="3" t="s">
        <v>24</v>
      </c>
    </row>
    <row r="4091">
      <c r="A4091" s="3" t="s">
        <v>9</v>
      </c>
      <c r="B4091" s="3" t="s">
        <v>10</v>
      </c>
      <c r="C4091" s="3" t="s">
        <v>13</v>
      </c>
      <c r="D4091" s="3" t="s">
        <v>15</v>
      </c>
      <c r="E4091" s="3" t="s">
        <v>16</v>
      </c>
      <c r="F4091" s="3" t="s">
        <v>24</v>
      </c>
    </row>
    <row r="4092">
      <c r="A4092" s="3" t="s">
        <v>9</v>
      </c>
      <c r="B4092" s="3" t="s">
        <v>10</v>
      </c>
      <c r="C4092" s="3" t="s">
        <v>15</v>
      </c>
      <c r="D4092" s="3" t="s">
        <v>17</v>
      </c>
      <c r="E4092" s="3" t="s">
        <v>18</v>
      </c>
      <c r="F4092" s="3" t="s">
        <v>24</v>
      </c>
    </row>
    <row r="4093">
      <c r="A4093" s="3" t="s">
        <v>9</v>
      </c>
      <c r="B4093" s="3" t="s">
        <v>13</v>
      </c>
      <c r="C4093" s="3" t="s">
        <v>14</v>
      </c>
      <c r="D4093" s="3" t="s">
        <v>17</v>
      </c>
      <c r="E4093" s="3" t="s">
        <v>18</v>
      </c>
      <c r="F4093" s="3" t="s">
        <v>24</v>
      </c>
    </row>
    <row r="4094">
      <c r="A4094" s="3" t="s">
        <v>9</v>
      </c>
      <c r="B4094" s="3" t="s">
        <v>10</v>
      </c>
      <c r="C4094" s="3" t="s">
        <v>16</v>
      </c>
      <c r="D4094" s="3" t="s">
        <v>17</v>
      </c>
      <c r="E4094" s="3" t="s">
        <v>18</v>
      </c>
      <c r="F4094" s="3" t="s">
        <v>24</v>
      </c>
    </row>
    <row r="4095">
      <c r="A4095" s="3" t="s">
        <v>9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</row>
    <row r="4096">
      <c r="A4096" s="3" t="s">
        <v>9</v>
      </c>
      <c r="B4096" s="3" t="s">
        <v>10</v>
      </c>
      <c r="C4096" s="3" t="s">
        <v>13</v>
      </c>
      <c r="D4096" s="3" t="s">
        <v>14</v>
      </c>
      <c r="E4096" s="3" t="s">
        <v>17</v>
      </c>
      <c r="F4096" s="3" t="s">
        <v>24</v>
      </c>
    </row>
    <row r="4097">
      <c r="A4097" s="3" t="s">
        <v>9</v>
      </c>
      <c r="B4097" s="3" t="s">
        <v>11</v>
      </c>
      <c r="C4097" s="3" t="s">
        <v>12</v>
      </c>
      <c r="D4097" s="3" t="s">
        <v>17</v>
      </c>
    </row>
    <row r="4098">
      <c r="A4098" s="3" t="s">
        <v>9</v>
      </c>
      <c r="B4098" s="3" t="s">
        <v>12</v>
      </c>
      <c r="C4098" s="3" t="s">
        <v>16</v>
      </c>
      <c r="D4098" s="3" t="s">
        <v>18</v>
      </c>
      <c r="E4098" s="3" t="s">
        <v>24</v>
      </c>
    </row>
    <row r="4099">
      <c r="A4099" s="3" t="s">
        <v>9</v>
      </c>
      <c r="B4099" s="3" t="s">
        <v>10</v>
      </c>
      <c r="C4099" s="3" t="s">
        <v>13</v>
      </c>
      <c r="D4099" s="3" t="s">
        <v>14</v>
      </c>
      <c r="E4099" s="3" t="s">
        <v>17</v>
      </c>
      <c r="F4099" s="3" t="s">
        <v>18</v>
      </c>
    </row>
    <row r="4100">
      <c r="A4100" s="3" t="s">
        <v>9</v>
      </c>
      <c r="B4100" s="3" t="s">
        <v>12</v>
      </c>
      <c r="C4100" s="3" t="s">
        <v>14</v>
      </c>
      <c r="D4100" s="3" t="s">
        <v>17</v>
      </c>
      <c r="E4100" s="3" t="s">
        <v>24</v>
      </c>
    </row>
    <row r="4101">
      <c r="A4101" s="3" t="s">
        <v>9</v>
      </c>
      <c r="B4101" s="3" t="s">
        <v>24</v>
      </c>
    </row>
    <row r="4102">
      <c r="A4102" s="3" t="s">
        <v>9</v>
      </c>
      <c r="B4102" s="3" t="s">
        <v>10</v>
      </c>
      <c r="C4102" s="3" t="s">
        <v>11</v>
      </c>
      <c r="D4102" s="3" t="s">
        <v>15</v>
      </c>
      <c r="E4102" s="3" t="s">
        <v>16</v>
      </c>
    </row>
    <row r="4103">
      <c r="A4103" s="3" t="s">
        <v>10</v>
      </c>
      <c r="B4103" s="3" t="s">
        <v>12</v>
      </c>
      <c r="C4103" s="3" t="s">
        <v>14</v>
      </c>
      <c r="D4103" s="3" t="s">
        <v>16</v>
      </c>
      <c r="E4103" s="3" t="s">
        <v>17</v>
      </c>
      <c r="F4103" s="3" t="s">
        <v>18</v>
      </c>
    </row>
    <row r="4104">
      <c r="A4104" s="3" t="s">
        <v>10</v>
      </c>
      <c r="B4104" s="3" t="s">
        <v>12</v>
      </c>
      <c r="C4104" s="3" t="s">
        <v>15</v>
      </c>
      <c r="D4104" s="3" t="s">
        <v>16</v>
      </c>
      <c r="E4104" s="3" t="s">
        <v>18</v>
      </c>
      <c r="F4104" s="3" t="s">
        <v>24</v>
      </c>
    </row>
    <row r="4105">
      <c r="A4105" s="3" t="s">
        <v>10</v>
      </c>
      <c r="B4105" s="3" t="s">
        <v>12</v>
      </c>
      <c r="C4105" s="3" t="s">
        <v>16</v>
      </c>
      <c r="D4105" s="3" t="s">
        <v>24</v>
      </c>
    </row>
    <row r="4106">
      <c r="A4106" s="3" t="s">
        <v>10</v>
      </c>
      <c r="B4106" s="3" t="s">
        <v>14</v>
      </c>
      <c r="C4106" s="3" t="s">
        <v>24</v>
      </c>
    </row>
    <row r="4107">
      <c r="A4107" s="3" t="s">
        <v>10</v>
      </c>
      <c r="B4107" s="3" t="s">
        <v>24</v>
      </c>
    </row>
    <row r="4108">
      <c r="A4108" s="3" t="s">
        <v>10</v>
      </c>
      <c r="B4108" s="3" t="s">
        <v>14</v>
      </c>
      <c r="C4108" s="3" t="s">
        <v>24</v>
      </c>
    </row>
    <row r="4109">
      <c r="A4109" s="3" t="s">
        <v>10</v>
      </c>
      <c r="B4109" s="3" t="s">
        <v>13</v>
      </c>
      <c r="C4109" s="3" t="s">
        <v>15</v>
      </c>
      <c r="D4109" s="3" t="s">
        <v>24</v>
      </c>
    </row>
    <row r="4110">
      <c r="A4110" s="3" t="s">
        <v>10</v>
      </c>
      <c r="B4110" s="3" t="s">
        <v>16</v>
      </c>
      <c r="C4110" s="3" t="s">
        <v>24</v>
      </c>
    </row>
    <row r="4111">
      <c r="A4111" s="3" t="s">
        <v>10</v>
      </c>
      <c r="B4111" s="3" t="s">
        <v>24</v>
      </c>
    </row>
    <row r="4112">
      <c r="A4112" s="3" t="s">
        <v>11</v>
      </c>
      <c r="B4112" s="3" t="s">
        <v>12</v>
      </c>
      <c r="C4112" s="3" t="s">
        <v>15</v>
      </c>
      <c r="D4112" s="3" t="s">
        <v>16</v>
      </c>
      <c r="E4112" s="3" t="s">
        <v>17</v>
      </c>
      <c r="F4112" s="3" t="s">
        <v>18</v>
      </c>
    </row>
    <row r="4113">
      <c r="A4113" s="3" t="s">
        <v>11</v>
      </c>
      <c r="B4113" s="3" t="s">
        <v>12</v>
      </c>
      <c r="C4113" s="3" t="s">
        <v>15</v>
      </c>
      <c r="D4113" s="3" t="s">
        <v>16</v>
      </c>
      <c r="E4113" s="3" t="s">
        <v>17</v>
      </c>
      <c r="F4113" s="3" t="s">
        <v>18</v>
      </c>
    </row>
    <row r="4114">
      <c r="A4114" s="3" t="s">
        <v>11</v>
      </c>
      <c r="B4114" s="3" t="s">
        <v>12</v>
      </c>
      <c r="C4114" s="3" t="s">
        <v>13</v>
      </c>
      <c r="D4114" s="3" t="s">
        <v>14</v>
      </c>
      <c r="E4114" s="3" t="s">
        <v>17</v>
      </c>
      <c r="F4114" s="3" t="s">
        <v>18</v>
      </c>
    </row>
    <row r="4115">
      <c r="A4115" s="3" t="s">
        <v>11</v>
      </c>
      <c r="B4115" s="3" t="s">
        <v>12</v>
      </c>
      <c r="C4115" s="3" t="s">
        <v>13</v>
      </c>
      <c r="D4115" s="3" t="s">
        <v>14</v>
      </c>
      <c r="E4115" s="3" t="s">
        <v>17</v>
      </c>
      <c r="F4115" s="3" t="s">
        <v>18</v>
      </c>
    </row>
    <row r="4116">
      <c r="A4116" s="3" t="s">
        <v>11</v>
      </c>
      <c r="B4116" s="3" t="s">
        <v>12</v>
      </c>
      <c r="C4116" s="3" t="s">
        <v>13</v>
      </c>
      <c r="D4116" s="3" t="s">
        <v>15</v>
      </c>
      <c r="E4116" s="3" t="s">
        <v>16</v>
      </c>
      <c r="F4116" s="3" t="s">
        <v>17</v>
      </c>
    </row>
    <row r="4117">
      <c r="A4117" s="3" t="s">
        <v>11</v>
      </c>
      <c r="B4117" s="3" t="s">
        <v>12</v>
      </c>
      <c r="C4117" s="3" t="s">
        <v>13</v>
      </c>
      <c r="D4117" s="3" t="s">
        <v>15</v>
      </c>
      <c r="E4117" s="3" t="s">
        <v>16</v>
      </c>
      <c r="F4117" s="3" t="s">
        <v>17</v>
      </c>
    </row>
    <row r="4118">
      <c r="A4118" s="3" t="s">
        <v>11</v>
      </c>
      <c r="B4118" s="3" t="s">
        <v>12</v>
      </c>
      <c r="C4118" s="3" t="s">
        <v>13</v>
      </c>
      <c r="D4118" s="3" t="s">
        <v>14</v>
      </c>
      <c r="E4118" s="3" t="s">
        <v>17</v>
      </c>
      <c r="F4118" s="3" t="s">
        <v>18</v>
      </c>
    </row>
    <row r="4119">
      <c r="A4119" s="3" t="s">
        <v>11</v>
      </c>
      <c r="B4119" s="3" t="s">
        <v>12</v>
      </c>
      <c r="C4119" s="3" t="s">
        <v>15</v>
      </c>
      <c r="D4119" s="3" t="s">
        <v>16</v>
      </c>
      <c r="E4119" s="3" t="s">
        <v>17</v>
      </c>
      <c r="F4119" s="3" t="s">
        <v>18</v>
      </c>
    </row>
    <row r="4120">
      <c r="A4120" s="3" t="s">
        <v>11</v>
      </c>
      <c r="B4120" s="3" t="s">
        <v>12</v>
      </c>
      <c r="C4120" s="3" t="s">
        <v>15</v>
      </c>
      <c r="D4120" s="3" t="s">
        <v>16</v>
      </c>
      <c r="E4120" s="3" t="s">
        <v>17</v>
      </c>
      <c r="F4120" s="3" t="s">
        <v>18</v>
      </c>
    </row>
    <row r="4121">
      <c r="A4121" s="3" t="s">
        <v>11</v>
      </c>
      <c r="B4121" s="3" t="s">
        <v>12</v>
      </c>
      <c r="C4121" s="3" t="s">
        <v>13</v>
      </c>
      <c r="D4121" s="3" t="s">
        <v>14</v>
      </c>
      <c r="E4121" s="3" t="s">
        <v>15</v>
      </c>
      <c r="F4121" s="3" t="s">
        <v>17</v>
      </c>
    </row>
    <row r="4122">
      <c r="A4122" s="3" t="s">
        <v>11</v>
      </c>
      <c r="B4122" s="3" t="s">
        <v>12</v>
      </c>
    </row>
    <row r="4123">
      <c r="A4123" s="3" t="s">
        <v>11</v>
      </c>
      <c r="B4123" s="3" t="s">
        <v>12</v>
      </c>
      <c r="C4123" s="3" t="s">
        <v>13</v>
      </c>
      <c r="D4123" s="3" t="s">
        <v>14</v>
      </c>
      <c r="E4123" s="3" t="s">
        <v>17</v>
      </c>
    </row>
    <row r="4124">
      <c r="A4124" s="3" t="s">
        <v>11</v>
      </c>
      <c r="B4124" s="3" t="s">
        <v>12</v>
      </c>
      <c r="C4124" s="3" t="s">
        <v>13</v>
      </c>
      <c r="D4124" s="3" t="s">
        <v>14</v>
      </c>
      <c r="E4124" s="3" t="s">
        <v>17</v>
      </c>
      <c r="F4124" s="3" t="s">
        <v>18</v>
      </c>
    </row>
    <row r="4125">
      <c r="A4125" s="3" t="s">
        <v>11</v>
      </c>
      <c r="B4125" s="3" t="s">
        <v>12</v>
      </c>
      <c r="C4125" s="3" t="s">
        <v>13</v>
      </c>
      <c r="D4125" s="3" t="s">
        <v>17</v>
      </c>
    </row>
    <row r="4126">
      <c r="A4126" s="3" t="s">
        <v>11</v>
      </c>
      <c r="B4126" s="3" t="s">
        <v>12</v>
      </c>
      <c r="C4126" s="3" t="s">
        <v>13</v>
      </c>
      <c r="D4126" s="3" t="s">
        <v>14</v>
      </c>
      <c r="E4126" s="3" t="s">
        <v>17</v>
      </c>
      <c r="F4126" s="3" t="s">
        <v>18</v>
      </c>
    </row>
    <row r="4127">
      <c r="A4127" s="3" t="s">
        <v>11</v>
      </c>
    </row>
    <row r="4128">
      <c r="A4128" s="3" t="s">
        <v>11</v>
      </c>
      <c r="B4128" s="3" t="s">
        <v>15</v>
      </c>
      <c r="C4128" s="3" t="s">
        <v>16</v>
      </c>
      <c r="D4128" s="3" t="s">
        <v>17</v>
      </c>
    </row>
    <row r="4129">
      <c r="A4129" s="3" t="s">
        <v>11</v>
      </c>
    </row>
    <row r="4130">
      <c r="A4130" s="3" t="s">
        <v>11</v>
      </c>
    </row>
    <row r="4131">
      <c r="A4131" s="3" t="s">
        <v>11</v>
      </c>
      <c r="B4131" s="3" t="s">
        <v>12</v>
      </c>
    </row>
    <row r="4132">
      <c r="A4132" s="3" t="s">
        <v>11</v>
      </c>
      <c r="B4132" s="3" t="s">
        <v>12</v>
      </c>
    </row>
    <row r="4133">
      <c r="A4133" s="3" t="s">
        <v>11</v>
      </c>
      <c r="B4133" s="3" t="s">
        <v>12</v>
      </c>
    </row>
    <row r="4134">
      <c r="A4134" s="3" t="s">
        <v>11</v>
      </c>
      <c r="B4134" s="3" t="s">
        <v>12</v>
      </c>
    </row>
    <row r="4135">
      <c r="A4135" s="3" t="s">
        <v>11</v>
      </c>
      <c r="B4135" s="3" t="s">
        <v>12</v>
      </c>
      <c r="C4135" s="3" t="s">
        <v>13</v>
      </c>
      <c r="D4135" s="3" t="s">
        <v>14</v>
      </c>
      <c r="E4135" s="3" t="s">
        <v>18</v>
      </c>
    </row>
    <row r="4136">
      <c r="A4136" s="3" t="s">
        <v>11</v>
      </c>
      <c r="B4136" s="3" t="s">
        <v>15</v>
      </c>
    </row>
    <row r="4137">
      <c r="A4137" s="3" t="s">
        <v>11</v>
      </c>
      <c r="B4137" s="3" t="s">
        <v>13</v>
      </c>
      <c r="C4137" s="3" t="s">
        <v>14</v>
      </c>
      <c r="D4137" s="3" t="s">
        <v>18</v>
      </c>
    </row>
    <row r="4138">
      <c r="A4138" s="3" t="s">
        <v>11</v>
      </c>
    </row>
    <row r="4139">
      <c r="A4139" s="3" t="s">
        <v>12</v>
      </c>
      <c r="B4139" s="3" t="s">
        <v>13</v>
      </c>
      <c r="C4139" s="3" t="s">
        <v>14</v>
      </c>
      <c r="D4139" s="3" t="s">
        <v>16</v>
      </c>
      <c r="E4139" s="3" t="s">
        <v>17</v>
      </c>
    </row>
    <row r="4140">
      <c r="A4140" s="3" t="s">
        <v>12</v>
      </c>
      <c r="B4140" s="3" t="s">
        <v>13</v>
      </c>
      <c r="C4140" s="3" t="s">
        <v>14</v>
      </c>
      <c r="D4140" s="3" t="s">
        <v>16</v>
      </c>
      <c r="E4140" s="3" t="s">
        <v>17</v>
      </c>
      <c r="F4140" s="3" t="s">
        <v>18</v>
      </c>
    </row>
    <row r="4141">
      <c r="A4141" s="3" t="s">
        <v>12</v>
      </c>
      <c r="B4141" s="3" t="s">
        <v>16</v>
      </c>
      <c r="C4141" s="3" t="s">
        <v>17</v>
      </c>
      <c r="D4141" s="3" t="s">
        <v>18</v>
      </c>
    </row>
    <row r="4142">
      <c r="A4142" s="3" t="s">
        <v>12</v>
      </c>
    </row>
    <row r="4143">
      <c r="A4143" s="3" t="s">
        <v>12</v>
      </c>
    </row>
    <row r="4144">
      <c r="A4144" s="3" t="s">
        <v>13</v>
      </c>
      <c r="B4144" s="3" t="s">
        <v>15</v>
      </c>
    </row>
    <row r="4145">
      <c r="A4145" s="3" t="s">
        <v>13</v>
      </c>
      <c r="B4145" s="3" t="s">
        <v>14</v>
      </c>
      <c r="C4145" s="3" t="s">
        <v>15</v>
      </c>
      <c r="D4145" s="3" t="s">
        <v>16</v>
      </c>
      <c r="E4145" s="3" t="s">
        <v>17</v>
      </c>
    </row>
    <row r="4146">
      <c r="A4146" s="3" t="s">
        <v>13</v>
      </c>
      <c r="B4146" s="3" t="s">
        <v>14</v>
      </c>
      <c r="C4146" s="3" t="s">
        <v>17</v>
      </c>
    </row>
    <row r="4147">
      <c r="A4147" s="3" t="s">
        <v>13</v>
      </c>
      <c r="B4147" s="3" t="s">
        <v>14</v>
      </c>
      <c r="C4147" s="3" t="s">
        <v>15</v>
      </c>
      <c r="D4147" s="3" t="s">
        <v>16</v>
      </c>
      <c r="E4147" s="3" t="s">
        <v>17</v>
      </c>
      <c r="F4147" s="3" t="s">
        <v>18</v>
      </c>
    </row>
    <row r="4148">
      <c r="A4148" s="3" t="s">
        <v>13</v>
      </c>
      <c r="B4148" s="3" t="s">
        <v>14</v>
      </c>
      <c r="C4148" s="3" t="s">
        <v>17</v>
      </c>
    </row>
    <row r="4149">
      <c r="A4149" s="3" t="s">
        <v>13</v>
      </c>
      <c r="B4149" s="3" t="s">
        <v>14</v>
      </c>
      <c r="C4149" s="3" t="s">
        <v>15</v>
      </c>
      <c r="D4149" s="3" t="s">
        <v>16</v>
      </c>
      <c r="E4149" s="3" t="s">
        <v>17</v>
      </c>
      <c r="F4149" s="3" t="s">
        <v>18</v>
      </c>
    </row>
    <row r="4150">
      <c r="A4150" s="3" t="s">
        <v>13</v>
      </c>
      <c r="B4150" s="3" t="s">
        <v>14</v>
      </c>
      <c r="C4150" s="3" t="s">
        <v>15</v>
      </c>
      <c r="D4150" s="3" t="s">
        <v>17</v>
      </c>
    </row>
    <row r="4151">
      <c r="A4151" s="3" t="s">
        <v>13</v>
      </c>
      <c r="B4151" s="3" t="s">
        <v>14</v>
      </c>
      <c r="C4151" s="3" t="s">
        <v>16</v>
      </c>
      <c r="D4151" s="3" t="s">
        <v>17</v>
      </c>
      <c r="E4151" s="3" t="s">
        <v>18</v>
      </c>
      <c r="F4151" s="3" t="s">
        <v>24</v>
      </c>
    </row>
    <row r="4152">
      <c r="A4152" s="3" t="s">
        <v>13</v>
      </c>
      <c r="B4152" s="3" t="s">
        <v>14</v>
      </c>
    </row>
    <row r="4153">
      <c r="A4153" s="3" t="s">
        <v>13</v>
      </c>
      <c r="B4153" s="3" t="s">
        <v>14</v>
      </c>
    </row>
    <row r="4154">
      <c r="A4154" s="3" t="s">
        <v>13</v>
      </c>
      <c r="B4154" s="3" t="s">
        <v>14</v>
      </c>
      <c r="C4154" s="3" t="s">
        <v>17</v>
      </c>
      <c r="D4154" s="3" t="s">
        <v>18</v>
      </c>
    </row>
    <row r="4155">
      <c r="A4155" s="3" t="s">
        <v>13</v>
      </c>
      <c r="B4155" s="3" t="s">
        <v>14</v>
      </c>
      <c r="C4155" s="3" t="s">
        <v>17</v>
      </c>
      <c r="D4155" s="3" t="s">
        <v>18</v>
      </c>
    </row>
    <row r="4156">
      <c r="A4156" s="3" t="s">
        <v>13</v>
      </c>
      <c r="B4156" s="3" t="s">
        <v>14</v>
      </c>
      <c r="C4156" s="3" t="s">
        <v>15</v>
      </c>
      <c r="D4156" s="3" t="s">
        <v>16</v>
      </c>
    </row>
    <row r="4157">
      <c r="A4157" s="3" t="s">
        <v>13</v>
      </c>
      <c r="B4157" s="3" t="s">
        <v>14</v>
      </c>
    </row>
    <row r="4158">
      <c r="A4158" s="3" t="s">
        <v>13</v>
      </c>
      <c r="B4158" s="3" t="s">
        <v>14</v>
      </c>
    </row>
    <row r="4159">
      <c r="A4159" s="3" t="s">
        <v>13</v>
      </c>
      <c r="B4159" s="3" t="s">
        <v>14</v>
      </c>
    </row>
    <row r="4160">
      <c r="A4160" s="3" t="s">
        <v>13</v>
      </c>
      <c r="B4160" s="3" t="s">
        <v>17</v>
      </c>
    </row>
    <row r="4161">
      <c r="A4161" s="3" t="s">
        <v>13</v>
      </c>
      <c r="B4161" s="3" t="s">
        <v>14</v>
      </c>
    </row>
    <row r="4162">
      <c r="A4162" s="3" t="s">
        <v>13</v>
      </c>
      <c r="B4162" s="3" t="s">
        <v>14</v>
      </c>
      <c r="C4162" s="3" t="s">
        <v>16</v>
      </c>
    </row>
    <row r="4163">
      <c r="A4163" s="3" t="s">
        <v>13</v>
      </c>
    </row>
    <row r="4164">
      <c r="A4164" s="3" t="s">
        <v>13</v>
      </c>
      <c r="B4164" s="3" t="s">
        <v>14</v>
      </c>
      <c r="C4164" s="3" t="s">
        <v>15</v>
      </c>
      <c r="D4164" s="3" t="s">
        <v>17</v>
      </c>
    </row>
    <row r="4165">
      <c r="A4165" s="3" t="s">
        <v>13</v>
      </c>
      <c r="B4165" s="3" t="s">
        <v>14</v>
      </c>
    </row>
    <row r="4166">
      <c r="A4166" s="3" t="s">
        <v>13</v>
      </c>
      <c r="B4166" s="3" t="s">
        <v>15</v>
      </c>
    </row>
    <row r="4167">
      <c r="A4167" s="3" t="s">
        <v>13</v>
      </c>
      <c r="B4167" s="3" t="s">
        <v>14</v>
      </c>
    </row>
    <row r="4168">
      <c r="A4168" s="3" t="s">
        <v>13</v>
      </c>
    </row>
    <row r="4169">
      <c r="A4169" s="3" t="s">
        <v>13</v>
      </c>
      <c r="B4169" s="3" t="s">
        <v>15</v>
      </c>
      <c r="C4169" s="3" t="s">
        <v>16</v>
      </c>
    </row>
    <row r="4170">
      <c r="A4170" s="3" t="s">
        <v>13</v>
      </c>
    </row>
    <row r="4171">
      <c r="A4171" s="3" t="s">
        <v>13</v>
      </c>
      <c r="B4171" s="3" t="s">
        <v>14</v>
      </c>
    </row>
    <row r="4172">
      <c r="A4172" s="3" t="s">
        <v>13</v>
      </c>
      <c r="B4172" s="3" t="s">
        <v>15</v>
      </c>
    </row>
    <row r="4173">
      <c r="A4173" s="3" t="s">
        <v>13</v>
      </c>
      <c r="B4173" s="3" t="s">
        <v>16</v>
      </c>
      <c r="C4173" s="3" t="s">
        <v>17</v>
      </c>
      <c r="D4173" s="3" t="s">
        <v>18</v>
      </c>
    </row>
    <row r="4174">
      <c r="A4174" s="3" t="s">
        <v>13</v>
      </c>
      <c r="B4174" s="3" t="s">
        <v>14</v>
      </c>
    </row>
    <row r="4175">
      <c r="A4175" s="3" t="s">
        <v>13</v>
      </c>
    </row>
    <row r="4176">
      <c r="A4176" s="3" t="s">
        <v>13</v>
      </c>
    </row>
    <row r="4177">
      <c r="A4177" s="3" t="s">
        <v>13</v>
      </c>
    </row>
    <row r="4178">
      <c r="A4178" s="3" t="s">
        <v>13</v>
      </c>
      <c r="B4178" s="3" t="s">
        <v>15</v>
      </c>
      <c r="C4178" s="3" t="s">
        <v>18</v>
      </c>
    </row>
    <row r="4179">
      <c r="A4179" s="3" t="s">
        <v>14</v>
      </c>
      <c r="B4179" s="3" t="s">
        <v>16</v>
      </c>
    </row>
    <row r="4180">
      <c r="A4180" s="3" t="s">
        <v>14</v>
      </c>
      <c r="B4180" s="3" t="s">
        <v>17</v>
      </c>
    </row>
    <row r="4181">
      <c r="A4181" s="3" t="s">
        <v>14</v>
      </c>
      <c r="B4181" s="3" t="s">
        <v>15</v>
      </c>
      <c r="C4181" s="3" t="s">
        <v>16</v>
      </c>
      <c r="D4181" s="3" t="s">
        <v>17</v>
      </c>
      <c r="E4181" s="3" t="s">
        <v>18</v>
      </c>
      <c r="F4181" s="3" t="s">
        <v>24</v>
      </c>
    </row>
    <row r="4182">
      <c r="A4182" s="3" t="s">
        <v>15</v>
      </c>
      <c r="B4182" s="3" t="s">
        <v>16</v>
      </c>
      <c r="C4182" s="3" t="s">
        <v>17</v>
      </c>
    </row>
    <row r="4183">
      <c r="A4183" s="3" t="s">
        <v>15</v>
      </c>
      <c r="B4183" s="3" t="s">
        <v>16</v>
      </c>
      <c r="C4183" s="3" t="s">
        <v>18</v>
      </c>
      <c r="D4183" s="3" t="s">
        <v>24</v>
      </c>
    </row>
    <row r="4184">
      <c r="A4184" s="3" t="s">
        <v>15</v>
      </c>
      <c r="B4184" s="3" t="s">
        <v>16</v>
      </c>
    </row>
    <row r="4185">
      <c r="A4185" s="3" t="s">
        <v>15</v>
      </c>
      <c r="B4185" s="3" t="s">
        <v>16</v>
      </c>
    </row>
    <row r="4186">
      <c r="A4186" s="3" t="s">
        <v>15</v>
      </c>
      <c r="B4186" s="3" t="s">
        <v>16</v>
      </c>
    </row>
    <row r="4187">
      <c r="A4187" s="3" t="s">
        <v>15</v>
      </c>
    </row>
    <row r="4188">
      <c r="A4188" s="3" t="s">
        <v>16</v>
      </c>
    </row>
    <row r="4189">
      <c r="A4189" s="3" t="s">
        <v>16</v>
      </c>
    </row>
    <row r="4190">
      <c r="A4190" s="3" t="s">
        <v>16</v>
      </c>
    </row>
    <row r="4191">
      <c r="A4191" s="3" t="s">
        <v>16</v>
      </c>
    </row>
    <row r="4192">
      <c r="A4192" s="3" t="s">
        <v>17</v>
      </c>
    </row>
    <row r="4193">
      <c r="A4193" s="3" t="s">
        <v>6</v>
      </c>
      <c r="B4193" s="3" t="s">
        <v>7</v>
      </c>
      <c r="C4193" s="3" t="s">
        <v>11</v>
      </c>
      <c r="D4193" s="3" t="s">
        <v>15</v>
      </c>
      <c r="E4193" s="3" t="s">
        <v>16</v>
      </c>
    </row>
    <row r="4194">
      <c r="A4194" s="3" t="s">
        <v>6</v>
      </c>
      <c r="B4194" s="3" t="s">
        <v>11</v>
      </c>
      <c r="C4194" s="3" t="s">
        <v>12</v>
      </c>
      <c r="D4194" s="3" t="s">
        <v>17</v>
      </c>
    </row>
    <row r="4195">
      <c r="A4195" s="3" t="s">
        <v>6</v>
      </c>
      <c r="B4195" s="3" t="s">
        <v>7</v>
      </c>
      <c r="C4195" s="3" t="s">
        <v>10</v>
      </c>
      <c r="D4195" s="3" t="s">
        <v>14</v>
      </c>
      <c r="E4195" s="3" t="s">
        <v>18</v>
      </c>
      <c r="F4195" s="3" t="s">
        <v>24</v>
      </c>
    </row>
    <row r="4196">
      <c r="A4196" s="3" t="s">
        <v>6</v>
      </c>
      <c r="B4196" s="3" t="s">
        <v>7</v>
      </c>
      <c r="C4196" s="3" t="s">
        <v>11</v>
      </c>
      <c r="D4196" s="3" t="s">
        <v>13</v>
      </c>
      <c r="E4196" s="3" t="s">
        <v>15</v>
      </c>
      <c r="F4196" s="3" t="s">
        <v>17</v>
      </c>
    </row>
    <row r="4197">
      <c r="A4197" s="3" t="s">
        <v>6</v>
      </c>
      <c r="B4197" s="3" t="s">
        <v>7</v>
      </c>
      <c r="C4197" s="3" t="s">
        <v>8</v>
      </c>
      <c r="D4197" s="3" t="s">
        <v>9</v>
      </c>
      <c r="E4197" s="3" t="s">
        <v>15</v>
      </c>
      <c r="F4197" s="3" t="s">
        <v>17</v>
      </c>
    </row>
    <row r="4198">
      <c r="A4198" s="3" t="s">
        <v>6</v>
      </c>
      <c r="B4198" s="3" t="s">
        <v>7</v>
      </c>
      <c r="C4198" s="3" t="s">
        <v>8</v>
      </c>
      <c r="D4198" s="3" t="s">
        <v>15</v>
      </c>
      <c r="E4198" s="3" t="s">
        <v>16</v>
      </c>
      <c r="F4198" s="3" t="s">
        <v>17</v>
      </c>
    </row>
    <row r="4199">
      <c r="A4199" s="3" t="s">
        <v>6</v>
      </c>
      <c r="B4199" s="3" t="s">
        <v>7</v>
      </c>
      <c r="C4199" s="3" t="s">
        <v>8</v>
      </c>
      <c r="D4199" s="3" t="s">
        <v>9</v>
      </c>
      <c r="E4199" s="3" t="s">
        <v>11</v>
      </c>
      <c r="F4199" s="3" t="s">
        <v>12</v>
      </c>
    </row>
    <row r="4200">
      <c r="A4200" s="3" t="s">
        <v>6</v>
      </c>
      <c r="B4200" s="3" t="s">
        <v>7</v>
      </c>
      <c r="C4200" s="3" t="s">
        <v>8</v>
      </c>
      <c r="D4200" s="3" t="s">
        <v>13</v>
      </c>
      <c r="E4200" s="3" t="s">
        <v>14</v>
      </c>
      <c r="F4200" s="3" t="s">
        <v>17</v>
      </c>
    </row>
    <row r="4201">
      <c r="A4201" s="3" t="s">
        <v>6</v>
      </c>
      <c r="B4201" s="3" t="s">
        <v>7</v>
      </c>
      <c r="C4201" s="3" t="s">
        <v>8</v>
      </c>
      <c r="D4201" s="3" t="s">
        <v>9</v>
      </c>
      <c r="E4201" s="3" t="s">
        <v>12</v>
      </c>
      <c r="F4201" s="3" t="s">
        <v>15</v>
      </c>
    </row>
    <row r="4202">
      <c r="A4202" s="3" t="s">
        <v>6</v>
      </c>
      <c r="B4202" s="3" t="s">
        <v>7</v>
      </c>
      <c r="C4202" s="3" t="s">
        <v>11</v>
      </c>
      <c r="D4202" s="3" t="s">
        <v>12</v>
      </c>
      <c r="E4202" s="3" t="s">
        <v>13</v>
      </c>
      <c r="F4202" s="3" t="s">
        <v>15</v>
      </c>
    </row>
    <row r="4203">
      <c r="A4203" s="3" t="s">
        <v>6</v>
      </c>
      <c r="B4203" s="3" t="s">
        <v>7</v>
      </c>
      <c r="C4203" s="3" t="s">
        <v>8</v>
      </c>
      <c r="D4203" s="3" t="s">
        <v>11</v>
      </c>
      <c r="E4203" s="3" t="s">
        <v>12</v>
      </c>
      <c r="F4203" s="3" t="s">
        <v>15</v>
      </c>
    </row>
    <row r="4204">
      <c r="A4204" s="3" t="s">
        <v>6</v>
      </c>
      <c r="B4204" s="3" t="s">
        <v>11</v>
      </c>
      <c r="C4204" s="3" t="s">
        <v>12</v>
      </c>
      <c r="D4204" s="3" t="s">
        <v>13</v>
      </c>
      <c r="E4204" s="3" t="s">
        <v>15</v>
      </c>
      <c r="F4204" s="3" t="s">
        <v>17</v>
      </c>
    </row>
    <row r="4205">
      <c r="A4205" s="3" t="s">
        <v>6</v>
      </c>
      <c r="B4205" s="3" t="s">
        <v>7</v>
      </c>
      <c r="C4205" s="3" t="s">
        <v>15</v>
      </c>
      <c r="D4205" s="3" t="s">
        <v>16</v>
      </c>
    </row>
    <row r="4206">
      <c r="A4206" s="3" t="s">
        <v>6</v>
      </c>
      <c r="B4206" s="3" t="s">
        <v>7</v>
      </c>
      <c r="C4206" s="3" t="s">
        <v>8</v>
      </c>
      <c r="D4206" s="3" t="s">
        <v>9</v>
      </c>
      <c r="E4206" s="3" t="s">
        <v>15</v>
      </c>
      <c r="F4206" s="3" t="s">
        <v>24</v>
      </c>
    </row>
    <row r="4207">
      <c r="A4207" s="3" t="s">
        <v>6</v>
      </c>
      <c r="B4207" s="3" t="s">
        <v>7</v>
      </c>
      <c r="C4207" s="3" t="s">
        <v>8</v>
      </c>
      <c r="D4207" s="3" t="s">
        <v>11</v>
      </c>
      <c r="E4207" s="3" t="s">
        <v>15</v>
      </c>
      <c r="F4207" s="3" t="s">
        <v>16</v>
      </c>
    </row>
    <row r="4208">
      <c r="A4208" s="3" t="s">
        <v>6</v>
      </c>
      <c r="B4208" s="3" t="s">
        <v>7</v>
      </c>
      <c r="C4208" s="3" t="s">
        <v>8</v>
      </c>
      <c r="D4208" s="3" t="s">
        <v>13</v>
      </c>
      <c r="E4208" s="3" t="s">
        <v>14</v>
      </c>
      <c r="F4208" s="3" t="s">
        <v>17</v>
      </c>
    </row>
    <row r="4209">
      <c r="A4209" s="3" t="s">
        <v>6</v>
      </c>
      <c r="B4209" s="3" t="s">
        <v>7</v>
      </c>
      <c r="C4209" s="3" t="s">
        <v>13</v>
      </c>
      <c r="D4209" s="3" t="s">
        <v>14</v>
      </c>
      <c r="E4209" s="3" t="s">
        <v>17</v>
      </c>
    </row>
    <row r="4210">
      <c r="A4210" s="3" t="s">
        <v>6</v>
      </c>
      <c r="B4210" s="3" t="s">
        <v>11</v>
      </c>
      <c r="C4210" s="3" t="s">
        <v>14</v>
      </c>
    </row>
    <row r="4211">
      <c r="A4211" s="3" t="s">
        <v>6</v>
      </c>
      <c r="B4211" s="3" t="s">
        <v>7</v>
      </c>
      <c r="C4211" s="3" t="s">
        <v>8</v>
      </c>
      <c r="D4211" s="3" t="s">
        <v>15</v>
      </c>
    </row>
    <row r="4212">
      <c r="A4212" s="3" t="s">
        <v>6</v>
      </c>
      <c r="B4212" s="3" t="s">
        <v>7</v>
      </c>
      <c r="C4212" s="3" t="s">
        <v>8</v>
      </c>
      <c r="D4212" s="3" t="s">
        <v>13</v>
      </c>
      <c r="E4212" s="3" t="s">
        <v>14</v>
      </c>
      <c r="F4212" s="3" t="s">
        <v>17</v>
      </c>
    </row>
    <row r="4213">
      <c r="A4213" s="3" t="s">
        <v>6</v>
      </c>
      <c r="B4213" s="3" t="s">
        <v>9</v>
      </c>
      <c r="C4213" s="3" t="s">
        <v>12</v>
      </c>
      <c r="D4213" s="3" t="s">
        <v>13</v>
      </c>
      <c r="E4213" s="3" t="s">
        <v>17</v>
      </c>
    </row>
    <row r="4214">
      <c r="A4214" s="3" t="s">
        <v>6</v>
      </c>
      <c r="B4214" s="3" t="s">
        <v>7</v>
      </c>
      <c r="C4214" s="3" t="s">
        <v>8</v>
      </c>
      <c r="D4214" s="3" t="s">
        <v>11</v>
      </c>
      <c r="E4214" s="3" t="s">
        <v>15</v>
      </c>
      <c r="F4214" s="3" t="s">
        <v>17</v>
      </c>
    </row>
    <row r="4215">
      <c r="A4215" s="3" t="s">
        <v>6</v>
      </c>
      <c r="B4215" s="3" t="s">
        <v>7</v>
      </c>
      <c r="C4215" s="3" t="s">
        <v>8</v>
      </c>
      <c r="D4215" s="3" t="s">
        <v>11</v>
      </c>
      <c r="E4215" s="3" t="s">
        <v>15</v>
      </c>
      <c r="F4215" s="3" t="s">
        <v>17</v>
      </c>
    </row>
    <row r="4216">
      <c r="A4216" s="3" t="s">
        <v>6</v>
      </c>
      <c r="B4216" s="3" t="s">
        <v>7</v>
      </c>
      <c r="C4216" s="3" t="s">
        <v>11</v>
      </c>
      <c r="D4216" s="3" t="s">
        <v>12</v>
      </c>
      <c r="E4216" s="3" t="s">
        <v>13</v>
      </c>
      <c r="F4216" s="3" t="s">
        <v>15</v>
      </c>
    </row>
    <row r="4217">
      <c r="A4217" s="3" t="s">
        <v>6</v>
      </c>
      <c r="B4217" s="3" t="s">
        <v>7</v>
      </c>
      <c r="C4217" s="3" t="s">
        <v>13</v>
      </c>
      <c r="D4217" s="3" t="s">
        <v>14</v>
      </c>
      <c r="E4217" s="3" t="s">
        <v>15</v>
      </c>
      <c r="F4217" s="3" t="s">
        <v>17</v>
      </c>
    </row>
    <row r="4218">
      <c r="A4218" s="3" t="s">
        <v>6</v>
      </c>
      <c r="B4218" s="3" t="s">
        <v>7</v>
      </c>
      <c r="C4218" s="3" t="s">
        <v>8</v>
      </c>
      <c r="D4218" s="3" t="s">
        <v>12</v>
      </c>
      <c r="E4218" s="3" t="s">
        <v>15</v>
      </c>
      <c r="F4218" s="3" t="s">
        <v>16</v>
      </c>
    </row>
    <row r="4219">
      <c r="A4219" s="3" t="s">
        <v>6</v>
      </c>
      <c r="B4219" s="3" t="s">
        <v>7</v>
      </c>
      <c r="C4219" s="3" t="s">
        <v>8</v>
      </c>
      <c r="D4219" s="3" t="s">
        <v>11</v>
      </c>
      <c r="E4219" s="3" t="s">
        <v>13</v>
      </c>
      <c r="F4219" s="3" t="s">
        <v>17</v>
      </c>
    </row>
    <row r="4220">
      <c r="A4220" s="3" t="s">
        <v>6</v>
      </c>
      <c r="B4220" s="3" t="s">
        <v>7</v>
      </c>
      <c r="C4220" s="3" t="s">
        <v>8</v>
      </c>
      <c r="D4220" s="3" t="s">
        <v>11</v>
      </c>
      <c r="E4220" s="3" t="s">
        <v>13</v>
      </c>
      <c r="F4220" s="3" t="s">
        <v>17</v>
      </c>
    </row>
    <row r="4221">
      <c r="A4221" s="3" t="s">
        <v>6</v>
      </c>
      <c r="B4221" s="3" t="s">
        <v>7</v>
      </c>
      <c r="C4221" s="3" t="s">
        <v>11</v>
      </c>
      <c r="D4221" s="3" t="s">
        <v>12</v>
      </c>
      <c r="E4221" s="3" t="s">
        <v>13</v>
      </c>
      <c r="F4221" s="3" t="s">
        <v>14</v>
      </c>
    </row>
    <row r="4222">
      <c r="A4222" s="3" t="s">
        <v>6</v>
      </c>
      <c r="B4222" s="3" t="s">
        <v>7</v>
      </c>
      <c r="C4222" s="3" t="s">
        <v>13</v>
      </c>
      <c r="D4222" s="3" t="s">
        <v>14</v>
      </c>
      <c r="E4222" s="3" t="s">
        <v>17</v>
      </c>
    </row>
    <row r="4223">
      <c r="A4223" s="3" t="s">
        <v>6</v>
      </c>
      <c r="B4223" s="3" t="s">
        <v>7</v>
      </c>
      <c r="C4223" s="3" t="s">
        <v>8</v>
      </c>
      <c r="D4223" s="3" t="s">
        <v>13</v>
      </c>
    </row>
    <row r="4224">
      <c r="A4224" s="3" t="s">
        <v>6</v>
      </c>
      <c r="B4224" s="3" t="s">
        <v>7</v>
      </c>
      <c r="C4224" s="3" t="s">
        <v>8</v>
      </c>
      <c r="D4224" s="3" t="s">
        <v>11</v>
      </c>
      <c r="E4224" s="3" t="s">
        <v>12</v>
      </c>
      <c r="F4224" s="3" t="s">
        <v>15</v>
      </c>
    </row>
    <row r="4225">
      <c r="A4225" s="3" t="s">
        <v>6</v>
      </c>
      <c r="B4225" s="3" t="s">
        <v>7</v>
      </c>
      <c r="C4225" s="3" t="s">
        <v>8</v>
      </c>
      <c r="D4225" s="3" t="s">
        <v>13</v>
      </c>
      <c r="E4225" s="3" t="s">
        <v>14</v>
      </c>
      <c r="F4225" s="3" t="s">
        <v>17</v>
      </c>
    </row>
    <row r="4226">
      <c r="A4226" s="3" t="s">
        <v>6</v>
      </c>
      <c r="B4226" s="3" t="s">
        <v>7</v>
      </c>
      <c r="C4226" s="3" t="s">
        <v>13</v>
      </c>
      <c r="D4226" s="3" t="s">
        <v>14</v>
      </c>
      <c r="E4226" s="3" t="s">
        <v>17</v>
      </c>
      <c r="F4226" s="3" t="s">
        <v>18</v>
      </c>
    </row>
    <row r="4227">
      <c r="A4227" s="3" t="s">
        <v>6</v>
      </c>
      <c r="B4227" s="3" t="s">
        <v>7</v>
      </c>
      <c r="C4227" s="3" t="s">
        <v>8</v>
      </c>
      <c r="D4227" s="3" t="s">
        <v>16</v>
      </c>
      <c r="E4227" s="3" t="s">
        <v>17</v>
      </c>
      <c r="F4227" s="3" t="s">
        <v>18</v>
      </c>
    </row>
    <row r="4228">
      <c r="A4228" s="3" t="s">
        <v>6</v>
      </c>
      <c r="B4228" s="3" t="s">
        <v>7</v>
      </c>
      <c r="C4228" s="3" t="s">
        <v>8</v>
      </c>
      <c r="D4228" s="3" t="s">
        <v>14</v>
      </c>
      <c r="E4228" s="3" t="s">
        <v>18</v>
      </c>
    </row>
    <row r="4229">
      <c r="A4229" s="3" t="s">
        <v>6</v>
      </c>
      <c r="B4229" s="3" t="s">
        <v>7</v>
      </c>
      <c r="C4229" s="3" t="s">
        <v>8</v>
      </c>
      <c r="D4229" s="3" t="s">
        <v>11</v>
      </c>
      <c r="E4229" s="3" t="s">
        <v>15</v>
      </c>
      <c r="F4229" s="3" t="s">
        <v>17</v>
      </c>
    </row>
    <row r="4230">
      <c r="A4230" s="3" t="s">
        <v>6</v>
      </c>
      <c r="B4230" s="3" t="s">
        <v>8</v>
      </c>
      <c r="C4230" s="3" t="s">
        <v>11</v>
      </c>
      <c r="D4230" s="3" t="s">
        <v>12</v>
      </c>
      <c r="E4230" s="3" t="s">
        <v>15</v>
      </c>
      <c r="F4230" s="3" t="s">
        <v>17</v>
      </c>
    </row>
    <row r="4231">
      <c r="A4231" s="3" t="s">
        <v>6</v>
      </c>
      <c r="B4231" s="3" t="s">
        <v>13</v>
      </c>
    </row>
    <row r="4232">
      <c r="A4232" s="3" t="s">
        <v>6</v>
      </c>
      <c r="B4232" s="3" t="s">
        <v>7</v>
      </c>
      <c r="C4232" s="3" t="s">
        <v>8</v>
      </c>
      <c r="D4232" s="3" t="s">
        <v>15</v>
      </c>
      <c r="E4232" s="3" t="s">
        <v>16</v>
      </c>
    </row>
    <row r="4233">
      <c r="A4233" s="3" t="s">
        <v>6</v>
      </c>
      <c r="B4233" s="3" t="s">
        <v>8</v>
      </c>
      <c r="C4233" s="3" t="s">
        <v>11</v>
      </c>
      <c r="D4233" s="3" t="s">
        <v>12</v>
      </c>
      <c r="E4233" s="3" t="s">
        <v>15</v>
      </c>
      <c r="F4233" s="3" t="s">
        <v>16</v>
      </c>
    </row>
    <row r="4234">
      <c r="A4234" s="3" t="s">
        <v>6</v>
      </c>
      <c r="B4234" s="3" t="s">
        <v>7</v>
      </c>
      <c r="C4234" s="3" t="s">
        <v>11</v>
      </c>
      <c r="D4234" s="3" t="s">
        <v>15</v>
      </c>
      <c r="E4234" s="3" t="s">
        <v>16</v>
      </c>
      <c r="F4234" s="3" t="s">
        <v>17</v>
      </c>
    </row>
    <row r="4235">
      <c r="A4235" s="3" t="s">
        <v>6</v>
      </c>
      <c r="B4235" s="3" t="s">
        <v>7</v>
      </c>
      <c r="C4235" s="3" t="s">
        <v>11</v>
      </c>
      <c r="D4235" s="3" t="s">
        <v>15</v>
      </c>
      <c r="E4235" s="3" t="s">
        <v>17</v>
      </c>
    </row>
    <row r="4236">
      <c r="A4236" s="3" t="s">
        <v>6</v>
      </c>
      <c r="B4236" s="3" t="s">
        <v>11</v>
      </c>
      <c r="C4236" s="3" t="s">
        <v>13</v>
      </c>
      <c r="D4236" s="3" t="s">
        <v>14</v>
      </c>
      <c r="E4236" s="3" t="s">
        <v>17</v>
      </c>
      <c r="F4236" s="3" t="s">
        <v>18</v>
      </c>
    </row>
    <row r="4237">
      <c r="A4237" s="3" t="s">
        <v>6</v>
      </c>
      <c r="B4237" s="3" t="s">
        <v>7</v>
      </c>
      <c r="C4237" s="3" t="s">
        <v>8</v>
      </c>
      <c r="D4237" s="3" t="s">
        <v>14</v>
      </c>
      <c r="E4237" s="3" t="s">
        <v>15</v>
      </c>
      <c r="F4237" s="3" t="s">
        <v>17</v>
      </c>
    </row>
    <row r="4238">
      <c r="A4238" s="3" t="s">
        <v>6</v>
      </c>
      <c r="B4238" s="3" t="s">
        <v>7</v>
      </c>
      <c r="C4238" s="3" t="s">
        <v>11</v>
      </c>
      <c r="D4238" s="3" t="s">
        <v>12</v>
      </c>
      <c r="E4238" s="3" t="s">
        <v>15</v>
      </c>
    </row>
    <row r="4239">
      <c r="A4239" s="3" t="s">
        <v>6</v>
      </c>
      <c r="B4239" s="3" t="s">
        <v>7</v>
      </c>
      <c r="C4239" s="3" t="s">
        <v>11</v>
      </c>
      <c r="D4239" s="3" t="s">
        <v>12</v>
      </c>
      <c r="E4239" s="3" t="s">
        <v>17</v>
      </c>
    </row>
    <row r="4240">
      <c r="A4240" s="3" t="s">
        <v>6</v>
      </c>
      <c r="B4240" s="3" t="s">
        <v>7</v>
      </c>
      <c r="C4240" s="3" t="s">
        <v>11</v>
      </c>
      <c r="D4240" s="3" t="s">
        <v>12</v>
      </c>
    </row>
    <row r="4241">
      <c r="A4241" s="3" t="s">
        <v>6</v>
      </c>
      <c r="B4241" s="3" t="s">
        <v>11</v>
      </c>
      <c r="C4241" s="3" t="s">
        <v>12</v>
      </c>
      <c r="D4241" s="3" t="s">
        <v>13</v>
      </c>
      <c r="E4241" s="3" t="s">
        <v>17</v>
      </c>
      <c r="F4241" s="3" t="s">
        <v>18</v>
      </c>
    </row>
    <row r="4242">
      <c r="A4242" s="3" t="s">
        <v>6</v>
      </c>
      <c r="B4242" s="3" t="s">
        <v>11</v>
      </c>
    </row>
    <row r="4243">
      <c r="A4243" s="3" t="s">
        <v>6</v>
      </c>
      <c r="B4243" s="3" t="s">
        <v>7</v>
      </c>
      <c r="C4243" s="3" t="s">
        <v>8</v>
      </c>
      <c r="D4243" s="3" t="s">
        <v>11</v>
      </c>
      <c r="E4243" s="3" t="s">
        <v>12</v>
      </c>
      <c r="F4243" s="3" t="s">
        <v>15</v>
      </c>
    </row>
    <row r="4244">
      <c r="A4244" s="3" t="s">
        <v>6</v>
      </c>
      <c r="B4244" s="3" t="s">
        <v>7</v>
      </c>
      <c r="C4244" s="3" t="s">
        <v>8</v>
      </c>
      <c r="D4244" s="3" t="s">
        <v>11</v>
      </c>
      <c r="E4244" s="3" t="s">
        <v>12</v>
      </c>
      <c r="F4244" s="3" t="s">
        <v>15</v>
      </c>
    </row>
    <row r="4245">
      <c r="A4245" s="3" t="s">
        <v>6</v>
      </c>
      <c r="B4245" s="3" t="s">
        <v>7</v>
      </c>
      <c r="C4245" s="3" t="s">
        <v>8</v>
      </c>
      <c r="D4245" s="3" t="s">
        <v>9</v>
      </c>
      <c r="E4245" s="3" t="s">
        <v>11</v>
      </c>
      <c r="F4245" s="3" t="s">
        <v>12</v>
      </c>
    </row>
    <row r="4246">
      <c r="A4246" s="3" t="s">
        <v>6</v>
      </c>
      <c r="B4246" s="3" t="s">
        <v>7</v>
      </c>
      <c r="C4246" s="3" t="s">
        <v>8</v>
      </c>
      <c r="D4246" s="3" t="s">
        <v>11</v>
      </c>
      <c r="E4246" s="3" t="s">
        <v>12</v>
      </c>
    </row>
    <row r="4247">
      <c r="A4247" s="3" t="s">
        <v>6</v>
      </c>
      <c r="B4247" s="3" t="s">
        <v>7</v>
      </c>
      <c r="C4247" s="3" t="s">
        <v>8</v>
      </c>
      <c r="D4247" s="3" t="s">
        <v>13</v>
      </c>
      <c r="E4247" s="3" t="s">
        <v>14</v>
      </c>
      <c r="F4247" s="3" t="s">
        <v>17</v>
      </c>
    </row>
    <row r="4248">
      <c r="A4248" s="3" t="s">
        <v>6</v>
      </c>
      <c r="B4248" s="3" t="s">
        <v>7</v>
      </c>
      <c r="C4248" s="3" t="s">
        <v>8</v>
      </c>
      <c r="D4248" s="3" t="s">
        <v>11</v>
      </c>
      <c r="E4248" s="3" t="s">
        <v>12</v>
      </c>
      <c r="F4248" s="3" t="s">
        <v>15</v>
      </c>
    </row>
    <row r="4249">
      <c r="A4249" s="3" t="s">
        <v>6</v>
      </c>
      <c r="B4249" s="3" t="s">
        <v>7</v>
      </c>
      <c r="C4249" s="3" t="s">
        <v>8</v>
      </c>
      <c r="D4249" s="3" t="s">
        <v>15</v>
      </c>
      <c r="E4249" s="3" t="s">
        <v>16</v>
      </c>
      <c r="F4249" s="3" t="s">
        <v>17</v>
      </c>
    </row>
    <row r="4250">
      <c r="A4250" s="3" t="s">
        <v>6</v>
      </c>
      <c r="B4250" s="3" t="s">
        <v>7</v>
      </c>
      <c r="C4250" s="3" t="s">
        <v>8</v>
      </c>
      <c r="D4250" s="3" t="s">
        <v>11</v>
      </c>
      <c r="E4250" s="3" t="s">
        <v>12</v>
      </c>
      <c r="F4250" s="3" t="s">
        <v>15</v>
      </c>
    </row>
    <row r="4251">
      <c r="A4251" s="3" t="s">
        <v>6</v>
      </c>
      <c r="B4251" s="3" t="s">
        <v>13</v>
      </c>
      <c r="C4251" s="3" t="s">
        <v>14</v>
      </c>
    </row>
    <row r="4252">
      <c r="A4252" s="3" t="s">
        <v>6</v>
      </c>
      <c r="B4252" s="3" t="s">
        <v>7</v>
      </c>
      <c r="C4252" s="3" t="s">
        <v>11</v>
      </c>
      <c r="D4252" s="3" t="s">
        <v>12</v>
      </c>
    </row>
    <row r="4253">
      <c r="A4253" s="3" t="s">
        <v>6</v>
      </c>
      <c r="B4253" s="3" t="s">
        <v>7</v>
      </c>
      <c r="C4253" s="3" t="s">
        <v>11</v>
      </c>
      <c r="D4253" s="3" t="s">
        <v>12</v>
      </c>
    </row>
    <row r="4254">
      <c r="A4254" s="3" t="s">
        <v>6</v>
      </c>
      <c r="B4254" s="3" t="s">
        <v>7</v>
      </c>
      <c r="C4254" s="3" t="s">
        <v>8</v>
      </c>
      <c r="D4254" s="3" t="s">
        <v>11</v>
      </c>
      <c r="E4254" s="3" t="s">
        <v>12</v>
      </c>
      <c r="F4254" s="3" t="s">
        <v>13</v>
      </c>
    </row>
    <row r="4255">
      <c r="A4255" s="3" t="s">
        <v>6</v>
      </c>
      <c r="B4255" s="3" t="s">
        <v>7</v>
      </c>
      <c r="C4255" s="3" t="s">
        <v>8</v>
      </c>
      <c r="D4255" s="3" t="s">
        <v>9</v>
      </c>
      <c r="E4255" s="3" t="s">
        <v>11</v>
      </c>
      <c r="F4255" s="3" t="s">
        <v>15</v>
      </c>
    </row>
    <row r="4256">
      <c r="A4256" s="3" t="s">
        <v>6</v>
      </c>
      <c r="B4256" s="3" t="s">
        <v>7</v>
      </c>
      <c r="C4256" s="3" t="s">
        <v>13</v>
      </c>
      <c r="D4256" s="3" t="s">
        <v>14</v>
      </c>
    </row>
    <row r="4257">
      <c r="A4257" s="3" t="s">
        <v>6</v>
      </c>
      <c r="B4257" s="3" t="s">
        <v>7</v>
      </c>
      <c r="C4257" s="3" t="s">
        <v>8</v>
      </c>
      <c r="D4257" s="3" t="s">
        <v>11</v>
      </c>
      <c r="E4257" s="3" t="s">
        <v>12</v>
      </c>
      <c r="F4257" s="3" t="s">
        <v>15</v>
      </c>
    </row>
    <row r="4258">
      <c r="A4258" s="3" t="s">
        <v>6</v>
      </c>
      <c r="B4258" s="3" t="s">
        <v>8</v>
      </c>
      <c r="C4258" s="3" t="s">
        <v>9</v>
      </c>
      <c r="D4258" s="3" t="s">
        <v>11</v>
      </c>
      <c r="E4258" s="3" t="s">
        <v>17</v>
      </c>
      <c r="F4258" s="3" t="s">
        <v>18</v>
      </c>
    </row>
    <row r="4259">
      <c r="A4259" s="3" t="s">
        <v>6</v>
      </c>
      <c r="B4259" s="3" t="s">
        <v>8</v>
      </c>
      <c r="C4259" s="3" t="s">
        <v>9</v>
      </c>
      <c r="D4259" s="3" t="s">
        <v>10</v>
      </c>
      <c r="E4259" s="3" t="s">
        <v>17</v>
      </c>
      <c r="F4259" s="3" t="s">
        <v>18</v>
      </c>
    </row>
    <row r="4260">
      <c r="A4260" s="3" t="s">
        <v>6</v>
      </c>
      <c r="B4260" s="3" t="s">
        <v>7</v>
      </c>
      <c r="C4260" s="3" t="s">
        <v>8</v>
      </c>
      <c r="D4260" s="3" t="s">
        <v>11</v>
      </c>
      <c r="E4260" s="3" t="s">
        <v>12</v>
      </c>
    </row>
    <row r="4261">
      <c r="A4261" s="3" t="s">
        <v>6</v>
      </c>
      <c r="B4261" s="3" t="s">
        <v>7</v>
      </c>
      <c r="C4261" s="3" t="s">
        <v>8</v>
      </c>
      <c r="D4261" s="3" t="s">
        <v>10</v>
      </c>
      <c r="E4261" s="3" t="s">
        <v>13</v>
      </c>
      <c r="F4261" s="3" t="s">
        <v>14</v>
      </c>
    </row>
    <row r="4262">
      <c r="A4262" s="3" t="s">
        <v>6</v>
      </c>
      <c r="B4262" s="3" t="s">
        <v>7</v>
      </c>
      <c r="C4262" s="3" t="s">
        <v>15</v>
      </c>
      <c r="D4262" s="3" t="s">
        <v>16</v>
      </c>
    </row>
    <row r="4263">
      <c r="A4263" s="3" t="s">
        <v>6</v>
      </c>
      <c r="B4263" s="3" t="s">
        <v>7</v>
      </c>
      <c r="C4263" s="3" t="s">
        <v>8</v>
      </c>
      <c r="D4263" s="3" t="s">
        <v>11</v>
      </c>
      <c r="E4263" s="3" t="s">
        <v>12</v>
      </c>
      <c r="F4263" s="3" t="s">
        <v>17</v>
      </c>
    </row>
    <row r="4264">
      <c r="A4264" s="3" t="s">
        <v>6</v>
      </c>
      <c r="B4264" s="3" t="s">
        <v>7</v>
      </c>
      <c r="C4264" s="3" t="s">
        <v>15</v>
      </c>
      <c r="D4264" s="3" t="s">
        <v>16</v>
      </c>
      <c r="E4264" s="3" t="s">
        <v>17</v>
      </c>
      <c r="F4264" s="3" t="s">
        <v>18</v>
      </c>
    </row>
    <row r="4265">
      <c r="A4265" s="3" t="s">
        <v>6</v>
      </c>
      <c r="B4265" s="3" t="s">
        <v>7</v>
      </c>
      <c r="C4265" s="3" t="s">
        <v>8</v>
      </c>
      <c r="D4265" s="3" t="s">
        <v>11</v>
      </c>
    </row>
    <row r="4266">
      <c r="A4266" s="3" t="s">
        <v>6</v>
      </c>
      <c r="B4266" s="3" t="s">
        <v>7</v>
      </c>
      <c r="C4266" s="3" t="s">
        <v>13</v>
      </c>
      <c r="D4266" s="3" t="s">
        <v>14</v>
      </c>
      <c r="E4266" s="3" t="s">
        <v>15</v>
      </c>
      <c r="F4266" s="3" t="s">
        <v>17</v>
      </c>
    </row>
    <row r="4267">
      <c r="A4267" s="3" t="s">
        <v>6</v>
      </c>
      <c r="B4267" s="3" t="s">
        <v>7</v>
      </c>
      <c r="C4267" s="3" t="s">
        <v>8</v>
      </c>
      <c r="D4267" s="3" t="s">
        <v>9</v>
      </c>
      <c r="E4267" s="3" t="s">
        <v>12</v>
      </c>
      <c r="F4267" s="3" t="s">
        <v>24</v>
      </c>
    </row>
    <row r="4268">
      <c r="A4268" s="3" t="s">
        <v>6</v>
      </c>
      <c r="B4268" s="3" t="s">
        <v>7</v>
      </c>
    </row>
    <row r="4269">
      <c r="A4269" s="3" t="s">
        <v>6</v>
      </c>
      <c r="B4269" s="3" t="s">
        <v>7</v>
      </c>
      <c r="C4269" s="3" t="s">
        <v>11</v>
      </c>
      <c r="D4269" s="3" t="s">
        <v>12</v>
      </c>
      <c r="E4269" s="3" t="s">
        <v>15</v>
      </c>
    </row>
    <row r="4270">
      <c r="A4270" s="3" t="s">
        <v>6</v>
      </c>
      <c r="B4270" s="3" t="s">
        <v>7</v>
      </c>
      <c r="C4270" s="3" t="s">
        <v>11</v>
      </c>
      <c r="D4270" s="3" t="s">
        <v>12</v>
      </c>
      <c r="E4270" s="3" t="s">
        <v>13</v>
      </c>
    </row>
    <row r="4271">
      <c r="A4271" s="3" t="s">
        <v>6</v>
      </c>
      <c r="B4271" s="3" t="s">
        <v>11</v>
      </c>
    </row>
    <row r="4272">
      <c r="A4272" s="3" t="s">
        <v>6</v>
      </c>
      <c r="B4272" s="3" t="s">
        <v>11</v>
      </c>
      <c r="C4272" s="3" t="s">
        <v>12</v>
      </c>
    </row>
    <row r="4273">
      <c r="A4273" s="3" t="s">
        <v>6</v>
      </c>
      <c r="B4273" s="3" t="s">
        <v>7</v>
      </c>
      <c r="C4273" s="3" t="s">
        <v>8</v>
      </c>
      <c r="D4273" s="3" t="s">
        <v>11</v>
      </c>
      <c r="E4273" s="3" t="s">
        <v>12</v>
      </c>
    </row>
    <row r="4274">
      <c r="A4274" s="3" t="s">
        <v>6</v>
      </c>
      <c r="B4274" s="3" t="s">
        <v>11</v>
      </c>
      <c r="C4274" s="3" t="s">
        <v>15</v>
      </c>
    </row>
    <row r="4275">
      <c r="A4275" s="3" t="s">
        <v>6</v>
      </c>
      <c r="B4275" s="3" t="s">
        <v>7</v>
      </c>
      <c r="C4275" s="3" t="s">
        <v>11</v>
      </c>
    </row>
    <row r="4276">
      <c r="A4276" s="3" t="s">
        <v>6</v>
      </c>
      <c r="B4276" s="3" t="s">
        <v>7</v>
      </c>
      <c r="C4276" s="3" t="s">
        <v>13</v>
      </c>
    </row>
    <row r="4277">
      <c r="A4277" s="3" t="s">
        <v>6</v>
      </c>
      <c r="B4277" s="3" t="s">
        <v>7</v>
      </c>
      <c r="C4277" s="3" t="s">
        <v>13</v>
      </c>
      <c r="D4277" s="3" t="s">
        <v>15</v>
      </c>
    </row>
    <row r="4278">
      <c r="A4278" s="3" t="s">
        <v>6</v>
      </c>
      <c r="B4278" s="3" t="s">
        <v>7</v>
      </c>
      <c r="C4278" s="3" t="s">
        <v>14</v>
      </c>
      <c r="D4278" s="3" t="s">
        <v>15</v>
      </c>
      <c r="E4278" s="3" t="s">
        <v>16</v>
      </c>
      <c r="F4278" s="3" t="s">
        <v>17</v>
      </c>
    </row>
    <row r="4279">
      <c r="A4279" s="3" t="s">
        <v>6</v>
      </c>
      <c r="B4279" s="3" t="s">
        <v>8</v>
      </c>
      <c r="C4279" s="3" t="s">
        <v>9</v>
      </c>
      <c r="D4279" s="3" t="s">
        <v>10</v>
      </c>
      <c r="E4279" s="3" t="s">
        <v>15</v>
      </c>
      <c r="F4279" s="3" t="s">
        <v>24</v>
      </c>
    </row>
    <row r="4280">
      <c r="A4280" s="3" t="s">
        <v>6</v>
      </c>
      <c r="B4280" s="3" t="s">
        <v>7</v>
      </c>
      <c r="C4280" s="3" t="s">
        <v>8</v>
      </c>
      <c r="D4280" s="3" t="s">
        <v>15</v>
      </c>
    </row>
    <row r="4281">
      <c r="A4281" s="3" t="s">
        <v>6</v>
      </c>
      <c r="B4281" s="3" t="s">
        <v>7</v>
      </c>
      <c r="C4281" s="3" t="s">
        <v>11</v>
      </c>
      <c r="D4281" s="3" t="s">
        <v>12</v>
      </c>
      <c r="E4281" s="3" t="s">
        <v>13</v>
      </c>
    </row>
    <row r="4282">
      <c r="A4282" s="3" t="s">
        <v>6</v>
      </c>
      <c r="B4282" s="3" t="s">
        <v>7</v>
      </c>
    </row>
    <row r="4283">
      <c r="A4283" s="3" t="s">
        <v>6</v>
      </c>
      <c r="B4283" s="3" t="s">
        <v>7</v>
      </c>
      <c r="C4283" s="3" t="s">
        <v>15</v>
      </c>
      <c r="D4283" s="3" t="s">
        <v>16</v>
      </c>
      <c r="E4283" s="3" t="s">
        <v>17</v>
      </c>
      <c r="F4283" s="3" t="s">
        <v>18</v>
      </c>
    </row>
    <row r="4284">
      <c r="A4284" s="3" t="s">
        <v>6</v>
      </c>
      <c r="B4284" s="3" t="s">
        <v>7</v>
      </c>
      <c r="C4284" s="3" t="s">
        <v>8</v>
      </c>
      <c r="D4284" s="3" t="s">
        <v>11</v>
      </c>
      <c r="E4284" s="3" t="s">
        <v>12</v>
      </c>
      <c r="F4284" s="3" t="s">
        <v>15</v>
      </c>
    </row>
    <row r="4285">
      <c r="A4285" s="3" t="s">
        <v>6</v>
      </c>
      <c r="B4285" s="3" t="s">
        <v>7</v>
      </c>
      <c r="C4285" s="3" t="s">
        <v>14</v>
      </c>
    </row>
    <row r="4286">
      <c r="A4286" s="3" t="s">
        <v>6</v>
      </c>
      <c r="B4286" s="3" t="s">
        <v>13</v>
      </c>
      <c r="C4286" s="3" t="s">
        <v>14</v>
      </c>
      <c r="D4286" s="3" t="s">
        <v>17</v>
      </c>
    </row>
    <row r="4287">
      <c r="A4287" s="3" t="s">
        <v>6</v>
      </c>
      <c r="B4287" s="3" t="s">
        <v>7</v>
      </c>
      <c r="C4287" s="3" t="s">
        <v>9</v>
      </c>
      <c r="D4287" s="3" t="s">
        <v>13</v>
      </c>
      <c r="E4287" s="3" t="s">
        <v>17</v>
      </c>
      <c r="F4287" s="3" t="s">
        <v>24</v>
      </c>
    </row>
    <row r="4288">
      <c r="A4288" s="3" t="s">
        <v>6</v>
      </c>
      <c r="B4288" s="3" t="s">
        <v>7</v>
      </c>
      <c r="C4288" s="3" t="s">
        <v>13</v>
      </c>
      <c r="D4288" s="3" t="s">
        <v>14</v>
      </c>
      <c r="E4288" s="3" t="s">
        <v>15</v>
      </c>
    </row>
    <row r="4289">
      <c r="A4289" s="3" t="s">
        <v>6</v>
      </c>
      <c r="B4289" s="3" t="s">
        <v>7</v>
      </c>
      <c r="C4289" s="3" t="s">
        <v>13</v>
      </c>
      <c r="D4289" s="3" t="s">
        <v>14</v>
      </c>
      <c r="E4289" s="3" t="s">
        <v>17</v>
      </c>
      <c r="F4289" s="3" t="s">
        <v>18</v>
      </c>
    </row>
    <row r="4290">
      <c r="A4290" s="3" t="s">
        <v>6</v>
      </c>
      <c r="B4290" s="3" t="s">
        <v>7</v>
      </c>
    </row>
    <row r="4291">
      <c r="A4291" s="3" t="s">
        <v>6</v>
      </c>
      <c r="B4291" s="3" t="s">
        <v>7</v>
      </c>
      <c r="C4291" s="3" t="s">
        <v>8</v>
      </c>
      <c r="D4291" s="3" t="s">
        <v>9</v>
      </c>
      <c r="E4291" s="3" t="s">
        <v>11</v>
      </c>
      <c r="F4291" s="3" t="s">
        <v>12</v>
      </c>
    </row>
    <row r="4292">
      <c r="A4292" s="3" t="s">
        <v>6</v>
      </c>
      <c r="B4292" s="3" t="s">
        <v>11</v>
      </c>
    </row>
    <row r="4293">
      <c r="A4293" s="3" t="s">
        <v>6</v>
      </c>
      <c r="B4293" s="3" t="s">
        <v>7</v>
      </c>
      <c r="C4293" s="3" t="s">
        <v>11</v>
      </c>
      <c r="D4293" s="3" t="s">
        <v>13</v>
      </c>
      <c r="E4293" s="3" t="s">
        <v>14</v>
      </c>
    </row>
    <row r="4294">
      <c r="A4294" s="3" t="s">
        <v>6</v>
      </c>
      <c r="B4294" s="3" t="s">
        <v>7</v>
      </c>
      <c r="C4294" s="3" t="s">
        <v>11</v>
      </c>
      <c r="D4294" s="3" t="s">
        <v>12</v>
      </c>
      <c r="E4294" s="3" t="s">
        <v>13</v>
      </c>
      <c r="F4294" s="3" t="s">
        <v>15</v>
      </c>
    </row>
    <row r="4295">
      <c r="A4295" s="3" t="s">
        <v>6</v>
      </c>
      <c r="B4295" s="3" t="s">
        <v>12</v>
      </c>
      <c r="C4295" s="3" t="s">
        <v>13</v>
      </c>
      <c r="D4295" s="3" t="s">
        <v>14</v>
      </c>
      <c r="E4295" s="3" t="s">
        <v>15</v>
      </c>
      <c r="F4295" s="3" t="s">
        <v>17</v>
      </c>
    </row>
    <row r="4296">
      <c r="A4296" s="3" t="s">
        <v>6</v>
      </c>
      <c r="B4296" s="3" t="s">
        <v>14</v>
      </c>
    </row>
    <row r="4297">
      <c r="A4297" s="3" t="s">
        <v>6</v>
      </c>
      <c r="B4297" s="3" t="s">
        <v>7</v>
      </c>
      <c r="C4297" s="3" t="s">
        <v>15</v>
      </c>
      <c r="D4297" s="3" t="s">
        <v>16</v>
      </c>
      <c r="E4297" s="3" t="s">
        <v>17</v>
      </c>
      <c r="F4297" s="3" t="s">
        <v>18</v>
      </c>
    </row>
    <row r="4298">
      <c r="A4298" s="3" t="s">
        <v>6</v>
      </c>
      <c r="B4298" s="3" t="s">
        <v>7</v>
      </c>
    </row>
    <row r="4299">
      <c r="A4299" s="3" t="s">
        <v>6</v>
      </c>
      <c r="B4299" s="3" t="s">
        <v>8</v>
      </c>
    </row>
    <row r="4300">
      <c r="A4300" s="3" t="s">
        <v>6</v>
      </c>
      <c r="B4300" s="3" t="s">
        <v>7</v>
      </c>
      <c r="C4300" s="3" t="s">
        <v>8</v>
      </c>
      <c r="D4300" s="3" t="s">
        <v>9</v>
      </c>
      <c r="E4300" s="3" t="s">
        <v>10</v>
      </c>
      <c r="F4300" s="3" t="s">
        <v>24</v>
      </c>
    </row>
    <row r="4301">
      <c r="A4301" s="3" t="s">
        <v>6</v>
      </c>
      <c r="B4301" s="3" t="s">
        <v>7</v>
      </c>
    </row>
    <row r="4302">
      <c r="A4302" s="3" t="s">
        <v>6</v>
      </c>
      <c r="B4302" s="3" t="s">
        <v>8</v>
      </c>
      <c r="C4302" s="3" t="s">
        <v>11</v>
      </c>
      <c r="D4302" s="3" t="s">
        <v>12</v>
      </c>
      <c r="E4302" s="3" t="s">
        <v>15</v>
      </c>
      <c r="F4302" s="3" t="s">
        <v>17</v>
      </c>
    </row>
    <row r="4303">
      <c r="A4303" s="3" t="s">
        <v>6</v>
      </c>
    </row>
    <row r="4304">
      <c r="A4304" s="3" t="s">
        <v>6</v>
      </c>
      <c r="B4304" s="3" t="s">
        <v>7</v>
      </c>
      <c r="C4304" s="3" t="s">
        <v>13</v>
      </c>
      <c r="D4304" s="3" t="s">
        <v>14</v>
      </c>
      <c r="E4304" s="3" t="s">
        <v>15</v>
      </c>
      <c r="F4304" s="3" t="s">
        <v>17</v>
      </c>
    </row>
    <row r="4305">
      <c r="A4305" s="3" t="s">
        <v>6</v>
      </c>
      <c r="B4305" s="3" t="s">
        <v>7</v>
      </c>
      <c r="C4305" s="3" t="s">
        <v>8</v>
      </c>
      <c r="D4305" s="3" t="s">
        <v>11</v>
      </c>
      <c r="E4305" s="3" t="s">
        <v>12</v>
      </c>
    </row>
    <row r="4306">
      <c r="A4306" s="3" t="s">
        <v>6</v>
      </c>
      <c r="B4306" s="3" t="s">
        <v>13</v>
      </c>
      <c r="C4306" s="3" t="s">
        <v>14</v>
      </c>
      <c r="D4306" s="3" t="s">
        <v>17</v>
      </c>
    </row>
    <row r="4307">
      <c r="A4307" s="3" t="s">
        <v>6</v>
      </c>
      <c r="B4307" s="3" t="s">
        <v>13</v>
      </c>
      <c r="C4307" s="3" t="s">
        <v>14</v>
      </c>
      <c r="D4307" s="3" t="s">
        <v>15</v>
      </c>
      <c r="E4307" s="3" t="s">
        <v>17</v>
      </c>
    </row>
    <row r="4308">
      <c r="A4308" s="3" t="s">
        <v>6</v>
      </c>
      <c r="B4308" s="3" t="s">
        <v>7</v>
      </c>
      <c r="C4308" s="3" t="s">
        <v>8</v>
      </c>
      <c r="D4308" s="3" t="s">
        <v>15</v>
      </c>
      <c r="E4308" s="3" t="s">
        <v>16</v>
      </c>
    </row>
    <row r="4309">
      <c r="A4309" s="3" t="s">
        <v>6</v>
      </c>
      <c r="B4309" s="3" t="s">
        <v>7</v>
      </c>
      <c r="C4309" s="3" t="s">
        <v>12</v>
      </c>
    </row>
    <row r="4310">
      <c r="A4310" s="3" t="s">
        <v>6</v>
      </c>
      <c r="B4310" s="3" t="s">
        <v>11</v>
      </c>
      <c r="C4310" s="3" t="s">
        <v>12</v>
      </c>
      <c r="D4310" s="3" t="s">
        <v>15</v>
      </c>
      <c r="E4310" s="3" t="s">
        <v>17</v>
      </c>
      <c r="F4310" s="3" t="s">
        <v>18</v>
      </c>
    </row>
    <row r="4311">
      <c r="A4311" s="3" t="s">
        <v>6</v>
      </c>
      <c r="B4311" s="3" t="s">
        <v>13</v>
      </c>
      <c r="C4311" s="3" t="s">
        <v>14</v>
      </c>
      <c r="D4311" s="3" t="s">
        <v>16</v>
      </c>
      <c r="E4311" s="3" t="s">
        <v>17</v>
      </c>
      <c r="F4311" s="3" t="s">
        <v>18</v>
      </c>
    </row>
    <row r="4312">
      <c r="A4312" s="3" t="s">
        <v>6</v>
      </c>
      <c r="B4312" s="3" t="s">
        <v>13</v>
      </c>
    </row>
    <row r="4313">
      <c r="A4313" s="3" t="s">
        <v>6</v>
      </c>
      <c r="B4313" s="3" t="s">
        <v>7</v>
      </c>
    </row>
    <row r="4314">
      <c r="A4314" s="3" t="s">
        <v>6</v>
      </c>
      <c r="B4314" s="3" t="s">
        <v>7</v>
      </c>
      <c r="C4314" s="3" t="s">
        <v>8</v>
      </c>
      <c r="D4314" s="3" t="s">
        <v>11</v>
      </c>
      <c r="E4314" s="3" t="s">
        <v>12</v>
      </c>
    </row>
    <row r="4315">
      <c r="A4315" s="3" t="s">
        <v>6</v>
      </c>
      <c r="B4315" s="3" t="s">
        <v>7</v>
      </c>
      <c r="C4315" s="3" t="s">
        <v>8</v>
      </c>
      <c r="D4315" s="3" t="s">
        <v>11</v>
      </c>
      <c r="E4315" s="3" t="s">
        <v>12</v>
      </c>
      <c r="F4315" s="3" t="s">
        <v>15</v>
      </c>
    </row>
    <row r="4316">
      <c r="A4316" s="3" t="s">
        <v>6</v>
      </c>
    </row>
    <row r="4317">
      <c r="A4317" s="3" t="s">
        <v>6</v>
      </c>
      <c r="B4317" s="3" t="s">
        <v>11</v>
      </c>
      <c r="C4317" s="3" t="s">
        <v>12</v>
      </c>
      <c r="D4317" s="3" t="s">
        <v>15</v>
      </c>
      <c r="E4317" s="3" t="s">
        <v>18</v>
      </c>
    </row>
    <row r="4318">
      <c r="A4318" s="3" t="s">
        <v>6</v>
      </c>
      <c r="B4318" s="3" t="s">
        <v>10</v>
      </c>
      <c r="C4318" s="3" t="s">
        <v>12</v>
      </c>
      <c r="D4318" s="3" t="s">
        <v>15</v>
      </c>
      <c r="E4318" s="3" t="s">
        <v>24</v>
      </c>
    </row>
    <row r="4319">
      <c r="A4319" s="3" t="s">
        <v>6</v>
      </c>
      <c r="B4319" s="3" t="s">
        <v>7</v>
      </c>
    </row>
    <row r="4320">
      <c r="A4320" s="3" t="s">
        <v>6</v>
      </c>
      <c r="B4320" s="3" t="s">
        <v>13</v>
      </c>
      <c r="C4320" s="3" t="s">
        <v>14</v>
      </c>
      <c r="D4320" s="3" t="s">
        <v>17</v>
      </c>
      <c r="E4320" s="3" t="s">
        <v>18</v>
      </c>
    </row>
    <row r="4321">
      <c r="A4321" s="3" t="s">
        <v>6</v>
      </c>
      <c r="B4321" s="3" t="s">
        <v>11</v>
      </c>
      <c r="C4321" s="3" t="s">
        <v>13</v>
      </c>
      <c r="D4321" s="3" t="s">
        <v>14</v>
      </c>
    </row>
    <row r="4322">
      <c r="A4322" s="3" t="s">
        <v>6</v>
      </c>
      <c r="B4322" s="3" t="s">
        <v>15</v>
      </c>
    </row>
    <row r="4323">
      <c r="A4323" s="3" t="s">
        <v>6</v>
      </c>
      <c r="B4323" s="3" t="s">
        <v>13</v>
      </c>
      <c r="C4323" s="3" t="s">
        <v>17</v>
      </c>
    </row>
    <row r="4324">
      <c r="A4324" s="3" t="s">
        <v>6</v>
      </c>
      <c r="B4324" s="3" t="s">
        <v>11</v>
      </c>
      <c r="C4324" s="3" t="s">
        <v>12</v>
      </c>
      <c r="D4324" s="3" t="s">
        <v>13</v>
      </c>
    </row>
    <row r="4325">
      <c r="A4325" s="3" t="s">
        <v>6</v>
      </c>
      <c r="B4325" s="3" t="s">
        <v>7</v>
      </c>
      <c r="C4325" s="3" t="s">
        <v>11</v>
      </c>
      <c r="D4325" s="3" t="s">
        <v>12</v>
      </c>
      <c r="E4325" s="3" t="s">
        <v>17</v>
      </c>
    </row>
    <row r="4326">
      <c r="A4326" s="3" t="s">
        <v>6</v>
      </c>
      <c r="B4326" s="3" t="s">
        <v>13</v>
      </c>
    </row>
    <row r="4327">
      <c r="A4327" s="3" t="s">
        <v>6</v>
      </c>
      <c r="B4327" s="3" t="s">
        <v>7</v>
      </c>
      <c r="C4327" s="3" t="s">
        <v>11</v>
      </c>
      <c r="D4327" s="3" t="s">
        <v>15</v>
      </c>
      <c r="E4327" s="3" t="s">
        <v>17</v>
      </c>
    </row>
    <row r="4328">
      <c r="A4328" s="3" t="s">
        <v>6</v>
      </c>
      <c r="B4328" s="3" t="s">
        <v>7</v>
      </c>
    </row>
    <row r="4329">
      <c r="A4329" s="3" t="s">
        <v>6</v>
      </c>
      <c r="B4329" s="3" t="s">
        <v>8</v>
      </c>
      <c r="C4329" s="3" t="s">
        <v>9</v>
      </c>
      <c r="D4329" s="3" t="s">
        <v>10</v>
      </c>
      <c r="E4329" s="3" t="s">
        <v>24</v>
      </c>
    </row>
    <row r="4330">
      <c r="A4330" s="3" t="s">
        <v>6</v>
      </c>
      <c r="B4330" s="3" t="s">
        <v>7</v>
      </c>
      <c r="C4330" s="3" t="s">
        <v>13</v>
      </c>
      <c r="D4330" s="3" t="s">
        <v>15</v>
      </c>
      <c r="E4330" s="3" t="s">
        <v>16</v>
      </c>
      <c r="F4330" s="3" t="s">
        <v>17</v>
      </c>
    </row>
    <row r="4331">
      <c r="A4331" s="3" t="s">
        <v>6</v>
      </c>
      <c r="B4331" s="3" t="s">
        <v>7</v>
      </c>
      <c r="C4331" s="3" t="s">
        <v>8</v>
      </c>
      <c r="D4331" s="3" t="s">
        <v>13</v>
      </c>
      <c r="E4331" s="3" t="s">
        <v>15</v>
      </c>
      <c r="F4331" s="3" t="s">
        <v>17</v>
      </c>
    </row>
    <row r="4332">
      <c r="A4332" s="3" t="s">
        <v>6</v>
      </c>
      <c r="B4332" s="3" t="s">
        <v>7</v>
      </c>
      <c r="C4332" s="3" t="s">
        <v>13</v>
      </c>
      <c r="D4332" s="3" t="s">
        <v>14</v>
      </c>
    </row>
    <row r="4333">
      <c r="A4333" s="3" t="s">
        <v>6</v>
      </c>
      <c r="B4333" s="3" t="s">
        <v>11</v>
      </c>
      <c r="C4333" s="3" t="s">
        <v>12</v>
      </c>
      <c r="D4333" s="3" t="s">
        <v>13</v>
      </c>
      <c r="E4333" s="3" t="s">
        <v>14</v>
      </c>
      <c r="F4333" s="3" t="s">
        <v>17</v>
      </c>
    </row>
    <row r="4334">
      <c r="A4334" s="3" t="s">
        <v>6</v>
      </c>
      <c r="B4334" s="3" t="s">
        <v>11</v>
      </c>
      <c r="C4334" s="3" t="s">
        <v>12</v>
      </c>
    </row>
    <row r="4335">
      <c r="A4335" s="3" t="s">
        <v>6</v>
      </c>
      <c r="B4335" s="3" t="s">
        <v>8</v>
      </c>
      <c r="C4335" s="3" t="s">
        <v>9</v>
      </c>
      <c r="D4335" s="3" t="s">
        <v>11</v>
      </c>
    </row>
    <row r="4336">
      <c r="A4336" s="3" t="s">
        <v>6</v>
      </c>
    </row>
    <row r="4337">
      <c r="A4337" s="3" t="s">
        <v>6</v>
      </c>
    </row>
    <row r="4338">
      <c r="A4338" s="3" t="s">
        <v>6</v>
      </c>
      <c r="B4338" s="3" t="s">
        <v>7</v>
      </c>
      <c r="C4338" s="3" t="s">
        <v>11</v>
      </c>
      <c r="D4338" s="3" t="s">
        <v>12</v>
      </c>
    </row>
    <row r="4339">
      <c r="A4339" s="3" t="s">
        <v>6</v>
      </c>
      <c r="B4339" s="3" t="s">
        <v>7</v>
      </c>
      <c r="C4339" s="3" t="s">
        <v>11</v>
      </c>
      <c r="D4339" s="3" t="s">
        <v>15</v>
      </c>
    </row>
    <row r="4340">
      <c r="A4340" s="3" t="s">
        <v>609</v>
      </c>
    </row>
    <row r="4341">
      <c r="A4341" s="3" t="s">
        <v>7</v>
      </c>
      <c r="B4341" s="3" t="s">
        <v>8</v>
      </c>
      <c r="C4341" s="3" t="s">
        <v>9</v>
      </c>
      <c r="D4341" s="3" t="s">
        <v>15</v>
      </c>
      <c r="E4341" s="3" t="s">
        <v>16</v>
      </c>
      <c r="F4341" s="3" t="s">
        <v>17</v>
      </c>
    </row>
    <row r="4342">
      <c r="A4342" s="3" t="s">
        <v>7</v>
      </c>
      <c r="B4342" s="3" t="s">
        <v>11</v>
      </c>
      <c r="C4342" s="3" t="s">
        <v>15</v>
      </c>
      <c r="D4342" s="3" t="s">
        <v>16</v>
      </c>
      <c r="E4342" s="3" t="s">
        <v>17</v>
      </c>
      <c r="F4342" s="3" t="s">
        <v>18</v>
      </c>
    </row>
    <row r="4343">
      <c r="A4343" s="3" t="s">
        <v>7</v>
      </c>
      <c r="B4343" s="3" t="s">
        <v>8</v>
      </c>
      <c r="C4343" s="3" t="s">
        <v>9</v>
      </c>
      <c r="D4343" s="3" t="s">
        <v>15</v>
      </c>
      <c r="E4343" s="3" t="s">
        <v>16</v>
      </c>
      <c r="F4343" s="3" t="s">
        <v>24</v>
      </c>
    </row>
    <row r="4344">
      <c r="A4344" s="3" t="s">
        <v>7</v>
      </c>
      <c r="B4344" s="3" t="s">
        <v>8</v>
      </c>
      <c r="C4344" s="3" t="s">
        <v>11</v>
      </c>
      <c r="D4344" s="3" t="s">
        <v>13</v>
      </c>
      <c r="E4344" s="3" t="s">
        <v>14</v>
      </c>
      <c r="F4344" s="3" t="s">
        <v>17</v>
      </c>
    </row>
    <row r="4345">
      <c r="A4345" s="3" t="s">
        <v>7</v>
      </c>
      <c r="B4345" s="3" t="s">
        <v>14</v>
      </c>
      <c r="C4345" s="3" t="s">
        <v>15</v>
      </c>
      <c r="D4345" s="3" t="s">
        <v>16</v>
      </c>
      <c r="E4345" s="3" t="s">
        <v>17</v>
      </c>
      <c r="F4345" s="3" t="s">
        <v>18</v>
      </c>
    </row>
    <row r="4346">
      <c r="A4346" s="3" t="s">
        <v>7</v>
      </c>
      <c r="B4346" s="3" t="s">
        <v>17</v>
      </c>
    </row>
    <row r="4347">
      <c r="A4347" s="3" t="s">
        <v>7</v>
      </c>
      <c r="B4347" s="3" t="s">
        <v>8</v>
      </c>
      <c r="C4347" s="3" t="s">
        <v>9</v>
      </c>
      <c r="D4347" s="3" t="s">
        <v>11</v>
      </c>
      <c r="E4347" s="3" t="s">
        <v>12</v>
      </c>
      <c r="F4347" s="3" t="s">
        <v>24</v>
      </c>
    </row>
    <row r="4348">
      <c r="A4348" s="3" t="s">
        <v>7</v>
      </c>
      <c r="B4348" s="3" t="s">
        <v>8</v>
      </c>
      <c r="C4348" s="3" t="s">
        <v>9</v>
      </c>
      <c r="D4348" s="3" t="s">
        <v>12</v>
      </c>
      <c r="E4348" s="3" t="s">
        <v>15</v>
      </c>
      <c r="F4348" s="3" t="s">
        <v>16</v>
      </c>
    </row>
    <row r="4349">
      <c r="A4349" s="3" t="s">
        <v>7</v>
      </c>
      <c r="B4349" s="3" t="s">
        <v>11</v>
      </c>
      <c r="C4349" s="3" t="s">
        <v>12</v>
      </c>
      <c r="D4349" s="3" t="s">
        <v>16</v>
      </c>
    </row>
    <row r="4350">
      <c r="A4350" s="3" t="s">
        <v>7</v>
      </c>
      <c r="B4350" s="3" t="s">
        <v>11</v>
      </c>
      <c r="C4350" s="3" t="s">
        <v>12</v>
      </c>
      <c r="D4350" s="3" t="s">
        <v>13</v>
      </c>
      <c r="E4350" s="3" t="s">
        <v>14</v>
      </c>
      <c r="F4350" s="3" t="s">
        <v>15</v>
      </c>
    </row>
    <row r="4351">
      <c r="A4351" s="3" t="s">
        <v>7</v>
      </c>
      <c r="B4351" s="3" t="s">
        <v>15</v>
      </c>
      <c r="C4351" s="3" t="s">
        <v>16</v>
      </c>
      <c r="D4351" s="3" t="s">
        <v>17</v>
      </c>
      <c r="E4351" s="3" t="s">
        <v>18</v>
      </c>
    </row>
    <row r="4352">
      <c r="A4352" s="3" t="s">
        <v>7</v>
      </c>
      <c r="B4352" s="3" t="s">
        <v>8</v>
      </c>
      <c r="C4352" s="3" t="s">
        <v>11</v>
      </c>
      <c r="D4352" s="3" t="s">
        <v>13</v>
      </c>
      <c r="E4352" s="3" t="s">
        <v>14</v>
      </c>
      <c r="F4352" s="3" t="s">
        <v>17</v>
      </c>
    </row>
    <row r="4353">
      <c r="A4353" s="3" t="s">
        <v>7</v>
      </c>
      <c r="B4353" s="3" t="s">
        <v>8</v>
      </c>
      <c r="C4353" s="3" t="s">
        <v>9</v>
      </c>
      <c r="D4353" s="3" t="s">
        <v>10</v>
      </c>
      <c r="E4353" s="3" t="s">
        <v>11</v>
      </c>
      <c r="F4353" s="3" t="s">
        <v>12</v>
      </c>
    </row>
    <row r="4354">
      <c r="A4354" s="3" t="s">
        <v>7</v>
      </c>
      <c r="B4354" s="3" t="s">
        <v>11</v>
      </c>
      <c r="C4354" s="3" t="s">
        <v>13</v>
      </c>
      <c r="D4354" s="3" t="s">
        <v>14</v>
      </c>
      <c r="E4354" s="3" t="s">
        <v>17</v>
      </c>
      <c r="F4354" s="3" t="s">
        <v>18</v>
      </c>
    </row>
    <row r="4355">
      <c r="A4355" s="3" t="s">
        <v>7</v>
      </c>
      <c r="B4355" s="3" t="s">
        <v>11</v>
      </c>
      <c r="C4355" s="3" t="s">
        <v>12</v>
      </c>
      <c r="D4355" s="3" t="s">
        <v>15</v>
      </c>
      <c r="E4355" s="3" t="s">
        <v>16</v>
      </c>
      <c r="F4355" s="3" t="s">
        <v>18</v>
      </c>
    </row>
    <row r="4356">
      <c r="A4356" s="3" t="s">
        <v>7</v>
      </c>
      <c r="B4356" s="3" t="s">
        <v>12</v>
      </c>
      <c r="C4356" s="3" t="s">
        <v>13</v>
      </c>
      <c r="D4356" s="3" t="s">
        <v>14</v>
      </c>
      <c r="E4356" s="3" t="s">
        <v>16</v>
      </c>
      <c r="F4356" s="3" t="s">
        <v>18</v>
      </c>
    </row>
    <row r="4357">
      <c r="A4357" s="3" t="s">
        <v>7</v>
      </c>
      <c r="B4357" s="3" t="s">
        <v>11</v>
      </c>
      <c r="C4357" s="3" t="s">
        <v>13</v>
      </c>
      <c r="D4357" s="3" t="s">
        <v>14</v>
      </c>
      <c r="E4357" s="3" t="s">
        <v>15</v>
      </c>
      <c r="F4357" s="3" t="s">
        <v>17</v>
      </c>
    </row>
    <row r="4358">
      <c r="A4358" s="3" t="s">
        <v>7</v>
      </c>
      <c r="B4358" s="3" t="s">
        <v>8</v>
      </c>
      <c r="C4358" s="3" t="s">
        <v>9</v>
      </c>
      <c r="D4358" s="3" t="s">
        <v>10</v>
      </c>
      <c r="E4358" s="3" t="s">
        <v>13</v>
      </c>
      <c r="F4358" s="3" t="s">
        <v>24</v>
      </c>
    </row>
    <row r="4359">
      <c r="A4359" s="3" t="s">
        <v>7</v>
      </c>
      <c r="B4359" s="3" t="s">
        <v>9</v>
      </c>
      <c r="C4359" s="3" t="s">
        <v>15</v>
      </c>
      <c r="D4359" s="3" t="s">
        <v>16</v>
      </c>
      <c r="E4359" s="3" t="s">
        <v>17</v>
      </c>
      <c r="F4359" s="3" t="s">
        <v>18</v>
      </c>
    </row>
    <row r="4360">
      <c r="A4360" s="3" t="s">
        <v>7</v>
      </c>
      <c r="B4360" s="3" t="s">
        <v>13</v>
      </c>
      <c r="C4360" s="3" t="s">
        <v>14</v>
      </c>
      <c r="D4360" s="3" t="s">
        <v>16</v>
      </c>
      <c r="E4360" s="3" t="s">
        <v>17</v>
      </c>
      <c r="F4360" s="3" t="s">
        <v>18</v>
      </c>
    </row>
    <row r="4361">
      <c r="A4361" s="3" t="s">
        <v>7</v>
      </c>
      <c r="B4361" s="3" t="s">
        <v>8</v>
      </c>
      <c r="C4361" s="3" t="s">
        <v>11</v>
      </c>
      <c r="D4361" s="3" t="s">
        <v>15</v>
      </c>
      <c r="E4361" s="3" t="s">
        <v>16</v>
      </c>
    </row>
    <row r="4362">
      <c r="A4362" s="3" t="s">
        <v>7</v>
      </c>
      <c r="B4362" s="3" t="s">
        <v>8</v>
      </c>
      <c r="C4362" s="3" t="s">
        <v>10</v>
      </c>
      <c r="D4362" s="3" t="s">
        <v>24</v>
      </c>
    </row>
    <row r="4363">
      <c r="A4363" s="3" t="s">
        <v>7</v>
      </c>
      <c r="B4363" s="3" t="s">
        <v>8</v>
      </c>
      <c r="C4363" s="3" t="s">
        <v>9</v>
      </c>
      <c r="D4363" s="3" t="s">
        <v>13</v>
      </c>
      <c r="E4363" s="3" t="s">
        <v>24</v>
      </c>
    </row>
    <row r="4364">
      <c r="A4364" s="3" t="s">
        <v>7</v>
      </c>
      <c r="B4364" s="3" t="s">
        <v>8</v>
      </c>
      <c r="C4364" s="3" t="s">
        <v>10</v>
      </c>
      <c r="D4364" s="3" t="s">
        <v>12</v>
      </c>
      <c r="E4364" s="3" t="s">
        <v>13</v>
      </c>
      <c r="F4364" s="3" t="s">
        <v>14</v>
      </c>
    </row>
    <row r="4365">
      <c r="A4365" s="3" t="s">
        <v>7</v>
      </c>
      <c r="B4365" s="3" t="s">
        <v>9</v>
      </c>
      <c r="C4365" s="3" t="s">
        <v>15</v>
      </c>
      <c r="D4365" s="3" t="s">
        <v>16</v>
      </c>
      <c r="E4365" s="3" t="s">
        <v>17</v>
      </c>
      <c r="F4365" s="3" t="s">
        <v>18</v>
      </c>
    </row>
    <row r="4366">
      <c r="A4366" s="3" t="s">
        <v>7</v>
      </c>
    </row>
    <row r="4367">
      <c r="A4367" s="3" t="s">
        <v>7</v>
      </c>
    </row>
    <row r="4368">
      <c r="A4368" s="3" t="s">
        <v>7</v>
      </c>
      <c r="B4368" s="3" t="s">
        <v>8</v>
      </c>
      <c r="C4368" s="3" t="s">
        <v>14</v>
      </c>
      <c r="D4368" s="3" t="s">
        <v>17</v>
      </c>
    </row>
    <row r="4369">
      <c r="A4369" s="3" t="s">
        <v>7</v>
      </c>
      <c r="B4369" s="3" t="s">
        <v>8</v>
      </c>
    </row>
    <row r="4370">
      <c r="A4370" s="3" t="s">
        <v>7</v>
      </c>
      <c r="B4370" s="3" t="s">
        <v>8</v>
      </c>
      <c r="C4370" s="3" t="s">
        <v>15</v>
      </c>
      <c r="D4370" s="3" t="s">
        <v>16</v>
      </c>
    </row>
    <row r="4371">
      <c r="A4371" s="3" t="s">
        <v>7</v>
      </c>
      <c r="B4371" s="3" t="s">
        <v>8</v>
      </c>
      <c r="C4371" s="3" t="s">
        <v>11</v>
      </c>
      <c r="D4371" s="3" t="s">
        <v>13</v>
      </c>
      <c r="E4371" s="3" t="s">
        <v>14</v>
      </c>
      <c r="F4371" s="3" t="s">
        <v>17</v>
      </c>
    </row>
    <row r="4372">
      <c r="A4372" s="3" t="s">
        <v>7</v>
      </c>
      <c r="B4372" s="3" t="s">
        <v>8</v>
      </c>
      <c r="C4372" s="3" t="s">
        <v>11</v>
      </c>
      <c r="D4372" s="3" t="s">
        <v>12</v>
      </c>
      <c r="E4372" s="3" t="s">
        <v>15</v>
      </c>
      <c r="F4372" s="3" t="s">
        <v>16</v>
      </c>
    </row>
    <row r="4373">
      <c r="A4373" s="3" t="s">
        <v>7</v>
      </c>
      <c r="B4373" s="3" t="s">
        <v>15</v>
      </c>
    </row>
    <row r="4374">
      <c r="A4374" s="3" t="s">
        <v>7</v>
      </c>
      <c r="B4374" s="3" t="s">
        <v>14</v>
      </c>
    </row>
    <row r="4375">
      <c r="A4375" s="3" t="s">
        <v>7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</row>
    <row r="4376">
      <c r="A4376" s="3" t="s">
        <v>7</v>
      </c>
      <c r="B4376" s="3" t="s">
        <v>8</v>
      </c>
      <c r="C4376" s="3" t="s">
        <v>13</v>
      </c>
      <c r="D4376" s="3" t="s">
        <v>17</v>
      </c>
    </row>
    <row r="4377">
      <c r="A4377" s="3" t="s">
        <v>7</v>
      </c>
      <c r="B4377" s="3" t="s">
        <v>11</v>
      </c>
      <c r="C4377" s="3" t="s">
        <v>12</v>
      </c>
    </row>
    <row r="4378">
      <c r="A4378" s="3" t="s">
        <v>8</v>
      </c>
      <c r="B4378" s="3" t="s">
        <v>11</v>
      </c>
      <c r="C4378" s="3" t="s">
        <v>12</v>
      </c>
      <c r="D4378" s="3" t="s">
        <v>15</v>
      </c>
      <c r="E4378" s="3" t="s">
        <v>16</v>
      </c>
      <c r="F4378" s="3" t="s">
        <v>17</v>
      </c>
    </row>
    <row r="4379">
      <c r="A4379" s="3" t="s">
        <v>8</v>
      </c>
      <c r="B4379" s="3" t="s">
        <v>9</v>
      </c>
      <c r="C4379" s="3" t="s">
        <v>11</v>
      </c>
      <c r="D4379" s="3" t="s">
        <v>12</v>
      </c>
      <c r="E4379" s="3" t="s">
        <v>17</v>
      </c>
      <c r="F4379" s="3" t="s">
        <v>18</v>
      </c>
    </row>
    <row r="4380">
      <c r="A4380" s="3" t="s">
        <v>8</v>
      </c>
      <c r="B4380" s="3" t="s">
        <v>9</v>
      </c>
      <c r="C4380" s="3" t="s">
        <v>12</v>
      </c>
      <c r="D4380" s="3" t="s">
        <v>16</v>
      </c>
      <c r="E4380" s="3" t="s">
        <v>17</v>
      </c>
      <c r="F4380" s="3" t="s">
        <v>18</v>
      </c>
    </row>
    <row r="4381">
      <c r="A4381" s="3" t="s">
        <v>8</v>
      </c>
      <c r="B4381" s="3" t="s">
        <v>11</v>
      </c>
      <c r="C4381" s="3" t="s">
        <v>12</v>
      </c>
      <c r="D4381" s="3" t="s">
        <v>16</v>
      </c>
      <c r="E4381" s="3" t="s">
        <v>17</v>
      </c>
      <c r="F4381" s="3" t="s">
        <v>18</v>
      </c>
    </row>
    <row r="4382">
      <c r="A4382" s="3" t="s">
        <v>8</v>
      </c>
      <c r="B4382" s="3" t="s">
        <v>9</v>
      </c>
      <c r="C4382" s="3" t="s">
        <v>10</v>
      </c>
      <c r="D4382" s="3" t="s">
        <v>16</v>
      </c>
      <c r="E4382" s="3" t="s">
        <v>17</v>
      </c>
      <c r="F4382" s="3" t="s">
        <v>24</v>
      </c>
    </row>
    <row r="4383">
      <c r="A4383" s="3" t="s">
        <v>8</v>
      </c>
      <c r="B4383" s="3" t="s">
        <v>11</v>
      </c>
      <c r="C4383" s="3" t="s">
        <v>12</v>
      </c>
      <c r="D4383" s="3" t="s">
        <v>15</v>
      </c>
      <c r="E4383" s="3" t="s">
        <v>16</v>
      </c>
      <c r="F4383" s="3" t="s">
        <v>17</v>
      </c>
    </row>
    <row r="4384">
      <c r="A4384" s="3" t="s">
        <v>8</v>
      </c>
      <c r="B4384" s="3" t="s">
        <v>9</v>
      </c>
      <c r="C4384" s="3" t="s">
        <v>10</v>
      </c>
      <c r="D4384" s="3" t="s">
        <v>13</v>
      </c>
      <c r="E4384" s="3" t="s">
        <v>14</v>
      </c>
      <c r="F4384" s="3" t="s">
        <v>24</v>
      </c>
    </row>
    <row r="4385">
      <c r="A4385" s="3" t="s">
        <v>8</v>
      </c>
      <c r="B4385" s="3" t="s">
        <v>9</v>
      </c>
      <c r="C4385" s="3" t="s">
        <v>12</v>
      </c>
      <c r="D4385" s="3" t="s">
        <v>16</v>
      </c>
      <c r="E4385" s="3" t="s">
        <v>18</v>
      </c>
      <c r="F4385" s="3" t="s">
        <v>24</v>
      </c>
    </row>
    <row r="4386">
      <c r="A4386" s="3" t="s">
        <v>8</v>
      </c>
      <c r="B4386" s="3" t="s">
        <v>9</v>
      </c>
      <c r="C4386" s="3" t="s">
        <v>10</v>
      </c>
      <c r="D4386" s="3" t="s">
        <v>12</v>
      </c>
      <c r="E4386" s="3" t="s">
        <v>18</v>
      </c>
      <c r="F4386" s="3" t="s">
        <v>24</v>
      </c>
    </row>
    <row r="4387">
      <c r="A4387" s="3" t="s">
        <v>8</v>
      </c>
      <c r="B4387" s="3" t="s">
        <v>9</v>
      </c>
      <c r="C4387" s="3" t="s">
        <v>10</v>
      </c>
      <c r="D4387" s="3" t="s">
        <v>12</v>
      </c>
      <c r="E4387" s="3" t="s">
        <v>16</v>
      </c>
      <c r="F4387" s="3" t="s">
        <v>18</v>
      </c>
    </row>
    <row r="4388">
      <c r="A4388" s="3" t="s">
        <v>8</v>
      </c>
      <c r="B4388" s="3" t="s">
        <v>15</v>
      </c>
    </row>
    <row r="4389">
      <c r="A4389" s="3" t="s">
        <v>8</v>
      </c>
      <c r="B4389" s="3" t="s">
        <v>9</v>
      </c>
      <c r="C4389" s="3" t="s">
        <v>10</v>
      </c>
      <c r="D4389" s="3" t="s">
        <v>11</v>
      </c>
      <c r="E4389" s="3" t="s">
        <v>12</v>
      </c>
      <c r="F4389" s="3" t="s">
        <v>18</v>
      </c>
    </row>
    <row r="4390">
      <c r="A4390" s="3" t="s">
        <v>8</v>
      </c>
      <c r="B4390" s="3" t="s">
        <v>11</v>
      </c>
      <c r="C4390" s="3" t="s">
        <v>12</v>
      </c>
      <c r="D4390" s="3" t="s">
        <v>13</v>
      </c>
      <c r="E4390" s="3" t="s">
        <v>14</v>
      </c>
      <c r="F4390" s="3" t="s">
        <v>17</v>
      </c>
    </row>
    <row r="4391">
      <c r="A4391" s="3" t="s">
        <v>8</v>
      </c>
      <c r="B4391" s="3" t="s">
        <v>9</v>
      </c>
      <c r="C4391" s="3" t="s">
        <v>10</v>
      </c>
      <c r="D4391" s="3" t="s">
        <v>12</v>
      </c>
      <c r="E4391" s="3" t="s">
        <v>18</v>
      </c>
      <c r="F4391" s="3" t="s">
        <v>24</v>
      </c>
    </row>
    <row r="4392">
      <c r="A4392" s="3" t="s">
        <v>8</v>
      </c>
      <c r="B4392" s="3" t="s">
        <v>11</v>
      </c>
      <c r="C4392" s="3" t="s">
        <v>12</v>
      </c>
      <c r="D4392" s="3" t="s">
        <v>13</v>
      </c>
    </row>
    <row r="4393">
      <c r="A4393" s="3" t="s">
        <v>8</v>
      </c>
      <c r="B4393" s="3" t="s">
        <v>11</v>
      </c>
      <c r="C4393" s="3" t="s">
        <v>12</v>
      </c>
      <c r="D4393" s="3" t="s">
        <v>15</v>
      </c>
      <c r="E4393" s="3" t="s">
        <v>16</v>
      </c>
      <c r="F4393" s="3" t="s">
        <v>17</v>
      </c>
    </row>
    <row r="4394">
      <c r="A4394" s="3" t="s">
        <v>8</v>
      </c>
      <c r="B4394" s="3" t="s">
        <v>11</v>
      </c>
      <c r="C4394" s="3" t="s">
        <v>12</v>
      </c>
      <c r="D4394" s="3" t="s">
        <v>15</v>
      </c>
      <c r="E4394" s="3" t="s">
        <v>16</v>
      </c>
      <c r="F4394" s="3" t="s">
        <v>17</v>
      </c>
    </row>
    <row r="4395">
      <c r="A4395" s="3" t="s">
        <v>8</v>
      </c>
      <c r="B4395" s="3" t="s">
        <v>9</v>
      </c>
      <c r="C4395" s="3" t="s">
        <v>10</v>
      </c>
      <c r="D4395" s="3" t="s">
        <v>11</v>
      </c>
      <c r="E4395" s="3" t="s">
        <v>12</v>
      </c>
      <c r="F4395" s="3" t="s">
        <v>16</v>
      </c>
    </row>
    <row r="4396">
      <c r="A4396" s="3" t="s">
        <v>8</v>
      </c>
      <c r="B4396" s="3" t="s">
        <v>9</v>
      </c>
      <c r="C4396" s="3" t="s">
        <v>10</v>
      </c>
      <c r="D4396" s="3" t="s">
        <v>12</v>
      </c>
      <c r="E4396" s="3" t="s">
        <v>18</v>
      </c>
      <c r="F4396" s="3" t="s">
        <v>24</v>
      </c>
    </row>
    <row r="4397">
      <c r="A4397" s="3" t="s">
        <v>8</v>
      </c>
      <c r="B4397" s="3" t="s">
        <v>9</v>
      </c>
      <c r="C4397" s="3" t="s">
        <v>10</v>
      </c>
      <c r="D4397" s="3" t="s">
        <v>11</v>
      </c>
      <c r="E4397" s="3" t="s">
        <v>15</v>
      </c>
      <c r="F4397" s="3" t="s">
        <v>24</v>
      </c>
    </row>
    <row r="4398">
      <c r="A4398" s="3" t="s">
        <v>8</v>
      </c>
      <c r="B4398" s="3" t="s">
        <v>9</v>
      </c>
      <c r="C4398" s="3" t="s">
        <v>10</v>
      </c>
      <c r="D4398" s="3" t="s">
        <v>12</v>
      </c>
      <c r="E4398" s="3" t="s">
        <v>18</v>
      </c>
      <c r="F4398" s="3" t="s">
        <v>24</v>
      </c>
    </row>
    <row r="4399">
      <c r="A4399" s="3" t="s">
        <v>8</v>
      </c>
      <c r="B4399" s="3" t="s">
        <v>13</v>
      </c>
      <c r="C4399" s="3" t="s">
        <v>14</v>
      </c>
      <c r="D4399" s="3" t="s">
        <v>16</v>
      </c>
      <c r="E4399" s="3" t="s">
        <v>17</v>
      </c>
      <c r="F4399" s="3" t="s">
        <v>18</v>
      </c>
    </row>
    <row r="4400">
      <c r="A4400" s="3" t="s">
        <v>8</v>
      </c>
      <c r="B4400" s="3" t="s">
        <v>10</v>
      </c>
      <c r="C4400" s="3" t="s">
        <v>12</v>
      </c>
      <c r="D4400" s="3" t="s">
        <v>15</v>
      </c>
      <c r="E4400" s="3" t="s">
        <v>16</v>
      </c>
      <c r="F4400" s="3" t="s">
        <v>24</v>
      </c>
    </row>
    <row r="4401">
      <c r="A4401" s="3" t="s">
        <v>8</v>
      </c>
      <c r="B4401" s="3" t="s">
        <v>11</v>
      </c>
      <c r="C4401" s="3" t="s">
        <v>12</v>
      </c>
    </row>
    <row r="4402">
      <c r="A4402" s="3" t="s">
        <v>8</v>
      </c>
      <c r="B4402" s="3" t="s">
        <v>9</v>
      </c>
      <c r="C4402" s="3" t="s">
        <v>10</v>
      </c>
      <c r="D4402" s="3" t="s">
        <v>24</v>
      </c>
    </row>
    <row r="4403">
      <c r="A4403" s="3" t="s">
        <v>8</v>
      </c>
      <c r="B4403" s="3" t="s">
        <v>9</v>
      </c>
      <c r="C4403" s="3" t="s">
        <v>10</v>
      </c>
      <c r="D4403" s="3" t="s">
        <v>15</v>
      </c>
      <c r="E4403" s="3" t="s">
        <v>16</v>
      </c>
      <c r="F4403" s="3" t="s">
        <v>24</v>
      </c>
    </row>
    <row r="4404">
      <c r="A4404" s="3" t="s">
        <v>8</v>
      </c>
      <c r="B4404" s="3" t="s">
        <v>11</v>
      </c>
      <c r="C4404" s="3" t="s">
        <v>12</v>
      </c>
      <c r="D4404" s="3" t="s">
        <v>18</v>
      </c>
    </row>
    <row r="4405">
      <c r="A4405" s="3" t="s">
        <v>8</v>
      </c>
    </row>
    <row r="4406">
      <c r="A4406" s="3" t="s">
        <v>9</v>
      </c>
      <c r="B4406" s="3" t="s">
        <v>12</v>
      </c>
      <c r="C4406" s="3" t="s">
        <v>13</v>
      </c>
      <c r="D4406" s="3" t="s">
        <v>16</v>
      </c>
      <c r="E4406" s="3" t="s">
        <v>17</v>
      </c>
      <c r="F4406" s="3" t="s">
        <v>18</v>
      </c>
    </row>
    <row r="4407">
      <c r="A4407" s="3" t="s">
        <v>9</v>
      </c>
      <c r="B4407" s="3" t="s">
        <v>12</v>
      </c>
      <c r="C4407" s="3" t="s">
        <v>15</v>
      </c>
      <c r="D4407" s="3" t="s">
        <v>16</v>
      </c>
      <c r="E4407" s="3" t="s">
        <v>17</v>
      </c>
      <c r="F4407" s="3" t="s">
        <v>18</v>
      </c>
    </row>
    <row r="4408">
      <c r="A4408" s="3" t="s">
        <v>9</v>
      </c>
      <c r="B4408" s="3" t="s">
        <v>13</v>
      </c>
      <c r="C4408" s="3" t="s">
        <v>14</v>
      </c>
      <c r="D4408" s="3" t="s">
        <v>17</v>
      </c>
      <c r="E4408" s="3" t="s">
        <v>18</v>
      </c>
      <c r="F4408" s="3" t="s">
        <v>24</v>
      </c>
    </row>
    <row r="4409">
      <c r="A4409" s="3" t="s">
        <v>9</v>
      </c>
      <c r="B4409" s="3" t="s">
        <v>10</v>
      </c>
      <c r="C4409" s="3" t="s">
        <v>11</v>
      </c>
      <c r="D4409" s="3" t="s">
        <v>12</v>
      </c>
      <c r="E4409" s="3" t="s">
        <v>17</v>
      </c>
      <c r="F4409" s="3" t="s">
        <v>18</v>
      </c>
    </row>
    <row r="4410">
      <c r="A4410" s="3" t="s">
        <v>9</v>
      </c>
      <c r="B4410" s="3" t="s">
        <v>13</v>
      </c>
      <c r="C4410" s="3" t="s">
        <v>14</v>
      </c>
      <c r="D4410" s="3" t="s">
        <v>17</v>
      </c>
      <c r="E4410" s="3" t="s">
        <v>18</v>
      </c>
      <c r="F4410" s="3" t="s">
        <v>24</v>
      </c>
    </row>
    <row r="4411">
      <c r="A4411" s="3" t="s">
        <v>9</v>
      </c>
      <c r="B4411" s="3" t="s">
        <v>10</v>
      </c>
      <c r="C4411" s="3" t="s">
        <v>12</v>
      </c>
      <c r="D4411" s="3" t="s">
        <v>15</v>
      </c>
      <c r="E4411" s="3" t="s">
        <v>16</v>
      </c>
      <c r="F4411" s="3" t="s">
        <v>24</v>
      </c>
    </row>
    <row r="4412">
      <c r="A4412" s="3" t="s">
        <v>9</v>
      </c>
      <c r="B4412" s="3" t="s">
        <v>10</v>
      </c>
      <c r="C4412" s="3" t="s">
        <v>16</v>
      </c>
      <c r="D4412" s="3" t="s">
        <v>17</v>
      </c>
      <c r="E4412" s="3" t="s">
        <v>18</v>
      </c>
      <c r="F4412" s="3" t="s">
        <v>24</v>
      </c>
    </row>
    <row r="4413">
      <c r="A4413" s="3" t="s">
        <v>9</v>
      </c>
      <c r="B4413" s="3" t="s">
        <v>12</v>
      </c>
      <c r="C4413" s="3" t="s">
        <v>15</v>
      </c>
      <c r="D4413" s="3" t="s">
        <v>16</v>
      </c>
      <c r="E4413" s="3" t="s">
        <v>17</v>
      </c>
      <c r="F4413" s="3" t="s">
        <v>18</v>
      </c>
    </row>
    <row r="4414">
      <c r="A4414" s="3" t="s">
        <v>9</v>
      </c>
      <c r="B4414" s="3" t="s">
        <v>10</v>
      </c>
      <c r="C4414" s="3" t="s">
        <v>24</v>
      </c>
    </row>
    <row r="4415">
      <c r="A4415" s="3" t="s">
        <v>9</v>
      </c>
      <c r="B4415" s="3" t="s">
        <v>13</v>
      </c>
      <c r="C4415" s="3" t="s">
        <v>14</v>
      </c>
      <c r="D4415" s="3" t="s">
        <v>17</v>
      </c>
      <c r="E4415" s="3" t="s">
        <v>18</v>
      </c>
      <c r="F4415" s="3" t="s">
        <v>24</v>
      </c>
    </row>
    <row r="4416">
      <c r="A4416" s="3" t="s">
        <v>9</v>
      </c>
      <c r="B4416" s="3" t="s">
        <v>11</v>
      </c>
      <c r="C4416" s="3" t="s">
        <v>12</v>
      </c>
      <c r="D4416" s="3" t="s">
        <v>17</v>
      </c>
      <c r="E4416" s="3" t="s">
        <v>18</v>
      </c>
    </row>
    <row r="4417">
      <c r="A4417" s="3" t="s">
        <v>9</v>
      </c>
      <c r="B4417" s="3" t="s">
        <v>11</v>
      </c>
      <c r="C4417" s="3" t="s">
        <v>12</v>
      </c>
      <c r="D4417" s="3" t="s">
        <v>15</v>
      </c>
      <c r="E4417" s="3" t="s">
        <v>16</v>
      </c>
    </row>
    <row r="4418">
      <c r="A4418" s="3" t="s">
        <v>9</v>
      </c>
      <c r="B4418" s="3" t="s">
        <v>12</v>
      </c>
      <c r="C4418" s="3" t="s">
        <v>13</v>
      </c>
      <c r="D4418" s="3" t="s">
        <v>14</v>
      </c>
      <c r="E4418" s="3" t="s">
        <v>17</v>
      </c>
      <c r="F4418" s="3" t="s">
        <v>18</v>
      </c>
    </row>
    <row r="4419">
      <c r="A4419" s="3" t="s">
        <v>10</v>
      </c>
      <c r="B4419" s="3" t="s">
        <v>14</v>
      </c>
      <c r="C4419" s="3" t="s">
        <v>16</v>
      </c>
      <c r="D4419" s="3" t="s">
        <v>17</v>
      </c>
      <c r="E4419" s="3" t="s">
        <v>18</v>
      </c>
      <c r="F4419" s="3" t="s">
        <v>24</v>
      </c>
    </row>
    <row r="4420">
      <c r="A4420" s="3" t="s">
        <v>10</v>
      </c>
      <c r="B4420" s="3" t="s">
        <v>13</v>
      </c>
      <c r="C4420" s="3" t="s">
        <v>14</v>
      </c>
      <c r="D4420" s="3" t="s">
        <v>16</v>
      </c>
      <c r="E4420" s="3" t="s">
        <v>17</v>
      </c>
      <c r="F4420" s="3" t="s">
        <v>18</v>
      </c>
    </row>
    <row r="4421">
      <c r="A4421" s="3" t="s">
        <v>10</v>
      </c>
      <c r="B4421" s="3" t="s">
        <v>13</v>
      </c>
      <c r="C4421" s="3" t="s">
        <v>14</v>
      </c>
      <c r="D4421" s="3" t="s">
        <v>15</v>
      </c>
      <c r="E4421" s="3" t="s">
        <v>16</v>
      </c>
    </row>
    <row r="4422">
      <c r="A4422" s="3" t="s">
        <v>10</v>
      </c>
      <c r="B4422" s="3" t="s">
        <v>24</v>
      </c>
    </row>
    <row r="4423">
      <c r="A4423" s="3" t="s">
        <v>10</v>
      </c>
      <c r="B4423" s="3" t="s">
        <v>15</v>
      </c>
      <c r="C4423" s="3" t="s">
        <v>16</v>
      </c>
      <c r="D4423" s="3" t="s">
        <v>17</v>
      </c>
      <c r="E4423" s="3" t="s">
        <v>24</v>
      </c>
    </row>
    <row r="4424">
      <c r="A4424" s="3" t="s">
        <v>10</v>
      </c>
      <c r="B4424" s="3" t="s">
        <v>12</v>
      </c>
      <c r="C4424" s="3" t="s">
        <v>24</v>
      </c>
    </row>
    <row r="4425">
      <c r="A4425" s="3" t="s">
        <v>11</v>
      </c>
      <c r="B4425" s="3" t="s">
        <v>12</v>
      </c>
      <c r="C4425" s="3" t="s">
        <v>15</v>
      </c>
      <c r="D4425" s="3" t="s">
        <v>16</v>
      </c>
      <c r="E4425" s="3" t="s">
        <v>17</v>
      </c>
      <c r="F4425" s="3" t="s">
        <v>18</v>
      </c>
    </row>
    <row r="4426">
      <c r="A4426" s="3" t="s">
        <v>11</v>
      </c>
      <c r="B4426" s="3" t="s">
        <v>12</v>
      </c>
    </row>
    <row r="4427">
      <c r="A4427" s="3" t="s">
        <v>11</v>
      </c>
      <c r="B4427" s="3" t="s">
        <v>12</v>
      </c>
    </row>
    <row r="4428">
      <c r="A4428" s="3" t="s">
        <v>11</v>
      </c>
      <c r="B4428" s="3" t="s">
        <v>12</v>
      </c>
      <c r="C4428" s="3" t="s">
        <v>15</v>
      </c>
      <c r="D4428" s="3" t="s">
        <v>16</v>
      </c>
      <c r="E4428" s="3" t="s">
        <v>18</v>
      </c>
    </row>
    <row r="4429">
      <c r="A4429" s="3" t="s">
        <v>11</v>
      </c>
      <c r="B4429" s="3" t="s">
        <v>12</v>
      </c>
      <c r="C4429" s="3" t="s">
        <v>15</v>
      </c>
      <c r="D4429" s="3" t="s">
        <v>16</v>
      </c>
      <c r="E4429" s="3" t="s">
        <v>17</v>
      </c>
      <c r="F4429" s="3" t="s">
        <v>18</v>
      </c>
    </row>
    <row r="4430">
      <c r="A4430" s="3" t="s">
        <v>11</v>
      </c>
      <c r="B4430" s="3" t="s">
        <v>12</v>
      </c>
      <c r="C4430" s="3" t="s">
        <v>13</v>
      </c>
      <c r="D4430" s="3" t="s">
        <v>14</v>
      </c>
      <c r="E4430" s="3" t="s">
        <v>17</v>
      </c>
      <c r="F4430" s="3" t="s">
        <v>18</v>
      </c>
    </row>
    <row r="4431">
      <c r="A4431" s="3" t="s">
        <v>11</v>
      </c>
      <c r="B4431" s="3" t="s">
        <v>12</v>
      </c>
      <c r="C4431" s="3" t="s">
        <v>15</v>
      </c>
      <c r="D4431" s="3" t="s">
        <v>16</v>
      </c>
      <c r="E4431" s="3" t="s">
        <v>17</v>
      </c>
      <c r="F4431" s="3" t="s">
        <v>18</v>
      </c>
    </row>
    <row r="4432">
      <c r="A4432" s="3" t="s">
        <v>11</v>
      </c>
      <c r="B4432" s="3" t="s">
        <v>12</v>
      </c>
    </row>
    <row r="4433">
      <c r="A4433" s="3" t="s">
        <v>11</v>
      </c>
      <c r="B4433" s="3" t="s">
        <v>12</v>
      </c>
    </row>
    <row r="4434">
      <c r="A4434" s="3" t="s">
        <v>11</v>
      </c>
      <c r="B4434" s="3" t="s">
        <v>12</v>
      </c>
      <c r="C4434" s="3" t="s">
        <v>13</v>
      </c>
      <c r="D4434" s="3" t="s">
        <v>14</v>
      </c>
      <c r="E4434" s="3" t="s">
        <v>17</v>
      </c>
      <c r="F4434" s="3" t="s">
        <v>18</v>
      </c>
    </row>
    <row r="4435">
      <c r="A4435" s="3" t="s">
        <v>11</v>
      </c>
      <c r="B4435" s="3" t="s">
        <v>12</v>
      </c>
      <c r="C4435" s="3" t="s">
        <v>15</v>
      </c>
      <c r="D4435" s="3" t="s">
        <v>16</v>
      </c>
    </row>
    <row r="4436">
      <c r="A4436" s="3" t="s">
        <v>11</v>
      </c>
      <c r="B4436" s="3" t="s">
        <v>12</v>
      </c>
      <c r="C4436" s="3" t="s">
        <v>13</v>
      </c>
      <c r="D4436" s="3" t="s">
        <v>14</v>
      </c>
      <c r="E4436" s="3" t="s">
        <v>17</v>
      </c>
      <c r="F4436" s="3" t="s">
        <v>18</v>
      </c>
    </row>
    <row r="4437">
      <c r="A4437" s="3" t="s">
        <v>11</v>
      </c>
      <c r="B4437" s="3" t="s">
        <v>12</v>
      </c>
    </row>
    <row r="4438">
      <c r="A4438" s="3" t="s">
        <v>11</v>
      </c>
      <c r="B4438" s="3" t="s">
        <v>12</v>
      </c>
      <c r="C4438" s="3" t="s">
        <v>13</v>
      </c>
      <c r="D4438" s="3" t="s">
        <v>14</v>
      </c>
      <c r="E4438" s="3" t="s">
        <v>17</v>
      </c>
      <c r="F4438" s="3" t="s">
        <v>18</v>
      </c>
    </row>
    <row r="4439">
      <c r="A4439" s="3" t="s">
        <v>11</v>
      </c>
      <c r="B4439" s="3" t="s">
        <v>12</v>
      </c>
    </row>
    <row r="4440">
      <c r="A4440" s="3" t="s">
        <v>11</v>
      </c>
      <c r="B4440" s="3" t="s">
        <v>12</v>
      </c>
    </row>
    <row r="4441">
      <c r="A4441" s="3" t="s">
        <v>11</v>
      </c>
      <c r="B4441" s="3" t="s">
        <v>12</v>
      </c>
    </row>
    <row r="4442">
      <c r="A4442" s="3" t="s">
        <v>11</v>
      </c>
      <c r="B4442" s="3" t="s">
        <v>12</v>
      </c>
      <c r="C4442" s="3" t="s">
        <v>13</v>
      </c>
      <c r="D4442" s="3" t="s">
        <v>14</v>
      </c>
      <c r="E4442" s="3" t="s">
        <v>17</v>
      </c>
    </row>
    <row r="4443">
      <c r="A4443" s="3" t="s">
        <v>11</v>
      </c>
      <c r="B4443" s="3" t="s">
        <v>13</v>
      </c>
    </row>
    <row r="4444">
      <c r="A4444" s="3" t="s">
        <v>11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</row>
    <row r="4445">
      <c r="A4445" s="3" t="s">
        <v>12</v>
      </c>
      <c r="B4445" s="3" t="s">
        <v>14</v>
      </c>
      <c r="C4445" s="3" t="s">
        <v>15</v>
      </c>
      <c r="D4445" s="3" t="s">
        <v>16</v>
      </c>
      <c r="E4445" s="3" t="s">
        <v>17</v>
      </c>
      <c r="F4445" s="3" t="s">
        <v>18</v>
      </c>
    </row>
    <row r="4446">
      <c r="A4446" s="3" t="s">
        <v>12</v>
      </c>
      <c r="B4446" s="3" t="s">
        <v>13</v>
      </c>
      <c r="C4446" s="3" t="s">
        <v>14</v>
      </c>
      <c r="D4446" s="3" t="s">
        <v>16</v>
      </c>
      <c r="E4446" s="3" t="s">
        <v>17</v>
      </c>
      <c r="F4446" s="3" t="s">
        <v>18</v>
      </c>
    </row>
    <row r="4447">
      <c r="A4447" s="3" t="s">
        <v>12</v>
      </c>
      <c r="B4447" s="3" t="s">
        <v>24</v>
      </c>
    </row>
    <row r="4448">
      <c r="A4448" s="3" t="s">
        <v>12</v>
      </c>
      <c r="B4448" s="3" t="s">
        <v>14</v>
      </c>
    </row>
    <row r="4449">
      <c r="A4449" s="3" t="s">
        <v>12</v>
      </c>
    </row>
    <row r="4450">
      <c r="A4450" s="3" t="s">
        <v>12</v>
      </c>
      <c r="B4450" s="3" t="s">
        <v>24</v>
      </c>
    </row>
    <row r="4451">
      <c r="A4451" s="3" t="s">
        <v>13</v>
      </c>
      <c r="B4451" s="3" t="s">
        <v>14</v>
      </c>
      <c r="C4451" s="3" t="s">
        <v>15</v>
      </c>
      <c r="D4451" s="3" t="s">
        <v>16</v>
      </c>
      <c r="E4451" s="3" t="s">
        <v>17</v>
      </c>
      <c r="F4451" s="3" t="s">
        <v>18</v>
      </c>
    </row>
    <row r="4452">
      <c r="A4452" s="3" t="s">
        <v>13</v>
      </c>
      <c r="B4452" s="3" t="s">
        <v>14</v>
      </c>
      <c r="C4452" s="3" t="s">
        <v>17</v>
      </c>
      <c r="D4452" s="3" t="s">
        <v>18</v>
      </c>
    </row>
    <row r="4453">
      <c r="A4453" s="3" t="s">
        <v>13</v>
      </c>
      <c r="B4453" s="3" t="s">
        <v>14</v>
      </c>
    </row>
    <row r="4454">
      <c r="A4454" s="3" t="s">
        <v>13</v>
      </c>
      <c r="B4454" s="3" t="s">
        <v>14</v>
      </c>
      <c r="C4454" s="3" t="s">
        <v>17</v>
      </c>
      <c r="D4454" s="3" t="s">
        <v>18</v>
      </c>
    </row>
    <row r="4455">
      <c r="A4455" s="3" t="s">
        <v>13</v>
      </c>
      <c r="B4455" s="3" t="s">
        <v>14</v>
      </c>
      <c r="C4455" s="3" t="s">
        <v>15</v>
      </c>
      <c r="D4455" s="3" t="s">
        <v>17</v>
      </c>
    </row>
    <row r="4456">
      <c r="A4456" s="3" t="s">
        <v>13</v>
      </c>
      <c r="B4456" s="3" t="s">
        <v>14</v>
      </c>
      <c r="C4456" s="3" t="s">
        <v>17</v>
      </c>
    </row>
    <row r="4457">
      <c r="A4457" s="3" t="s">
        <v>13</v>
      </c>
      <c r="B4457" s="3" t="s">
        <v>14</v>
      </c>
      <c r="C4457" s="3" t="s">
        <v>18</v>
      </c>
    </row>
    <row r="4458">
      <c r="A4458" s="3" t="s">
        <v>13</v>
      </c>
      <c r="B4458" s="3" t="s">
        <v>14</v>
      </c>
    </row>
    <row r="4459">
      <c r="A4459" s="3" t="s">
        <v>13</v>
      </c>
      <c r="B4459" s="3" t="s">
        <v>14</v>
      </c>
    </row>
    <row r="4460">
      <c r="A4460" s="3" t="s">
        <v>13</v>
      </c>
      <c r="B4460" s="3" t="s">
        <v>14</v>
      </c>
    </row>
    <row r="4461">
      <c r="A4461" s="3" t="s">
        <v>13</v>
      </c>
      <c r="B4461" s="3" t="s">
        <v>14</v>
      </c>
    </row>
    <row r="4462">
      <c r="A4462" s="3" t="s">
        <v>13</v>
      </c>
      <c r="B4462" s="3" t="s">
        <v>14</v>
      </c>
    </row>
    <row r="4463">
      <c r="A4463" s="3" t="s">
        <v>13</v>
      </c>
      <c r="B4463" s="3" t="s">
        <v>14</v>
      </c>
      <c r="C4463" s="3" t="s">
        <v>15</v>
      </c>
      <c r="D4463" s="3" t="s">
        <v>16</v>
      </c>
    </row>
    <row r="4464">
      <c r="A4464" s="3" t="s">
        <v>13</v>
      </c>
      <c r="B4464" s="3" t="s">
        <v>14</v>
      </c>
    </row>
    <row r="4465">
      <c r="A4465" s="3" t="s">
        <v>13</v>
      </c>
      <c r="B4465" s="3" t="s">
        <v>14</v>
      </c>
    </row>
    <row r="4466">
      <c r="A4466" s="3" t="s">
        <v>13</v>
      </c>
      <c r="B4466" s="3" t="s">
        <v>14</v>
      </c>
      <c r="C4466" s="3" t="s">
        <v>17</v>
      </c>
      <c r="D4466" s="3" t="s">
        <v>18</v>
      </c>
    </row>
    <row r="4467">
      <c r="A4467" s="3" t="s">
        <v>13</v>
      </c>
      <c r="B4467" s="3" t="s">
        <v>14</v>
      </c>
    </row>
    <row r="4468">
      <c r="A4468" s="3" t="s">
        <v>13</v>
      </c>
      <c r="B4468" s="3" t="s">
        <v>14</v>
      </c>
      <c r="C4468" s="3" t="s">
        <v>15</v>
      </c>
      <c r="D4468" s="3" t="s">
        <v>17</v>
      </c>
      <c r="E4468" s="3" t="s">
        <v>18</v>
      </c>
    </row>
    <row r="4469">
      <c r="A4469" s="3" t="s">
        <v>13</v>
      </c>
      <c r="B4469" s="3" t="s">
        <v>14</v>
      </c>
    </row>
    <row r="4470">
      <c r="A4470" s="3" t="s">
        <v>13</v>
      </c>
      <c r="B4470" s="3" t="s">
        <v>14</v>
      </c>
      <c r="C4470" s="3" t="s">
        <v>15</v>
      </c>
    </row>
    <row r="4471">
      <c r="A4471" s="3" t="s">
        <v>14</v>
      </c>
    </row>
    <row r="4472">
      <c r="A4472" s="3" t="s">
        <v>14</v>
      </c>
    </row>
    <row r="4473">
      <c r="A4473" s="3" t="s">
        <v>14</v>
      </c>
      <c r="B4473" s="3" t="s">
        <v>17</v>
      </c>
      <c r="C4473" s="3" t="s">
        <v>24</v>
      </c>
    </row>
    <row r="4474">
      <c r="A4474" s="3" t="s">
        <v>15</v>
      </c>
    </row>
    <row r="4475">
      <c r="A4475" s="3" t="s">
        <v>15</v>
      </c>
      <c r="B4475" s="3" t="s">
        <v>16</v>
      </c>
    </row>
    <row r="4476">
      <c r="A4476" s="3" t="s">
        <v>15</v>
      </c>
      <c r="B4476" s="3" t="s">
        <v>16</v>
      </c>
    </row>
    <row r="4477">
      <c r="A4477" s="3" t="s">
        <v>15</v>
      </c>
    </row>
    <row r="4478">
      <c r="A4478" s="3" t="s">
        <v>15</v>
      </c>
    </row>
    <row r="4479">
      <c r="A4479" s="3" t="s">
        <v>15</v>
      </c>
      <c r="B4479" s="3" t="s">
        <v>16</v>
      </c>
    </row>
    <row r="4480">
      <c r="A4480" s="3" t="s">
        <v>16</v>
      </c>
    </row>
    <row r="4481">
      <c r="A4481" s="3" t="s">
        <v>16</v>
      </c>
      <c r="B4481" s="3" t="s">
        <v>24</v>
      </c>
    </row>
    <row r="4482">
      <c r="A4482" s="3" t="s">
        <v>16</v>
      </c>
    </row>
    <row r="4483">
      <c r="A4483" s="3" t="s">
        <v>16</v>
      </c>
    </row>
    <row r="4484">
      <c r="A4484" s="3" t="s">
        <v>609</v>
      </c>
    </row>
    <row r="4485">
      <c r="A4485" s="3" t="s">
        <v>609</v>
      </c>
    </row>
    <row r="4486">
      <c r="A4486" s="3" t="s">
        <v>609</v>
      </c>
    </row>
    <row r="4487">
      <c r="A4487" s="3" t="s">
        <v>609</v>
      </c>
    </row>
    <row r="4488">
      <c r="A4488" s="3" t="s">
        <v>609</v>
      </c>
    </row>
    <row r="4489">
      <c r="A4489" s="3" t="s">
        <v>609</v>
      </c>
    </row>
    <row r="4490">
      <c r="A4490" s="3" t="s">
        <v>609</v>
      </c>
    </row>
    <row r="4491">
      <c r="A4491" s="3" t="s">
        <v>609</v>
      </c>
    </row>
    <row r="4492">
      <c r="A4492" s="3" t="s">
        <v>609</v>
      </c>
    </row>
    <row r="4493">
      <c r="A4493" s="3" t="s">
        <v>609</v>
      </c>
    </row>
    <row r="4494">
      <c r="A4494" s="3" t="s">
        <v>609</v>
      </c>
    </row>
    <row r="4495">
      <c r="A4495" s="3" t="s">
        <v>609</v>
      </c>
    </row>
    <row r="4496">
      <c r="A4496" s="3" t="s">
        <v>609</v>
      </c>
    </row>
    <row r="4497">
      <c r="A4497" s="3" t="s">
        <v>609</v>
      </c>
    </row>
    <row r="4498">
      <c r="A4498" s="3" t="s">
        <v>609</v>
      </c>
    </row>
    <row r="4499">
      <c r="A4499" s="3" t="s">
        <v>609</v>
      </c>
    </row>
    <row r="4500">
      <c r="A4500" s="3" t="s">
        <v>609</v>
      </c>
    </row>
    <row r="4501">
      <c r="A4501" s="3" t="s">
        <v>609</v>
      </c>
    </row>
    <row r="4502">
      <c r="A4502" s="3" t="s">
        <v>609</v>
      </c>
    </row>
    <row r="4503">
      <c r="A4503" s="3" t="s">
        <v>609</v>
      </c>
    </row>
    <row r="4504">
      <c r="A4504" s="3" t="s">
        <v>609</v>
      </c>
    </row>
    <row r="4505">
      <c r="A4505" s="3" t="s">
        <v>609</v>
      </c>
    </row>
    <row r="4506">
      <c r="A4506" s="3" t="s">
        <v>609</v>
      </c>
    </row>
    <row r="4507">
      <c r="A4507" s="3" t="s">
        <v>609</v>
      </c>
    </row>
    <row r="4508">
      <c r="A4508" s="3" t="s">
        <v>609</v>
      </c>
    </row>
    <row r="4509">
      <c r="A4509" s="3" t="s">
        <v>609</v>
      </c>
    </row>
    <row r="4510">
      <c r="A4510" s="3" t="s">
        <v>609</v>
      </c>
    </row>
    <row r="4511">
      <c r="A4511" s="3" t="s">
        <v>609</v>
      </c>
    </row>
    <row r="4512">
      <c r="A4512" s="3" t="s">
        <v>609</v>
      </c>
    </row>
    <row r="4513">
      <c r="A4513" s="3" t="s">
        <v>609</v>
      </c>
    </row>
    <row r="4514">
      <c r="A4514" s="3" t="s">
        <v>609</v>
      </c>
    </row>
    <row r="4515">
      <c r="A4515" s="3" t="s">
        <v>609</v>
      </c>
    </row>
    <row r="4516">
      <c r="A4516" s="3" t="s">
        <v>609</v>
      </c>
    </row>
    <row r="4517">
      <c r="A4517" s="3" t="s">
        <v>609</v>
      </c>
    </row>
    <row r="4518">
      <c r="A4518" s="3" t="s">
        <v>609</v>
      </c>
    </row>
    <row r="4519">
      <c r="A4519" s="3" t="s">
        <v>609</v>
      </c>
    </row>
    <row r="4520">
      <c r="A4520" s="3" t="s">
        <v>609</v>
      </c>
    </row>
    <row r="4521">
      <c r="A4521" s="3" t="s">
        <v>609</v>
      </c>
    </row>
    <row r="4522">
      <c r="A4522" s="3" t="s">
        <v>609</v>
      </c>
    </row>
    <row r="4523">
      <c r="A4523" s="3" t="s">
        <v>609</v>
      </c>
    </row>
    <row r="4524">
      <c r="A4524" s="3" t="s">
        <v>609</v>
      </c>
    </row>
    <row r="4525">
      <c r="A4525" s="3" t="s">
        <v>609</v>
      </c>
    </row>
    <row r="4526">
      <c r="A4526" s="3" t="s">
        <v>609</v>
      </c>
    </row>
    <row r="4527">
      <c r="A4527" s="3" t="s">
        <v>609</v>
      </c>
    </row>
    <row r="4528">
      <c r="A4528" s="3" t="s">
        <v>609</v>
      </c>
    </row>
    <row r="4529">
      <c r="A4529" s="3" t="s">
        <v>609</v>
      </c>
    </row>
    <row r="4530">
      <c r="A4530" s="3" t="s">
        <v>609</v>
      </c>
    </row>
    <row r="4531">
      <c r="A4531" s="3" t="s">
        <v>609</v>
      </c>
    </row>
    <row r="4532">
      <c r="A4532" s="3" t="s">
        <v>609</v>
      </c>
    </row>
    <row r="4533">
      <c r="A4533" s="3" t="s">
        <v>609</v>
      </c>
    </row>
    <row r="4534">
      <c r="A4534" s="3" t="s">
        <v>609</v>
      </c>
    </row>
    <row r="4535">
      <c r="A4535" s="3" t="s">
        <v>609</v>
      </c>
    </row>
    <row r="4536">
      <c r="A4536" s="3" t="s">
        <v>609</v>
      </c>
    </row>
    <row r="4537">
      <c r="A4537" s="3" t="s">
        <v>609</v>
      </c>
    </row>
    <row r="4538">
      <c r="A4538" s="3" t="s">
        <v>609</v>
      </c>
    </row>
    <row r="4539">
      <c r="A4539" s="3" t="s">
        <v>609</v>
      </c>
    </row>
    <row r="4540">
      <c r="A4540" s="3" t="s">
        <v>609</v>
      </c>
    </row>
    <row r="4541">
      <c r="A4541" s="3" t="s">
        <v>609</v>
      </c>
    </row>
    <row r="4542">
      <c r="A4542" s="3" t="s">
        <v>609</v>
      </c>
    </row>
    <row r="4543">
      <c r="A4543" s="3" t="s">
        <v>609</v>
      </c>
    </row>
    <row r="4544">
      <c r="A4544" s="3" t="s">
        <v>609</v>
      </c>
    </row>
    <row r="4545">
      <c r="A4545" s="3" t="s">
        <v>609</v>
      </c>
    </row>
    <row r="4546">
      <c r="A4546" s="3" t="s">
        <v>609</v>
      </c>
    </row>
    <row r="4547">
      <c r="A4547" s="3" t="s">
        <v>609</v>
      </c>
    </row>
    <row r="4548">
      <c r="A4548" s="3" t="s">
        <v>609</v>
      </c>
    </row>
    <row r="4549">
      <c r="A4549" s="3" t="s">
        <v>609</v>
      </c>
    </row>
    <row r="4550">
      <c r="A4550" s="3" t="s">
        <v>609</v>
      </c>
    </row>
    <row r="4551">
      <c r="A4551" s="3" t="s">
        <v>609</v>
      </c>
    </row>
    <row r="4552">
      <c r="A4552" s="3" t="s">
        <v>609</v>
      </c>
    </row>
    <row r="4553">
      <c r="A4553" s="3" t="s">
        <v>609</v>
      </c>
    </row>
    <row r="4554">
      <c r="A4554" s="3" t="s">
        <v>609</v>
      </c>
    </row>
    <row r="4555">
      <c r="A4555" s="3" t="s">
        <v>609</v>
      </c>
    </row>
    <row r="4556">
      <c r="A4556" s="3" t="s">
        <v>609</v>
      </c>
    </row>
    <row r="4557">
      <c r="A4557" s="3" t="s">
        <v>609</v>
      </c>
    </row>
    <row r="4558">
      <c r="A4558" s="3" t="s">
        <v>609</v>
      </c>
    </row>
    <row r="4559">
      <c r="A4559" s="3" t="s">
        <v>609</v>
      </c>
    </row>
    <row r="4560">
      <c r="A4560" s="3" t="s">
        <v>609</v>
      </c>
    </row>
    <row r="4561">
      <c r="A4561" s="3" t="s">
        <v>609</v>
      </c>
    </row>
    <row r="4562">
      <c r="A4562" s="3" t="s">
        <v>609</v>
      </c>
    </row>
    <row r="4563">
      <c r="A4563" s="3" t="s">
        <v>609</v>
      </c>
    </row>
    <row r="4564">
      <c r="A4564" s="3" t="s">
        <v>609</v>
      </c>
    </row>
    <row r="4565">
      <c r="A4565" s="3" t="s">
        <v>609</v>
      </c>
    </row>
    <row r="4566">
      <c r="A4566" s="3" t="s">
        <v>609</v>
      </c>
    </row>
    <row r="4567">
      <c r="A4567" s="3" t="s">
        <v>609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6</v>
      </c>
      <c r="B2" s="3" t="s">
        <v>7</v>
      </c>
      <c r="C2" s="3" t="s">
        <v>15</v>
      </c>
    </row>
    <row r="3">
      <c r="A3" s="3" t="s">
        <v>6</v>
      </c>
      <c r="B3" s="3" t="s">
        <v>7</v>
      </c>
      <c r="C3" s="3" t="s">
        <v>15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6</v>
      </c>
      <c r="B5" s="3" t="s">
        <v>7</v>
      </c>
    </row>
    <row r="6">
      <c r="A6" s="3" t="s">
        <v>6</v>
      </c>
      <c r="B6" s="3" t="s">
        <v>7</v>
      </c>
      <c r="C6" s="3" t="s">
        <v>8</v>
      </c>
    </row>
    <row r="7">
      <c r="A7" s="3" t="s">
        <v>6</v>
      </c>
      <c r="B7" s="3" t="s">
        <v>7</v>
      </c>
      <c r="C7" s="3" t="s">
        <v>11</v>
      </c>
    </row>
    <row r="8">
      <c r="A8" s="3" t="s">
        <v>6</v>
      </c>
      <c r="B8" s="3" t="s">
        <v>7</v>
      </c>
      <c r="C8" s="3" t="s">
        <v>15</v>
      </c>
    </row>
    <row r="9">
      <c r="A9" s="3" t="s">
        <v>6</v>
      </c>
      <c r="B9" s="3" t="s">
        <v>7</v>
      </c>
      <c r="C9" s="3" t="s">
        <v>11</v>
      </c>
    </row>
    <row r="10">
      <c r="A10" s="3" t="s">
        <v>6</v>
      </c>
      <c r="B10" s="3" t="s">
        <v>7</v>
      </c>
      <c r="C10" s="3" t="s">
        <v>15</v>
      </c>
    </row>
    <row r="11">
      <c r="A11" s="3" t="s">
        <v>6</v>
      </c>
      <c r="B11" s="3" t="s">
        <v>7</v>
      </c>
      <c r="C11" s="3" t="s">
        <v>8</v>
      </c>
    </row>
    <row r="12">
      <c r="A12" s="3" t="s">
        <v>6</v>
      </c>
      <c r="B12" s="3" t="s">
        <v>7</v>
      </c>
      <c r="C12" s="3" t="s">
        <v>15</v>
      </c>
    </row>
    <row r="13">
      <c r="A13" s="3" t="s">
        <v>6</v>
      </c>
      <c r="B13" s="3" t="s">
        <v>7</v>
      </c>
      <c r="C13" s="3" t="s">
        <v>15</v>
      </c>
    </row>
    <row r="14">
      <c r="A14" s="3" t="s">
        <v>6</v>
      </c>
      <c r="B14" s="3" t="s">
        <v>15</v>
      </c>
    </row>
    <row r="15">
      <c r="A15" s="3" t="s">
        <v>6</v>
      </c>
      <c r="B15" s="3" t="s">
        <v>7</v>
      </c>
    </row>
    <row r="16">
      <c r="A16" s="3" t="s">
        <v>6</v>
      </c>
      <c r="B16" s="3" t="s">
        <v>7</v>
      </c>
    </row>
    <row r="17">
      <c r="A17" s="3" t="s">
        <v>6</v>
      </c>
      <c r="B17" s="3" t="s">
        <v>7</v>
      </c>
      <c r="C17" s="3" t="s">
        <v>8</v>
      </c>
    </row>
    <row r="18">
      <c r="A18" s="3" t="s">
        <v>6</v>
      </c>
      <c r="B18" s="3" t="s">
        <v>7</v>
      </c>
    </row>
    <row r="19">
      <c r="A19" s="3" t="s">
        <v>6</v>
      </c>
      <c r="B19" s="3" t="s">
        <v>7</v>
      </c>
    </row>
    <row r="20">
      <c r="A20" s="3" t="s">
        <v>6</v>
      </c>
      <c r="B20" s="3" t="s">
        <v>7</v>
      </c>
      <c r="C20" s="3" t="s">
        <v>15</v>
      </c>
    </row>
    <row r="21">
      <c r="A21" s="3" t="s">
        <v>6</v>
      </c>
      <c r="B21" s="3" t="s">
        <v>7</v>
      </c>
    </row>
    <row r="22">
      <c r="A22" s="3" t="s">
        <v>6</v>
      </c>
      <c r="B22" s="3" t="s">
        <v>7</v>
      </c>
      <c r="C22" s="3" t="s">
        <v>8</v>
      </c>
    </row>
    <row r="23">
      <c r="A23" s="3" t="s">
        <v>6</v>
      </c>
      <c r="B23" s="3" t="s">
        <v>7</v>
      </c>
      <c r="C23" s="3" t="s">
        <v>15</v>
      </c>
    </row>
    <row r="24">
      <c r="A24" s="3" t="s">
        <v>6</v>
      </c>
      <c r="B24" s="3" t="s">
        <v>7</v>
      </c>
      <c r="C24" s="3" t="s">
        <v>15</v>
      </c>
    </row>
    <row r="25">
      <c r="A25" s="3" t="s">
        <v>6</v>
      </c>
      <c r="B25" s="3" t="s">
        <v>7</v>
      </c>
      <c r="C25" s="3" t="s">
        <v>8</v>
      </c>
    </row>
    <row r="26">
      <c r="A26" s="3" t="s">
        <v>6</v>
      </c>
      <c r="B26" s="3" t="s">
        <v>7</v>
      </c>
      <c r="C26" s="3" t="s">
        <v>15</v>
      </c>
    </row>
    <row r="27">
      <c r="A27" s="3" t="s">
        <v>6</v>
      </c>
      <c r="B27" s="3" t="s">
        <v>15</v>
      </c>
    </row>
    <row r="28">
      <c r="A28" s="3" t="s">
        <v>6</v>
      </c>
      <c r="B28" s="3" t="s">
        <v>7</v>
      </c>
      <c r="C28" s="3" t="s">
        <v>8</v>
      </c>
    </row>
    <row r="29">
      <c r="A29" s="3" t="s">
        <v>6</v>
      </c>
      <c r="B29" s="3" t="s">
        <v>7</v>
      </c>
      <c r="C29" s="3" t="s">
        <v>11</v>
      </c>
    </row>
    <row r="30">
      <c r="A30" s="3" t="s">
        <v>6</v>
      </c>
      <c r="B30" s="3" t="s">
        <v>7</v>
      </c>
      <c r="C30" s="3" t="s">
        <v>15</v>
      </c>
    </row>
    <row r="31">
      <c r="A31" s="3" t="s">
        <v>6</v>
      </c>
      <c r="B31" s="3" t="s">
        <v>7</v>
      </c>
      <c r="C31" s="3" t="s">
        <v>11</v>
      </c>
    </row>
    <row r="32">
      <c r="A32" s="3" t="s">
        <v>6</v>
      </c>
      <c r="B32" s="3" t="s">
        <v>7</v>
      </c>
    </row>
    <row r="33">
      <c r="A33" s="3" t="s">
        <v>6</v>
      </c>
      <c r="B33" s="3" t="s">
        <v>7</v>
      </c>
      <c r="C33" s="3" t="s">
        <v>8</v>
      </c>
    </row>
    <row r="34">
      <c r="A34" s="3" t="s">
        <v>6</v>
      </c>
    </row>
    <row r="35">
      <c r="A35" s="3" t="s">
        <v>6</v>
      </c>
      <c r="B35" s="3" t="s">
        <v>7</v>
      </c>
      <c r="C35" s="3" t="s">
        <v>8</v>
      </c>
    </row>
    <row r="36">
      <c r="A36" s="3" t="s">
        <v>6</v>
      </c>
      <c r="B36" s="3" t="s">
        <v>8</v>
      </c>
    </row>
    <row r="37">
      <c r="A37" s="3" t="s">
        <v>6</v>
      </c>
    </row>
    <row r="38">
      <c r="A38" s="3" t="s">
        <v>6</v>
      </c>
      <c r="B38" s="3" t="s">
        <v>7</v>
      </c>
      <c r="C38" s="3" t="s">
        <v>15</v>
      </c>
    </row>
    <row r="39">
      <c r="A39" s="3" t="s">
        <v>6</v>
      </c>
      <c r="B39" s="3" t="s">
        <v>7</v>
      </c>
      <c r="C39" s="3" t="s">
        <v>8</v>
      </c>
    </row>
    <row r="40">
      <c r="A40" s="3" t="s">
        <v>6</v>
      </c>
    </row>
    <row r="41">
      <c r="A41" s="3" t="s">
        <v>6</v>
      </c>
      <c r="B41" s="3" t="s">
        <v>13</v>
      </c>
    </row>
    <row r="42">
      <c r="A42" s="3" t="s">
        <v>6</v>
      </c>
      <c r="B42" s="3" t="s">
        <v>15</v>
      </c>
    </row>
    <row r="43">
      <c r="A43" s="3" t="s">
        <v>6</v>
      </c>
      <c r="B43" s="3" t="s">
        <v>7</v>
      </c>
      <c r="C43" s="3" t="s">
        <v>8</v>
      </c>
    </row>
    <row r="44">
      <c r="A44" s="3" t="s">
        <v>6</v>
      </c>
      <c r="B44" s="3" t="s">
        <v>7</v>
      </c>
      <c r="C44" s="3" t="s">
        <v>8</v>
      </c>
    </row>
    <row r="45">
      <c r="A45" s="3" t="s">
        <v>6</v>
      </c>
      <c r="B45" s="3" t="s">
        <v>11</v>
      </c>
      <c r="C45" s="3" t="s">
        <v>12</v>
      </c>
    </row>
    <row r="46">
      <c r="A46" s="3" t="s">
        <v>6</v>
      </c>
      <c r="B46" s="3" t="s">
        <v>15</v>
      </c>
    </row>
    <row r="47">
      <c r="A47" s="3" t="s">
        <v>6</v>
      </c>
      <c r="B47" s="3" t="s">
        <v>11</v>
      </c>
      <c r="C47" s="3" t="s">
        <v>12</v>
      </c>
    </row>
    <row r="48">
      <c r="A48" s="3" t="s">
        <v>6</v>
      </c>
      <c r="B48" s="3" t="s">
        <v>7</v>
      </c>
      <c r="C48" s="3" t="s">
        <v>11</v>
      </c>
    </row>
    <row r="49">
      <c r="A49" s="3" t="s">
        <v>6</v>
      </c>
      <c r="B49" s="3" t="s">
        <v>11</v>
      </c>
      <c r="C49" s="3" t="s">
        <v>15</v>
      </c>
    </row>
    <row r="50">
      <c r="A50" s="3" t="s">
        <v>609</v>
      </c>
    </row>
    <row r="51">
      <c r="A51" s="3" t="s">
        <v>7</v>
      </c>
      <c r="B51" s="3" t="s">
        <v>8</v>
      </c>
      <c r="C51" s="3" t="s">
        <v>9</v>
      </c>
    </row>
    <row r="52">
      <c r="A52" s="3" t="s">
        <v>7</v>
      </c>
      <c r="B52" s="3" t="s">
        <v>8</v>
      </c>
      <c r="C52" s="3" t="s">
        <v>17</v>
      </c>
    </row>
    <row r="53">
      <c r="A53" s="3" t="s">
        <v>7</v>
      </c>
      <c r="B53" s="3" t="s">
        <v>15</v>
      </c>
      <c r="C53" s="3" t="s">
        <v>16</v>
      </c>
    </row>
    <row r="54">
      <c r="A54" s="3" t="s">
        <v>7</v>
      </c>
      <c r="B54" s="3" t="s">
        <v>8</v>
      </c>
    </row>
    <row r="55">
      <c r="A55" s="3" t="s">
        <v>7</v>
      </c>
      <c r="B55" s="3" t="s">
        <v>8</v>
      </c>
      <c r="C55" s="3" t="s">
        <v>9</v>
      </c>
    </row>
    <row r="56">
      <c r="A56" s="3" t="s">
        <v>7</v>
      </c>
      <c r="B56" s="3" t="s">
        <v>8</v>
      </c>
      <c r="C56" s="3" t="s">
        <v>17</v>
      </c>
    </row>
    <row r="57">
      <c r="A57" s="3" t="s">
        <v>7</v>
      </c>
      <c r="B57" s="3" t="s">
        <v>15</v>
      </c>
    </row>
    <row r="58">
      <c r="A58" s="3" t="s">
        <v>7</v>
      </c>
      <c r="B58" s="3" t="s">
        <v>11</v>
      </c>
    </row>
    <row r="59">
      <c r="A59" s="3" t="s">
        <v>7</v>
      </c>
      <c r="B59" s="3" t="s">
        <v>15</v>
      </c>
    </row>
    <row r="60">
      <c r="A60" s="3" t="s">
        <v>7</v>
      </c>
      <c r="B60" s="3" t="s">
        <v>8</v>
      </c>
      <c r="C60" s="3" t="s">
        <v>17</v>
      </c>
    </row>
    <row r="61">
      <c r="A61" s="3" t="s">
        <v>7</v>
      </c>
      <c r="B61" s="3" t="s">
        <v>8</v>
      </c>
    </row>
    <row r="62">
      <c r="A62" s="3" t="s">
        <v>7</v>
      </c>
      <c r="B62" s="3" t="s">
        <v>13</v>
      </c>
      <c r="C62" s="3" t="s">
        <v>15</v>
      </c>
    </row>
    <row r="63">
      <c r="A63" s="3" t="s">
        <v>7</v>
      </c>
      <c r="B63" s="3" t="s">
        <v>8</v>
      </c>
    </row>
    <row r="64">
      <c r="A64" s="3" t="s">
        <v>8</v>
      </c>
      <c r="B64" s="3" t="s">
        <v>14</v>
      </c>
      <c r="C64" s="3" t="s">
        <v>17</v>
      </c>
    </row>
    <row r="65">
      <c r="A65" s="3" t="s">
        <v>8</v>
      </c>
      <c r="B65" s="3" t="s">
        <v>14</v>
      </c>
      <c r="C65" s="3" t="s">
        <v>17</v>
      </c>
    </row>
    <row r="66">
      <c r="A66" s="3" t="s">
        <v>8</v>
      </c>
      <c r="B66" s="3" t="s">
        <v>9</v>
      </c>
      <c r="C66" s="3" t="s">
        <v>16</v>
      </c>
    </row>
    <row r="67">
      <c r="A67" s="3" t="s">
        <v>8</v>
      </c>
      <c r="B67" s="3" t="s">
        <v>12</v>
      </c>
    </row>
    <row r="68">
      <c r="A68" s="3" t="s">
        <v>8</v>
      </c>
      <c r="B68" s="3" t="s">
        <v>17</v>
      </c>
    </row>
    <row r="69">
      <c r="A69" s="3" t="s">
        <v>8</v>
      </c>
      <c r="B69" s="3" t="s">
        <v>9</v>
      </c>
    </row>
    <row r="70">
      <c r="A70" s="3" t="s">
        <v>8</v>
      </c>
      <c r="B70" s="3" t="s">
        <v>11</v>
      </c>
      <c r="C70" s="3" t="s">
        <v>12</v>
      </c>
    </row>
    <row r="71">
      <c r="A71" s="3" t="s">
        <v>8</v>
      </c>
      <c r="B71" s="3" t="s">
        <v>11</v>
      </c>
      <c r="C71" s="3" t="s">
        <v>12</v>
      </c>
    </row>
    <row r="72">
      <c r="A72" s="3" t="s">
        <v>8</v>
      </c>
      <c r="B72" s="3" t="s">
        <v>9</v>
      </c>
      <c r="C72" s="3" t="s">
        <v>12</v>
      </c>
    </row>
    <row r="73">
      <c r="A73" s="3" t="s">
        <v>8</v>
      </c>
      <c r="B73" s="3" t="s">
        <v>11</v>
      </c>
      <c r="C73" s="3" t="s">
        <v>12</v>
      </c>
    </row>
    <row r="74">
      <c r="A74" s="3" t="s">
        <v>8</v>
      </c>
    </row>
    <row r="75">
      <c r="A75" s="3" t="s">
        <v>8</v>
      </c>
      <c r="B75" s="3" t="s">
        <v>9</v>
      </c>
      <c r="C75" s="3" t="s">
        <v>16</v>
      </c>
    </row>
    <row r="76">
      <c r="A76" s="3" t="s">
        <v>8</v>
      </c>
      <c r="B76" s="3" t="s">
        <v>9</v>
      </c>
      <c r="C76" s="3" t="s">
        <v>10</v>
      </c>
    </row>
    <row r="77">
      <c r="A77" s="3" t="s">
        <v>8</v>
      </c>
      <c r="B77" s="3" t="s">
        <v>9</v>
      </c>
    </row>
    <row r="78">
      <c r="A78" s="3" t="s">
        <v>8</v>
      </c>
      <c r="B78" s="3" t="s">
        <v>9</v>
      </c>
      <c r="C78" s="3" t="s">
        <v>10</v>
      </c>
    </row>
    <row r="79">
      <c r="A79" s="3" t="s">
        <v>8</v>
      </c>
      <c r="B79" s="3" t="s">
        <v>9</v>
      </c>
      <c r="C79" s="3" t="s">
        <v>10</v>
      </c>
    </row>
    <row r="80">
      <c r="A80" s="3" t="s">
        <v>8</v>
      </c>
      <c r="B80" s="3" t="s">
        <v>16</v>
      </c>
      <c r="C80" s="3" t="s">
        <v>17</v>
      </c>
    </row>
    <row r="81">
      <c r="A81" s="3" t="s">
        <v>8</v>
      </c>
      <c r="B81" s="3" t="s">
        <v>16</v>
      </c>
    </row>
    <row r="82">
      <c r="A82" s="3" t="s">
        <v>8</v>
      </c>
      <c r="B82" s="3" t="s">
        <v>9</v>
      </c>
      <c r="C82" s="3" t="s">
        <v>10</v>
      </c>
    </row>
    <row r="83">
      <c r="A83" s="3" t="s">
        <v>8</v>
      </c>
      <c r="B83" s="3" t="s">
        <v>9</v>
      </c>
      <c r="C83" s="3" t="s">
        <v>10</v>
      </c>
    </row>
    <row r="84">
      <c r="A84" s="3" t="s">
        <v>8</v>
      </c>
      <c r="B84" s="3" t="s">
        <v>9</v>
      </c>
      <c r="C84" s="3" t="s">
        <v>10</v>
      </c>
    </row>
    <row r="85">
      <c r="A85" s="3" t="s">
        <v>8</v>
      </c>
      <c r="B85" s="3" t="s">
        <v>9</v>
      </c>
      <c r="C85" s="3" t="s">
        <v>10</v>
      </c>
    </row>
    <row r="86">
      <c r="A86" s="3" t="s">
        <v>8</v>
      </c>
      <c r="B86" s="3" t="s">
        <v>9</v>
      </c>
      <c r="C86" s="3" t="s">
        <v>10</v>
      </c>
    </row>
    <row r="87">
      <c r="A87" s="3" t="s">
        <v>8</v>
      </c>
      <c r="B87" s="3" t="s">
        <v>9</v>
      </c>
      <c r="C87" s="3" t="s">
        <v>10</v>
      </c>
    </row>
    <row r="88">
      <c r="A88" s="3" t="s">
        <v>9</v>
      </c>
      <c r="B88" s="3" t="s">
        <v>10</v>
      </c>
      <c r="C88" s="3" t="s">
        <v>18</v>
      </c>
    </row>
    <row r="89">
      <c r="A89" s="3" t="s">
        <v>9</v>
      </c>
      <c r="B89" s="3" t="s">
        <v>10</v>
      </c>
      <c r="C89" s="3" t="s">
        <v>18</v>
      </c>
    </row>
    <row r="90">
      <c r="A90" s="3" t="s">
        <v>9</v>
      </c>
      <c r="B90" s="3" t="s">
        <v>16</v>
      </c>
    </row>
    <row r="91">
      <c r="A91" s="3" t="s">
        <v>9</v>
      </c>
      <c r="B91" s="3" t="s">
        <v>10</v>
      </c>
    </row>
    <row r="92">
      <c r="A92" s="3" t="s">
        <v>9</v>
      </c>
      <c r="B92" s="3" t="s">
        <v>16</v>
      </c>
      <c r="C92" s="3" t="s">
        <v>18</v>
      </c>
    </row>
    <row r="93">
      <c r="A93" s="3" t="s">
        <v>9</v>
      </c>
      <c r="B93" s="3" t="s">
        <v>10</v>
      </c>
      <c r="C93" s="3" t="s">
        <v>18</v>
      </c>
    </row>
    <row r="94">
      <c r="A94" s="3" t="s">
        <v>9</v>
      </c>
      <c r="B94" s="3" t="s">
        <v>10</v>
      </c>
      <c r="C94" s="3" t="s">
        <v>18</v>
      </c>
    </row>
    <row r="95">
      <c r="A95" s="3" t="s">
        <v>9</v>
      </c>
      <c r="B95" s="3" t="s">
        <v>10</v>
      </c>
    </row>
    <row r="96">
      <c r="A96" s="3" t="s">
        <v>9</v>
      </c>
      <c r="B96" s="3" t="s">
        <v>10</v>
      </c>
    </row>
    <row r="97">
      <c r="A97" s="3" t="s">
        <v>9</v>
      </c>
      <c r="B97" s="3" t="s">
        <v>10</v>
      </c>
    </row>
    <row r="98">
      <c r="A98" s="3" t="s">
        <v>9</v>
      </c>
      <c r="B98" s="3" t="s">
        <v>10</v>
      </c>
    </row>
    <row r="99">
      <c r="A99" s="3" t="s">
        <v>9</v>
      </c>
      <c r="B99" s="3" t="s">
        <v>10</v>
      </c>
      <c r="C99" s="3" t="s">
        <v>12</v>
      </c>
    </row>
    <row r="100">
      <c r="A100" s="3" t="s">
        <v>9</v>
      </c>
      <c r="B100" s="3" t="s">
        <v>11</v>
      </c>
      <c r="C100" s="3" t="s">
        <v>12</v>
      </c>
    </row>
    <row r="101">
      <c r="A101" s="3" t="s">
        <v>9</v>
      </c>
      <c r="B101" s="3" t="s">
        <v>10</v>
      </c>
    </row>
    <row r="102">
      <c r="A102" s="3" t="s">
        <v>9</v>
      </c>
      <c r="B102" s="3" t="s">
        <v>10</v>
      </c>
    </row>
    <row r="103">
      <c r="A103" s="3" t="s">
        <v>9</v>
      </c>
      <c r="B103" s="3" t="s">
        <v>10</v>
      </c>
    </row>
    <row r="104">
      <c r="A104" s="3" t="s">
        <v>9</v>
      </c>
      <c r="B104" s="3" t="s">
        <v>10</v>
      </c>
    </row>
    <row r="105">
      <c r="A105" s="3" t="s">
        <v>9</v>
      </c>
      <c r="B105" s="3" t="s">
        <v>10</v>
      </c>
    </row>
    <row r="106">
      <c r="A106" s="3" t="s">
        <v>9</v>
      </c>
      <c r="B106" s="3" t="s">
        <v>10</v>
      </c>
    </row>
    <row r="107">
      <c r="A107" s="3" t="s">
        <v>9</v>
      </c>
      <c r="B107" s="3" t="s">
        <v>10</v>
      </c>
      <c r="C107" s="3" t="s">
        <v>18</v>
      </c>
    </row>
    <row r="108">
      <c r="A108" s="3" t="s">
        <v>9</v>
      </c>
      <c r="B108" s="3" t="s">
        <v>10</v>
      </c>
      <c r="C108" s="3" t="s">
        <v>18</v>
      </c>
    </row>
    <row r="109">
      <c r="A109" s="3" t="s">
        <v>9</v>
      </c>
      <c r="B109" s="3" t="s">
        <v>10</v>
      </c>
    </row>
    <row r="110">
      <c r="A110" s="3" t="s">
        <v>9</v>
      </c>
      <c r="B110" s="3" t="s">
        <v>10</v>
      </c>
    </row>
    <row r="111">
      <c r="A111" s="3" t="s">
        <v>9</v>
      </c>
      <c r="B111" s="3" t="s">
        <v>10</v>
      </c>
    </row>
    <row r="112">
      <c r="A112" s="3" t="s">
        <v>9</v>
      </c>
      <c r="B112" s="3" t="s">
        <v>10</v>
      </c>
      <c r="C112" s="3" t="s">
        <v>18</v>
      </c>
    </row>
    <row r="113">
      <c r="A113" s="3" t="s">
        <v>9</v>
      </c>
      <c r="B113" s="3" t="s">
        <v>12</v>
      </c>
      <c r="C113" s="3" t="s">
        <v>18</v>
      </c>
    </row>
    <row r="114">
      <c r="A114" s="3" t="s">
        <v>9</v>
      </c>
      <c r="B114" s="3" t="s">
        <v>10</v>
      </c>
      <c r="C114" s="3" t="s">
        <v>18</v>
      </c>
    </row>
    <row r="115">
      <c r="A115" s="3" t="s">
        <v>9</v>
      </c>
      <c r="B115" s="3" t="s">
        <v>10</v>
      </c>
      <c r="C115" s="3" t="s">
        <v>18</v>
      </c>
    </row>
    <row r="116">
      <c r="A116" s="3" t="s">
        <v>9</v>
      </c>
      <c r="B116" s="3" t="s">
        <v>10</v>
      </c>
    </row>
    <row r="117">
      <c r="A117" s="3" t="s">
        <v>9</v>
      </c>
      <c r="B117" s="3" t="s">
        <v>10</v>
      </c>
    </row>
    <row r="118">
      <c r="A118" s="3" t="s">
        <v>9</v>
      </c>
      <c r="B118" s="3" t="s">
        <v>10</v>
      </c>
    </row>
    <row r="119">
      <c r="A119" s="3" t="s">
        <v>9</v>
      </c>
      <c r="B119" s="3" t="s">
        <v>15</v>
      </c>
      <c r="C119" s="3" t="s">
        <v>16</v>
      </c>
    </row>
    <row r="120">
      <c r="A120" s="3" t="s">
        <v>10</v>
      </c>
      <c r="B120" s="3" t="s">
        <v>14</v>
      </c>
      <c r="C120" s="3" t="s">
        <v>18</v>
      </c>
    </row>
    <row r="121">
      <c r="A121" s="3" t="s">
        <v>10</v>
      </c>
      <c r="B121" s="3" t="s">
        <v>12</v>
      </c>
      <c r="C121" s="3" t="s">
        <v>18</v>
      </c>
    </row>
    <row r="122">
      <c r="A122" s="3" t="s">
        <v>11</v>
      </c>
      <c r="B122" s="3" t="s">
        <v>12</v>
      </c>
      <c r="C122" s="3" t="s">
        <v>15</v>
      </c>
    </row>
    <row r="123">
      <c r="A123" s="3" t="s">
        <v>11</v>
      </c>
      <c r="B123" s="3" t="s">
        <v>12</v>
      </c>
    </row>
    <row r="124">
      <c r="A124" s="3" t="s">
        <v>11</v>
      </c>
      <c r="B124" s="3" t="s">
        <v>12</v>
      </c>
      <c r="C124" s="3" t="s">
        <v>17</v>
      </c>
    </row>
    <row r="125">
      <c r="A125" s="3" t="s">
        <v>11</v>
      </c>
      <c r="B125" s="3" t="s">
        <v>12</v>
      </c>
      <c r="C125" s="3" t="s">
        <v>17</v>
      </c>
    </row>
    <row r="126">
      <c r="A126" s="3" t="s">
        <v>11</v>
      </c>
      <c r="B126" s="3" t="s">
        <v>15</v>
      </c>
      <c r="C126" s="3" t="s">
        <v>16</v>
      </c>
    </row>
    <row r="127">
      <c r="A127" s="3" t="s">
        <v>11</v>
      </c>
      <c r="B127" s="3" t="s">
        <v>12</v>
      </c>
      <c r="C127" s="3" t="s">
        <v>17</v>
      </c>
    </row>
    <row r="128">
      <c r="A128" s="3" t="s">
        <v>11</v>
      </c>
      <c r="B128" s="3" t="s">
        <v>12</v>
      </c>
      <c r="C128" s="3" t="s">
        <v>17</v>
      </c>
    </row>
    <row r="129">
      <c r="A129" s="3" t="s">
        <v>11</v>
      </c>
      <c r="B129" s="3" t="s">
        <v>12</v>
      </c>
      <c r="C129" s="3" t="s">
        <v>15</v>
      </c>
    </row>
    <row r="130">
      <c r="A130" s="3" t="s">
        <v>11</v>
      </c>
      <c r="B130" s="3" t="s">
        <v>12</v>
      </c>
      <c r="C130" s="3" t="s">
        <v>15</v>
      </c>
    </row>
    <row r="131">
      <c r="A131" s="3" t="s">
        <v>11</v>
      </c>
      <c r="B131" s="3" t="s">
        <v>12</v>
      </c>
    </row>
    <row r="132">
      <c r="A132" s="3" t="s">
        <v>11</v>
      </c>
      <c r="B132" s="3" t="s">
        <v>16</v>
      </c>
      <c r="C132" s="3" t="s">
        <v>17</v>
      </c>
    </row>
    <row r="133">
      <c r="A133" s="3" t="s">
        <v>11</v>
      </c>
      <c r="B133" s="3" t="s">
        <v>12</v>
      </c>
    </row>
    <row r="134">
      <c r="A134" s="3" t="s">
        <v>11</v>
      </c>
      <c r="B134" s="3" t="s">
        <v>12</v>
      </c>
    </row>
    <row r="135">
      <c r="A135" s="3" t="s">
        <v>11</v>
      </c>
      <c r="B135" s="3" t="s">
        <v>12</v>
      </c>
      <c r="C135" s="3" t="s">
        <v>15</v>
      </c>
    </row>
    <row r="136">
      <c r="A136" s="3" t="s">
        <v>11</v>
      </c>
      <c r="B136" s="3" t="s">
        <v>12</v>
      </c>
    </row>
    <row r="137">
      <c r="A137" s="3" t="s">
        <v>11</v>
      </c>
      <c r="B137" s="3" t="s">
        <v>12</v>
      </c>
      <c r="C137" s="3" t="s">
        <v>15</v>
      </c>
    </row>
    <row r="138">
      <c r="A138" s="3" t="s">
        <v>11</v>
      </c>
      <c r="B138" s="3" t="s">
        <v>12</v>
      </c>
      <c r="C138" s="3" t="s">
        <v>17</v>
      </c>
    </row>
    <row r="139">
      <c r="A139" s="3" t="s">
        <v>11</v>
      </c>
      <c r="B139" s="3" t="s">
        <v>12</v>
      </c>
      <c r="C139" s="3" t="s">
        <v>17</v>
      </c>
    </row>
    <row r="140">
      <c r="A140" s="3" t="s">
        <v>11</v>
      </c>
      <c r="B140" s="3" t="s">
        <v>12</v>
      </c>
    </row>
    <row r="141">
      <c r="A141" s="3" t="s">
        <v>11</v>
      </c>
      <c r="B141" s="3" t="s">
        <v>12</v>
      </c>
    </row>
    <row r="142">
      <c r="A142" s="3" t="s">
        <v>11</v>
      </c>
      <c r="B142" s="3" t="s">
        <v>12</v>
      </c>
      <c r="C142" s="3" t="s">
        <v>17</v>
      </c>
    </row>
    <row r="143">
      <c r="A143" s="3" t="s">
        <v>11</v>
      </c>
      <c r="B143" s="3" t="s">
        <v>12</v>
      </c>
      <c r="C143" s="3" t="s">
        <v>17</v>
      </c>
    </row>
    <row r="144">
      <c r="A144" s="3" t="s">
        <v>11</v>
      </c>
      <c r="B144" s="3" t="s">
        <v>12</v>
      </c>
      <c r="C144" s="3" t="s">
        <v>17</v>
      </c>
    </row>
    <row r="145">
      <c r="A145" s="3" t="s">
        <v>11</v>
      </c>
      <c r="B145" s="3" t="s">
        <v>12</v>
      </c>
    </row>
    <row r="146">
      <c r="A146" s="3" t="s">
        <v>11</v>
      </c>
      <c r="B146" s="3" t="s">
        <v>12</v>
      </c>
      <c r="C146" s="3" t="s">
        <v>15</v>
      </c>
    </row>
    <row r="147">
      <c r="A147" s="3" t="s">
        <v>11</v>
      </c>
      <c r="B147" s="3" t="s">
        <v>12</v>
      </c>
      <c r="C147" s="3" t="s">
        <v>17</v>
      </c>
    </row>
    <row r="148">
      <c r="A148" s="3" t="s">
        <v>11</v>
      </c>
      <c r="B148" s="3" t="s">
        <v>12</v>
      </c>
      <c r="C148" s="3" t="s">
        <v>17</v>
      </c>
    </row>
    <row r="149">
      <c r="A149" s="3" t="s">
        <v>11</v>
      </c>
      <c r="B149" s="3" t="s">
        <v>12</v>
      </c>
    </row>
    <row r="150">
      <c r="A150" s="3" t="s">
        <v>12</v>
      </c>
      <c r="B150" s="3" t="s">
        <v>17</v>
      </c>
      <c r="C150" s="3" t="s">
        <v>18</v>
      </c>
    </row>
    <row r="151">
      <c r="A151" s="3" t="s">
        <v>13</v>
      </c>
      <c r="B151" s="3" t="s">
        <v>14</v>
      </c>
      <c r="C151" s="3" t="s">
        <v>17</v>
      </c>
    </row>
    <row r="152">
      <c r="A152" s="3" t="s">
        <v>13</v>
      </c>
      <c r="B152" s="3" t="s">
        <v>14</v>
      </c>
    </row>
    <row r="153">
      <c r="A153" s="3" t="s">
        <v>13</v>
      </c>
      <c r="B153" s="3" t="s">
        <v>14</v>
      </c>
    </row>
    <row r="154">
      <c r="A154" s="3" t="s">
        <v>13</v>
      </c>
      <c r="B154" s="3" t="s">
        <v>14</v>
      </c>
      <c r="C154" s="3" t="s">
        <v>17</v>
      </c>
    </row>
    <row r="155">
      <c r="A155" s="3" t="s">
        <v>13</v>
      </c>
      <c r="B155" s="3" t="s">
        <v>14</v>
      </c>
    </row>
    <row r="156">
      <c r="A156" s="3" t="s">
        <v>13</v>
      </c>
      <c r="B156" s="3" t="s">
        <v>14</v>
      </c>
      <c r="C156" s="3" t="s">
        <v>17</v>
      </c>
    </row>
    <row r="157">
      <c r="A157" s="3" t="s">
        <v>13</v>
      </c>
      <c r="B157" s="3" t="s">
        <v>14</v>
      </c>
    </row>
    <row r="158">
      <c r="A158" s="3" t="s">
        <v>13</v>
      </c>
      <c r="B158" s="3" t="s">
        <v>14</v>
      </c>
    </row>
    <row r="159">
      <c r="A159" s="3" t="s">
        <v>13</v>
      </c>
      <c r="B159" s="3" t="s">
        <v>14</v>
      </c>
    </row>
    <row r="160">
      <c r="A160" s="3" t="s">
        <v>13</v>
      </c>
      <c r="B160" s="3" t="s">
        <v>14</v>
      </c>
    </row>
    <row r="161">
      <c r="A161" s="3" t="s">
        <v>13</v>
      </c>
      <c r="B161" s="3" t="s">
        <v>14</v>
      </c>
    </row>
    <row r="162">
      <c r="A162" s="3" t="s">
        <v>13</v>
      </c>
      <c r="B162" s="3" t="s">
        <v>14</v>
      </c>
    </row>
    <row r="163">
      <c r="A163" s="3" t="s">
        <v>13</v>
      </c>
      <c r="B163" s="3" t="s">
        <v>14</v>
      </c>
    </row>
    <row r="164">
      <c r="A164" s="3" t="s">
        <v>13</v>
      </c>
      <c r="B164" s="3" t="s">
        <v>14</v>
      </c>
    </row>
    <row r="165">
      <c r="A165" s="3" t="s">
        <v>13</v>
      </c>
    </row>
    <row r="166">
      <c r="A166" s="3" t="s">
        <v>13</v>
      </c>
      <c r="B166" s="3" t="s">
        <v>14</v>
      </c>
    </row>
    <row r="167">
      <c r="A167" s="3" t="s">
        <v>13</v>
      </c>
      <c r="B167" s="3" t="s">
        <v>14</v>
      </c>
    </row>
    <row r="168">
      <c r="A168" s="3" t="s">
        <v>13</v>
      </c>
      <c r="B168" s="3" t="s">
        <v>14</v>
      </c>
    </row>
    <row r="169">
      <c r="A169" s="3" t="s">
        <v>13</v>
      </c>
      <c r="B169" s="3" t="s">
        <v>14</v>
      </c>
    </row>
    <row r="170">
      <c r="A170" s="3" t="s">
        <v>13</v>
      </c>
      <c r="B170" s="3" t="s">
        <v>14</v>
      </c>
      <c r="C170" s="3" t="s">
        <v>17</v>
      </c>
    </row>
    <row r="171">
      <c r="A171" s="3" t="s">
        <v>13</v>
      </c>
      <c r="B171" s="3" t="s">
        <v>14</v>
      </c>
    </row>
    <row r="172">
      <c r="A172" s="3" t="s">
        <v>13</v>
      </c>
      <c r="B172" s="3" t="s">
        <v>14</v>
      </c>
    </row>
    <row r="173">
      <c r="A173" s="3" t="s">
        <v>13</v>
      </c>
      <c r="B173" s="3" t="s">
        <v>14</v>
      </c>
    </row>
    <row r="174">
      <c r="A174" s="3" t="s">
        <v>13</v>
      </c>
      <c r="B174" s="3" t="s">
        <v>14</v>
      </c>
    </row>
    <row r="175">
      <c r="A175" s="3" t="s">
        <v>13</v>
      </c>
      <c r="B175" s="3" t="s">
        <v>14</v>
      </c>
      <c r="C175" s="3" t="s">
        <v>17</v>
      </c>
    </row>
    <row r="176">
      <c r="A176" s="3" t="s">
        <v>13</v>
      </c>
      <c r="B176" s="3" t="s">
        <v>14</v>
      </c>
    </row>
    <row r="177">
      <c r="A177" s="3" t="s">
        <v>13</v>
      </c>
      <c r="B177" s="3" t="s">
        <v>14</v>
      </c>
    </row>
    <row r="178">
      <c r="A178" s="3" t="s">
        <v>13</v>
      </c>
      <c r="B178" s="3" t="s">
        <v>14</v>
      </c>
    </row>
    <row r="179">
      <c r="A179" s="3" t="s">
        <v>13</v>
      </c>
      <c r="B179" s="3" t="s">
        <v>14</v>
      </c>
    </row>
    <row r="180">
      <c r="A180" s="3" t="s">
        <v>13</v>
      </c>
      <c r="B180" s="3" t="s">
        <v>14</v>
      </c>
    </row>
    <row r="181">
      <c r="A181" s="3" t="s">
        <v>13</v>
      </c>
      <c r="B181" s="3" t="s">
        <v>14</v>
      </c>
    </row>
    <row r="182">
      <c r="A182" s="3" t="s">
        <v>13</v>
      </c>
    </row>
    <row r="183">
      <c r="A183" s="3" t="s">
        <v>13</v>
      </c>
    </row>
    <row r="184">
      <c r="A184" s="3" t="s">
        <v>13</v>
      </c>
      <c r="B184" s="3" t="s">
        <v>14</v>
      </c>
      <c r="C184" s="3" t="s">
        <v>17</v>
      </c>
    </row>
    <row r="185">
      <c r="A185" s="3" t="s">
        <v>13</v>
      </c>
      <c r="B185" s="3" t="s">
        <v>14</v>
      </c>
      <c r="C185" s="3" t="s">
        <v>18</v>
      </c>
    </row>
    <row r="186">
      <c r="A186" s="3" t="s">
        <v>13</v>
      </c>
      <c r="B186" s="3" t="s">
        <v>14</v>
      </c>
    </row>
    <row r="187">
      <c r="A187" s="3" t="s">
        <v>13</v>
      </c>
      <c r="B187" s="3" t="s">
        <v>14</v>
      </c>
    </row>
    <row r="188">
      <c r="A188" s="3" t="s">
        <v>13</v>
      </c>
    </row>
    <row r="189">
      <c r="A189" s="3" t="s">
        <v>13</v>
      </c>
      <c r="B189" s="3" t="s">
        <v>14</v>
      </c>
    </row>
    <row r="190">
      <c r="A190" s="3" t="s">
        <v>13</v>
      </c>
      <c r="B190" s="3" t="s">
        <v>15</v>
      </c>
      <c r="C190" s="3" t="s">
        <v>17</v>
      </c>
    </row>
    <row r="191">
      <c r="A191" s="3" t="s">
        <v>14</v>
      </c>
      <c r="B191" s="3" t="s">
        <v>17</v>
      </c>
      <c r="C191" s="3" t="s">
        <v>18</v>
      </c>
    </row>
    <row r="192">
      <c r="A192" s="3" t="s">
        <v>14</v>
      </c>
      <c r="B192" s="3" t="s">
        <v>17</v>
      </c>
      <c r="C192" s="3" t="s">
        <v>18</v>
      </c>
    </row>
    <row r="193">
      <c r="A193" s="3" t="s">
        <v>14</v>
      </c>
      <c r="B193" s="3" t="s">
        <v>17</v>
      </c>
      <c r="C193" s="3" t="s">
        <v>18</v>
      </c>
    </row>
    <row r="194">
      <c r="A194" s="3" t="s">
        <v>14</v>
      </c>
    </row>
    <row r="195">
      <c r="A195" s="3" t="s">
        <v>14</v>
      </c>
      <c r="B195" s="3" t="s">
        <v>17</v>
      </c>
      <c r="C195" s="3" t="s">
        <v>18</v>
      </c>
    </row>
    <row r="196">
      <c r="A196" s="3" t="s">
        <v>14</v>
      </c>
      <c r="B196" s="3" t="s">
        <v>17</v>
      </c>
      <c r="C196" s="3" t="s">
        <v>18</v>
      </c>
    </row>
    <row r="197">
      <c r="A197" s="3" t="s">
        <v>14</v>
      </c>
      <c r="B197" s="3" t="s">
        <v>17</v>
      </c>
      <c r="C197" s="3" t="s">
        <v>18</v>
      </c>
    </row>
    <row r="198">
      <c r="A198" s="3" t="s">
        <v>14</v>
      </c>
      <c r="B198" s="3" t="s">
        <v>17</v>
      </c>
      <c r="C198" s="3" t="s">
        <v>18</v>
      </c>
    </row>
    <row r="199">
      <c r="A199" s="3" t="s">
        <v>14</v>
      </c>
      <c r="B199" s="3" t="s">
        <v>17</v>
      </c>
      <c r="C199" s="3" t="s">
        <v>18</v>
      </c>
    </row>
    <row r="200">
      <c r="A200" s="3" t="s">
        <v>14</v>
      </c>
      <c r="B200" s="3" t="s">
        <v>17</v>
      </c>
      <c r="C200" s="3" t="s">
        <v>18</v>
      </c>
    </row>
    <row r="201">
      <c r="A201" s="3" t="s">
        <v>14</v>
      </c>
      <c r="B201" s="3" t="s">
        <v>17</v>
      </c>
      <c r="C201" s="3" t="s">
        <v>18</v>
      </c>
    </row>
    <row r="202">
      <c r="A202" s="3" t="s">
        <v>14</v>
      </c>
      <c r="B202" s="3" t="s">
        <v>17</v>
      </c>
      <c r="C202" s="3" t="s">
        <v>18</v>
      </c>
    </row>
    <row r="203">
      <c r="A203" s="3" t="s">
        <v>15</v>
      </c>
      <c r="B203" s="3" t="s">
        <v>16</v>
      </c>
      <c r="C203" s="3" t="s">
        <v>17</v>
      </c>
    </row>
    <row r="204">
      <c r="A204" s="3" t="s">
        <v>15</v>
      </c>
      <c r="B204" s="3" t="s">
        <v>16</v>
      </c>
    </row>
    <row r="205">
      <c r="A205" s="3" t="s">
        <v>15</v>
      </c>
      <c r="B205" s="3" t="s">
        <v>16</v>
      </c>
    </row>
    <row r="206">
      <c r="A206" s="3" t="s">
        <v>15</v>
      </c>
      <c r="B206" s="3" t="s">
        <v>16</v>
      </c>
      <c r="C206" s="3" t="s">
        <v>17</v>
      </c>
    </row>
    <row r="207">
      <c r="A207" s="3" t="s">
        <v>15</v>
      </c>
      <c r="B207" s="3" t="s">
        <v>16</v>
      </c>
      <c r="C207" s="3" t="s">
        <v>17</v>
      </c>
    </row>
    <row r="208">
      <c r="A208" s="3" t="s">
        <v>15</v>
      </c>
      <c r="B208" s="3" t="s">
        <v>16</v>
      </c>
    </row>
    <row r="209">
      <c r="A209" s="3" t="s">
        <v>15</v>
      </c>
      <c r="B209" s="3" t="s">
        <v>16</v>
      </c>
    </row>
    <row r="210">
      <c r="A210" s="3" t="s">
        <v>15</v>
      </c>
      <c r="B210" s="3" t="s">
        <v>16</v>
      </c>
    </row>
    <row r="211">
      <c r="A211" s="3" t="s">
        <v>15</v>
      </c>
      <c r="B211" s="3" t="s">
        <v>16</v>
      </c>
    </row>
    <row r="212">
      <c r="A212" s="3" t="s">
        <v>15</v>
      </c>
      <c r="B212" s="3" t="s">
        <v>16</v>
      </c>
      <c r="C212" s="3" t="s">
        <v>17</v>
      </c>
    </row>
    <row r="213">
      <c r="A213" s="3" t="s">
        <v>15</v>
      </c>
      <c r="B213" s="3" t="s">
        <v>16</v>
      </c>
    </row>
    <row r="214">
      <c r="A214" s="3" t="s">
        <v>15</v>
      </c>
      <c r="B214" s="3" t="s">
        <v>16</v>
      </c>
    </row>
    <row r="215">
      <c r="A215" s="3" t="s">
        <v>15</v>
      </c>
      <c r="B215" s="3" t="s">
        <v>16</v>
      </c>
    </row>
    <row r="216">
      <c r="A216" s="3" t="s">
        <v>15</v>
      </c>
      <c r="B216" s="3" t="s">
        <v>16</v>
      </c>
    </row>
    <row r="217">
      <c r="A217" s="3" t="s">
        <v>15</v>
      </c>
    </row>
    <row r="218">
      <c r="A218" s="3" t="s">
        <v>15</v>
      </c>
      <c r="B218" s="3" t="s">
        <v>16</v>
      </c>
    </row>
    <row r="219">
      <c r="A219" s="3" t="s">
        <v>15</v>
      </c>
      <c r="B219" s="3" t="s">
        <v>16</v>
      </c>
    </row>
    <row r="220">
      <c r="A220" s="3" t="s">
        <v>15</v>
      </c>
      <c r="B220" s="3" t="s">
        <v>16</v>
      </c>
    </row>
    <row r="221">
      <c r="A221" s="3" t="s">
        <v>15</v>
      </c>
      <c r="B221" s="3" t="s">
        <v>16</v>
      </c>
      <c r="C221" s="3" t="s">
        <v>17</v>
      </c>
    </row>
    <row r="222">
      <c r="A222" s="3" t="s">
        <v>15</v>
      </c>
      <c r="B222" s="3" t="s">
        <v>16</v>
      </c>
      <c r="C222" s="3" t="s">
        <v>17</v>
      </c>
    </row>
    <row r="223">
      <c r="A223" s="3" t="s">
        <v>15</v>
      </c>
      <c r="B223" s="3" t="s">
        <v>16</v>
      </c>
    </row>
    <row r="224">
      <c r="A224" s="3" t="s">
        <v>15</v>
      </c>
      <c r="B224" s="3" t="s">
        <v>16</v>
      </c>
    </row>
    <row r="225">
      <c r="A225" s="3" t="s">
        <v>15</v>
      </c>
      <c r="B225" s="3" t="s">
        <v>16</v>
      </c>
      <c r="C225" s="3" t="s">
        <v>17</v>
      </c>
    </row>
    <row r="226">
      <c r="A226" s="3" t="s">
        <v>16</v>
      </c>
      <c r="B226" s="3" t="s">
        <v>17</v>
      </c>
      <c r="C226" s="3" t="s">
        <v>18</v>
      </c>
    </row>
    <row r="227">
      <c r="A227" s="3" t="s">
        <v>16</v>
      </c>
      <c r="B227" s="3" t="s">
        <v>17</v>
      </c>
      <c r="C227" s="3" t="s">
        <v>18</v>
      </c>
    </row>
    <row r="228">
      <c r="A228" s="3" t="s">
        <v>16</v>
      </c>
      <c r="B228" s="3" t="s">
        <v>17</v>
      </c>
      <c r="C228" s="3" t="s">
        <v>18</v>
      </c>
    </row>
    <row r="229">
      <c r="A229" s="3" t="s">
        <v>16</v>
      </c>
      <c r="B229" s="3" t="s">
        <v>17</v>
      </c>
    </row>
    <row r="230">
      <c r="A230" s="3" t="s">
        <v>16</v>
      </c>
      <c r="B230" s="3" t="s">
        <v>17</v>
      </c>
      <c r="C230" s="3" t="s">
        <v>18</v>
      </c>
    </row>
    <row r="231">
      <c r="A231" s="3" t="s">
        <v>16</v>
      </c>
      <c r="B231" s="3" t="s">
        <v>17</v>
      </c>
      <c r="C231" s="3" t="s">
        <v>18</v>
      </c>
    </row>
    <row r="232">
      <c r="A232" s="3" t="s">
        <v>16</v>
      </c>
      <c r="B232" s="3" t="s">
        <v>18</v>
      </c>
    </row>
    <row r="233">
      <c r="A233" s="3" t="s">
        <v>16</v>
      </c>
      <c r="B233" s="3" t="s">
        <v>17</v>
      </c>
      <c r="C233" s="3" t="s">
        <v>18</v>
      </c>
    </row>
    <row r="234">
      <c r="A234" s="3" t="s">
        <v>16</v>
      </c>
      <c r="B234" s="3" t="s">
        <v>17</v>
      </c>
      <c r="C234" s="3" t="s">
        <v>18</v>
      </c>
    </row>
    <row r="235">
      <c r="A235" s="3" t="s">
        <v>16</v>
      </c>
      <c r="B235" s="3" t="s">
        <v>17</v>
      </c>
      <c r="C235" s="3" t="s">
        <v>18</v>
      </c>
    </row>
    <row r="236">
      <c r="A236" s="3" t="s">
        <v>17</v>
      </c>
      <c r="B236" s="3" t="s">
        <v>18</v>
      </c>
    </row>
    <row r="237">
      <c r="A237" s="3" t="s">
        <v>17</v>
      </c>
    </row>
    <row r="238">
      <c r="A238" s="3" t="s">
        <v>6</v>
      </c>
      <c r="B238" s="3" t="s">
        <v>7</v>
      </c>
      <c r="C238" s="3" t="s">
        <v>15</v>
      </c>
    </row>
    <row r="239">
      <c r="A239" s="3" t="s">
        <v>6</v>
      </c>
      <c r="B239" s="3" t="s">
        <v>7</v>
      </c>
      <c r="C239" s="3" t="s">
        <v>15</v>
      </c>
    </row>
    <row r="240">
      <c r="A240" s="3" t="s">
        <v>6</v>
      </c>
      <c r="B240" s="3" t="s">
        <v>7</v>
      </c>
    </row>
    <row r="241">
      <c r="A241" s="3" t="s">
        <v>6</v>
      </c>
      <c r="B241" s="3" t="s">
        <v>7</v>
      </c>
      <c r="C241" s="3" t="s">
        <v>15</v>
      </c>
    </row>
    <row r="242">
      <c r="A242" s="3" t="s">
        <v>6</v>
      </c>
      <c r="B242" s="3" t="s">
        <v>7</v>
      </c>
      <c r="C242" s="3" t="s">
        <v>8</v>
      </c>
    </row>
    <row r="243">
      <c r="A243" s="3" t="s">
        <v>6</v>
      </c>
      <c r="B243" s="3" t="s">
        <v>7</v>
      </c>
      <c r="C243" s="3" t="s">
        <v>15</v>
      </c>
    </row>
    <row r="244">
      <c r="A244" s="3" t="s">
        <v>6</v>
      </c>
      <c r="B244" s="3" t="s">
        <v>7</v>
      </c>
      <c r="C244" s="3" t="s">
        <v>8</v>
      </c>
    </row>
    <row r="245">
      <c r="A245" s="3" t="s">
        <v>6</v>
      </c>
      <c r="B245" s="3" t="s">
        <v>7</v>
      </c>
      <c r="C245" s="3" t="s">
        <v>8</v>
      </c>
    </row>
    <row r="246">
      <c r="A246" s="3" t="s">
        <v>6</v>
      </c>
      <c r="B246" s="3" t="s">
        <v>7</v>
      </c>
      <c r="C246" s="3" t="s">
        <v>15</v>
      </c>
    </row>
    <row r="247">
      <c r="A247" s="3" t="s">
        <v>6</v>
      </c>
      <c r="B247" s="3" t="s">
        <v>7</v>
      </c>
      <c r="C247" s="3" t="s">
        <v>8</v>
      </c>
    </row>
    <row r="248">
      <c r="A248" s="3" t="s">
        <v>6</v>
      </c>
      <c r="B248" s="3" t="s">
        <v>7</v>
      </c>
      <c r="C248" s="3" t="s">
        <v>15</v>
      </c>
    </row>
    <row r="249">
      <c r="A249" s="3" t="s">
        <v>6</v>
      </c>
      <c r="B249" s="3" t="s">
        <v>8</v>
      </c>
      <c r="C249" s="3" t="s">
        <v>12</v>
      </c>
    </row>
    <row r="250">
      <c r="A250" s="3" t="s">
        <v>6</v>
      </c>
      <c r="B250" s="3" t="s">
        <v>15</v>
      </c>
      <c r="C250" s="3" t="s">
        <v>16</v>
      </c>
    </row>
    <row r="251">
      <c r="A251" s="3" t="s">
        <v>6</v>
      </c>
      <c r="B251" s="3" t="s">
        <v>7</v>
      </c>
      <c r="C251" s="3" t="s">
        <v>15</v>
      </c>
    </row>
    <row r="252">
      <c r="A252" s="3" t="s">
        <v>6</v>
      </c>
      <c r="B252" s="3" t="s">
        <v>7</v>
      </c>
    </row>
    <row r="253">
      <c r="A253" s="3" t="s">
        <v>6</v>
      </c>
      <c r="B253" s="3" t="s">
        <v>7</v>
      </c>
    </row>
    <row r="254">
      <c r="A254" s="3" t="s">
        <v>6</v>
      </c>
      <c r="B254" s="3" t="s">
        <v>7</v>
      </c>
    </row>
    <row r="255">
      <c r="A255" s="3" t="s">
        <v>6</v>
      </c>
      <c r="B255" s="3" t="s">
        <v>7</v>
      </c>
    </row>
    <row r="256">
      <c r="A256" s="3" t="s">
        <v>6</v>
      </c>
      <c r="B256" s="3" t="s">
        <v>7</v>
      </c>
      <c r="C256" s="3" t="s">
        <v>8</v>
      </c>
    </row>
    <row r="257">
      <c r="A257" s="3" t="s">
        <v>6</v>
      </c>
      <c r="B257" s="3" t="s">
        <v>7</v>
      </c>
      <c r="C257" s="3" t="s">
        <v>15</v>
      </c>
    </row>
    <row r="258">
      <c r="A258" s="3" t="s">
        <v>6</v>
      </c>
      <c r="B258" s="3" t="s">
        <v>7</v>
      </c>
    </row>
    <row r="259">
      <c r="A259" s="3" t="s">
        <v>6</v>
      </c>
      <c r="B259" s="3" t="s">
        <v>15</v>
      </c>
    </row>
    <row r="260">
      <c r="A260" s="3" t="s">
        <v>6</v>
      </c>
      <c r="B260" s="3" t="s">
        <v>7</v>
      </c>
    </row>
    <row r="261">
      <c r="A261" s="3" t="s">
        <v>6</v>
      </c>
      <c r="B261" s="3" t="s">
        <v>7</v>
      </c>
      <c r="C261" s="3" t="s">
        <v>15</v>
      </c>
    </row>
    <row r="262">
      <c r="A262" s="3" t="s">
        <v>6</v>
      </c>
    </row>
    <row r="263">
      <c r="A263" s="3" t="s">
        <v>6</v>
      </c>
      <c r="B263" s="3" t="s">
        <v>15</v>
      </c>
    </row>
    <row r="264">
      <c r="A264" s="3" t="s">
        <v>6</v>
      </c>
      <c r="B264" s="3" t="s">
        <v>7</v>
      </c>
    </row>
    <row r="265">
      <c r="A265" s="3" t="s">
        <v>6</v>
      </c>
      <c r="B265" s="3" t="s">
        <v>7</v>
      </c>
    </row>
    <row r="266">
      <c r="A266" s="3" t="s">
        <v>6</v>
      </c>
      <c r="B266" s="3" t="s">
        <v>7</v>
      </c>
    </row>
    <row r="267">
      <c r="A267" s="3" t="s">
        <v>6</v>
      </c>
      <c r="B267" s="3" t="s">
        <v>15</v>
      </c>
    </row>
    <row r="268">
      <c r="A268" s="3" t="s">
        <v>6</v>
      </c>
      <c r="B268" s="3" t="s">
        <v>7</v>
      </c>
      <c r="C268" s="3" t="s">
        <v>15</v>
      </c>
    </row>
    <row r="269">
      <c r="A269" s="3" t="s">
        <v>6</v>
      </c>
      <c r="B269" s="3" t="s">
        <v>7</v>
      </c>
      <c r="C269" s="3" t="s">
        <v>11</v>
      </c>
    </row>
    <row r="270">
      <c r="A270" s="3" t="s">
        <v>6</v>
      </c>
      <c r="B270" s="3" t="s">
        <v>7</v>
      </c>
    </row>
    <row r="271">
      <c r="A271" s="3" t="s">
        <v>6</v>
      </c>
      <c r="B271" s="3" t="s">
        <v>7</v>
      </c>
    </row>
    <row r="272">
      <c r="A272" s="3" t="s">
        <v>6</v>
      </c>
      <c r="B272" s="3" t="s">
        <v>7</v>
      </c>
      <c r="C272" s="3" t="s">
        <v>15</v>
      </c>
    </row>
    <row r="273">
      <c r="A273" s="3" t="s">
        <v>6</v>
      </c>
      <c r="B273" s="3" t="s">
        <v>15</v>
      </c>
    </row>
    <row r="274">
      <c r="A274" s="3" t="s">
        <v>6</v>
      </c>
      <c r="B274" s="3" t="s">
        <v>7</v>
      </c>
    </row>
    <row r="275">
      <c r="A275" s="3" t="s">
        <v>6</v>
      </c>
      <c r="B275" s="3" t="s">
        <v>15</v>
      </c>
      <c r="C275" s="3" t="s">
        <v>16</v>
      </c>
    </row>
    <row r="276">
      <c r="A276" s="3" t="s">
        <v>6</v>
      </c>
      <c r="B276" s="3" t="s">
        <v>7</v>
      </c>
    </row>
    <row r="277">
      <c r="A277" s="3" t="s">
        <v>6</v>
      </c>
      <c r="B277" s="3" t="s">
        <v>7</v>
      </c>
    </row>
    <row r="278">
      <c r="A278" s="3" t="s">
        <v>6</v>
      </c>
      <c r="B278" s="3" t="s">
        <v>11</v>
      </c>
      <c r="C278" s="3" t="s">
        <v>15</v>
      </c>
    </row>
    <row r="279">
      <c r="A279" s="3" t="s">
        <v>6</v>
      </c>
      <c r="B279" s="3" t="s">
        <v>7</v>
      </c>
      <c r="C279" s="3" t="s">
        <v>11</v>
      </c>
    </row>
    <row r="280">
      <c r="A280" s="3" t="s">
        <v>6</v>
      </c>
      <c r="B280" s="3" t="s">
        <v>7</v>
      </c>
      <c r="C280" s="3" t="s">
        <v>11</v>
      </c>
    </row>
    <row r="281">
      <c r="A281" s="3" t="s">
        <v>6</v>
      </c>
      <c r="B281" s="3" t="s">
        <v>15</v>
      </c>
      <c r="C281" s="3" t="s">
        <v>16</v>
      </c>
    </row>
    <row r="282">
      <c r="A282" s="3" t="s">
        <v>6</v>
      </c>
      <c r="B282" s="3" t="s">
        <v>15</v>
      </c>
    </row>
    <row r="283">
      <c r="A283" s="3" t="s">
        <v>6</v>
      </c>
      <c r="B283" s="3" t="s">
        <v>11</v>
      </c>
    </row>
    <row r="284">
      <c r="A284" s="3" t="s">
        <v>6</v>
      </c>
      <c r="B284" s="3" t="s">
        <v>7</v>
      </c>
    </row>
    <row r="285">
      <c r="A285" s="3" t="s">
        <v>6</v>
      </c>
      <c r="B285" s="3" t="s">
        <v>11</v>
      </c>
    </row>
    <row r="286">
      <c r="A286" s="3" t="s">
        <v>6</v>
      </c>
      <c r="B286" s="3" t="s">
        <v>7</v>
      </c>
      <c r="C286" s="3" t="s">
        <v>8</v>
      </c>
    </row>
    <row r="287">
      <c r="A287" s="3" t="s">
        <v>6</v>
      </c>
      <c r="B287" s="3" t="s">
        <v>11</v>
      </c>
      <c r="C287" s="3" t="s">
        <v>12</v>
      </c>
    </row>
    <row r="288">
      <c r="A288" s="3" t="s">
        <v>6</v>
      </c>
      <c r="B288" s="3" t="s">
        <v>11</v>
      </c>
      <c r="C288" s="3" t="s">
        <v>12</v>
      </c>
    </row>
    <row r="289">
      <c r="A289" s="3" t="s">
        <v>6</v>
      </c>
      <c r="B289" s="3" t="s">
        <v>7</v>
      </c>
      <c r="C289" s="3" t="s">
        <v>8</v>
      </c>
    </row>
    <row r="290">
      <c r="A290" s="3" t="s">
        <v>6</v>
      </c>
      <c r="B290" s="3" t="s">
        <v>11</v>
      </c>
      <c r="C290" s="3" t="s">
        <v>12</v>
      </c>
    </row>
    <row r="291">
      <c r="A291" s="3" t="s">
        <v>6</v>
      </c>
      <c r="B291" s="3" t="s">
        <v>7</v>
      </c>
      <c r="C291" s="3" t="s">
        <v>15</v>
      </c>
    </row>
    <row r="292">
      <c r="A292" s="3" t="s">
        <v>6</v>
      </c>
      <c r="B292" s="3" t="s">
        <v>7</v>
      </c>
      <c r="C292" s="3" t="s">
        <v>15</v>
      </c>
    </row>
    <row r="293">
      <c r="A293" s="3" t="s">
        <v>6</v>
      </c>
      <c r="B293" s="3" t="s">
        <v>7</v>
      </c>
      <c r="C293" s="3" t="s">
        <v>8</v>
      </c>
    </row>
    <row r="294">
      <c r="A294" s="3" t="s">
        <v>609</v>
      </c>
    </row>
    <row r="295">
      <c r="A295" s="3" t="s">
        <v>7</v>
      </c>
      <c r="B295" s="3" t="s">
        <v>8</v>
      </c>
      <c r="C295" s="3" t="s">
        <v>9</v>
      </c>
    </row>
    <row r="296">
      <c r="A296" s="3" t="s">
        <v>7</v>
      </c>
      <c r="B296" s="3" t="s">
        <v>8</v>
      </c>
    </row>
    <row r="297">
      <c r="A297" s="3" t="s">
        <v>7</v>
      </c>
      <c r="B297" s="3" t="s">
        <v>8</v>
      </c>
      <c r="C297" s="3" t="s">
        <v>9</v>
      </c>
    </row>
    <row r="298">
      <c r="A298" s="3" t="s">
        <v>7</v>
      </c>
      <c r="B298" s="3" t="s">
        <v>8</v>
      </c>
      <c r="C298" s="3" t="s">
        <v>17</v>
      </c>
    </row>
    <row r="299">
      <c r="A299" s="3" t="s">
        <v>7</v>
      </c>
    </row>
    <row r="300">
      <c r="A300" s="3" t="s">
        <v>7</v>
      </c>
      <c r="B300" s="3" t="s">
        <v>8</v>
      </c>
    </row>
    <row r="301">
      <c r="A301" s="3" t="s">
        <v>7</v>
      </c>
      <c r="B301" s="3" t="s">
        <v>8</v>
      </c>
      <c r="C301" s="3" t="s">
        <v>9</v>
      </c>
    </row>
    <row r="302">
      <c r="A302" s="3" t="s">
        <v>7</v>
      </c>
      <c r="B302" s="3" t="s">
        <v>8</v>
      </c>
    </row>
    <row r="303">
      <c r="A303" s="3" t="s">
        <v>7</v>
      </c>
      <c r="B303" s="3" t="s">
        <v>8</v>
      </c>
    </row>
    <row r="304">
      <c r="A304" s="3" t="s">
        <v>7</v>
      </c>
      <c r="B304" s="3" t="s">
        <v>13</v>
      </c>
    </row>
    <row r="305">
      <c r="A305" s="3" t="s">
        <v>7</v>
      </c>
      <c r="B305" s="3" t="s">
        <v>8</v>
      </c>
    </row>
    <row r="306">
      <c r="A306" s="3" t="s">
        <v>7</v>
      </c>
      <c r="B306" s="3" t="s">
        <v>15</v>
      </c>
    </row>
    <row r="307">
      <c r="A307" s="3" t="s">
        <v>7</v>
      </c>
      <c r="B307" s="3" t="s">
        <v>8</v>
      </c>
      <c r="C307" s="3" t="s">
        <v>9</v>
      </c>
    </row>
    <row r="308">
      <c r="A308" s="3" t="s">
        <v>7</v>
      </c>
      <c r="B308" s="3" t="s">
        <v>15</v>
      </c>
    </row>
    <row r="309">
      <c r="A309" s="3" t="s">
        <v>7</v>
      </c>
      <c r="B309" s="3" t="s">
        <v>11</v>
      </c>
    </row>
    <row r="310">
      <c r="A310" s="3" t="s">
        <v>7</v>
      </c>
      <c r="B310" s="3" t="s">
        <v>8</v>
      </c>
    </row>
    <row r="311">
      <c r="A311" s="3" t="s">
        <v>7</v>
      </c>
      <c r="B311" s="3" t="s">
        <v>11</v>
      </c>
      <c r="C311" s="3" t="s">
        <v>12</v>
      </c>
    </row>
    <row r="312">
      <c r="A312" s="3" t="s">
        <v>8</v>
      </c>
      <c r="B312" s="3" t="s">
        <v>11</v>
      </c>
      <c r="C312" s="3" t="s">
        <v>12</v>
      </c>
    </row>
    <row r="313">
      <c r="A313" s="3" t="s">
        <v>8</v>
      </c>
      <c r="B313" s="3" t="s">
        <v>12</v>
      </c>
      <c r="C313" s="3" t="s">
        <v>17</v>
      </c>
    </row>
    <row r="314">
      <c r="A314" s="3" t="s">
        <v>8</v>
      </c>
      <c r="B314" s="3" t="s">
        <v>9</v>
      </c>
      <c r="C314" s="3" t="s">
        <v>12</v>
      </c>
    </row>
    <row r="315">
      <c r="A315" s="3" t="s">
        <v>8</v>
      </c>
      <c r="B315" s="3" t="s">
        <v>17</v>
      </c>
    </row>
    <row r="316">
      <c r="A316" s="3" t="s">
        <v>8</v>
      </c>
      <c r="B316" s="3" t="s">
        <v>9</v>
      </c>
      <c r="C316" s="3" t="s">
        <v>16</v>
      </c>
    </row>
    <row r="317">
      <c r="A317" s="3" t="s">
        <v>8</v>
      </c>
      <c r="B317" s="3" t="s">
        <v>16</v>
      </c>
    </row>
    <row r="318">
      <c r="A318" s="3" t="s">
        <v>8</v>
      </c>
      <c r="B318" s="3" t="s">
        <v>9</v>
      </c>
      <c r="C318" s="3" t="s">
        <v>10</v>
      </c>
    </row>
    <row r="319">
      <c r="A319" s="3" t="s">
        <v>8</v>
      </c>
    </row>
    <row r="320">
      <c r="A320" s="3" t="s">
        <v>8</v>
      </c>
      <c r="B320" s="3" t="s">
        <v>9</v>
      </c>
      <c r="C320" s="3" t="s">
        <v>10</v>
      </c>
    </row>
    <row r="321">
      <c r="A321" s="3" t="s">
        <v>8</v>
      </c>
      <c r="B321" s="3" t="s">
        <v>16</v>
      </c>
    </row>
    <row r="322">
      <c r="A322" s="3" t="s">
        <v>8</v>
      </c>
      <c r="B322" s="3" t="s">
        <v>11</v>
      </c>
      <c r="C322" s="3" t="s">
        <v>12</v>
      </c>
    </row>
    <row r="323">
      <c r="A323" s="3" t="s">
        <v>8</v>
      </c>
      <c r="B323" s="3" t="s">
        <v>9</v>
      </c>
      <c r="C323" s="3" t="s">
        <v>10</v>
      </c>
    </row>
    <row r="324">
      <c r="A324" s="3" t="s">
        <v>8</v>
      </c>
      <c r="B324" s="3" t="s">
        <v>9</v>
      </c>
      <c r="C324" s="3" t="s">
        <v>10</v>
      </c>
    </row>
    <row r="325">
      <c r="A325" s="3" t="s">
        <v>8</v>
      </c>
      <c r="B325" s="3" t="s">
        <v>16</v>
      </c>
      <c r="C325" s="3" t="s">
        <v>17</v>
      </c>
    </row>
    <row r="326">
      <c r="A326" s="3" t="s">
        <v>8</v>
      </c>
      <c r="B326" s="3" t="s">
        <v>9</v>
      </c>
      <c r="C326" s="3" t="s">
        <v>10</v>
      </c>
    </row>
    <row r="327">
      <c r="A327" s="3" t="s">
        <v>8</v>
      </c>
      <c r="B327" s="3" t="s">
        <v>9</v>
      </c>
      <c r="C327" s="3" t="s">
        <v>10</v>
      </c>
    </row>
    <row r="328">
      <c r="A328" s="3" t="s">
        <v>8</v>
      </c>
      <c r="B328" s="3" t="s">
        <v>9</v>
      </c>
      <c r="C328" s="3" t="s">
        <v>10</v>
      </c>
    </row>
    <row r="329">
      <c r="A329" s="3" t="s">
        <v>8</v>
      </c>
      <c r="B329" s="3" t="s">
        <v>9</v>
      </c>
      <c r="C329" s="3" t="s">
        <v>10</v>
      </c>
    </row>
    <row r="330">
      <c r="A330" s="3" t="s">
        <v>8</v>
      </c>
      <c r="B330" s="3" t="s">
        <v>9</v>
      </c>
      <c r="C330" s="3" t="s">
        <v>10</v>
      </c>
    </row>
    <row r="331">
      <c r="A331" s="3" t="s">
        <v>8</v>
      </c>
      <c r="B331" s="3" t="s">
        <v>9</v>
      </c>
      <c r="C331" s="3" t="s">
        <v>10</v>
      </c>
    </row>
    <row r="332">
      <c r="A332" s="3" t="s">
        <v>8</v>
      </c>
      <c r="B332" s="3" t="s">
        <v>9</v>
      </c>
      <c r="C332" s="3" t="s">
        <v>10</v>
      </c>
    </row>
    <row r="333">
      <c r="A333" s="3" t="s">
        <v>8</v>
      </c>
      <c r="B333" s="3" t="s">
        <v>9</v>
      </c>
      <c r="C333" s="3" t="s">
        <v>10</v>
      </c>
    </row>
    <row r="334">
      <c r="A334" s="3" t="s">
        <v>8</v>
      </c>
      <c r="B334" s="3" t="s">
        <v>9</v>
      </c>
      <c r="C334" s="3" t="s">
        <v>10</v>
      </c>
    </row>
    <row r="335">
      <c r="A335" s="3" t="s">
        <v>8</v>
      </c>
      <c r="B335" s="3" t="s">
        <v>9</v>
      </c>
      <c r="C335" s="3" t="s">
        <v>10</v>
      </c>
    </row>
    <row r="336">
      <c r="A336" s="3" t="s">
        <v>8</v>
      </c>
      <c r="B336" s="3" t="s">
        <v>9</v>
      </c>
      <c r="C336" s="3" t="s">
        <v>10</v>
      </c>
    </row>
    <row r="337">
      <c r="A337" s="3" t="s">
        <v>8</v>
      </c>
      <c r="B337" s="3" t="s">
        <v>9</v>
      </c>
      <c r="C337" s="3" t="s">
        <v>10</v>
      </c>
    </row>
    <row r="338">
      <c r="A338" s="3" t="s">
        <v>8</v>
      </c>
      <c r="B338" s="3" t="s">
        <v>9</v>
      </c>
      <c r="C338" s="3" t="s">
        <v>16</v>
      </c>
    </row>
    <row r="339">
      <c r="A339" s="3" t="s">
        <v>9</v>
      </c>
      <c r="B339" s="3" t="s">
        <v>10</v>
      </c>
      <c r="C339" s="3" t="s">
        <v>18</v>
      </c>
    </row>
    <row r="340">
      <c r="A340" s="3" t="s">
        <v>9</v>
      </c>
      <c r="B340" s="3" t="s">
        <v>10</v>
      </c>
    </row>
    <row r="341">
      <c r="A341" s="3" t="s">
        <v>9</v>
      </c>
      <c r="B341" s="3" t="s">
        <v>10</v>
      </c>
      <c r="C341" s="3" t="s">
        <v>18</v>
      </c>
    </row>
    <row r="342">
      <c r="A342" s="3" t="s">
        <v>9</v>
      </c>
      <c r="B342" s="3" t="s">
        <v>10</v>
      </c>
    </row>
    <row r="343">
      <c r="A343" s="3" t="s">
        <v>9</v>
      </c>
      <c r="B343" s="3" t="s">
        <v>10</v>
      </c>
    </row>
    <row r="344">
      <c r="A344" s="3" t="s">
        <v>9</v>
      </c>
      <c r="B344" s="3" t="s">
        <v>10</v>
      </c>
      <c r="C344" s="3" t="s">
        <v>18</v>
      </c>
    </row>
    <row r="345">
      <c r="A345" s="3" t="s">
        <v>9</v>
      </c>
      <c r="B345" s="3" t="s">
        <v>10</v>
      </c>
    </row>
    <row r="346">
      <c r="A346" s="3" t="s">
        <v>9</v>
      </c>
      <c r="B346" s="3" t="s">
        <v>12</v>
      </c>
      <c r="C346" s="3" t="s">
        <v>18</v>
      </c>
    </row>
    <row r="347">
      <c r="A347" s="3" t="s">
        <v>9</v>
      </c>
      <c r="B347" s="3" t="s">
        <v>10</v>
      </c>
    </row>
    <row r="348">
      <c r="A348" s="3" t="s">
        <v>9</v>
      </c>
      <c r="B348" s="3" t="s">
        <v>10</v>
      </c>
    </row>
    <row r="349">
      <c r="A349" s="3" t="s">
        <v>9</v>
      </c>
      <c r="B349" s="3" t="s">
        <v>10</v>
      </c>
    </row>
    <row r="350">
      <c r="A350" s="3" t="s">
        <v>9</v>
      </c>
      <c r="B350" s="3" t="s">
        <v>10</v>
      </c>
      <c r="C350" s="3" t="s">
        <v>18</v>
      </c>
    </row>
    <row r="351">
      <c r="A351" s="3" t="s">
        <v>9</v>
      </c>
      <c r="B351" s="3" t="s">
        <v>10</v>
      </c>
      <c r="C351" s="3" t="s">
        <v>18</v>
      </c>
    </row>
    <row r="352">
      <c r="A352" s="3" t="s">
        <v>9</v>
      </c>
      <c r="B352" s="3" t="s">
        <v>12</v>
      </c>
      <c r="C352" s="3" t="s">
        <v>18</v>
      </c>
    </row>
    <row r="353">
      <c r="A353" s="3" t="s">
        <v>9</v>
      </c>
      <c r="B353" s="3" t="s">
        <v>10</v>
      </c>
      <c r="C353" s="3" t="s">
        <v>18</v>
      </c>
    </row>
    <row r="354">
      <c r="A354" s="3" t="s">
        <v>9</v>
      </c>
      <c r="B354" s="3" t="s">
        <v>10</v>
      </c>
      <c r="C354" s="3" t="s">
        <v>18</v>
      </c>
    </row>
    <row r="355">
      <c r="A355" s="3" t="s">
        <v>9</v>
      </c>
      <c r="B355" s="3" t="s">
        <v>10</v>
      </c>
      <c r="C355" s="3" t="s">
        <v>18</v>
      </c>
    </row>
    <row r="356">
      <c r="A356" s="3" t="s">
        <v>9</v>
      </c>
      <c r="B356" s="3" t="s">
        <v>10</v>
      </c>
      <c r="C356" s="3" t="s">
        <v>12</v>
      </c>
    </row>
    <row r="357">
      <c r="A357" s="3" t="s">
        <v>9</v>
      </c>
      <c r="B357" s="3" t="s">
        <v>16</v>
      </c>
      <c r="C357" s="3" t="s">
        <v>18</v>
      </c>
    </row>
    <row r="358">
      <c r="A358" s="3" t="s">
        <v>9</v>
      </c>
      <c r="B358" s="3" t="s">
        <v>10</v>
      </c>
      <c r="C358" s="3" t="s">
        <v>18</v>
      </c>
    </row>
    <row r="359">
      <c r="A359" s="3" t="s">
        <v>9</v>
      </c>
      <c r="B359" s="3" t="s">
        <v>10</v>
      </c>
      <c r="C359" s="3" t="s">
        <v>18</v>
      </c>
    </row>
    <row r="360">
      <c r="A360" s="3" t="s">
        <v>9</v>
      </c>
      <c r="B360" s="3" t="s">
        <v>11</v>
      </c>
      <c r="C360" s="3" t="s">
        <v>12</v>
      </c>
    </row>
    <row r="361">
      <c r="A361" s="3" t="s">
        <v>9</v>
      </c>
      <c r="B361" s="3" t="s">
        <v>10</v>
      </c>
    </row>
    <row r="362">
      <c r="A362" s="3" t="s">
        <v>9</v>
      </c>
      <c r="B362" s="3" t="s">
        <v>10</v>
      </c>
    </row>
    <row r="363">
      <c r="A363" s="3" t="s">
        <v>9</v>
      </c>
      <c r="B363" s="3" t="s">
        <v>10</v>
      </c>
    </row>
    <row r="364">
      <c r="A364" s="3" t="s">
        <v>9</v>
      </c>
      <c r="B364" s="3" t="s">
        <v>10</v>
      </c>
    </row>
    <row r="365">
      <c r="A365" s="3" t="s">
        <v>10</v>
      </c>
      <c r="B365" s="3" t="s">
        <v>12</v>
      </c>
      <c r="C365" s="3" t="s">
        <v>18</v>
      </c>
    </row>
    <row r="366">
      <c r="A366" s="3" t="s">
        <v>10</v>
      </c>
      <c r="B366" s="3" t="s">
        <v>17</v>
      </c>
      <c r="C366" s="3" t="s">
        <v>18</v>
      </c>
    </row>
    <row r="367">
      <c r="A367" s="3" t="s">
        <v>11</v>
      </c>
      <c r="B367" s="3" t="s">
        <v>12</v>
      </c>
      <c r="C367" s="3" t="s">
        <v>15</v>
      </c>
    </row>
    <row r="368">
      <c r="A368" s="3" t="s">
        <v>11</v>
      </c>
      <c r="B368" s="3" t="s">
        <v>12</v>
      </c>
    </row>
    <row r="369">
      <c r="A369" s="3" t="s">
        <v>11</v>
      </c>
      <c r="B369" s="3" t="s">
        <v>16</v>
      </c>
      <c r="C369" s="3" t="s">
        <v>17</v>
      </c>
    </row>
    <row r="370">
      <c r="A370" s="3" t="s">
        <v>11</v>
      </c>
      <c r="B370" s="3" t="s">
        <v>12</v>
      </c>
    </row>
    <row r="371">
      <c r="A371" s="3" t="s">
        <v>11</v>
      </c>
      <c r="B371" s="3" t="s">
        <v>16</v>
      </c>
    </row>
    <row r="372">
      <c r="A372" s="3" t="s">
        <v>11</v>
      </c>
      <c r="B372" s="3" t="s">
        <v>12</v>
      </c>
    </row>
    <row r="373">
      <c r="A373" s="3" t="s">
        <v>11</v>
      </c>
      <c r="B373" s="3" t="s">
        <v>12</v>
      </c>
    </row>
    <row r="374">
      <c r="A374" s="3" t="s">
        <v>11</v>
      </c>
      <c r="B374" s="3" t="s">
        <v>12</v>
      </c>
      <c r="C374" s="3" t="s">
        <v>17</v>
      </c>
    </row>
    <row r="375">
      <c r="A375" s="3" t="s">
        <v>11</v>
      </c>
      <c r="B375" s="3" t="s">
        <v>12</v>
      </c>
    </row>
    <row r="376">
      <c r="A376" s="3" t="s">
        <v>11</v>
      </c>
      <c r="B376" s="3" t="s">
        <v>15</v>
      </c>
    </row>
    <row r="377">
      <c r="A377" s="3" t="s">
        <v>11</v>
      </c>
      <c r="B377" s="3" t="s">
        <v>12</v>
      </c>
    </row>
    <row r="378">
      <c r="A378" s="3" t="s">
        <v>11</v>
      </c>
      <c r="B378" s="3" t="s">
        <v>12</v>
      </c>
      <c r="C378" s="3" t="s">
        <v>17</v>
      </c>
    </row>
    <row r="379">
      <c r="A379" s="3" t="s">
        <v>11</v>
      </c>
      <c r="B379" s="3" t="s">
        <v>12</v>
      </c>
      <c r="C379" s="3" t="s">
        <v>17</v>
      </c>
    </row>
    <row r="380">
      <c r="A380" s="3" t="s">
        <v>11</v>
      </c>
      <c r="B380" s="3" t="s">
        <v>15</v>
      </c>
    </row>
    <row r="381">
      <c r="A381" s="3" t="s">
        <v>11</v>
      </c>
      <c r="B381" s="3" t="s">
        <v>12</v>
      </c>
    </row>
    <row r="382">
      <c r="A382" s="3" t="s">
        <v>11</v>
      </c>
      <c r="B382" s="3" t="s">
        <v>12</v>
      </c>
    </row>
    <row r="383">
      <c r="A383" s="3" t="s">
        <v>11</v>
      </c>
      <c r="B383" s="3" t="s">
        <v>12</v>
      </c>
    </row>
    <row r="384">
      <c r="A384" s="3" t="s">
        <v>11</v>
      </c>
      <c r="B384" s="3" t="s">
        <v>12</v>
      </c>
    </row>
    <row r="385">
      <c r="A385" s="3" t="s">
        <v>11</v>
      </c>
      <c r="B385" s="3" t="s">
        <v>12</v>
      </c>
    </row>
    <row r="386">
      <c r="A386" s="3" t="s">
        <v>11</v>
      </c>
      <c r="B386" s="3" t="s">
        <v>12</v>
      </c>
      <c r="C386" s="3" t="s">
        <v>17</v>
      </c>
    </row>
    <row r="387">
      <c r="A387" s="3" t="s">
        <v>11</v>
      </c>
      <c r="B387" s="3" t="s">
        <v>16</v>
      </c>
      <c r="C387" s="3" t="s">
        <v>17</v>
      </c>
    </row>
    <row r="388">
      <c r="A388" s="3" t="s">
        <v>11</v>
      </c>
      <c r="B388" s="3" t="s">
        <v>12</v>
      </c>
    </row>
    <row r="389">
      <c r="A389" s="3" t="s">
        <v>11</v>
      </c>
      <c r="B389" s="3" t="s">
        <v>12</v>
      </c>
      <c r="C389" s="3" t="s">
        <v>16</v>
      </c>
    </row>
    <row r="390">
      <c r="A390" s="3" t="s">
        <v>12</v>
      </c>
      <c r="B390" s="3" t="s">
        <v>17</v>
      </c>
      <c r="C390" s="3" t="s">
        <v>18</v>
      </c>
    </row>
    <row r="391">
      <c r="A391" s="3" t="s">
        <v>12</v>
      </c>
      <c r="B391" s="3" t="s">
        <v>17</v>
      </c>
      <c r="C391" s="3" t="s">
        <v>18</v>
      </c>
    </row>
    <row r="392">
      <c r="A392" s="3" t="s">
        <v>12</v>
      </c>
      <c r="B392" s="3" t="s">
        <v>17</v>
      </c>
      <c r="C392" s="3" t="s">
        <v>18</v>
      </c>
    </row>
    <row r="393">
      <c r="A393" s="3" t="s">
        <v>12</v>
      </c>
      <c r="B393" s="3" t="s">
        <v>17</v>
      </c>
    </row>
    <row r="394">
      <c r="A394" s="3" t="s">
        <v>12</v>
      </c>
      <c r="B394" s="3" t="s">
        <v>17</v>
      </c>
      <c r="C394" s="3" t="s">
        <v>18</v>
      </c>
    </row>
    <row r="395">
      <c r="A395" s="3" t="s">
        <v>12</v>
      </c>
      <c r="B395" s="3" t="s">
        <v>17</v>
      </c>
      <c r="C395" s="3" t="s">
        <v>18</v>
      </c>
    </row>
    <row r="396">
      <c r="A396" s="3" t="s">
        <v>12</v>
      </c>
      <c r="B396" s="3" t="s">
        <v>17</v>
      </c>
      <c r="C396" s="3" t="s">
        <v>18</v>
      </c>
    </row>
    <row r="397">
      <c r="A397" s="3" t="s">
        <v>13</v>
      </c>
      <c r="B397" s="3" t="s">
        <v>14</v>
      </c>
      <c r="C397" s="3" t="s">
        <v>17</v>
      </c>
    </row>
    <row r="398">
      <c r="A398" s="3" t="s">
        <v>13</v>
      </c>
      <c r="B398" s="3" t="s">
        <v>14</v>
      </c>
    </row>
    <row r="399">
      <c r="A399" s="3" t="s">
        <v>13</v>
      </c>
      <c r="B399" s="3" t="s">
        <v>14</v>
      </c>
    </row>
    <row r="400">
      <c r="A400" s="3" t="s">
        <v>13</v>
      </c>
      <c r="B400" s="3" t="s">
        <v>14</v>
      </c>
    </row>
    <row r="401">
      <c r="A401" s="3" t="s">
        <v>13</v>
      </c>
      <c r="B401" s="3" t="s">
        <v>14</v>
      </c>
    </row>
    <row r="402">
      <c r="A402" s="3" t="s">
        <v>13</v>
      </c>
      <c r="B402" s="3" t="s">
        <v>14</v>
      </c>
    </row>
    <row r="403">
      <c r="A403" s="3" t="s">
        <v>13</v>
      </c>
      <c r="B403" s="3" t="s">
        <v>14</v>
      </c>
    </row>
    <row r="404">
      <c r="A404" s="3" t="s">
        <v>13</v>
      </c>
      <c r="B404" s="3" t="s">
        <v>14</v>
      </c>
    </row>
    <row r="405">
      <c r="A405" s="3" t="s">
        <v>13</v>
      </c>
    </row>
    <row r="406">
      <c r="A406" s="3" t="s">
        <v>13</v>
      </c>
      <c r="B406" s="3" t="s">
        <v>14</v>
      </c>
    </row>
    <row r="407">
      <c r="A407" s="3" t="s">
        <v>13</v>
      </c>
      <c r="B407" s="3" t="s">
        <v>14</v>
      </c>
    </row>
    <row r="408">
      <c r="A408" s="3" t="s">
        <v>13</v>
      </c>
      <c r="B408" s="3" t="s">
        <v>14</v>
      </c>
    </row>
    <row r="409">
      <c r="A409" s="3" t="s">
        <v>13</v>
      </c>
      <c r="B409" s="3" t="s">
        <v>14</v>
      </c>
      <c r="C409" s="3" t="s">
        <v>17</v>
      </c>
    </row>
    <row r="410">
      <c r="A410" s="3" t="s">
        <v>13</v>
      </c>
      <c r="B410" s="3" t="s">
        <v>14</v>
      </c>
    </row>
    <row r="411">
      <c r="A411" s="3" t="s">
        <v>13</v>
      </c>
      <c r="B411" s="3" t="s">
        <v>14</v>
      </c>
    </row>
    <row r="412">
      <c r="A412" s="3" t="s">
        <v>13</v>
      </c>
      <c r="B412" s="3" t="s">
        <v>14</v>
      </c>
    </row>
    <row r="413">
      <c r="A413" s="3" t="s">
        <v>13</v>
      </c>
      <c r="B413" s="3" t="s">
        <v>14</v>
      </c>
    </row>
    <row r="414">
      <c r="A414" s="3" t="s">
        <v>13</v>
      </c>
      <c r="B414" s="3" t="s">
        <v>14</v>
      </c>
    </row>
    <row r="415">
      <c r="A415" s="3" t="s">
        <v>13</v>
      </c>
      <c r="B415" s="3" t="s">
        <v>14</v>
      </c>
    </row>
    <row r="416">
      <c r="A416" s="3" t="s">
        <v>13</v>
      </c>
      <c r="B416" s="3" t="s">
        <v>14</v>
      </c>
    </row>
    <row r="417">
      <c r="A417" s="3" t="s">
        <v>13</v>
      </c>
      <c r="B417" s="3" t="s">
        <v>14</v>
      </c>
    </row>
    <row r="418">
      <c r="A418" s="3" t="s">
        <v>13</v>
      </c>
      <c r="B418" s="3" t="s">
        <v>14</v>
      </c>
    </row>
    <row r="419">
      <c r="A419" s="3" t="s">
        <v>13</v>
      </c>
    </row>
    <row r="420">
      <c r="A420" s="3" t="s">
        <v>13</v>
      </c>
      <c r="B420" s="3" t="s">
        <v>14</v>
      </c>
    </row>
    <row r="421">
      <c r="A421" s="3" t="s">
        <v>13</v>
      </c>
      <c r="B421" s="3" t="s">
        <v>14</v>
      </c>
    </row>
    <row r="422">
      <c r="A422" s="3" t="s">
        <v>13</v>
      </c>
      <c r="B422" s="3" t="s">
        <v>14</v>
      </c>
    </row>
    <row r="423">
      <c r="A423" s="3" t="s">
        <v>13</v>
      </c>
      <c r="B423" s="3" t="s">
        <v>14</v>
      </c>
    </row>
    <row r="424">
      <c r="A424" s="3" t="s">
        <v>13</v>
      </c>
      <c r="B424" s="3" t="s">
        <v>14</v>
      </c>
    </row>
    <row r="425">
      <c r="A425" s="3" t="s">
        <v>13</v>
      </c>
      <c r="B425" s="3" t="s">
        <v>14</v>
      </c>
    </row>
    <row r="426">
      <c r="A426" s="3" t="s">
        <v>13</v>
      </c>
      <c r="B426" s="3" t="s">
        <v>14</v>
      </c>
    </row>
    <row r="427">
      <c r="A427" s="3" t="s">
        <v>13</v>
      </c>
      <c r="B427" s="3" t="s">
        <v>14</v>
      </c>
      <c r="C427" s="3" t="s">
        <v>17</v>
      </c>
    </row>
    <row r="428">
      <c r="A428" s="3" t="s">
        <v>13</v>
      </c>
      <c r="B428" s="3" t="s">
        <v>14</v>
      </c>
    </row>
    <row r="429">
      <c r="A429" s="3" t="s">
        <v>13</v>
      </c>
      <c r="B429" s="3" t="s">
        <v>14</v>
      </c>
    </row>
    <row r="430">
      <c r="A430" s="3" t="s">
        <v>13</v>
      </c>
      <c r="B430" s="3" t="s">
        <v>14</v>
      </c>
    </row>
    <row r="431">
      <c r="A431" s="3" t="s">
        <v>13</v>
      </c>
      <c r="B431" s="3" t="s">
        <v>14</v>
      </c>
      <c r="C431" s="3" t="s">
        <v>17</v>
      </c>
    </row>
    <row r="432">
      <c r="A432" s="3" t="s">
        <v>13</v>
      </c>
      <c r="B432" s="3" t="s">
        <v>14</v>
      </c>
    </row>
    <row r="433">
      <c r="A433" s="3" t="s">
        <v>13</v>
      </c>
      <c r="B433" s="3" t="s">
        <v>14</v>
      </c>
    </row>
    <row r="434">
      <c r="A434" s="3" t="s">
        <v>13</v>
      </c>
      <c r="B434" s="3" t="s">
        <v>16</v>
      </c>
      <c r="C434" s="3" t="s">
        <v>17</v>
      </c>
    </row>
    <row r="435">
      <c r="A435" s="3" t="s">
        <v>13</v>
      </c>
      <c r="B435" s="3" t="s">
        <v>14</v>
      </c>
    </row>
    <row r="436">
      <c r="A436" s="3" t="s">
        <v>13</v>
      </c>
      <c r="B436" s="3" t="s">
        <v>14</v>
      </c>
      <c r="C436" s="3" t="s">
        <v>18</v>
      </c>
    </row>
    <row r="437">
      <c r="A437" s="3" t="s">
        <v>14</v>
      </c>
      <c r="B437" s="3" t="s">
        <v>17</v>
      </c>
      <c r="C437" s="3" t="s">
        <v>18</v>
      </c>
    </row>
    <row r="438">
      <c r="A438" s="3" t="s">
        <v>14</v>
      </c>
      <c r="B438" s="3" t="s">
        <v>17</v>
      </c>
      <c r="C438" s="3" t="s">
        <v>18</v>
      </c>
    </row>
    <row r="439">
      <c r="A439" s="3" t="s">
        <v>14</v>
      </c>
      <c r="B439" s="3" t="s">
        <v>17</v>
      </c>
      <c r="C439" s="3" t="s">
        <v>18</v>
      </c>
    </row>
    <row r="440">
      <c r="A440" s="3" t="s">
        <v>14</v>
      </c>
      <c r="B440" s="3" t="s">
        <v>18</v>
      </c>
    </row>
    <row r="441">
      <c r="A441" s="3" t="s">
        <v>14</v>
      </c>
      <c r="B441" s="3" t="s">
        <v>17</v>
      </c>
      <c r="C441" s="3" t="s">
        <v>18</v>
      </c>
    </row>
    <row r="442">
      <c r="A442" s="3" t="s">
        <v>14</v>
      </c>
      <c r="B442" s="3" t="s">
        <v>18</v>
      </c>
    </row>
    <row r="443">
      <c r="A443" s="3" t="s">
        <v>14</v>
      </c>
      <c r="B443" s="3" t="s">
        <v>17</v>
      </c>
      <c r="C443" s="3" t="s">
        <v>18</v>
      </c>
    </row>
    <row r="444">
      <c r="A444" s="3" t="s">
        <v>14</v>
      </c>
      <c r="B444" s="3" t="s">
        <v>17</v>
      </c>
      <c r="C444" s="3" t="s">
        <v>18</v>
      </c>
    </row>
    <row r="445">
      <c r="A445" s="3" t="s">
        <v>14</v>
      </c>
      <c r="B445" s="3" t="s">
        <v>17</v>
      </c>
      <c r="C445" s="3" t="s">
        <v>18</v>
      </c>
    </row>
    <row r="446">
      <c r="A446" s="3" t="s">
        <v>14</v>
      </c>
      <c r="B446" s="3" t="s">
        <v>17</v>
      </c>
      <c r="C446" s="3" t="s">
        <v>18</v>
      </c>
    </row>
    <row r="447">
      <c r="A447" s="3" t="s">
        <v>15</v>
      </c>
      <c r="B447" s="3" t="s">
        <v>16</v>
      </c>
      <c r="C447" s="3" t="s">
        <v>17</v>
      </c>
    </row>
    <row r="448">
      <c r="A448" s="3" t="s">
        <v>15</v>
      </c>
      <c r="B448" s="3" t="s">
        <v>16</v>
      </c>
      <c r="C448" s="3" t="s">
        <v>17</v>
      </c>
    </row>
    <row r="449">
      <c r="A449" s="3" t="s">
        <v>15</v>
      </c>
      <c r="B449" s="3" t="s">
        <v>16</v>
      </c>
      <c r="C449" s="3" t="s">
        <v>17</v>
      </c>
    </row>
    <row r="450">
      <c r="A450" s="3" t="s">
        <v>15</v>
      </c>
      <c r="B450" s="3" t="s">
        <v>16</v>
      </c>
      <c r="C450" s="3" t="s">
        <v>17</v>
      </c>
    </row>
    <row r="451">
      <c r="A451" s="3" t="s">
        <v>15</v>
      </c>
      <c r="B451" s="3" t="s">
        <v>16</v>
      </c>
      <c r="C451" s="3" t="s">
        <v>17</v>
      </c>
    </row>
    <row r="452">
      <c r="A452" s="3" t="s">
        <v>15</v>
      </c>
      <c r="B452" s="3" t="s">
        <v>16</v>
      </c>
      <c r="C452" s="3" t="s">
        <v>17</v>
      </c>
    </row>
    <row r="453">
      <c r="A453" s="3" t="s">
        <v>15</v>
      </c>
      <c r="B453" s="3" t="s">
        <v>16</v>
      </c>
      <c r="C453" s="3" t="s">
        <v>17</v>
      </c>
    </row>
    <row r="454">
      <c r="A454" s="3" t="s">
        <v>15</v>
      </c>
      <c r="B454" s="3" t="s">
        <v>16</v>
      </c>
    </row>
    <row r="455">
      <c r="A455" s="3" t="s">
        <v>15</v>
      </c>
      <c r="B455" s="3" t="s">
        <v>16</v>
      </c>
    </row>
    <row r="456">
      <c r="A456" s="3" t="s">
        <v>15</v>
      </c>
      <c r="B456" s="3" t="s">
        <v>16</v>
      </c>
    </row>
    <row r="457">
      <c r="A457" s="3" t="s">
        <v>15</v>
      </c>
      <c r="B457" s="3" t="s">
        <v>16</v>
      </c>
    </row>
    <row r="458">
      <c r="A458" s="3" t="s">
        <v>15</v>
      </c>
      <c r="B458" s="3" t="s">
        <v>16</v>
      </c>
    </row>
    <row r="459">
      <c r="A459" s="3" t="s">
        <v>15</v>
      </c>
      <c r="B459" s="3" t="s">
        <v>16</v>
      </c>
    </row>
    <row r="460">
      <c r="A460" s="3" t="s">
        <v>15</v>
      </c>
      <c r="B460" s="3" t="s">
        <v>16</v>
      </c>
      <c r="C460" s="3" t="s">
        <v>17</v>
      </c>
    </row>
    <row r="461">
      <c r="A461" s="3" t="s">
        <v>15</v>
      </c>
      <c r="B461" s="3" t="s">
        <v>16</v>
      </c>
      <c r="C461" s="3" t="s">
        <v>17</v>
      </c>
    </row>
    <row r="462">
      <c r="A462" s="3" t="s">
        <v>15</v>
      </c>
      <c r="B462" s="3" t="s">
        <v>16</v>
      </c>
    </row>
    <row r="463">
      <c r="A463" s="3" t="s">
        <v>15</v>
      </c>
      <c r="B463" s="3" t="s">
        <v>16</v>
      </c>
    </row>
    <row r="464">
      <c r="A464" s="3" t="s">
        <v>16</v>
      </c>
      <c r="B464" s="3" t="s">
        <v>17</v>
      </c>
      <c r="C464" s="3" t="s">
        <v>18</v>
      </c>
    </row>
    <row r="465">
      <c r="A465" s="3" t="s">
        <v>16</v>
      </c>
      <c r="B465" s="3" t="s">
        <v>17</v>
      </c>
      <c r="C465" s="3" t="s">
        <v>18</v>
      </c>
    </row>
    <row r="466">
      <c r="A466" s="3" t="s">
        <v>16</v>
      </c>
      <c r="B466" s="3" t="s">
        <v>18</v>
      </c>
    </row>
    <row r="467">
      <c r="A467" s="3" t="s">
        <v>16</v>
      </c>
      <c r="B467" s="3" t="s">
        <v>17</v>
      </c>
      <c r="C467" s="3" t="s">
        <v>18</v>
      </c>
    </row>
    <row r="468">
      <c r="A468" s="3" t="s">
        <v>16</v>
      </c>
      <c r="B468" s="3" t="s">
        <v>17</v>
      </c>
      <c r="C468" s="3" t="s">
        <v>18</v>
      </c>
    </row>
    <row r="469">
      <c r="A469" s="3" t="s">
        <v>16</v>
      </c>
      <c r="B469" s="3" t="s">
        <v>17</v>
      </c>
      <c r="C469" s="3" t="s">
        <v>18</v>
      </c>
    </row>
    <row r="470">
      <c r="A470" s="3" t="s">
        <v>16</v>
      </c>
      <c r="B470" s="3" t="s">
        <v>17</v>
      </c>
      <c r="C470" s="3" t="s">
        <v>18</v>
      </c>
    </row>
    <row r="471">
      <c r="A471" s="3" t="s">
        <v>16</v>
      </c>
      <c r="B471" s="3" t="s">
        <v>17</v>
      </c>
      <c r="C471" s="3" t="s">
        <v>18</v>
      </c>
    </row>
    <row r="472">
      <c r="A472" s="3" t="s">
        <v>16</v>
      </c>
      <c r="B472" s="3" t="s">
        <v>17</v>
      </c>
      <c r="C472" s="3" t="s">
        <v>18</v>
      </c>
    </row>
    <row r="473">
      <c r="A473" s="3" t="s">
        <v>16</v>
      </c>
      <c r="B473" s="3" t="s">
        <v>17</v>
      </c>
      <c r="C473" s="3" t="s">
        <v>18</v>
      </c>
    </row>
    <row r="474">
      <c r="A474" s="3" t="s">
        <v>6</v>
      </c>
      <c r="B474" s="3" t="s">
        <v>7</v>
      </c>
      <c r="C474" s="3" t="s">
        <v>15</v>
      </c>
    </row>
    <row r="475">
      <c r="A475" s="3" t="s">
        <v>6</v>
      </c>
      <c r="B475" s="3" t="s">
        <v>7</v>
      </c>
      <c r="C475" s="3" t="s">
        <v>15</v>
      </c>
    </row>
    <row r="476">
      <c r="A476" s="3" t="s">
        <v>6</v>
      </c>
      <c r="B476" s="3" t="s">
        <v>15</v>
      </c>
      <c r="C476" s="3" t="s">
        <v>16</v>
      </c>
    </row>
    <row r="477">
      <c r="A477" s="3" t="s">
        <v>6</v>
      </c>
      <c r="B477" s="3" t="s">
        <v>7</v>
      </c>
      <c r="C477" s="3" t="s">
        <v>13</v>
      </c>
    </row>
    <row r="478">
      <c r="A478" s="3" t="s">
        <v>6</v>
      </c>
      <c r="B478" s="3" t="s">
        <v>7</v>
      </c>
      <c r="C478" s="3" t="s">
        <v>8</v>
      </c>
    </row>
    <row r="479">
      <c r="A479" s="3" t="s">
        <v>6</v>
      </c>
      <c r="B479" s="3" t="s">
        <v>7</v>
      </c>
      <c r="C479" s="3" t="s">
        <v>15</v>
      </c>
    </row>
    <row r="480">
      <c r="A480" s="3" t="s">
        <v>6</v>
      </c>
      <c r="B480" s="3" t="s">
        <v>7</v>
      </c>
      <c r="C480" s="3" t="s">
        <v>8</v>
      </c>
    </row>
    <row r="481">
      <c r="A481" s="3" t="s">
        <v>6</v>
      </c>
      <c r="B481" s="3" t="s">
        <v>7</v>
      </c>
    </row>
    <row r="482">
      <c r="A482" s="3" t="s">
        <v>6</v>
      </c>
      <c r="B482" s="3" t="s">
        <v>7</v>
      </c>
      <c r="C482" s="3" t="s">
        <v>15</v>
      </c>
    </row>
    <row r="483">
      <c r="A483" s="3" t="s">
        <v>6</v>
      </c>
      <c r="B483" s="3" t="s">
        <v>15</v>
      </c>
      <c r="C483" s="3" t="s">
        <v>16</v>
      </c>
    </row>
    <row r="484">
      <c r="A484" s="3" t="s">
        <v>6</v>
      </c>
      <c r="B484" s="3" t="s">
        <v>7</v>
      </c>
    </row>
    <row r="485">
      <c r="A485" s="3" t="s">
        <v>6</v>
      </c>
      <c r="B485" s="3" t="s">
        <v>7</v>
      </c>
      <c r="C485" s="3" t="s">
        <v>15</v>
      </c>
    </row>
    <row r="486">
      <c r="A486" s="3" t="s">
        <v>6</v>
      </c>
      <c r="B486" s="3" t="s">
        <v>7</v>
      </c>
    </row>
    <row r="487">
      <c r="A487" s="3" t="s">
        <v>6</v>
      </c>
      <c r="B487" s="3" t="s">
        <v>7</v>
      </c>
      <c r="C487" s="3" t="s">
        <v>15</v>
      </c>
    </row>
    <row r="488">
      <c r="A488" s="3" t="s">
        <v>6</v>
      </c>
      <c r="B488" s="3" t="s">
        <v>7</v>
      </c>
      <c r="C488" s="3" t="s">
        <v>8</v>
      </c>
    </row>
    <row r="489">
      <c r="A489" s="3" t="s">
        <v>6</v>
      </c>
      <c r="B489" s="3" t="s">
        <v>7</v>
      </c>
      <c r="C489" s="3" t="s">
        <v>15</v>
      </c>
    </row>
    <row r="490">
      <c r="A490" s="3" t="s">
        <v>6</v>
      </c>
      <c r="B490" s="3" t="s">
        <v>7</v>
      </c>
      <c r="C490" s="3" t="s">
        <v>11</v>
      </c>
    </row>
    <row r="491">
      <c r="A491" s="3" t="s">
        <v>6</v>
      </c>
      <c r="B491" s="3" t="s">
        <v>7</v>
      </c>
      <c r="C491" s="3" t="s">
        <v>15</v>
      </c>
    </row>
    <row r="492">
      <c r="A492" s="3" t="s">
        <v>6</v>
      </c>
      <c r="B492" s="3" t="s">
        <v>7</v>
      </c>
    </row>
    <row r="493">
      <c r="A493" s="3" t="s">
        <v>6</v>
      </c>
      <c r="B493" s="3" t="s">
        <v>7</v>
      </c>
      <c r="C493" s="3" t="s">
        <v>11</v>
      </c>
    </row>
    <row r="494">
      <c r="A494" s="3" t="s">
        <v>6</v>
      </c>
      <c r="B494" s="3" t="s">
        <v>7</v>
      </c>
    </row>
    <row r="495">
      <c r="A495" s="3" t="s">
        <v>6</v>
      </c>
    </row>
    <row r="496">
      <c r="A496" s="3" t="s">
        <v>6</v>
      </c>
      <c r="B496" s="3" t="s">
        <v>7</v>
      </c>
      <c r="C496" s="3" t="s">
        <v>8</v>
      </c>
    </row>
    <row r="497">
      <c r="A497" s="3" t="s">
        <v>6</v>
      </c>
      <c r="B497" s="3" t="s">
        <v>7</v>
      </c>
      <c r="C497" s="3" t="s">
        <v>11</v>
      </c>
    </row>
    <row r="498">
      <c r="A498" s="3" t="s">
        <v>6</v>
      </c>
      <c r="B498" s="3" t="s">
        <v>7</v>
      </c>
    </row>
    <row r="499">
      <c r="A499" s="3" t="s">
        <v>6</v>
      </c>
      <c r="B499" s="3" t="s">
        <v>7</v>
      </c>
    </row>
    <row r="500">
      <c r="A500" s="3" t="s">
        <v>6</v>
      </c>
      <c r="B500" s="3" t="s">
        <v>7</v>
      </c>
    </row>
    <row r="501">
      <c r="A501" s="3" t="s">
        <v>6</v>
      </c>
      <c r="B501" s="3" t="s">
        <v>7</v>
      </c>
      <c r="C501" s="3" t="s">
        <v>11</v>
      </c>
    </row>
    <row r="502">
      <c r="A502" s="3" t="s">
        <v>6</v>
      </c>
      <c r="B502" s="3" t="s">
        <v>11</v>
      </c>
    </row>
    <row r="503">
      <c r="A503" s="3" t="s">
        <v>6</v>
      </c>
      <c r="B503" s="3" t="s">
        <v>7</v>
      </c>
    </row>
    <row r="504">
      <c r="A504" s="3" t="s">
        <v>6</v>
      </c>
      <c r="B504" s="3" t="s">
        <v>7</v>
      </c>
      <c r="C504" s="3" t="s">
        <v>15</v>
      </c>
    </row>
    <row r="505">
      <c r="A505" s="3" t="s">
        <v>6</v>
      </c>
      <c r="B505" s="3" t="s">
        <v>7</v>
      </c>
      <c r="C505" s="3" t="s">
        <v>8</v>
      </c>
    </row>
    <row r="506">
      <c r="A506" s="3" t="s">
        <v>6</v>
      </c>
      <c r="B506" s="3" t="s">
        <v>15</v>
      </c>
    </row>
    <row r="507">
      <c r="A507" s="3" t="s">
        <v>6</v>
      </c>
      <c r="B507" s="3" t="s">
        <v>7</v>
      </c>
      <c r="C507" s="3" t="s">
        <v>15</v>
      </c>
    </row>
    <row r="508">
      <c r="A508" s="3" t="s">
        <v>6</v>
      </c>
      <c r="B508" s="3" t="s">
        <v>11</v>
      </c>
    </row>
    <row r="509">
      <c r="A509" s="3" t="s">
        <v>6</v>
      </c>
      <c r="B509" s="3" t="s">
        <v>7</v>
      </c>
    </row>
    <row r="510">
      <c r="A510" s="3" t="s">
        <v>6</v>
      </c>
      <c r="B510" s="3" t="s">
        <v>7</v>
      </c>
      <c r="C510" s="3" t="s">
        <v>11</v>
      </c>
    </row>
    <row r="511">
      <c r="A511" s="3" t="s">
        <v>6</v>
      </c>
      <c r="B511" s="3" t="s">
        <v>7</v>
      </c>
      <c r="C511" s="3" t="s">
        <v>8</v>
      </c>
    </row>
    <row r="512">
      <c r="A512" s="3" t="s">
        <v>6</v>
      </c>
      <c r="B512" s="3" t="s">
        <v>7</v>
      </c>
      <c r="C512" s="3" t="s">
        <v>13</v>
      </c>
    </row>
    <row r="513">
      <c r="A513" s="3" t="s">
        <v>6</v>
      </c>
      <c r="B513" s="3" t="s">
        <v>11</v>
      </c>
    </row>
    <row r="514">
      <c r="A514" s="3" t="s">
        <v>6</v>
      </c>
      <c r="B514" s="3" t="s">
        <v>7</v>
      </c>
      <c r="C514" s="3" t="s">
        <v>8</v>
      </c>
    </row>
    <row r="515">
      <c r="A515" s="3" t="s">
        <v>6</v>
      </c>
      <c r="B515" s="3" t="s">
        <v>7</v>
      </c>
      <c r="C515" s="3" t="s">
        <v>15</v>
      </c>
    </row>
    <row r="516">
      <c r="A516" s="3" t="s">
        <v>6</v>
      </c>
      <c r="B516" s="3" t="s">
        <v>13</v>
      </c>
    </row>
    <row r="517">
      <c r="A517" s="3" t="s">
        <v>6</v>
      </c>
      <c r="B517" s="3" t="s">
        <v>15</v>
      </c>
      <c r="C517" s="3" t="s">
        <v>16</v>
      </c>
    </row>
    <row r="518">
      <c r="A518" s="3" t="s">
        <v>6</v>
      </c>
      <c r="B518" s="3" t="s">
        <v>11</v>
      </c>
      <c r="C518" s="3" t="s">
        <v>12</v>
      </c>
    </row>
    <row r="519">
      <c r="A519" s="3" t="s">
        <v>6</v>
      </c>
      <c r="B519" s="3" t="s">
        <v>15</v>
      </c>
      <c r="C519" s="3" t="s">
        <v>16</v>
      </c>
    </row>
    <row r="520">
      <c r="A520" s="3" t="s">
        <v>6</v>
      </c>
      <c r="B520" s="3" t="s">
        <v>7</v>
      </c>
      <c r="C520" s="3" t="s">
        <v>8</v>
      </c>
    </row>
    <row r="521">
      <c r="A521" s="3" t="s">
        <v>6</v>
      </c>
      <c r="B521" s="3" t="s">
        <v>11</v>
      </c>
      <c r="C521" s="3" t="s">
        <v>12</v>
      </c>
    </row>
    <row r="522">
      <c r="A522" s="3" t="s">
        <v>6</v>
      </c>
      <c r="B522" s="3" t="s">
        <v>15</v>
      </c>
    </row>
    <row r="523">
      <c r="A523" s="3" t="s">
        <v>6</v>
      </c>
      <c r="B523" s="3" t="s">
        <v>13</v>
      </c>
      <c r="C523" s="3" t="s">
        <v>14</v>
      </c>
    </row>
    <row r="524">
      <c r="A524" s="3" t="s">
        <v>6</v>
      </c>
      <c r="B524" s="3" t="s">
        <v>7</v>
      </c>
      <c r="C524" s="3" t="s">
        <v>8</v>
      </c>
    </row>
    <row r="525">
      <c r="A525" s="3" t="s">
        <v>6</v>
      </c>
      <c r="B525" s="3" t="s">
        <v>7</v>
      </c>
      <c r="C525" s="3" t="s">
        <v>15</v>
      </c>
    </row>
    <row r="526">
      <c r="A526" s="3" t="s">
        <v>6</v>
      </c>
      <c r="B526" s="3" t="s">
        <v>11</v>
      </c>
      <c r="C526" s="3" t="s">
        <v>15</v>
      </c>
    </row>
    <row r="527">
      <c r="A527" s="3" t="s">
        <v>6</v>
      </c>
      <c r="B527" s="3" t="s">
        <v>11</v>
      </c>
      <c r="C527" s="3" t="s">
        <v>12</v>
      </c>
    </row>
    <row r="528">
      <c r="A528" s="3" t="s">
        <v>609</v>
      </c>
    </row>
    <row r="529">
      <c r="A529" s="3" t="s">
        <v>7</v>
      </c>
      <c r="B529" s="3" t="s">
        <v>8</v>
      </c>
      <c r="C529" s="3" t="s">
        <v>9</v>
      </c>
    </row>
    <row r="530">
      <c r="A530" s="3" t="s">
        <v>7</v>
      </c>
      <c r="B530" s="3" t="s">
        <v>8</v>
      </c>
    </row>
    <row r="531">
      <c r="A531" s="3" t="s">
        <v>7</v>
      </c>
      <c r="B531" s="3" t="s">
        <v>8</v>
      </c>
      <c r="C531" s="3" t="s">
        <v>9</v>
      </c>
    </row>
    <row r="532">
      <c r="A532" s="3" t="s">
        <v>7</v>
      </c>
      <c r="B532" s="3" t="s">
        <v>8</v>
      </c>
      <c r="C532" s="3" t="s">
        <v>17</v>
      </c>
    </row>
    <row r="533">
      <c r="A533" s="3" t="s">
        <v>7</v>
      </c>
      <c r="B533" s="3" t="s">
        <v>8</v>
      </c>
      <c r="C533" s="3" t="s">
        <v>9</v>
      </c>
    </row>
    <row r="534">
      <c r="A534" s="3" t="s">
        <v>7</v>
      </c>
      <c r="B534" s="3" t="s">
        <v>8</v>
      </c>
      <c r="C534" s="3" t="s">
        <v>9</v>
      </c>
    </row>
    <row r="535">
      <c r="A535" s="3" t="s">
        <v>7</v>
      </c>
      <c r="B535" s="3" t="s">
        <v>11</v>
      </c>
      <c r="C535" s="3" t="s">
        <v>17</v>
      </c>
    </row>
    <row r="536">
      <c r="A536" s="3" t="s">
        <v>7</v>
      </c>
      <c r="B536" s="3" t="s">
        <v>8</v>
      </c>
    </row>
    <row r="537">
      <c r="A537" s="3" t="s">
        <v>7</v>
      </c>
      <c r="B537" s="3" t="s">
        <v>11</v>
      </c>
      <c r="C537" s="3" t="s">
        <v>15</v>
      </c>
    </row>
    <row r="538">
      <c r="A538" s="3" t="s">
        <v>7</v>
      </c>
      <c r="B538" s="3" t="s">
        <v>8</v>
      </c>
      <c r="C538" s="3" t="s">
        <v>16</v>
      </c>
    </row>
    <row r="539">
      <c r="A539" s="3" t="s">
        <v>7</v>
      </c>
      <c r="B539" s="3" t="s">
        <v>11</v>
      </c>
      <c r="C539" s="3" t="s">
        <v>15</v>
      </c>
    </row>
    <row r="540">
      <c r="A540" s="3" t="s">
        <v>7</v>
      </c>
      <c r="B540" s="3" t="s">
        <v>8</v>
      </c>
      <c r="C540" s="3" t="s">
        <v>9</v>
      </c>
    </row>
    <row r="541">
      <c r="A541" s="3" t="s">
        <v>7</v>
      </c>
      <c r="B541" s="3" t="s">
        <v>8</v>
      </c>
    </row>
    <row r="542">
      <c r="A542" s="3" t="s">
        <v>7</v>
      </c>
      <c r="B542" s="3" t="s">
        <v>15</v>
      </c>
    </row>
    <row r="543">
      <c r="A543" s="3" t="s">
        <v>7</v>
      </c>
      <c r="B543" s="3" t="s">
        <v>8</v>
      </c>
    </row>
    <row r="544">
      <c r="A544" s="3" t="s">
        <v>7</v>
      </c>
      <c r="B544" s="3" t="s">
        <v>8</v>
      </c>
      <c r="C544" s="3" t="s">
        <v>17</v>
      </c>
    </row>
    <row r="545">
      <c r="A545" s="3" t="s">
        <v>8</v>
      </c>
      <c r="B545" s="3" t="s">
        <v>11</v>
      </c>
      <c r="C545" s="3" t="s">
        <v>12</v>
      </c>
    </row>
    <row r="546">
      <c r="A546" s="3" t="s">
        <v>8</v>
      </c>
      <c r="B546" s="3" t="s">
        <v>17</v>
      </c>
    </row>
    <row r="547">
      <c r="A547" s="3" t="s">
        <v>8</v>
      </c>
      <c r="B547" s="3" t="s">
        <v>12</v>
      </c>
      <c r="C547" s="3" t="s">
        <v>17</v>
      </c>
    </row>
    <row r="548">
      <c r="A548" s="3" t="s">
        <v>8</v>
      </c>
      <c r="B548" s="3" t="s">
        <v>16</v>
      </c>
      <c r="C548" s="3" t="s">
        <v>17</v>
      </c>
    </row>
    <row r="549">
      <c r="A549" s="3" t="s">
        <v>8</v>
      </c>
      <c r="B549" s="3" t="s">
        <v>9</v>
      </c>
      <c r="C549" s="3" t="s">
        <v>10</v>
      </c>
    </row>
    <row r="550">
      <c r="A550" s="3" t="s">
        <v>8</v>
      </c>
      <c r="B550" s="3" t="s">
        <v>16</v>
      </c>
      <c r="C550" s="3" t="s">
        <v>17</v>
      </c>
    </row>
    <row r="551">
      <c r="A551" s="3" t="s">
        <v>8</v>
      </c>
      <c r="B551" s="3" t="s">
        <v>9</v>
      </c>
      <c r="C551" s="3" t="s">
        <v>10</v>
      </c>
    </row>
    <row r="552">
      <c r="A552" s="3" t="s">
        <v>8</v>
      </c>
      <c r="B552" s="3" t="s">
        <v>9</v>
      </c>
      <c r="C552" s="3" t="s">
        <v>10</v>
      </c>
    </row>
    <row r="553">
      <c r="A553" s="3" t="s">
        <v>8</v>
      </c>
      <c r="B553" s="3" t="s">
        <v>9</v>
      </c>
      <c r="C553" s="3" t="s">
        <v>10</v>
      </c>
    </row>
    <row r="554">
      <c r="A554" s="3" t="s">
        <v>8</v>
      </c>
    </row>
    <row r="555">
      <c r="A555" s="3" t="s">
        <v>8</v>
      </c>
      <c r="B555" s="3" t="s">
        <v>9</v>
      </c>
      <c r="C555" s="3" t="s">
        <v>12</v>
      </c>
    </row>
    <row r="556">
      <c r="A556" s="3" t="s">
        <v>8</v>
      </c>
      <c r="B556" s="3" t="s">
        <v>9</v>
      </c>
      <c r="C556" s="3" t="s">
        <v>16</v>
      </c>
    </row>
    <row r="557">
      <c r="A557" s="3" t="s">
        <v>8</v>
      </c>
      <c r="B557" s="3" t="s">
        <v>9</v>
      </c>
      <c r="C557" s="3" t="s">
        <v>10</v>
      </c>
    </row>
    <row r="558">
      <c r="A558" s="3" t="s">
        <v>8</v>
      </c>
      <c r="B558" s="3" t="s">
        <v>9</v>
      </c>
      <c r="C558" s="3" t="s">
        <v>10</v>
      </c>
    </row>
    <row r="559">
      <c r="A559" s="3" t="s">
        <v>8</v>
      </c>
      <c r="B559" s="3" t="s">
        <v>9</v>
      </c>
      <c r="C559" s="3" t="s">
        <v>10</v>
      </c>
    </row>
    <row r="560">
      <c r="A560" s="3" t="s">
        <v>8</v>
      </c>
      <c r="B560" s="3" t="s">
        <v>9</v>
      </c>
      <c r="C560" s="3" t="s">
        <v>10</v>
      </c>
    </row>
    <row r="561">
      <c r="A561" s="3" t="s">
        <v>8</v>
      </c>
      <c r="B561" s="3" t="s">
        <v>12</v>
      </c>
      <c r="C561" s="3" t="s">
        <v>17</v>
      </c>
    </row>
    <row r="562">
      <c r="A562" s="3" t="s">
        <v>8</v>
      </c>
      <c r="B562" s="3" t="s">
        <v>9</v>
      </c>
      <c r="C562" s="3" t="s">
        <v>10</v>
      </c>
    </row>
    <row r="563">
      <c r="A563" s="3" t="s">
        <v>8</v>
      </c>
      <c r="B563" s="3" t="s">
        <v>9</v>
      </c>
      <c r="C563" s="3" t="s">
        <v>10</v>
      </c>
    </row>
    <row r="564">
      <c r="A564" s="3" t="s">
        <v>8</v>
      </c>
      <c r="B564" s="3" t="s">
        <v>9</v>
      </c>
      <c r="C564" s="3" t="s">
        <v>10</v>
      </c>
    </row>
    <row r="565">
      <c r="A565" s="3" t="s">
        <v>8</v>
      </c>
      <c r="B565" s="3" t="s">
        <v>9</v>
      </c>
      <c r="C565" s="3" t="s">
        <v>10</v>
      </c>
    </row>
    <row r="566">
      <c r="A566" s="3" t="s">
        <v>8</v>
      </c>
      <c r="B566" s="3" t="s">
        <v>11</v>
      </c>
      <c r="C566" s="3" t="s">
        <v>12</v>
      </c>
    </row>
    <row r="567">
      <c r="A567" s="3" t="s">
        <v>8</v>
      </c>
      <c r="B567" s="3" t="s">
        <v>9</v>
      </c>
      <c r="C567" s="3" t="s">
        <v>10</v>
      </c>
    </row>
    <row r="568">
      <c r="A568" s="3" t="s">
        <v>8</v>
      </c>
      <c r="B568" s="3" t="s">
        <v>9</v>
      </c>
      <c r="C568" s="3" t="s">
        <v>10</v>
      </c>
    </row>
    <row r="569">
      <c r="A569" s="3" t="s">
        <v>9</v>
      </c>
      <c r="B569" s="3" t="s">
        <v>10</v>
      </c>
    </row>
    <row r="570">
      <c r="A570" s="3" t="s">
        <v>9</v>
      </c>
      <c r="B570" s="3" t="s">
        <v>10</v>
      </c>
      <c r="C570" s="3" t="s">
        <v>18</v>
      </c>
    </row>
    <row r="571">
      <c r="A571" s="3" t="s">
        <v>9</v>
      </c>
      <c r="B571" s="3" t="s">
        <v>10</v>
      </c>
      <c r="C571" s="3" t="s">
        <v>18</v>
      </c>
    </row>
    <row r="572">
      <c r="A572" s="3" t="s">
        <v>9</v>
      </c>
      <c r="B572" s="3" t="s">
        <v>10</v>
      </c>
      <c r="C572" s="3" t="s">
        <v>18</v>
      </c>
    </row>
    <row r="573">
      <c r="A573" s="3" t="s">
        <v>9</v>
      </c>
      <c r="B573" s="3" t="s">
        <v>10</v>
      </c>
    </row>
    <row r="574">
      <c r="A574" s="3" t="s">
        <v>9</v>
      </c>
      <c r="B574" s="3" t="s">
        <v>10</v>
      </c>
    </row>
    <row r="575">
      <c r="A575" s="3" t="s">
        <v>9</v>
      </c>
      <c r="B575" s="3" t="s">
        <v>10</v>
      </c>
    </row>
    <row r="576">
      <c r="A576" s="3" t="s">
        <v>9</v>
      </c>
      <c r="B576" s="3" t="s">
        <v>12</v>
      </c>
      <c r="C576" s="3" t="s">
        <v>18</v>
      </c>
    </row>
    <row r="577">
      <c r="A577" s="3" t="s">
        <v>9</v>
      </c>
      <c r="B577" s="3" t="s">
        <v>10</v>
      </c>
    </row>
    <row r="578">
      <c r="A578" s="3" t="s">
        <v>9</v>
      </c>
      <c r="B578" s="3" t="s">
        <v>10</v>
      </c>
      <c r="C578" s="3" t="s">
        <v>18</v>
      </c>
    </row>
    <row r="579">
      <c r="A579" s="3" t="s">
        <v>9</v>
      </c>
      <c r="B579" s="3" t="s">
        <v>15</v>
      </c>
      <c r="C579" s="3" t="s">
        <v>16</v>
      </c>
    </row>
    <row r="580">
      <c r="A580" s="3" t="s">
        <v>9</v>
      </c>
      <c r="B580" s="3" t="s">
        <v>10</v>
      </c>
      <c r="C580" s="3" t="s">
        <v>18</v>
      </c>
    </row>
    <row r="581">
      <c r="A581" s="3" t="s">
        <v>9</v>
      </c>
      <c r="B581" s="3" t="s">
        <v>10</v>
      </c>
    </row>
    <row r="582">
      <c r="A582" s="3" t="s">
        <v>9</v>
      </c>
      <c r="B582" s="3" t="s">
        <v>10</v>
      </c>
      <c r="C582" s="3" t="s">
        <v>18</v>
      </c>
    </row>
    <row r="583">
      <c r="A583" s="3" t="s">
        <v>9</v>
      </c>
      <c r="B583" s="3" t="s">
        <v>10</v>
      </c>
      <c r="C583" s="3" t="s">
        <v>18</v>
      </c>
    </row>
    <row r="584">
      <c r="A584" s="3" t="s">
        <v>9</v>
      </c>
      <c r="B584" s="3" t="s">
        <v>10</v>
      </c>
    </row>
    <row r="585">
      <c r="A585" s="3" t="s">
        <v>9</v>
      </c>
      <c r="B585" s="3" t="s">
        <v>15</v>
      </c>
      <c r="C585" s="3" t="s">
        <v>16</v>
      </c>
    </row>
    <row r="586">
      <c r="A586" s="3" t="s">
        <v>9</v>
      </c>
      <c r="B586" s="3" t="s">
        <v>10</v>
      </c>
      <c r="C586" s="3" t="s">
        <v>18</v>
      </c>
    </row>
    <row r="587">
      <c r="A587" s="3" t="s">
        <v>9</v>
      </c>
      <c r="B587" s="3" t="s">
        <v>10</v>
      </c>
      <c r="C587" s="3" t="s">
        <v>18</v>
      </c>
    </row>
    <row r="588">
      <c r="A588" s="3" t="s">
        <v>9</v>
      </c>
      <c r="B588" s="3" t="s">
        <v>10</v>
      </c>
    </row>
    <row r="589">
      <c r="A589" s="3" t="s">
        <v>9</v>
      </c>
      <c r="B589" s="3" t="s">
        <v>16</v>
      </c>
      <c r="C589" s="3" t="s">
        <v>18</v>
      </c>
    </row>
    <row r="590">
      <c r="A590" s="3" t="s">
        <v>9</v>
      </c>
      <c r="B590" s="3" t="s">
        <v>10</v>
      </c>
    </row>
    <row r="591">
      <c r="A591" s="3" t="s">
        <v>9</v>
      </c>
      <c r="B591" s="3" t="s">
        <v>10</v>
      </c>
    </row>
    <row r="592">
      <c r="A592" s="3" t="s">
        <v>9</v>
      </c>
      <c r="B592" s="3" t="s">
        <v>10</v>
      </c>
    </row>
    <row r="593">
      <c r="A593" s="3" t="s">
        <v>9</v>
      </c>
      <c r="B593" s="3" t="s">
        <v>10</v>
      </c>
    </row>
    <row r="594">
      <c r="A594" s="3" t="s">
        <v>9</v>
      </c>
      <c r="B594" s="3" t="s">
        <v>10</v>
      </c>
    </row>
    <row r="595">
      <c r="A595" s="3" t="s">
        <v>9</v>
      </c>
      <c r="B595" s="3" t="s">
        <v>16</v>
      </c>
      <c r="C595" s="3" t="s">
        <v>18</v>
      </c>
    </row>
    <row r="596">
      <c r="A596" s="3" t="s">
        <v>9</v>
      </c>
    </row>
    <row r="597">
      <c r="A597" s="3" t="s">
        <v>9</v>
      </c>
      <c r="B597" s="3" t="s">
        <v>18</v>
      </c>
    </row>
    <row r="598">
      <c r="A598" s="3" t="s">
        <v>10</v>
      </c>
    </row>
    <row r="599">
      <c r="A599" s="3" t="s">
        <v>11</v>
      </c>
      <c r="B599" s="3" t="s">
        <v>12</v>
      </c>
      <c r="C599" s="3" t="s">
        <v>17</v>
      </c>
    </row>
    <row r="600">
      <c r="A600" s="3" t="s">
        <v>11</v>
      </c>
      <c r="B600" s="3" t="s">
        <v>12</v>
      </c>
    </row>
    <row r="601">
      <c r="A601" s="3" t="s">
        <v>11</v>
      </c>
      <c r="B601" s="3" t="s">
        <v>12</v>
      </c>
    </row>
    <row r="602">
      <c r="A602" s="3" t="s">
        <v>11</v>
      </c>
      <c r="B602" s="3" t="s">
        <v>16</v>
      </c>
      <c r="C602" s="3" t="s">
        <v>17</v>
      </c>
    </row>
    <row r="603">
      <c r="A603" s="3" t="s">
        <v>11</v>
      </c>
      <c r="B603" s="3" t="s">
        <v>12</v>
      </c>
      <c r="C603" s="3" t="s">
        <v>15</v>
      </c>
    </row>
    <row r="604">
      <c r="A604" s="3" t="s">
        <v>11</v>
      </c>
      <c r="B604" s="3" t="s">
        <v>12</v>
      </c>
    </row>
    <row r="605">
      <c r="A605" s="3" t="s">
        <v>11</v>
      </c>
      <c r="B605" s="3" t="s">
        <v>12</v>
      </c>
    </row>
    <row r="606">
      <c r="A606" s="3" t="s">
        <v>11</v>
      </c>
      <c r="B606" s="3" t="s">
        <v>12</v>
      </c>
    </row>
    <row r="607">
      <c r="A607" s="3" t="s">
        <v>11</v>
      </c>
      <c r="B607" s="3" t="s">
        <v>12</v>
      </c>
    </row>
    <row r="608">
      <c r="A608" s="3" t="s">
        <v>11</v>
      </c>
      <c r="B608" s="3" t="s">
        <v>15</v>
      </c>
    </row>
    <row r="609">
      <c r="A609" s="3" t="s">
        <v>11</v>
      </c>
      <c r="B609" s="3" t="s">
        <v>12</v>
      </c>
    </row>
    <row r="610">
      <c r="A610" s="3" t="s">
        <v>11</v>
      </c>
      <c r="B610" s="3" t="s">
        <v>12</v>
      </c>
    </row>
    <row r="611">
      <c r="A611" s="3" t="s">
        <v>11</v>
      </c>
      <c r="B611" s="3" t="s">
        <v>12</v>
      </c>
      <c r="C611" s="3" t="s">
        <v>17</v>
      </c>
    </row>
    <row r="612">
      <c r="A612" s="3" t="s">
        <v>11</v>
      </c>
      <c r="B612" s="3" t="s">
        <v>15</v>
      </c>
      <c r="C612" s="3" t="s">
        <v>16</v>
      </c>
    </row>
    <row r="613">
      <c r="A613" s="3" t="s">
        <v>11</v>
      </c>
      <c r="B613" s="3" t="s">
        <v>12</v>
      </c>
    </row>
    <row r="614">
      <c r="A614" s="3" t="s">
        <v>11</v>
      </c>
      <c r="B614" s="3" t="s">
        <v>12</v>
      </c>
    </row>
    <row r="615">
      <c r="A615" s="3" t="s">
        <v>11</v>
      </c>
      <c r="B615" s="3" t="s">
        <v>12</v>
      </c>
    </row>
    <row r="616">
      <c r="A616" s="3" t="s">
        <v>11</v>
      </c>
      <c r="B616" s="3" t="s">
        <v>12</v>
      </c>
    </row>
    <row r="617">
      <c r="A617" s="3" t="s">
        <v>11</v>
      </c>
      <c r="B617" s="3" t="s">
        <v>12</v>
      </c>
    </row>
    <row r="618">
      <c r="A618" s="3" t="s">
        <v>11</v>
      </c>
      <c r="B618" s="3" t="s">
        <v>12</v>
      </c>
    </row>
    <row r="619">
      <c r="A619" s="3" t="s">
        <v>11</v>
      </c>
      <c r="B619" s="3" t="s">
        <v>12</v>
      </c>
      <c r="C619" s="3" t="s">
        <v>17</v>
      </c>
    </row>
    <row r="620">
      <c r="A620" s="3" t="s">
        <v>11</v>
      </c>
      <c r="B620" s="3" t="s">
        <v>12</v>
      </c>
      <c r="C620" s="3" t="s">
        <v>17</v>
      </c>
    </row>
    <row r="621">
      <c r="A621" s="3" t="s">
        <v>11</v>
      </c>
      <c r="B621" s="3" t="s">
        <v>12</v>
      </c>
    </row>
    <row r="622">
      <c r="A622" s="3" t="s">
        <v>11</v>
      </c>
      <c r="B622" s="3" t="s">
        <v>12</v>
      </c>
    </row>
    <row r="623">
      <c r="A623" s="3" t="s">
        <v>11</v>
      </c>
      <c r="B623" s="3" t="s">
        <v>12</v>
      </c>
    </row>
    <row r="624">
      <c r="A624" s="3" t="s">
        <v>11</v>
      </c>
      <c r="B624" s="3" t="s">
        <v>15</v>
      </c>
    </row>
    <row r="625">
      <c r="A625" s="3" t="s">
        <v>12</v>
      </c>
      <c r="B625" s="3" t="s">
        <v>17</v>
      </c>
      <c r="C625" s="3" t="s">
        <v>18</v>
      </c>
    </row>
    <row r="626">
      <c r="A626" s="3" t="s">
        <v>12</v>
      </c>
      <c r="B626" s="3" t="s">
        <v>17</v>
      </c>
      <c r="C626" s="3" t="s">
        <v>18</v>
      </c>
    </row>
    <row r="627">
      <c r="A627" s="3" t="s">
        <v>12</v>
      </c>
      <c r="B627" s="3" t="s">
        <v>18</v>
      </c>
    </row>
    <row r="628">
      <c r="A628" s="3" t="s">
        <v>12</v>
      </c>
      <c r="B628" s="3" t="s">
        <v>17</v>
      </c>
      <c r="C628" s="3" t="s">
        <v>18</v>
      </c>
    </row>
    <row r="629">
      <c r="A629" s="3" t="s">
        <v>12</v>
      </c>
      <c r="B629" s="3" t="s">
        <v>17</v>
      </c>
      <c r="C629" s="3" t="s">
        <v>18</v>
      </c>
    </row>
    <row r="630">
      <c r="A630" s="3" t="s">
        <v>12</v>
      </c>
      <c r="B630" s="3" t="s">
        <v>17</v>
      </c>
      <c r="C630" s="3" t="s">
        <v>18</v>
      </c>
    </row>
    <row r="631">
      <c r="A631" s="3" t="s">
        <v>12</v>
      </c>
      <c r="B631" s="3" t="s">
        <v>17</v>
      </c>
      <c r="C631" s="3" t="s">
        <v>18</v>
      </c>
    </row>
    <row r="632">
      <c r="A632" s="3" t="s">
        <v>12</v>
      </c>
      <c r="B632" s="3" t="s">
        <v>17</v>
      </c>
      <c r="C632" s="3" t="s">
        <v>18</v>
      </c>
    </row>
    <row r="633">
      <c r="A633" s="3" t="s">
        <v>13</v>
      </c>
      <c r="B633" s="3" t="s">
        <v>14</v>
      </c>
      <c r="C633" s="3" t="s">
        <v>17</v>
      </c>
    </row>
    <row r="634">
      <c r="A634" s="3" t="s">
        <v>13</v>
      </c>
      <c r="B634" s="3" t="s">
        <v>14</v>
      </c>
    </row>
    <row r="635">
      <c r="A635" s="3" t="s">
        <v>13</v>
      </c>
      <c r="B635" s="3" t="s">
        <v>14</v>
      </c>
    </row>
    <row r="636">
      <c r="A636" s="3" t="s">
        <v>13</v>
      </c>
      <c r="B636" s="3" t="s">
        <v>14</v>
      </c>
    </row>
    <row r="637">
      <c r="A637" s="3" t="s">
        <v>13</v>
      </c>
      <c r="B637" s="3" t="s">
        <v>14</v>
      </c>
    </row>
    <row r="638">
      <c r="A638" s="3" t="s">
        <v>13</v>
      </c>
      <c r="B638" s="3" t="s">
        <v>14</v>
      </c>
      <c r="C638" s="3" t="s">
        <v>17</v>
      </c>
    </row>
    <row r="639">
      <c r="A639" s="3" t="s">
        <v>13</v>
      </c>
      <c r="B639" s="3" t="s">
        <v>14</v>
      </c>
    </row>
    <row r="640">
      <c r="A640" s="3" t="s">
        <v>13</v>
      </c>
      <c r="B640" s="3" t="s">
        <v>14</v>
      </c>
    </row>
    <row r="641">
      <c r="A641" s="3" t="s">
        <v>13</v>
      </c>
      <c r="B641" s="3" t="s">
        <v>14</v>
      </c>
    </row>
    <row r="642">
      <c r="A642" s="3" t="s">
        <v>13</v>
      </c>
      <c r="B642" s="3" t="s">
        <v>14</v>
      </c>
    </row>
    <row r="643">
      <c r="A643" s="3" t="s">
        <v>13</v>
      </c>
      <c r="B643" s="3" t="s">
        <v>14</v>
      </c>
    </row>
    <row r="644">
      <c r="A644" s="3" t="s">
        <v>13</v>
      </c>
      <c r="B644" s="3" t="s">
        <v>14</v>
      </c>
    </row>
    <row r="645">
      <c r="A645" s="3" t="s">
        <v>13</v>
      </c>
      <c r="B645" s="3" t="s">
        <v>14</v>
      </c>
    </row>
    <row r="646">
      <c r="A646" s="3" t="s">
        <v>13</v>
      </c>
      <c r="B646" s="3" t="s">
        <v>14</v>
      </c>
    </row>
    <row r="647">
      <c r="A647" s="3" t="s">
        <v>13</v>
      </c>
      <c r="B647" s="3" t="s">
        <v>14</v>
      </c>
      <c r="C647" s="3" t="s">
        <v>17</v>
      </c>
    </row>
    <row r="648">
      <c r="A648" s="3" t="s">
        <v>13</v>
      </c>
      <c r="B648" s="3" t="s">
        <v>14</v>
      </c>
      <c r="C648" s="3" t="s">
        <v>17</v>
      </c>
    </row>
    <row r="649">
      <c r="A649" s="3" t="s">
        <v>13</v>
      </c>
      <c r="B649" s="3" t="s">
        <v>14</v>
      </c>
    </row>
    <row r="650">
      <c r="A650" s="3" t="s">
        <v>13</v>
      </c>
      <c r="B650" s="3" t="s">
        <v>14</v>
      </c>
    </row>
    <row r="651">
      <c r="A651" s="3" t="s">
        <v>13</v>
      </c>
    </row>
    <row r="652">
      <c r="A652" s="3" t="s">
        <v>13</v>
      </c>
      <c r="B652" s="3" t="s">
        <v>14</v>
      </c>
    </row>
    <row r="653">
      <c r="A653" s="3" t="s">
        <v>13</v>
      </c>
      <c r="B653" s="3" t="s">
        <v>14</v>
      </c>
    </row>
    <row r="654">
      <c r="A654" s="3" t="s">
        <v>13</v>
      </c>
      <c r="B654" s="3" t="s">
        <v>14</v>
      </c>
    </row>
    <row r="655">
      <c r="A655" s="3" t="s">
        <v>13</v>
      </c>
      <c r="B655" s="3" t="s">
        <v>14</v>
      </c>
    </row>
    <row r="656">
      <c r="A656" s="3" t="s">
        <v>13</v>
      </c>
      <c r="B656" s="3" t="s">
        <v>14</v>
      </c>
    </row>
    <row r="657">
      <c r="A657" s="3" t="s">
        <v>13</v>
      </c>
      <c r="B657" s="3" t="s">
        <v>14</v>
      </c>
    </row>
    <row r="658">
      <c r="A658" s="3" t="s">
        <v>13</v>
      </c>
    </row>
    <row r="659">
      <c r="A659" s="3" t="s">
        <v>13</v>
      </c>
      <c r="B659" s="3" t="s">
        <v>14</v>
      </c>
      <c r="C659" s="3" t="s">
        <v>17</v>
      </c>
    </row>
    <row r="660">
      <c r="A660" s="3" t="s">
        <v>13</v>
      </c>
      <c r="B660" s="3" t="s">
        <v>14</v>
      </c>
    </row>
    <row r="661">
      <c r="A661" s="3" t="s">
        <v>13</v>
      </c>
      <c r="B661" s="3" t="s">
        <v>14</v>
      </c>
    </row>
    <row r="662">
      <c r="A662" s="3" t="s">
        <v>13</v>
      </c>
      <c r="B662" s="3" t="s">
        <v>14</v>
      </c>
      <c r="C662" s="3" t="s">
        <v>17</v>
      </c>
    </row>
    <row r="663">
      <c r="A663" s="3" t="s">
        <v>13</v>
      </c>
      <c r="B663" s="3" t="s">
        <v>14</v>
      </c>
    </row>
    <row r="664">
      <c r="A664" s="3" t="s">
        <v>13</v>
      </c>
      <c r="B664" s="3" t="s">
        <v>14</v>
      </c>
    </row>
    <row r="665">
      <c r="A665" s="3" t="s">
        <v>13</v>
      </c>
      <c r="B665" s="3" t="s">
        <v>14</v>
      </c>
    </row>
    <row r="666">
      <c r="A666" s="3" t="s">
        <v>13</v>
      </c>
      <c r="B666" s="3" t="s">
        <v>14</v>
      </c>
    </row>
    <row r="667">
      <c r="A667" s="3" t="s">
        <v>13</v>
      </c>
      <c r="B667" s="3" t="s">
        <v>14</v>
      </c>
    </row>
    <row r="668">
      <c r="A668" s="3" t="s">
        <v>13</v>
      </c>
      <c r="B668" s="3" t="s">
        <v>14</v>
      </c>
    </row>
    <row r="669">
      <c r="A669" s="3" t="s">
        <v>13</v>
      </c>
      <c r="B669" s="3" t="s">
        <v>14</v>
      </c>
      <c r="C669" s="3" t="s">
        <v>17</v>
      </c>
    </row>
    <row r="670">
      <c r="A670" s="3" t="s">
        <v>13</v>
      </c>
      <c r="B670" s="3" t="s">
        <v>14</v>
      </c>
    </row>
    <row r="671">
      <c r="A671" s="3" t="s">
        <v>13</v>
      </c>
      <c r="B671" s="3" t="s">
        <v>14</v>
      </c>
    </row>
    <row r="672">
      <c r="A672" s="3" t="s">
        <v>13</v>
      </c>
      <c r="B672" s="3" t="s">
        <v>14</v>
      </c>
      <c r="C672" s="3" t="s">
        <v>17</v>
      </c>
    </row>
    <row r="673">
      <c r="A673" s="3" t="s">
        <v>13</v>
      </c>
      <c r="B673" s="3" t="s">
        <v>14</v>
      </c>
      <c r="C673" s="3" t="s">
        <v>17</v>
      </c>
    </row>
    <row r="674">
      <c r="A674" s="3" t="s">
        <v>13</v>
      </c>
      <c r="B674" s="3" t="s">
        <v>14</v>
      </c>
      <c r="C674" s="3" t="s">
        <v>17</v>
      </c>
    </row>
    <row r="675">
      <c r="A675" s="3" t="s">
        <v>14</v>
      </c>
      <c r="B675" s="3" t="s">
        <v>17</v>
      </c>
      <c r="C675" s="3" t="s">
        <v>18</v>
      </c>
    </row>
    <row r="676">
      <c r="A676" s="3" t="s">
        <v>14</v>
      </c>
      <c r="B676" s="3" t="s">
        <v>17</v>
      </c>
      <c r="C676" s="3" t="s">
        <v>18</v>
      </c>
    </row>
    <row r="677">
      <c r="A677" s="3" t="s">
        <v>14</v>
      </c>
      <c r="B677" s="3" t="s">
        <v>17</v>
      </c>
      <c r="C677" s="3" t="s">
        <v>18</v>
      </c>
    </row>
    <row r="678">
      <c r="A678" s="3" t="s">
        <v>14</v>
      </c>
      <c r="B678" s="3" t="s">
        <v>17</v>
      </c>
      <c r="C678" s="3" t="s">
        <v>18</v>
      </c>
    </row>
    <row r="679">
      <c r="A679" s="3" t="s">
        <v>14</v>
      </c>
      <c r="B679" s="3" t="s">
        <v>17</v>
      </c>
      <c r="C679" s="3" t="s">
        <v>18</v>
      </c>
    </row>
    <row r="680">
      <c r="A680" s="3" t="s">
        <v>14</v>
      </c>
      <c r="B680" s="3" t="s">
        <v>17</v>
      </c>
      <c r="C680" s="3" t="s">
        <v>18</v>
      </c>
    </row>
    <row r="681">
      <c r="A681" s="3" t="s">
        <v>15</v>
      </c>
      <c r="B681" s="3" t="s">
        <v>16</v>
      </c>
      <c r="C681" s="3" t="s">
        <v>17</v>
      </c>
    </row>
    <row r="682">
      <c r="A682" s="3" t="s">
        <v>15</v>
      </c>
      <c r="B682" s="3" t="s">
        <v>16</v>
      </c>
      <c r="C682" s="3" t="s">
        <v>17</v>
      </c>
    </row>
    <row r="683">
      <c r="A683" s="3" t="s">
        <v>15</v>
      </c>
      <c r="B683" s="3" t="s">
        <v>16</v>
      </c>
    </row>
    <row r="684">
      <c r="A684" s="3" t="s">
        <v>15</v>
      </c>
      <c r="B684" s="3" t="s">
        <v>16</v>
      </c>
    </row>
    <row r="685">
      <c r="A685" s="3" t="s">
        <v>15</v>
      </c>
      <c r="B685" s="3" t="s">
        <v>16</v>
      </c>
    </row>
    <row r="686">
      <c r="A686" s="3" t="s">
        <v>15</v>
      </c>
      <c r="B686" s="3" t="s">
        <v>16</v>
      </c>
      <c r="C686" s="3" t="s">
        <v>17</v>
      </c>
    </row>
    <row r="687">
      <c r="A687" s="3" t="s">
        <v>15</v>
      </c>
      <c r="B687" s="3" t="s">
        <v>16</v>
      </c>
    </row>
    <row r="688">
      <c r="A688" s="3" t="s">
        <v>15</v>
      </c>
      <c r="B688" s="3" t="s">
        <v>16</v>
      </c>
      <c r="C688" s="3" t="s">
        <v>17</v>
      </c>
    </row>
    <row r="689">
      <c r="A689" s="3" t="s">
        <v>15</v>
      </c>
      <c r="B689" s="3" t="s">
        <v>16</v>
      </c>
    </row>
    <row r="690">
      <c r="A690" s="3" t="s">
        <v>15</v>
      </c>
      <c r="B690" s="3" t="s">
        <v>16</v>
      </c>
    </row>
    <row r="691">
      <c r="A691" s="3" t="s">
        <v>15</v>
      </c>
      <c r="B691" s="3" t="s">
        <v>16</v>
      </c>
    </row>
    <row r="692">
      <c r="A692" s="3" t="s">
        <v>15</v>
      </c>
      <c r="B692" s="3" t="s">
        <v>16</v>
      </c>
    </row>
    <row r="693">
      <c r="A693" s="3" t="s">
        <v>15</v>
      </c>
      <c r="B693" s="3" t="s">
        <v>16</v>
      </c>
      <c r="C693" s="3" t="s">
        <v>17</v>
      </c>
    </row>
    <row r="694">
      <c r="A694" s="3" t="s">
        <v>15</v>
      </c>
      <c r="B694" s="3" t="s">
        <v>16</v>
      </c>
      <c r="C694" s="3" t="s">
        <v>17</v>
      </c>
    </row>
    <row r="695">
      <c r="A695" s="3" t="s">
        <v>15</v>
      </c>
      <c r="B695" s="3" t="s">
        <v>16</v>
      </c>
    </row>
    <row r="696">
      <c r="A696" s="3" t="s">
        <v>15</v>
      </c>
      <c r="B696" s="3" t="s">
        <v>16</v>
      </c>
    </row>
    <row r="697">
      <c r="A697" s="3" t="s">
        <v>15</v>
      </c>
      <c r="B697" s="3" t="s">
        <v>16</v>
      </c>
    </row>
    <row r="698">
      <c r="A698" s="3" t="s">
        <v>15</v>
      </c>
      <c r="B698" s="3" t="s">
        <v>16</v>
      </c>
    </row>
    <row r="699">
      <c r="A699" s="3" t="s">
        <v>15</v>
      </c>
      <c r="B699" s="3" t="s">
        <v>16</v>
      </c>
    </row>
    <row r="700">
      <c r="A700" s="3" t="s">
        <v>16</v>
      </c>
      <c r="B700" s="3" t="s">
        <v>17</v>
      </c>
      <c r="C700" s="3" t="s">
        <v>18</v>
      </c>
    </row>
    <row r="701">
      <c r="A701" s="3" t="s">
        <v>16</v>
      </c>
      <c r="B701" s="3" t="s">
        <v>17</v>
      </c>
      <c r="C701" s="3" t="s">
        <v>18</v>
      </c>
    </row>
    <row r="702">
      <c r="A702" s="3" t="s">
        <v>16</v>
      </c>
      <c r="B702" s="3" t="s">
        <v>17</v>
      </c>
      <c r="C702" s="3" t="s">
        <v>18</v>
      </c>
    </row>
    <row r="703">
      <c r="A703" s="3" t="s">
        <v>16</v>
      </c>
    </row>
    <row r="704">
      <c r="A704" s="3" t="s">
        <v>16</v>
      </c>
      <c r="B704" s="3" t="s">
        <v>18</v>
      </c>
    </row>
    <row r="705">
      <c r="A705" s="3" t="s">
        <v>16</v>
      </c>
      <c r="B705" s="3" t="s">
        <v>17</v>
      </c>
      <c r="C705" s="3" t="s">
        <v>18</v>
      </c>
    </row>
    <row r="706">
      <c r="A706" s="3" t="s">
        <v>16</v>
      </c>
      <c r="B706" s="3" t="s">
        <v>17</v>
      </c>
      <c r="C706" s="3" t="s">
        <v>18</v>
      </c>
    </row>
    <row r="707">
      <c r="A707" s="3" t="s">
        <v>16</v>
      </c>
      <c r="B707" s="3" t="s">
        <v>17</v>
      </c>
    </row>
    <row r="708">
      <c r="A708" s="3" t="s">
        <v>16</v>
      </c>
      <c r="B708" s="3" t="s">
        <v>17</v>
      </c>
      <c r="C708" s="3" t="s">
        <v>18</v>
      </c>
    </row>
    <row r="709">
      <c r="A709" s="3" t="s">
        <v>6</v>
      </c>
      <c r="B709" s="3" t="s">
        <v>7</v>
      </c>
      <c r="C709" s="3" t="s">
        <v>15</v>
      </c>
    </row>
    <row r="710">
      <c r="A710" s="3" t="s">
        <v>6</v>
      </c>
      <c r="B710" s="3" t="s">
        <v>7</v>
      </c>
      <c r="C710" s="3" t="s">
        <v>8</v>
      </c>
    </row>
    <row r="711">
      <c r="A711" s="3" t="s">
        <v>6</v>
      </c>
      <c r="B711" s="3" t="s">
        <v>7</v>
      </c>
    </row>
    <row r="712">
      <c r="A712" s="3" t="s">
        <v>6</v>
      </c>
      <c r="B712" s="3" t="s">
        <v>7</v>
      </c>
    </row>
    <row r="713">
      <c r="A713" s="3" t="s">
        <v>6</v>
      </c>
      <c r="B713" s="3" t="s">
        <v>7</v>
      </c>
    </row>
    <row r="714">
      <c r="A714" s="3" t="s">
        <v>6</v>
      </c>
      <c r="B714" s="3" t="s">
        <v>7</v>
      </c>
      <c r="C714" s="3" t="s">
        <v>15</v>
      </c>
    </row>
    <row r="715">
      <c r="A715" s="3" t="s">
        <v>6</v>
      </c>
      <c r="B715" s="3" t="s">
        <v>7</v>
      </c>
      <c r="C715" s="3" t="s">
        <v>8</v>
      </c>
    </row>
    <row r="716">
      <c r="A716" s="3" t="s">
        <v>6</v>
      </c>
      <c r="B716" s="3" t="s">
        <v>7</v>
      </c>
    </row>
    <row r="717">
      <c r="A717" s="3" t="s">
        <v>6</v>
      </c>
      <c r="B717" s="3" t="s">
        <v>7</v>
      </c>
      <c r="C717" s="3" t="s">
        <v>15</v>
      </c>
    </row>
    <row r="718">
      <c r="A718" s="3" t="s">
        <v>6</v>
      </c>
      <c r="B718" s="3" t="s">
        <v>7</v>
      </c>
      <c r="C718" s="3" t="s">
        <v>15</v>
      </c>
    </row>
    <row r="719">
      <c r="A719" s="3" t="s">
        <v>6</v>
      </c>
      <c r="B719" s="3" t="s">
        <v>7</v>
      </c>
    </row>
    <row r="720">
      <c r="A720" s="3" t="s">
        <v>6</v>
      </c>
      <c r="B720" s="3" t="s">
        <v>7</v>
      </c>
    </row>
    <row r="721">
      <c r="A721" s="3" t="s">
        <v>6</v>
      </c>
      <c r="B721" s="3" t="s">
        <v>7</v>
      </c>
    </row>
    <row r="722">
      <c r="A722" s="3" t="s">
        <v>6</v>
      </c>
      <c r="B722" s="3" t="s">
        <v>7</v>
      </c>
      <c r="C722" s="3" t="s">
        <v>11</v>
      </c>
    </row>
    <row r="723">
      <c r="A723" s="3" t="s">
        <v>6</v>
      </c>
      <c r="B723" s="3" t="s">
        <v>7</v>
      </c>
      <c r="C723" s="3" t="s">
        <v>11</v>
      </c>
    </row>
    <row r="724">
      <c r="A724" s="3" t="s">
        <v>6</v>
      </c>
      <c r="B724" s="3" t="s">
        <v>7</v>
      </c>
      <c r="C724" s="3" t="s">
        <v>11</v>
      </c>
    </row>
    <row r="725">
      <c r="A725" s="3" t="s">
        <v>6</v>
      </c>
      <c r="B725" s="3" t="s">
        <v>11</v>
      </c>
      <c r="C725" s="3" t="s">
        <v>15</v>
      </c>
    </row>
    <row r="726">
      <c r="A726" s="3" t="s">
        <v>6</v>
      </c>
      <c r="B726" s="3" t="s">
        <v>7</v>
      </c>
      <c r="C726" s="3" t="s">
        <v>15</v>
      </c>
    </row>
    <row r="727">
      <c r="A727" s="3" t="s">
        <v>6</v>
      </c>
      <c r="B727" s="3" t="s">
        <v>7</v>
      </c>
      <c r="C727" s="3" t="s">
        <v>8</v>
      </c>
    </row>
    <row r="728">
      <c r="A728" s="3" t="s">
        <v>6</v>
      </c>
      <c r="B728" s="3" t="s">
        <v>7</v>
      </c>
      <c r="C728" s="3" t="s">
        <v>15</v>
      </c>
    </row>
    <row r="729">
      <c r="A729" s="3" t="s">
        <v>6</v>
      </c>
      <c r="B729" s="3" t="s">
        <v>7</v>
      </c>
      <c r="C729" s="3" t="s">
        <v>15</v>
      </c>
    </row>
    <row r="730">
      <c r="A730" s="3" t="s">
        <v>6</v>
      </c>
      <c r="B730" s="3" t="s">
        <v>7</v>
      </c>
      <c r="C730" s="3" t="s">
        <v>15</v>
      </c>
    </row>
    <row r="731">
      <c r="A731" s="3" t="s">
        <v>6</v>
      </c>
      <c r="B731" s="3" t="s">
        <v>7</v>
      </c>
    </row>
    <row r="732">
      <c r="A732" s="3" t="s">
        <v>6</v>
      </c>
      <c r="B732" s="3" t="s">
        <v>8</v>
      </c>
      <c r="C732" s="3" t="s">
        <v>12</v>
      </c>
    </row>
    <row r="733">
      <c r="A733" s="3" t="s">
        <v>6</v>
      </c>
      <c r="B733" s="3" t="s">
        <v>11</v>
      </c>
      <c r="C733" s="3" t="s">
        <v>15</v>
      </c>
    </row>
    <row r="734">
      <c r="A734" s="3" t="s">
        <v>6</v>
      </c>
      <c r="B734" s="3" t="s">
        <v>13</v>
      </c>
      <c r="C734" s="3" t="s">
        <v>14</v>
      </c>
    </row>
    <row r="735">
      <c r="A735" s="3" t="s">
        <v>6</v>
      </c>
      <c r="B735" s="3" t="s">
        <v>15</v>
      </c>
      <c r="C735" s="3" t="s">
        <v>16</v>
      </c>
    </row>
    <row r="736">
      <c r="A736" s="3" t="s">
        <v>6</v>
      </c>
      <c r="B736" s="3" t="s">
        <v>7</v>
      </c>
    </row>
    <row r="737">
      <c r="A737" s="3" t="s">
        <v>6</v>
      </c>
      <c r="B737" s="3" t="s">
        <v>7</v>
      </c>
      <c r="C737" s="3" t="s">
        <v>8</v>
      </c>
    </row>
    <row r="738">
      <c r="A738" s="3" t="s">
        <v>6</v>
      </c>
      <c r="B738" s="3" t="s">
        <v>8</v>
      </c>
    </row>
    <row r="739">
      <c r="A739" s="3" t="s">
        <v>6</v>
      </c>
      <c r="B739" s="3" t="s">
        <v>7</v>
      </c>
      <c r="C739" s="3" t="s">
        <v>15</v>
      </c>
    </row>
    <row r="740">
      <c r="A740" s="3" t="s">
        <v>6</v>
      </c>
      <c r="B740" s="3" t="s">
        <v>7</v>
      </c>
      <c r="C740" s="3" t="s">
        <v>11</v>
      </c>
    </row>
    <row r="741">
      <c r="A741" s="3" t="s">
        <v>6</v>
      </c>
      <c r="B741" s="3" t="s">
        <v>7</v>
      </c>
      <c r="C741" s="3" t="s">
        <v>15</v>
      </c>
    </row>
    <row r="742">
      <c r="A742" s="3" t="s">
        <v>6</v>
      </c>
      <c r="B742" s="3" t="s">
        <v>7</v>
      </c>
      <c r="C742" s="3" t="s">
        <v>15</v>
      </c>
    </row>
    <row r="743">
      <c r="A743" s="3" t="s">
        <v>6</v>
      </c>
      <c r="B743" s="3" t="s">
        <v>11</v>
      </c>
    </row>
    <row r="744">
      <c r="A744" s="3" t="s">
        <v>6</v>
      </c>
      <c r="B744" s="3" t="s">
        <v>7</v>
      </c>
      <c r="C744" s="3" t="s">
        <v>15</v>
      </c>
    </row>
    <row r="745">
      <c r="A745" s="3" t="s">
        <v>6</v>
      </c>
      <c r="B745" s="3" t="s">
        <v>7</v>
      </c>
      <c r="C745" s="3" t="s">
        <v>8</v>
      </c>
    </row>
    <row r="746">
      <c r="A746" s="3" t="s">
        <v>6</v>
      </c>
      <c r="B746" s="3" t="s">
        <v>15</v>
      </c>
      <c r="C746" s="3" t="s">
        <v>16</v>
      </c>
    </row>
    <row r="747">
      <c r="A747" s="3" t="s">
        <v>6</v>
      </c>
      <c r="B747" s="3" t="s">
        <v>12</v>
      </c>
    </row>
    <row r="748">
      <c r="A748" s="3" t="s">
        <v>6</v>
      </c>
      <c r="B748" s="3" t="s">
        <v>7</v>
      </c>
      <c r="C748" s="3" t="s">
        <v>15</v>
      </c>
    </row>
    <row r="749">
      <c r="A749" s="3" t="s">
        <v>6</v>
      </c>
      <c r="B749" s="3" t="s">
        <v>7</v>
      </c>
      <c r="C749" s="3" t="s">
        <v>11</v>
      </c>
    </row>
    <row r="750">
      <c r="A750" s="3" t="s">
        <v>6</v>
      </c>
      <c r="B750" s="3" t="s">
        <v>7</v>
      </c>
      <c r="C750" s="3" t="s">
        <v>15</v>
      </c>
    </row>
    <row r="751">
      <c r="A751" s="3" t="s">
        <v>6</v>
      </c>
      <c r="B751" s="3" t="s">
        <v>7</v>
      </c>
      <c r="C751" s="3" t="s">
        <v>8</v>
      </c>
    </row>
    <row r="752">
      <c r="A752" s="3" t="s">
        <v>6</v>
      </c>
      <c r="B752" s="3" t="s">
        <v>7</v>
      </c>
      <c r="C752" s="3" t="s">
        <v>8</v>
      </c>
    </row>
    <row r="753">
      <c r="A753" s="3" t="s">
        <v>6</v>
      </c>
      <c r="B753" s="3" t="s">
        <v>7</v>
      </c>
      <c r="C753" s="3" t="s">
        <v>11</v>
      </c>
    </row>
    <row r="754">
      <c r="A754" s="3" t="s">
        <v>6</v>
      </c>
      <c r="B754" s="3" t="s">
        <v>7</v>
      </c>
    </row>
    <row r="755">
      <c r="A755" s="3" t="s">
        <v>6</v>
      </c>
      <c r="B755" s="3" t="s">
        <v>11</v>
      </c>
      <c r="C755" s="3" t="s">
        <v>12</v>
      </c>
    </row>
    <row r="756">
      <c r="A756" s="3" t="s">
        <v>6</v>
      </c>
      <c r="B756" s="3" t="s">
        <v>15</v>
      </c>
      <c r="C756" s="3" t="s">
        <v>16</v>
      </c>
    </row>
    <row r="757">
      <c r="A757" s="3" t="s">
        <v>6</v>
      </c>
      <c r="B757" s="3" t="s">
        <v>7</v>
      </c>
      <c r="C757" s="3" t="s">
        <v>15</v>
      </c>
    </row>
    <row r="758">
      <c r="A758" s="3" t="s">
        <v>609</v>
      </c>
    </row>
    <row r="759">
      <c r="A759" s="3" t="s">
        <v>7</v>
      </c>
      <c r="B759" s="3" t="s">
        <v>8</v>
      </c>
    </row>
    <row r="760">
      <c r="A760" s="3" t="s">
        <v>7</v>
      </c>
      <c r="B760" s="3" t="s">
        <v>8</v>
      </c>
      <c r="C760" s="3" t="s">
        <v>9</v>
      </c>
    </row>
    <row r="761">
      <c r="A761" s="3" t="s">
        <v>7</v>
      </c>
      <c r="B761" s="3" t="s">
        <v>11</v>
      </c>
      <c r="C761" s="3" t="s">
        <v>15</v>
      </c>
    </row>
    <row r="762">
      <c r="A762" s="3" t="s">
        <v>7</v>
      </c>
      <c r="B762" s="3" t="s">
        <v>8</v>
      </c>
      <c r="C762" s="3" t="s">
        <v>9</v>
      </c>
    </row>
    <row r="763">
      <c r="A763" s="3" t="s">
        <v>7</v>
      </c>
      <c r="B763" s="3" t="s">
        <v>11</v>
      </c>
      <c r="C763" s="3" t="s">
        <v>15</v>
      </c>
    </row>
    <row r="764">
      <c r="A764" s="3" t="s">
        <v>7</v>
      </c>
    </row>
    <row r="765">
      <c r="A765" s="3" t="s">
        <v>7</v>
      </c>
      <c r="B765" s="3" t="s">
        <v>15</v>
      </c>
    </row>
    <row r="766">
      <c r="A766" s="3" t="s">
        <v>7</v>
      </c>
      <c r="B766" s="3" t="s">
        <v>8</v>
      </c>
    </row>
    <row r="767">
      <c r="A767" s="3" t="s">
        <v>7</v>
      </c>
      <c r="B767" s="3" t="s">
        <v>8</v>
      </c>
      <c r="C767" s="3" t="s">
        <v>17</v>
      </c>
    </row>
    <row r="768">
      <c r="A768" s="3" t="s">
        <v>7</v>
      </c>
      <c r="B768" s="3" t="s">
        <v>8</v>
      </c>
      <c r="C768" s="3" t="s">
        <v>9</v>
      </c>
    </row>
    <row r="769">
      <c r="A769" s="3" t="s">
        <v>7</v>
      </c>
      <c r="B769" s="3" t="s">
        <v>8</v>
      </c>
    </row>
    <row r="770">
      <c r="A770" s="3" t="s">
        <v>7</v>
      </c>
      <c r="B770" s="3" t="s">
        <v>8</v>
      </c>
      <c r="C770" s="3" t="s">
        <v>17</v>
      </c>
    </row>
    <row r="771">
      <c r="A771" s="3" t="s">
        <v>7</v>
      </c>
      <c r="B771" s="3" t="s">
        <v>8</v>
      </c>
      <c r="C771" s="3" t="s">
        <v>9</v>
      </c>
    </row>
    <row r="772">
      <c r="A772" s="3" t="s">
        <v>7</v>
      </c>
      <c r="B772" s="3" t="s">
        <v>8</v>
      </c>
      <c r="C772" s="3" t="s">
        <v>9</v>
      </c>
    </row>
    <row r="773">
      <c r="A773" s="3" t="s">
        <v>7</v>
      </c>
      <c r="B773" s="3" t="s">
        <v>8</v>
      </c>
      <c r="C773" s="3" t="s">
        <v>17</v>
      </c>
    </row>
    <row r="774">
      <c r="A774" s="3" t="s">
        <v>7</v>
      </c>
      <c r="B774" s="3" t="s">
        <v>8</v>
      </c>
    </row>
    <row r="775">
      <c r="A775" s="3" t="s">
        <v>7</v>
      </c>
      <c r="B775" s="3" t="s">
        <v>8</v>
      </c>
      <c r="C775" s="3" t="s">
        <v>9</v>
      </c>
    </row>
    <row r="776">
      <c r="A776" s="3" t="s">
        <v>7</v>
      </c>
      <c r="B776" s="3" t="s">
        <v>17</v>
      </c>
      <c r="C776" s="3" t="s">
        <v>18</v>
      </c>
    </row>
    <row r="777">
      <c r="A777" s="3" t="s">
        <v>7</v>
      </c>
      <c r="B777" s="3" t="s">
        <v>8</v>
      </c>
    </row>
    <row r="778">
      <c r="A778" s="3" t="s">
        <v>8</v>
      </c>
      <c r="B778" s="3" t="s">
        <v>9</v>
      </c>
      <c r="C778" s="3" t="s">
        <v>10</v>
      </c>
    </row>
    <row r="779">
      <c r="A779" s="3" t="s">
        <v>8</v>
      </c>
      <c r="B779" s="3" t="s">
        <v>16</v>
      </c>
      <c r="C779" s="3" t="s">
        <v>17</v>
      </c>
    </row>
    <row r="780">
      <c r="A780" s="3" t="s">
        <v>8</v>
      </c>
      <c r="B780" s="3" t="s">
        <v>9</v>
      </c>
      <c r="C780" s="3" t="s">
        <v>10</v>
      </c>
    </row>
    <row r="781">
      <c r="A781" s="3" t="s">
        <v>8</v>
      </c>
      <c r="B781" s="3" t="s">
        <v>15</v>
      </c>
      <c r="C781" s="3" t="s">
        <v>16</v>
      </c>
    </row>
    <row r="782">
      <c r="A782" s="3" t="s">
        <v>8</v>
      </c>
      <c r="B782" s="3" t="s">
        <v>9</v>
      </c>
      <c r="C782" s="3" t="s">
        <v>16</v>
      </c>
    </row>
    <row r="783">
      <c r="A783" s="3" t="s">
        <v>8</v>
      </c>
      <c r="B783" s="3" t="s">
        <v>12</v>
      </c>
      <c r="C783" s="3" t="s">
        <v>17</v>
      </c>
    </row>
    <row r="784">
      <c r="A784" s="3" t="s">
        <v>8</v>
      </c>
      <c r="B784" s="3" t="s">
        <v>9</v>
      </c>
      <c r="C784" s="3" t="s">
        <v>12</v>
      </c>
    </row>
    <row r="785">
      <c r="A785" s="3" t="s">
        <v>8</v>
      </c>
      <c r="B785" s="3" t="s">
        <v>11</v>
      </c>
      <c r="C785" s="3" t="s">
        <v>12</v>
      </c>
    </row>
    <row r="786">
      <c r="A786" s="3" t="s">
        <v>8</v>
      </c>
      <c r="B786" s="3" t="s">
        <v>12</v>
      </c>
      <c r="C786" s="3" t="s">
        <v>17</v>
      </c>
    </row>
    <row r="787">
      <c r="A787" s="3" t="s">
        <v>8</v>
      </c>
      <c r="B787" s="3" t="s">
        <v>16</v>
      </c>
      <c r="C787" s="3" t="s">
        <v>17</v>
      </c>
    </row>
    <row r="788">
      <c r="A788" s="3" t="s">
        <v>8</v>
      </c>
      <c r="B788" s="3" t="s">
        <v>9</v>
      </c>
      <c r="C788" s="3" t="s">
        <v>16</v>
      </c>
    </row>
    <row r="789">
      <c r="A789" s="3" t="s">
        <v>8</v>
      </c>
      <c r="B789" s="3" t="s">
        <v>9</v>
      </c>
      <c r="C789" s="3" t="s">
        <v>10</v>
      </c>
    </row>
    <row r="790">
      <c r="A790" s="3" t="s">
        <v>8</v>
      </c>
      <c r="B790" s="3" t="s">
        <v>9</v>
      </c>
      <c r="C790" s="3" t="s">
        <v>10</v>
      </c>
    </row>
    <row r="791">
      <c r="A791" s="3" t="s">
        <v>8</v>
      </c>
      <c r="B791" s="3" t="s">
        <v>9</v>
      </c>
      <c r="C791" s="3" t="s">
        <v>12</v>
      </c>
    </row>
    <row r="792">
      <c r="A792" s="3" t="s">
        <v>8</v>
      </c>
      <c r="B792" s="3" t="s">
        <v>9</v>
      </c>
      <c r="C792" s="3" t="s">
        <v>10</v>
      </c>
    </row>
    <row r="793">
      <c r="A793" s="3" t="s">
        <v>8</v>
      </c>
    </row>
    <row r="794">
      <c r="A794" s="3" t="s">
        <v>8</v>
      </c>
      <c r="B794" s="3" t="s">
        <v>9</v>
      </c>
      <c r="C794" s="3" t="s">
        <v>10</v>
      </c>
    </row>
    <row r="795">
      <c r="A795" s="3" t="s">
        <v>8</v>
      </c>
      <c r="B795" s="3" t="s">
        <v>9</v>
      </c>
      <c r="C795" s="3" t="s">
        <v>10</v>
      </c>
    </row>
    <row r="796">
      <c r="A796" s="3" t="s">
        <v>8</v>
      </c>
      <c r="B796" s="3" t="s">
        <v>9</v>
      </c>
      <c r="C796" s="3" t="s">
        <v>10</v>
      </c>
    </row>
    <row r="797">
      <c r="A797" s="3" t="s">
        <v>8</v>
      </c>
      <c r="B797" s="3" t="s">
        <v>9</v>
      </c>
    </row>
    <row r="798">
      <c r="A798" s="3" t="s">
        <v>8</v>
      </c>
      <c r="B798" s="3" t="s">
        <v>16</v>
      </c>
      <c r="C798" s="3" t="s">
        <v>17</v>
      </c>
    </row>
    <row r="799">
      <c r="A799" s="3" t="s">
        <v>8</v>
      </c>
      <c r="B799" s="3" t="s">
        <v>9</v>
      </c>
      <c r="C799" s="3" t="s">
        <v>10</v>
      </c>
    </row>
    <row r="800">
      <c r="A800" s="3" t="s">
        <v>8</v>
      </c>
      <c r="B800" s="3" t="s">
        <v>9</v>
      </c>
      <c r="C800" s="3" t="s">
        <v>10</v>
      </c>
    </row>
    <row r="801">
      <c r="A801" s="3" t="s">
        <v>9</v>
      </c>
      <c r="B801" s="3" t="s">
        <v>10</v>
      </c>
    </row>
    <row r="802">
      <c r="A802" s="3" t="s">
        <v>9</v>
      </c>
      <c r="B802" s="3" t="s">
        <v>10</v>
      </c>
    </row>
    <row r="803">
      <c r="A803" s="3" t="s">
        <v>9</v>
      </c>
      <c r="B803" s="3" t="s">
        <v>10</v>
      </c>
    </row>
    <row r="804">
      <c r="A804" s="3" t="s">
        <v>9</v>
      </c>
      <c r="B804" s="3" t="s">
        <v>10</v>
      </c>
    </row>
    <row r="805">
      <c r="A805" s="3" t="s">
        <v>9</v>
      </c>
      <c r="B805" s="3" t="s">
        <v>10</v>
      </c>
    </row>
    <row r="806">
      <c r="A806" s="3" t="s">
        <v>9</v>
      </c>
      <c r="B806" s="3" t="s">
        <v>10</v>
      </c>
      <c r="C806" s="3" t="s">
        <v>18</v>
      </c>
    </row>
    <row r="807">
      <c r="A807" s="3" t="s">
        <v>9</v>
      </c>
      <c r="B807" s="3" t="s">
        <v>10</v>
      </c>
    </row>
    <row r="808">
      <c r="A808" s="3" t="s">
        <v>9</v>
      </c>
      <c r="B808" s="3" t="s">
        <v>12</v>
      </c>
      <c r="C808" s="3" t="s">
        <v>18</v>
      </c>
    </row>
    <row r="809">
      <c r="A809" s="3" t="s">
        <v>9</v>
      </c>
      <c r="B809" s="3" t="s">
        <v>12</v>
      </c>
      <c r="C809" s="3" t="s">
        <v>18</v>
      </c>
    </row>
    <row r="810">
      <c r="A810" s="3" t="s">
        <v>9</v>
      </c>
      <c r="B810" s="3" t="s">
        <v>10</v>
      </c>
    </row>
    <row r="811">
      <c r="A811" s="3" t="s">
        <v>9</v>
      </c>
      <c r="B811" s="3" t="s">
        <v>10</v>
      </c>
      <c r="C811" s="3" t="s">
        <v>18</v>
      </c>
    </row>
    <row r="812">
      <c r="A812" s="3" t="s">
        <v>9</v>
      </c>
      <c r="B812" s="3" t="s">
        <v>13</v>
      </c>
      <c r="C812" s="3" t="s">
        <v>14</v>
      </c>
    </row>
    <row r="813">
      <c r="A813" s="3" t="s">
        <v>9</v>
      </c>
      <c r="B813" s="3" t="s">
        <v>10</v>
      </c>
      <c r="C813" s="3" t="s">
        <v>18</v>
      </c>
    </row>
    <row r="814">
      <c r="A814" s="3" t="s">
        <v>9</v>
      </c>
      <c r="B814" s="3" t="s">
        <v>10</v>
      </c>
    </row>
    <row r="815">
      <c r="A815" s="3" t="s">
        <v>9</v>
      </c>
      <c r="B815" s="3" t="s">
        <v>10</v>
      </c>
    </row>
    <row r="816">
      <c r="A816" s="3" t="s">
        <v>9</v>
      </c>
      <c r="B816" s="3" t="s">
        <v>10</v>
      </c>
    </row>
    <row r="817">
      <c r="A817" s="3" t="s">
        <v>9</v>
      </c>
      <c r="B817" s="3" t="s">
        <v>15</v>
      </c>
      <c r="C817" s="3" t="s">
        <v>16</v>
      </c>
    </row>
    <row r="818">
      <c r="A818" s="3" t="s">
        <v>9</v>
      </c>
      <c r="B818" s="3" t="s">
        <v>15</v>
      </c>
      <c r="C818" s="3" t="s">
        <v>16</v>
      </c>
    </row>
    <row r="819">
      <c r="A819" s="3" t="s">
        <v>9</v>
      </c>
      <c r="B819" s="3" t="s">
        <v>11</v>
      </c>
      <c r="C819" s="3" t="s">
        <v>12</v>
      </c>
    </row>
    <row r="820">
      <c r="A820" s="3" t="s">
        <v>9</v>
      </c>
      <c r="B820" s="3" t="s">
        <v>10</v>
      </c>
    </row>
    <row r="821">
      <c r="A821" s="3" t="s">
        <v>9</v>
      </c>
      <c r="B821" s="3" t="s">
        <v>15</v>
      </c>
      <c r="C821" s="3" t="s">
        <v>16</v>
      </c>
    </row>
    <row r="822">
      <c r="A822" s="3" t="s">
        <v>9</v>
      </c>
      <c r="B822" s="3" t="s">
        <v>10</v>
      </c>
    </row>
    <row r="823">
      <c r="A823" s="3" t="s">
        <v>9</v>
      </c>
      <c r="B823" s="3" t="s">
        <v>16</v>
      </c>
      <c r="C823" s="3" t="s">
        <v>18</v>
      </c>
    </row>
    <row r="824">
      <c r="A824" s="3" t="s">
        <v>9</v>
      </c>
      <c r="B824" s="3" t="s">
        <v>10</v>
      </c>
      <c r="C824" s="3" t="s">
        <v>18</v>
      </c>
    </row>
    <row r="825">
      <c r="A825" s="3" t="s">
        <v>9</v>
      </c>
      <c r="B825" s="3" t="s">
        <v>10</v>
      </c>
      <c r="C825" s="3" t="s">
        <v>18</v>
      </c>
    </row>
    <row r="826">
      <c r="A826" s="3" t="s">
        <v>9</v>
      </c>
      <c r="B826" s="3" t="s">
        <v>10</v>
      </c>
    </row>
    <row r="827">
      <c r="A827" s="3" t="s">
        <v>9</v>
      </c>
      <c r="B827" s="3" t="s">
        <v>10</v>
      </c>
      <c r="C827" s="3" t="s">
        <v>18</v>
      </c>
    </row>
    <row r="828">
      <c r="A828" s="3" t="s">
        <v>9</v>
      </c>
      <c r="B828" s="3" t="s">
        <v>10</v>
      </c>
    </row>
    <row r="829">
      <c r="A829" s="3" t="s">
        <v>9</v>
      </c>
      <c r="B829" s="3" t="s">
        <v>10</v>
      </c>
    </row>
    <row r="830">
      <c r="A830" s="3" t="s">
        <v>9</v>
      </c>
      <c r="B830" s="3" t="s">
        <v>10</v>
      </c>
      <c r="C830" s="3" t="s">
        <v>18</v>
      </c>
    </row>
    <row r="831">
      <c r="A831" s="3" t="s">
        <v>9</v>
      </c>
      <c r="B831" s="3" t="s">
        <v>12</v>
      </c>
      <c r="C831" s="3" t="s">
        <v>18</v>
      </c>
    </row>
    <row r="832">
      <c r="A832" s="3" t="s">
        <v>9</v>
      </c>
      <c r="B832" s="3" t="s">
        <v>10</v>
      </c>
    </row>
    <row r="833">
      <c r="A833" s="3" t="s">
        <v>9</v>
      </c>
      <c r="B833" s="3" t="s">
        <v>10</v>
      </c>
    </row>
    <row r="834">
      <c r="A834" s="3" t="s">
        <v>10</v>
      </c>
      <c r="B834" s="3" t="s">
        <v>16</v>
      </c>
      <c r="C834" s="3" t="s">
        <v>18</v>
      </c>
    </row>
    <row r="835">
      <c r="A835" s="3" t="s">
        <v>11</v>
      </c>
      <c r="B835" s="3" t="s">
        <v>12</v>
      </c>
      <c r="C835" s="3" t="s">
        <v>17</v>
      </c>
    </row>
    <row r="836">
      <c r="A836" s="3" t="s">
        <v>11</v>
      </c>
      <c r="B836" s="3" t="s">
        <v>12</v>
      </c>
    </row>
    <row r="837">
      <c r="A837" s="3" t="s">
        <v>11</v>
      </c>
      <c r="B837" s="3" t="s">
        <v>12</v>
      </c>
    </row>
    <row r="838">
      <c r="A838" s="3" t="s">
        <v>11</v>
      </c>
      <c r="B838" s="3" t="s">
        <v>12</v>
      </c>
      <c r="C838" s="3" t="s">
        <v>17</v>
      </c>
    </row>
    <row r="839">
      <c r="A839" s="3" t="s">
        <v>11</v>
      </c>
      <c r="B839" s="3" t="s">
        <v>12</v>
      </c>
      <c r="C839" s="3" t="s">
        <v>17</v>
      </c>
    </row>
    <row r="840">
      <c r="A840" s="3" t="s">
        <v>11</v>
      </c>
      <c r="B840" s="3" t="s">
        <v>12</v>
      </c>
    </row>
    <row r="841">
      <c r="A841" s="3" t="s">
        <v>11</v>
      </c>
      <c r="B841" s="3" t="s">
        <v>15</v>
      </c>
    </row>
    <row r="842">
      <c r="A842" s="3" t="s">
        <v>11</v>
      </c>
      <c r="B842" s="3" t="s">
        <v>12</v>
      </c>
      <c r="C842" s="3" t="s">
        <v>15</v>
      </c>
    </row>
    <row r="843">
      <c r="A843" s="3" t="s">
        <v>11</v>
      </c>
    </row>
    <row r="844">
      <c r="A844" s="3" t="s">
        <v>11</v>
      </c>
      <c r="B844" s="3" t="s">
        <v>12</v>
      </c>
    </row>
    <row r="845">
      <c r="A845" s="3" t="s">
        <v>11</v>
      </c>
      <c r="B845" s="3" t="s">
        <v>12</v>
      </c>
      <c r="C845" s="3" t="s">
        <v>15</v>
      </c>
    </row>
    <row r="846">
      <c r="A846" s="3" t="s">
        <v>11</v>
      </c>
      <c r="B846" s="3" t="s">
        <v>12</v>
      </c>
    </row>
    <row r="847">
      <c r="A847" s="3" t="s">
        <v>11</v>
      </c>
      <c r="B847" s="3" t="s">
        <v>12</v>
      </c>
      <c r="C847" s="3" t="s">
        <v>15</v>
      </c>
    </row>
    <row r="848">
      <c r="A848" s="3" t="s">
        <v>11</v>
      </c>
      <c r="B848" s="3" t="s">
        <v>12</v>
      </c>
    </row>
    <row r="849">
      <c r="A849" s="3" t="s">
        <v>11</v>
      </c>
      <c r="B849" s="3" t="s">
        <v>12</v>
      </c>
    </row>
    <row r="850">
      <c r="A850" s="3" t="s">
        <v>11</v>
      </c>
      <c r="B850" s="3" t="s">
        <v>12</v>
      </c>
    </row>
    <row r="851">
      <c r="A851" s="3" t="s">
        <v>11</v>
      </c>
      <c r="B851" s="3" t="s">
        <v>12</v>
      </c>
    </row>
    <row r="852">
      <c r="A852" s="3" t="s">
        <v>11</v>
      </c>
      <c r="B852" s="3" t="s">
        <v>12</v>
      </c>
      <c r="C852" s="3" t="s">
        <v>17</v>
      </c>
    </row>
    <row r="853">
      <c r="A853" s="3" t="s">
        <v>11</v>
      </c>
    </row>
    <row r="854">
      <c r="A854" s="3" t="s">
        <v>11</v>
      </c>
      <c r="B854" s="3" t="s">
        <v>12</v>
      </c>
    </row>
    <row r="855">
      <c r="A855" s="3" t="s">
        <v>11</v>
      </c>
      <c r="B855" s="3" t="s">
        <v>12</v>
      </c>
      <c r="C855" s="3" t="s">
        <v>17</v>
      </c>
    </row>
    <row r="856">
      <c r="A856" s="3" t="s">
        <v>11</v>
      </c>
      <c r="B856" s="3" t="s">
        <v>12</v>
      </c>
    </row>
    <row r="857">
      <c r="A857" s="3" t="s">
        <v>11</v>
      </c>
      <c r="B857" s="3" t="s">
        <v>12</v>
      </c>
      <c r="C857" s="3" t="s">
        <v>17</v>
      </c>
    </row>
    <row r="858">
      <c r="A858" s="3" t="s">
        <v>11</v>
      </c>
      <c r="B858" s="3" t="s">
        <v>12</v>
      </c>
    </row>
    <row r="859">
      <c r="A859" s="3" t="s">
        <v>11</v>
      </c>
      <c r="B859" s="3" t="s">
        <v>16</v>
      </c>
      <c r="C859" s="3" t="s">
        <v>17</v>
      </c>
    </row>
    <row r="860">
      <c r="A860" s="3" t="s">
        <v>11</v>
      </c>
      <c r="B860" s="3" t="s">
        <v>15</v>
      </c>
      <c r="C860" s="3" t="s">
        <v>16</v>
      </c>
    </row>
    <row r="861">
      <c r="A861" s="3" t="s">
        <v>11</v>
      </c>
      <c r="B861" s="3" t="s">
        <v>12</v>
      </c>
      <c r="C861" s="3" t="s">
        <v>15</v>
      </c>
    </row>
    <row r="862">
      <c r="A862" s="3" t="s">
        <v>11</v>
      </c>
      <c r="B862" s="3" t="s">
        <v>12</v>
      </c>
    </row>
    <row r="863">
      <c r="A863" s="3" t="s">
        <v>11</v>
      </c>
      <c r="B863" s="3" t="s">
        <v>15</v>
      </c>
      <c r="C863" s="3" t="s">
        <v>16</v>
      </c>
    </row>
    <row r="864">
      <c r="A864" s="3" t="s">
        <v>12</v>
      </c>
      <c r="B864" s="3" t="s">
        <v>17</v>
      </c>
      <c r="C864" s="3" t="s">
        <v>18</v>
      </c>
    </row>
    <row r="865">
      <c r="A865" s="3" t="s">
        <v>12</v>
      </c>
      <c r="B865" s="3" t="s">
        <v>17</v>
      </c>
      <c r="C865" s="3" t="s">
        <v>18</v>
      </c>
    </row>
    <row r="866">
      <c r="A866" s="3" t="s">
        <v>12</v>
      </c>
      <c r="B866" s="3" t="s">
        <v>18</v>
      </c>
    </row>
    <row r="867">
      <c r="A867" s="3" t="s">
        <v>12</v>
      </c>
      <c r="B867" s="3" t="s">
        <v>17</v>
      </c>
      <c r="C867" s="3" t="s">
        <v>18</v>
      </c>
    </row>
    <row r="868">
      <c r="A868" s="3" t="s">
        <v>12</v>
      </c>
      <c r="B868" s="3" t="s">
        <v>17</v>
      </c>
      <c r="C868" s="3" t="s">
        <v>18</v>
      </c>
    </row>
    <row r="869">
      <c r="A869" s="3" t="s">
        <v>12</v>
      </c>
      <c r="B869" s="3" t="s">
        <v>17</v>
      </c>
    </row>
    <row r="870">
      <c r="A870" s="3" t="s">
        <v>12</v>
      </c>
      <c r="B870" s="3" t="s">
        <v>17</v>
      </c>
      <c r="C870" s="3" t="s">
        <v>18</v>
      </c>
    </row>
    <row r="871">
      <c r="A871" s="3" t="s">
        <v>12</v>
      </c>
      <c r="B871" s="3" t="s">
        <v>17</v>
      </c>
      <c r="C871" s="3" t="s">
        <v>18</v>
      </c>
    </row>
    <row r="872">
      <c r="A872" s="3" t="s">
        <v>12</v>
      </c>
      <c r="B872" s="3" t="s">
        <v>17</v>
      </c>
      <c r="C872" s="3" t="s">
        <v>18</v>
      </c>
    </row>
    <row r="873">
      <c r="A873" s="3" t="s">
        <v>12</v>
      </c>
      <c r="B873" s="3" t="s">
        <v>17</v>
      </c>
      <c r="C873" s="3" t="s">
        <v>18</v>
      </c>
    </row>
    <row r="874">
      <c r="A874" s="3" t="s">
        <v>13</v>
      </c>
      <c r="B874" s="3" t="s">
        <v>14</v>
      </c>
    </row>
    <row r="875">
      <c r="A875" s="3" t="s">
        <v>13</v>
      </c>
    </row>
    <row r="876">
      <c r="A876" s="3" t="s">
        <v>13</v>
      </c>
      <c r="B876" s="3" t="s">
        <v>14</v>
      </c>
      <c r="C876" s="3" t="s">
        <v>17</v>
      </c>
    </row>
    <row r="877">
      <c r="A877" s="3" t="s">
        <v>13</v>
      </c>
      <c r="B877" s="3" t="s">
        <v>14</v>
      </c>
      <c r="C877" s="3" t="s">
        <v>17</v>
      </c>
    </row>
    <row r="878">
      <c r="A878" s="3" t="s">
        <v>13</v>
      </c>
      <c r="B878" s="3" t="s">
        <v>14</v>
      </c>
    </row>
    <row r="879">
      <c r="A879" s="3" t="s">
        <v>13</v>
      </c>
      <c r="B879" s="3" t="s">
        <v>14</v>
      </c>
    </row>
    <row r="880">
      <c r="A880" s="3" t="s">
        <v>13</v>
      </c>
      <c r="B880" s="3" t="s">
        <v>14</v>
      </c>
    </row>
    <row r="881">
      <c r="A881" s="3" t="s">
        <v>13</v>
      </c>
    </row>
    <row r="882">
      <c r="A882" s="3" t="s">
        <v>13</v>
      </c>
      <c r="B882" s="3" t="s">
        <v>14</v>
      </c>
    </row>
    <row r="883">
      <c r="A883" s="3" t="s">
        <v>13</v>
      </c>
      <c r="B883" s="3" t="s">
        <v>14</v>
      </c>
    </row>
    <row r="884">
      <c r="A884" s="3" t="s">
        <v>13</v>
      </c>
      <c r="B884" s="3" t="s">
        <v>14</v>
      </c>
    </row>
    <row r="885">
      <c r="A885" s="3" t="s">
        <v>13</v>
      </c>
      <c r="B885" s="3" t="s">
        <v>14</v>
      </c>
    </row>
    <row r="886">
      <c r="A886" s="3" t="s">
        <v>13</v>
      </c>
      <c r="B886" s="3" t="s">
        <v>14</v>
      </c>
      <c r="C886" s="3" t="s">
        <v>17</v>
      </c>
    </row>
    <row r="887">
      <c r="A887" s="3" t="s">
        <v>13</v>
      </c>
      <c r="B887" s="3" t="s">
        <v>14</v>
      </c>
    </row>
    <row r="888">
      <c r="A888" s="3" t="s">
        <v>13</v>
      </c>
      <c r="B888" s="3" t="s">
        <v>14</v>
      </c>
      <c r="C888" s="3" t="s">
        <v>17</v>
      </c>
    </row>
    <row r="889">
      <c r="A889" s="3" t="s">
        <v>13</v>
      </c>
      <c r="B889" s="3" t="s">
        <v>14</v>
      </c>
    </row>
    <row r="890">
      <c r="A890" s="3" t="s">
        <v>13</v>
      </c>
      <c r="B890" s="3" t="s">
        <v>14</v>
      </c>
    </row>
    <row r="891">
      <c r="A891" s="3" t="s">
        <v>13</v>
      </c>
      <c r="B891" s="3" t="s">
        <v>14</v>
      </c>
    </row>
    <row r="892">
      <c r="A892" s="3" t="s">
        <v>13</v>
      </c>
      <c r="B892" s="3" t="s">
        <v>14</v>
      </c>
    </row>
    <row r="893">
      <c r="A893" s="3" t="s">
        <v>13</v>
      </c>
      <c r="B893" s="3" t="s">
        <v>14</v>
      </c>
    </row>
    <row r="894">
      <c r="A894" s="3" t="s">
        <v>13</v>
      </c>
      <c r="B894" s="3" t="s">
        <v>14</v>
      </c>
    </row>
    <row r="895">
      <c r="A895" s="3" t="s">
        <v>13</v>
      </c>
      <c r="B895" s="3" t="s">
        <v>14</v>
      </c>
      <c r="C895" s="3" t="s">
        <v>17</v>
      </c>
    </row>
    <row r="896">
      <c r="A896" s="3" t="s">
        <v>13</v>
      </c>
    </row>
    <row r="897">
      <c r="A897" s="3" t="s">
        <v>13</v>
      </c>
      <c r="B897" s="3" t="s">
        <v>14</v>
      </c>
    </row>
    <row r="898">
      <c r="A898" s="3" t="s">
        <v>13</v>
      </c>
      <c r="B898" s="3" t="s">
        <v>14</v>
      </c>
    </row>
    <row r="899">
      <c r="A899" s="3" t="s">
        <v>13</v>
      </c>
      <c r="B899" s="3" t="s">
        <v>14</v>
      </c>
    </row>
    <row r="900">
      <c r="A900" s="3" t="s">
        <v>13</v>
      </c>
      <c r="B900" s="3" t="s">
        <v>14</v>
      </c>
    </row>
    <row r="901">
      <c r="A901" s="3" t="s">
        <v>13</v>
      </c>
      <c r="B901" s="3" t="s">
        <v>14</v>
      </c>
    </row>
    <row r="902">
      <c r="A902" s="3" t="s">
        <v>13</v>
      </c>
      <c r="B902" s="3" t="s">
        <v>14</v>
      </c>
    </row>
    <row r="903">
      <c r="A903" s="3" t="s">
        <v>13</v>
      </c>
      <c r="B903" s="3" t="s">
        <v>14</v>
      </c>
    </row>
    <row r="904">
      <c r="A904" s="3" t="s">
        <v>13</v>
      </c>
      <c r="B904" s="3" t="s">
        <v>14</v>
      </c>
    </row>
    <row r="905">
      <c r="A905" s="3" t="s">
        <v>13</v>
      </c>
      <c r="B905" s="3" t="s">
        <v>14</v>
      </c>
      <c r="C905" s="3" t="s">
        <v>17</v>
      </c>
    </row>
    <row r="906">
      <c r="A906" s="3" t="s">
        <v>13</v>
      </c>
      <c r="B906" s="3" t="s">
        <v>14</v>
      </c>
    </row>
    <row r="907">
      <c r="A907" s="3" t="s">
        <v>13</v>
      </c>
      <c r="B907" s="3" t="s">
        <v>14</v>
      </c>
    </row>
    <row r="908">
      <c r="A908" s="3" t="s">
        <v>13</v>
      </c>
      <c r="B908" s="3" t="s">
        <v>14</v>
      </c>
    </row>
    <row r="909">
      <c r="A909" s="3" t="s">
        <v>13</v>
      </c>
      <c r="B909" s="3" t="s">
        <v>14</v>
      </c>
    </row>
    <row r="910">
      <c r="A910" s="3" t="s">
        <v>13</v>
      </c>
      <c r="B910" s="3" t="s">
        <v>14</v>
      </c>
    </row>
    <row r="911">
      <c r="A911" s="3" t="s">
        <v>13</v>
      </c>
      <c r="B911" s="3" t="s">
        <v>14</v>
      </c>
      <c r="C911" s="3" t="s">
        <v>17</v>
      </c>
    </row>
    <row r="912">
      <c r="A912" s="3" t="s">
        <v>13</v>
      </c>
      <c r="B912" s="3" t="s">
        <v>14</v>
      </c>
    </row>
    <row r="913">
      <c r="A913" s="3" t="s">
        <v>13</v>
      </c>
      <c r="B913" s="3" t="s">
        <v>14</v>
      </c>
      <c r="C913" s="3" t="s">
        <v>17</v>
      </c>
    </row>
    <row r="914">
      <c r="A914" s="3" t="s">
        <v>14</v>
      </c>
      <c r="B914" s="3" t="s">
        <v>17</v>
      </c>
      <c r="C914" s="3" t="s">
        <v>18</v>
      </c>
    </row>
    <row r="915">
      <c r="A915" s="3" t="s">
        <v>14</v>
      </c>
      <c r="B915" s="3" t="s">
        <v>17</v>
      </c>
      <c r="C915" s="3" t="s">
        <v>18</v>
      </c>
    </row>
    <row r="916">
      <c r="A916" s="3" t="s">
        <v>14</v>
      </c>
      <c r="B916" s="3" t="s">
        <v>17</v>
      </c>
      <c r="C916" s="3" t="s">
        <v>18</v>
      </c>
    </row>
    <row r="917">
      <c r="A917" s="3" t="s">
        <v>14</v>
      </c>
      <c r="B917" s="3" t="s">
        <v>17</v>
      </c>
      <c r="C917" s="3" t="s">
        <v>18</v>
      </c>
    </row>
    <row r="918">
      <c r="A918" s="3" t="s">
        <v>15</v>
      </c>
      <c r="B918" s="3" t="s">
        <v>16</v>
      </c>
    </row>
    <row r="919">
      <c r="A919" s="3" t="s">
        <v>15</v>
      </c>
      <c r="B919" s="3" t="s">
        <v>16</v>
      </c>
      <c r="C919" s="3" t="s">
        <v>17</v>
      </c>
    </row>
    <row r="920">
      <c r="A920" s="3" t="s">
        <v>15</v>
      </c>
      <c r="B920" s="3" t="s">
        <v>16</v>
      </c>
    </row>
    <row r="921">
      <c r="A921" s="3" t="s">
        <v>15</v>
      </c>
      <c r="B921" s="3" t="s">
        <v>16</v>
      </c>
      <c r="C921" s="3" t="s">
        <v>17</v>
      </c>
    </row>
    <row r="922">
      <c r="A922" s="3" t="s">
        <v>15</v>
      </c>
      <c r="B922" s="3" t="s">
        <v>16</v>
      </c>
    </row>
    <row r="923">
      <c r="A923" s="3" t="s">
        <v>15</v>
      </c>
    </row>
    <row r="924">
      <c r="A924" s="3" t="s">
        <v>15</v>
      </c>
      <c r="B924" s="3" t="s">
        <v>16</v>
      </c>
      <c r="C924" s="3" t="s">
        <v>17</v>
      </c>
    </row>
    <row r="925">
      <c r="A925" s="3" t="s">
        <v>15</v>
      </c>
      <c r="B925" s="3" t="s">
        <v>16</v>
      </c>
      <c r="C925" s="3" t="s">
        <v>17</v>
      </c>
    </row>
    <row r="926">
      <c r="A926" s="3" t="s">
        <v>15</v>
      </c>
      <c r="B926" s="3" t="s">
        <v>16</v>
      </c>
    </row>
    <row r="927">
      <c r="A927" s="3" t="s">
        <v>15</v>
      </c>
      <c r="B927" s="3" t="s">
        <v>16</v>
      </c>
      <c r="C927" s="3" t="s">
        <v>17</v>
      </c>
    </row>
    <row r="928">
      <c r="A928" s="3" t="s">
        <v>15</v>
      </c>
      <c r="B928" s="3" t="s">
        <v>16</v>
      </c>
      <c r="C928" s="3" t="s">
        <v>17</v>
      </c>
    </row>
    <row r="929">
      <c r="A929" s="3" t="s">
        <v>15</v>
      </c>
      <c r="B929" s="3" t="s">
        <v>16</v>
      </c>
    </row>
    <row r="930">
      <c r="A930" s="3" t="s">
        <v>15</v>
      </c>
      <c r="B930" s="3" t="s">
        <v>16</v>
      </c>
    </row>
    <row r="931">
      <c r="A931" s="3" t="s">
        <v>15</v>
      </c>
      <c r="B931" s="3" t="s">
        <v>16</v>
      </c>
    </row>
    <row r="932">
      <c r="A932" s="3" t="s">
        <v>15</v>
      </c>
      <c r="B932" s="3" t="s">
        <v>16</v>
      </c>
    </row>
    <row r="933">
      <c r="A933" s="3" t="s">
        <v>15</v>
      </c>
      <c r="B933" s="3" t="s">
        <v>16</v>
      </c>
    </row>
    <row r="934">
      <c r="A934" s="3" t="s">
        <v>15</v>
      </c>
      <c r="B934" s="3" t="s">
        <v>16</v>
      </c>
      <c r="C934" s="3" t="s">
        <v>17</v>
      </c>
    </row>
    <row r="935">
      <c r="A935" s="3" t="s">
        <v>16</v>
      </c>
      <c r="B935" s="3" t="s">
        <v>17</v>
      </c>
      <c r="C935" s="3" t="s">
        <v>18</v>
      </c>
    </row>
    <row r="936">
      <c r="A936" s="3" t="s">
        <v>16</v>
      </c>
      <c r="B936" s="3" t="s">
        <v>17</v>
      </c>
      <c r="C936" s="3" t="s">
        <v>18</v>
      </c>
    </row>
    <row r="937">
      <c r="A937" s="3" t="s">
        <v>16</v>
      </c>
      <c r="B937" s="3" t="s">
        <v>17</v>
      </c>
      <c r="C937" s="3" t="s">
        <v>18</v>
      </c>
    </row>
    <row r="938">
      <c r="A938" s="3" t="s">
        <v>16</v>
      </c>
      <c r="B938" s="3" t="s">
        <v>17</v>
      </c>
      <c r="C938" s="3" t="s">
        <v>18</v>
      </c>
    </row>
    <row r="939">
      <c r="A939" s="3" t="s">
        <v>16</v>
      </c>
      <c r="B939" s="3" t="s">
        <v>17</v>
      </c>
      <c r="C939" s="3" t="s">
        <v>18</v>
      </c>
    </row>
    <row r="940">
      <c r="A940" s="3" t="s">
        <v>16</v>
      </c>
      <c r="B940" s="3" t="s">
        <v>17</v>
      </c>
      <c r="C940" s="3" t="s">
        <v>18</v>
      </c>
    </row>
    <row r="941">
      <c r="A941" s="3" t="s">
        <v>16</v>
      </c>
      <c r="B941" s="3" t="s">
        <v>17</v>
      </c>
      <c r="C941" s="3" t="s">
        <v>18</v>
      </c>
    </row>
    <row r="942">
      <c r="A942" s="3" t="s">
        <v>16</v>
      </c>
    </row>
    <row r="943">
      <c r="A943" s="3" t="s">
        <v>16</v>
      </c>
      <c r="B943" s="3" t="s">
        <v>17</v>
      </c>
      <c r="C943" s="3" t="s">
        <v>18</v>
      </c>
    </row>
    <row r="944">
      <c r="A944" s="3" t="s">
        <v>16</v>
      </c>
      <c r="B944" s="3" t="s">
        <v>17</v>
      </c>
      <c r="C944" s="3" t="s">
        <v>18</v>
      </c>
    </row>
    <row r="945">
      <c r="A945" s="3" t="s">
        <v>6</v>
      </c>
      <c r="B945" s="3" t="s">
        <v>7</v>
      </c>
      <c r="C945" s="3" t="s">
        <v>15</v>
      </c>
    </row>
    <row r="946">
      <c r="A946" s="3" t="s">
        <v>6</v>
      </c>
      <c r="B946" s="3" t="s">
        <v>7</v>
      </c>
      <c r="C946" s="3" t="s">
        <v>15</v>
      </c>
    </row>
    <row r="947">
      <c r="A947" s="3" t="s">
        <v>6</v>
      </c>
      <c r="B947" s="3" t="s">
        <v>7</v>
      </c>
      <c r="C947" s="3" t="s">
        <v>8</v>
      </c>
    </row>
    <row r="948">
      <c r="A948" s="3" t="s">
        <v>6</v>
      </c>
      <c r="B948" s="3" t="s">
        <v>7</v>
      </c>
      <c r="C948" s="3" t="s">
        <v>13</v>
      </c>
    </row>
    <row r="949">
      <c r="A949" s="3" t="s">
        <v>6</v>
      </c>
      <c r="B949" s="3" t="s">
        <v>7</v>
      </c>
      <c r="C949" s="3" t="s">
        <v>15</v>
      </c>
    </row>
    <row r="950">
      <c r="A950" s="3" t="s">
        <v>6</v>
      </c>
      <c r="B950" s="3" t="s">
        <v>7</v>
      </c>
      <c r="C950" s="3" t="s">
        <v>11</v>
      </c>
    </row>
    <row r="951">
      <c r="A951" s="3" t="s">
        <v>6</v>
      </c>
      <c r="B951" s="3" t="s">
        <v>7</v>
      </c>
      <c r="C951" s="3" t="s">
        <v>13</v>
      </c>
    </row>
    <row r="952">
      <c r="A952" s="3" t="s">
        <v>6</v>
      </c>
    </row>
    <row r="953">
      <c r="A953" s="3" t="s">
        <v>6</v>
      </c>
      <c r="B953" s="3" t="s">
        <v>7</v>
      </c>
      <c r="C953" s="3" t="s">
        <v>8</v>
      </c>
    </row>
    <row r="954">
      <c r="A954" s="3" t="s">
        <v>6</v>
      </c>
      <c r="B954" s="3" t="s">
        <v>7</v>
      </c>
    </row>
    <row r="955">
      <c r="A955" s="3" t="s">
        <v>6</v>
      </c>
    </row>
    <row r="956">
      <c r="A956" s="3" t="s">
        <v>6</v>
      </c>
      <c r="B956" s="3" t="s">
        <v>7</v>
      </c>
    </row>
    <row r="957">
      <c r="A957" s="3" t="s">
        <v>6</v>
      </c>
      <c r="B957" s="3" t="s">
        <v>7</v>
      </c>
      <c r="C957" s="3" t="s">
        <v>8</v>
      </c>
    </row>
    <row r="958">
      <c r="A958" s="3" t="s">
        <v>6</v>
      </c>
      <c r="B958" s="3" t="s">
        <v>7</v>
      </c>
    </row>
    <row r="959">
      <c r="A959" s="3" t="s">
        <v>6</v>
      </c>
      <c r="B959" s="3" t="s">
        <v>7</v>
      </c>
      <c r="C959" s="3" t="s">
        <v>15</v>
      </c>
    </row>
    <row r="960">
      <c r="A960" s="3" t="s">
        <v>6</v>
      </c>
      <c r="B960" s="3" t="s">
        <v>7</v>
      </c>
      <c r="C960" s="3" t="s">
        <v>15</v>
      </c>
    </row>
    <row r="961">
      <c r="A961" s="3" t="s">
        <v>6</v>
      </c>
      <c r="B961" s="3" t="s">
        <v>7</v>
      </c>
      <c r="C961" s="3" t="s">
        <v>15</v>
      </c>
    </row>
    <row r="962">
      <c r="A962" s="3" t="s">
        <v>6</v>
      </c>
      <c r="B962" s="3" t="s">
        <v>7</v>
      </c>
      <c r="C962" s="3" t="s">
        <v>15</v>
      </c>
    </row>
    <row r="963">
      <c r="A963" s="3" t="s">
        <v>6</v>
      </c>
      <c r="B963" s="3" t="s">
        <v>7</v>
      </c>
      <c r="C963" s="3" t="s">
        <v>8</v>
      </c>
    </row>
    <row r="964">
      <c r="A964" s="3" t="s">
        <v>6</v>
      </c>
      <c r="B964" s="3" t="s">
        <v>7</v>
      </c>
    </row>
    <row r="965">
      <c r="A965" s="3" t="s">
        <v>6</v>
      </c>
      <c r="B965" s="3" t="s">
        <v>7</v>
      </c>
      <c r="C965" s="3" t="s">
        <v>15</v>
      </c>
    </row>
    <row r="966">
      <c r="A966" s="3" t="s">
        <v>6</v>
      </c>
      <c r="B966" s="3" t="s">
        <v>7</v>
      </c>
      <c r="C966" s="3" t="s">
        <v>15</v>
      </c>
    </row>
    <row r="967">
      <c r="A967" s="3" t="s">
        <v>6</v>
      </c>
      <c r="B967" s="3" t="s">
        <v>13</v>
      </c>
      <c r="C967" s="3" t="s">
        <v>14</v>
      </c>
    </row>
    <row r="968">
      <c r="A968" s="3" t="s">
        <v>6</v>
      </c>
      <c r="B968" s="3" t="s">
        <v>11</v>
      </c>
      <c r="C968" s="3" t="s">
        <v>15</v>
      </c>
    </row>
    <row r="969">
      <c r="A969" s="3" t="s">
        <v>6</v>
      </c>
      <c r="B969" s="3" t="s">
        <v>11</v>
      </c>
      <c r="C969" s="3" t="s">
        <v>12</v>
      </c>
    </row>
    <row r="970">
      <c r="A970" s="3" t="s">
        <v>6</v>
      </c>
    </row>
    <row r="971">
      <c r="A971" s="3" t="s">
        <v>6</v>
      </c>
      <c r="B971" s="3" t="s">
        <v>7</v>
      </c>
      <c r="C971" s="3" t="s">
        <v>8</v>
      </c>
    </row>
    <row r="972">
      <c r="A972" s="3" t="s">
        <v>6</v>
      </c>
    </row>
    <row r="973">
      <c r="A973" s="3" t="s">
        <v>6</v>
      </c>
      <c r="B973" s="3" t="s">
        <v>15</v>
      </c>
      <c r="C973" s="3" t="s">
        <v>16</v>
      </c>
    </row>
    <row r="974">
      <c r="A974" s="3" t="s">
        <v>6</v>
      </c>
      <c r="B974" s="3" t="s">
        <v>7</v>
      </c>
      <c r="C974" s="3" t="s">
        <v>15</v>
      </c>
    </row>
    <row r="975">
      <c r="A975" s="3" t="s">
        <v>6</v>
      </c>
      <c r="B975" s="3" t="s">
        <v>7</v>
      </c>
      <c r="C975" s="3" t="s">
        <v>8</v>
      </c>
    </row>
    <row r="976">
      <c r="A976" s="3" t="s">
        <v>6</v>
      </c>
      <c r="B976" s="3" t="s">
        <v>7</v>
      </c>
      <c r="C976" s="3" t="s">
        <v>15</v>
      </c>
    </row>
    <row r="977">
      <c r="A977" s="3" t="s">
        <v>6</v>
      </c>
      <c r="B977" s="3" t="s">
        <v>7</v>
      </c>
      <c r="C977" s="3" t="s">
        <v>8</v>
      </c>
    </row>
    <row r="978">
      <c r="A978" s="3" t="s">
        <v>6</v>
      </c>
      <c r="B978" s="3" t="s">
        <v>7</v>
      </c>
      <c r="C978" s="3" t="s">
        <v>15</v>
      </c>
    </row>
    <row r="979">
      <c r="A979" s="3" t="s">
        <v>6</v>
      </c>
      <c r="B979" s="3" t="s">
        <v>7</v>
      </c>
      <c r="C979" s="3" t="s">
        <v>8</v>
      </c>
    </row>
    <row r="980">
      <c r="A980" s="3" t="s">
        <v>6</v>
      </c>
      <c r="B980" s="3" t="s">
        <v>15</v>
      </c>
      <c r="C980" s="3" t="s">
        <v>16</v>
      </c>
    </row>
    <row r="981">
      <c r="A981" s="3" t="s">
        <v>6</v>
      </c>
      <c r="B981" s="3" t="s">
        <v>7</v>
      </c>
      <c r="C981" s="3" t="s">
        <v>8</v>
      </c>
    </row>
    <row r="982">
      <c r="A982" s="3" t="s">
        <v>6</v>
      </c>
      <c r="B982" s="3" t="s">
        <v>7</v>
      </c>
      <c r="C982" s="3" t="s">
        <v>15</v>
      </c>
    </row>
    <row r="983">
      <c r="A983" s="3" t="s">
        <v>6</v>
      </c>
      <c r="B983" s="3" t="s">
        <v>7</v>
      </c>
      <c r="C983" s="3" t="s">
        <v>15</v>
      </c>
    </row>
    <row r="984">
      <c r="A984" s="3" t="s">
        <v>6</v>
      </c>
      <c r="B984" s="3" t="s">
        <v>7</v>
      </c>
    </row>
    <row r="985">
      <c r="A985" s="3" t="s">
        <v>6</v>
      </c>
      <c r="B985" s="3" t="s">
        <v>7</v>
      </c>
      <c r="C985" s="3" t="s">
        <v>15</v>
      </c>
    </row>
    <row r="986">
      <c r="A986" s="3" t="s">
        <v>6</v>
      </c>
      <c r="B986" s="3" t="s">
        <v>11</v>
      </c>
    </row>
    <row r="987">
      <c r="A987" s="3" t="s">
        <v>6</v>
      </c>
      <c r="B987" s="3" t="s">
        <v>7</v>
      </c>
      <c r="C987" s="3" t="s">
        <v>11</v>
      </c>
    </row>
    <row r="988">
      <c r="A988" s="3" t="s">
        <v>6</v>
      </c>
      <c r="B988" s="3" t="s">
        <v>7</v>
      </c>
    </row>
    <row r="989">
      <c r="A989" s="3" t="s">
        <v>6</v>
      </c>
      <c r="B989" s="3" t="s">
        <v>7</v>
      </c>
      <c r="C989" s="3" t="s">
        <v>8</v>
      </c>
    </row>
    <row r="990">
      <c r="A990" s="3" t="s">
        <v>6</v>
      </c>
      <c r="B990" s="3" t="s">
        <v>15</v>
      </c>
      <c r="C990" s="3" t="s">
        <v>16</v>
      </c>
    </row>
    <row r="991">
      <c r="A991" s="3" t="s">
        <v>6</v>
      </c>
      <c r="B991" s="3" t="s">
        <v>7</v>
      </c>
      <c r="C991" s="3" t="s">
        <v>11</v>
      </c>
    </row>
    <row r="992">
      <c r="A992" s="3" t="s">
        <v>6</v>
      </c>
      <c r="B992" s="3" t="s">
        <v>7</v>
      </c>
      <c r="C992" s="3" t="s">
        <v>15</v>
      </c>
    </row>
    <row r="993">
      <c r="A993" s="3" t="s">
        <v>6</v>
      </c>
      <c r="B993" s="3" t="s">
        <v>13</v>
      </c>
      <c r="C993" s="3" t="s">
        <v>14</v>
      </c>
    </row>
    <row r="994">
      <c r="A994" s="3" t="s">
        <v>609</v>
      </c>
    </row>
    <row r="995">
      <c r="A995" s="3" t="s">
        <v>7</v>
      </c>
      <c r="B995" s="3" t="s">
        <v>8</v>
      </c>
      <c r="C995" s="3" t="s">
        <v>9</v>
      </c>
    </row>
    <row r="996">
      <c r="A996" s="3" t="s">
        <v>7</v>
      </c>
      <c r="B996" s="3" t="s">
        <v>8</v>
      </c>
    </row>
    <row r="997">
      <c r="A997" s="3" t="s">
        <v>7</v>
      </c>
      <c r="B997" s="3" t="s">
        <v>11</v>
      </c>
      <c r="C997" s="3" t="s">
        <v>15</v>
      </c>
    </row>
    <row r="998">
      <c r="A998" s="3" t="s">
        <v>7</v>
      </c>
      <c r="B998" s="3" t="s">
        <v>8</v>
      </c>
      <c r="C998" s="3" t="s">
        <v>9</v>
      </c>
    </row>
    <row r="999">
      <c r="A999" s="3" t="s">
        <v>7</v>
      </c>
      <c r="B999" s="3" t="s">
        <v>8</v>
      </c>
    </row>
    <row r="1000">
      <c r="A1000" s="3" t="s">
        <v>7</v>
      </c>
      <c r="B1000" s="3" t="s">
        <v>15</v>
      </c>
      <c r="C1000" s="3" t="s">
        <v>17</v>
      </c>
    </row>
    <row r="1001">
      <c r="A1001" s="3" t="s">
        <v>7</v>
      </c>
      <c r="B1001" s="3" t="s">
        <v>13</v>
      </c>
      <c r="C1001" s="3" t="s">
        <v>17</v>
      </c>
    </row>
    <row r="1002">
      <c r="A1002" s="3" t="s">
        <v>7</v>
      </c>
      <c r="B1002" s="3" t="s">
        <v>8</v>
      </c>
      <c r="C1002" s="3" t="s">
        <v>17</v>
      </c>
    </row>
    <row r="1003">
      <c r="A1003" s="3" t="s">
        <v>7</v>
      </c>
      <c r="B1003" s="3" t="s">
        <v>8</v>
      </c>
      <c r="C1003" s="3" t="s">
        <v>9</v>
      </c>
    </row>
    <row r="1004">
      <c r="A1004" s="3" t="s">
        <v>7</v>
      </c>
      <c r="B1004" s="3" t="s">
        <v>11</v>
      </c>
      <c r="C1004" s="3" t="s">
        <v>15</v>
      </c>
    </row>
    <row r="1005">
      <c r="A1005" s="3" t="s">
        <v>7</v>
      </c>
      <c r="B1005" s="3" t="s">
        <v>13</v>
      </c>
    </row>
    <row r="1006">
      <c r="A1006" s="3" t="s">
        <v>7</v>
      </c>
      <c r="B1006" s="3" t="s">
        <v>17</v>
      </c>
      <c r="C1006" s="3" t="s">
        <v>18</v>
      </c>
    </row>
    <row r="1007">
      <c r="A1007" s="3" t="s">
        <v>7</v>
      </c>
      <c r="B1007" s="3" t="s">
        <v>8</v>
      </c>
      <c r="C1007" s="3" t="s">
        <v>9</v>
      </c>
    </row>
    <row r="1008">
      <c r="A1008" s="3" t="s">
        <v>7</v>
      </c>
      <c r="B1008" s="3" t="s">
        <v>8</v>
      </c>
    </row>
    <row r="1009">
      <c r="A1009" s="3" t="s">
        <v>7</v>
      </c>
      <c r="B1009" s="3" t="s">
        <v>11</v>
      </c>
      <c r="C1009" s="3" t="s">
        <v>15</v>
      </c>
    </row>
    <row r="1010">
      <c r="A1010" s="3" t="s">
        <v>7</v>
      </c>
      <c r="B1010" s="3" t="s">
        <v>15</v>
      </c>
    </row>
    <row r="1011">
      <c r="A1011" s="3" t="s">
        <v>7</v>
      </c>
      <c r="B1011" s="3" t="s">
        <v>11</v>
      </c>
      <c r="C1011" s="3" t="s">
        <v>15</v>
      </c>
    </row>
    <row r="1012">
      <c r="A1012" s="3" t="s">
        <v>7</v>
      </c>
      <c r="B1012" s="3" t="s">
        <v>11</v>
      </c>
      <c r="C1012" s="3" t="s">
        <v>12</v>
      </c>
    </row>
    <row r="1013">
      <c r="A1013" s="3" t="s">
        <v>7</v>
      </c>
      <c r="B1013" s="3" t="s">
        <v>8</v>
      </c>
    </row>
    <row r="1014">
      <c r="A1014" s="3" t="s">
        <v>8</v>
      </c>
      <c r="B1014" s="3" t="s">
        <v>9</v>
      </c>
      <c r="C1014" s="3" t="s">
        <v>10</v>
      </c>
    </row>
    <row r="1015">
      <c r="A1015" s="3" t="s">
        <v>8</v>
      </c>
      <c r="B1015" s="3" t="s">
        <v>16</v>
      </c>
      <c r="C1015" s="3" t="s">
        <v>17</v>
      </c>
    </row>
    <row r="1016">
      <c r="A1016" s="3" t="s">
        <v>8</v>
      </c>
      <c r="B1016" s="3" t="s">
        <v>9</v>
      </c>
      <c r="C1016" s="3" t="s">
        <v>10</v>
      </c>
    </row>
    <row r="1017">
      <c r="A1017" s="3" t="s">
        <v>8</v>
      </c>
      <c r="B1017" s="3" t="s">
        <v>9</v>
      </c>
      <c r="C1017" s="3" t="s">
        <v>16</v>
      </c>
    </row>
    <row r="1018">
      <c r="A1018" s="3" t="s">
        <v>8</v>
      </c>
      <c r="B1018" s="3" t="s">
        <v>9</v>
      </c>
      <c r="C1018" s="3" t="s">
        <v>16</v>
      </c>
    </row>
    <row r="1019">
      <c r="A1019" s="3" t="s">
        <v>8</v>
      </c>
      <c r="B1019" s="3" t="s">
        <v>9</v>
      </c>
      <c r="C1019" s="3" t="s">
        <v>10</v>
      </c>
    </row>
    <row r="1020">
      <c r="A1020" s="3" t="s">
        <v>8</v>
      </c>
      <c r="B1020" s="3" t="s">
        <v>9</v>
      </c>
      <c r="C1020" s="3" t="s">
        <v>12</v>
      </c>
    </row>
    <row r="1021">
      <c r="A1021" s="3" t="s">
        <v>8</v>
      </c>
      <c r="B1021" s="3" t="s">
        <v>16</v>
      </c>
      <c r="C1021" s="3" t="s">
        <v>17</v>
      </c>
    </row>
    <row r="1022">
      <c r="A1022" s="3" t="s">
        <v>8</v>
      </c>
      <c r="B1022" s="3" t="s">
        <v>9</v>
      </c>
      <c r="C1022" s="3" t="s">
        <v>10</v>
      </c>
    </row>
    <row r="1023">
      <c r="A1023" s="3" t="s">
        <v>8</v>
      </c>
    </row>
    <row r="1024">
      <c r="A1024" s="3" t="s">
        <v>8</v>
      </c>
      <c r="B1024" s="3" t="s">
        <v>9</v>
      </c>
    </row>
    <row r="1025">
      <c r="A1025" s="3" t="s">
        <v>8</v>
      </c>
    </row>
    <row r="1026">
      <c r="A1026" s="3" t="s">
        <v>8</v>
      </c>
      <c r="B1026" s="3" t="s">
        <v>9</v>
      </c>
      <c r="C1026" s="3" t="s">
        <v>10</v>
      </c>
    </row>
    <row r="1027">
      <c r="A1027" s="3" t="s">
        <v>8</v>
      </c>
      <c r="B1027" s="3" t="s">
        <v>9</v>
      </c>
      <c r="C1027" s="3" t="s">
        <v>12</v>
      </c>
    </row>
    <row r="1028">
      <c r="A1028" s="3" t="s">
        <v>8</v>
      </c>
      <c r="B1028" s="3" t="s">
        <v>14</v>
      </c>
      <c r="C1028" s="3" t="s">
        <v>17</v>
      </c>
    </row>
    <row r="1029">
      <c r="A1029" s="3" t="s">
        <v>8</v>
      </c>
      <c r="B1029" s="3" t="s">
        <v>16</v>
      </c>
    </row>
    <row r="1030">
      <c r="A1030" s="3" t="s">
        <v>8</v>
      </c>
      <c r="B1030" s="3" t="s">
        <v>9</v>
      </c>
    </row>
    <row r="1031">
      <c r="A1031" s="3" t="s">
        <v>8</v>
      </c>
      <c r="B1031" s="3" t="s">
        <v>16</v>
      </c>
    </row>
    <row r="1032">
      <c r="A1032" s="3" t="s">
        <v>8</v>
      </c>
      <c r="B1032" s="3" t="s">
        <v>9</v>
      </c>
      <c r="C1032" s="3" t="s">
        <v>10</v>
      </c>
    </row>
    <row r="1033">
      <c r="A1033" s="3" t="s">
        <v>8</v>
      </c>
      <c r="B1033" s="3" t="s">
        <v>9</v>
      </c>
      <c r="C1033" s="3" t="s">
        <v>10</v>
      </c>
    </row>
    <row r="1034">
      <c r="A1034" s="3" t="s">
        <v>8</v>
      </c>
      <c r="B1034" s="3" t="s">
        <v>9</v>
      </c>
      <c r="C1034" s="3" t="s">
        <v>10</v>
      </c>
    </row>
    <row r="1035">
      <c r="A1035" s="3" t="s">
        <v>8</v>
      </c>
      <c r="B1035" s="3" t="s">
        <v>9</v>
      </c>
      <c r="C1035" s="3" t="s">
        <v>10</v>
      </c>
    </row>
    <row r="1036">
      <c r="A1036" s="3" t="s">
        <v>8</v>
      </c>
      <c r="B1036" s="3" t="s">
        <v>12</v>
      </c>
    </row>
    <row r="1037">
      <c r="A1037" s="3" t="s">
        <v>8</v>
      </c>
      <c r="B1037" s="3" t="s">
        <v>9</v>
      </c>
      <c r="C1037" s="3" t="s">
        <v>10</v>
      </c>
    </row>
    <row r="1038">
      <c r="A1038" s="3" t="s">
        <v>8</v>
      </c>
      <c r="B1038" s="3" t="s">
        <v>9</v>
      </c>
      <c r="C1038" s="3" t="s">
        <v>10</v>
      </c>
    </row>
    <row r="1039">
      <c r="A1039" s="3" t="s">
        <v>9</v>
      </c>
      <c r="B1039" s="3" t="s">
        <v>16</v>
      </c>
      <c r="C1039" s="3" t="s">
        <v>18</v>
      </c>
    </row>
    <row r="1040">
      <c r="A1040" s="3" t="s">
        <v>9</v>
      </c>
      <c r="B1040" s="3" t="s">
        <v>10</v>
      </c>
    </row>
    <row r="1041">
      <c r="A1041" s="3" t="s">
        <v>9</v>
      </c>
      <c r="B1041" s="3" t="s">
        <v>10</v>
      </c>
      <c r="C1041" s="3" t="s">
        <v>18</v>
      </c>
    </row>
    <row r="1042">
      <c r="A1042" s="3" t="s">
        <v>9</v>
      </c>
      <c r="B1042" s="3" t="s">
        <v>10</v>
      </c>
    </row>
    <row r="1043">
      <c r="A1043" s="3" t="s">
        <v>9</v>
      </c>
      <c r="B1043" s="3" t="s">
        <v>10</v>
      </c>
      <c r="C1043" s="3" t="s">
        <v>18</v>
      </c>
    </row>
    <row r="1044">
      <c r="A1044" s="3" t="s">
        <v>9</v>
      </c>
      <c r="B1044" s="3" t="s">
        <v>13</v>
      </c>
      <c r="C1044" s="3" t="s">
        <v>14</v>
      </c>
    </row>
    <row r="1045">
      <c r="A1045" s="3" t="s">
        <v>9</v>
      </c>
      <c r="B1045" s="3" t="s">
        <v>12</v>
      </c>
      <c r="C1045" s="3" t="s">
        <v>18</v>
      </c>
    </row>
    <row r="1046">
      <c r="A1046" s="3" t="s">
        <v>9</v>
      </c>
      <c r="B1046" s="3" t="s">
        <v>10</v>
      </c>
    </row>
    <row r="1047">
      <c r="A1047" s="3" t="s">
        <v>9</v>
      </c>
      <c r="B1047" s="3" t="s">
        <v>16</v>
      </c>
      <c r="C1047" s="3" t="s">
        <v>18</v>
      </c>
    </row>
    <row r="1048">
      <c r="A1048" s="3" t="s">
        <v>9</v>
      </c>
      <c r="B1048" s="3" t="s">
        <v>10</v>
      </c>
    </row>
    <row r="1049">
      <c r="A1049" s="3" t="s">
        <v>9</v>
      </c>
      <c r="B1049" s="3" t="s">
        <v>10</v>
      </c>
    </row>
    <row r="1050">
      <c r="A1050" s="3" t="s">
        <v>9</v>
      </c>
      <c r="B1050" s="3" t="s">
        <v>10</v>
      </c>
      <c r="C1050" s="3" t="s">
        <v>18</v>
      </c>
    </row>
    <row r="1051">
      <c r="A1051" s="3" t="s">
        <v>9</v>
      </c>
      <c r="B1051" s="3" t="s">
        <v>10</v>
      </c>
    </row>
    <row r="1052">
      <c r="A1052" s="3" t="s">
        <v>9</v>
      </c>
      <c r="B1052" s="3" t="s">
        <v>12</v>
      </c>
      <c r="C1052" s="3" t="s">
        <v>18</v>
      </c>
    </row>
    <row r="1053">
      <c r="A1053" s="3" t="s">
        <v>9</v>
      </c>
      <c r="B1053" s="3" t="s">
        <v>16</v>
      </c>
      <c r="C1053" s="3" t="s">
        <v>18</v>
      </c>
    </row>
    <row r="1054">
      <c r="A1054" s="3" t="s">
        <v>9</v>
      </c>
      <c r="B1054" s="3" t="s">
        <v>10</v>
      </c>
    </row>
    <row r="1055">
      <c r="A1055" s="3" t="s">
        <v>9</v>
      </c>
      <c r="B1055" s="3" t="s">
        <v>10</v>
      </c>
    </row>
    <row r="1056">
      <c r="A1056" s="3" t="s">
        <v>9</v>
      </c>
      <c r="B1056" s="3" t="s">
        <v>10</v>
      </c>
    </row>
    <row r="1057">
      <c r="A1057" s="3" t="s">
        <v>9</v>
      </c>
      <c r="B1057" s="3" t="s">
        <v>10</v>
      </c>
    </row>
    <row r="1058">
      <c r="A1058" s="3" t="s">
        <v>9</v>
      </c>
      <c r="B1058" s="3" t="s">
        <v>10</v>
      </c>
      <c r="C1058" s="3" t="s">
        <v>18</v>
      </c>
    </row>
    <row r="1059">
      <c r="A1059" s="3" t="s">
        <v>9</v>
      </c>
      <c r="B1059" s="3" t="s">
        <v>10</v>
      </c>
    </row>
    <row r="1060">
      <c r="A1060" s="3" t="s">
        <v>9</v>
      </c>
      <c r="B1060" s="3" t="s">
        <v>10</v>
      </c>
    </row>
    <row r="1061">
      <c r="A1061" s="3" t="s">
        <v>9</v>
      </c>
      <c r="B1061" s="3" t="s">
        <v>10</v>
      </c>
    </row>
    <row r="1062">
      <c r="A1062" s="3" t="s">
        <v>9</v>
      </c>
      <c r="B1062" s="3" t="s">
        <v>16</v>
      </c>
      <c r="C1062" s="3" t="s">
        <v>18</v>
      </c>
    </row>
    <row r="1063">
      <c r="A1063" s="3" t="s">
        <v>9</v>
      </c>
      <c r="B1063" s="3" t="s">
        <v>10</v>
      </c>
    </row>
    <row r="1064">
      <c r="A1064" s="3" t="s">
        <v>9</v>
      </c>
      <c r="B1064" s="3" t="s">
        <v>10</v>
      </c>
      <c r="C1064" s="3" t="s">
        <v>18</v>
      </c>
    </row>
    <row r="1065">
      <c r="A1065" s="3" t="s">
        <v>9</v>
      </c>
      <c r="B1065" s="3" t="s">
        <v>10</v>
      </c>
      <c r="C1065" s="3" t="s">
        <v>18</v>
      </c>
    </row>
    <row r="1066">
      <c r="A1066" s="3" t="s">
        <v>9</v>
      </c>
      <c r="B1066" s="3" t="s">
        <v>10</v>
      </c>
    </row>
    <row r="1067">
      <c r="A1067" s="3" t="s">
        <v>9</v>
      </c>
      <c r="B1067" s="3" t="s">
        <v>10</v>
      </c>
    </row>
    <row r="1068">
      <c r="A1068" s="3" t="s">
        <v>9</v>
      </c>
      <c r="B1068" s="3" t="s">
        <v>12</v>
      </c>
      <c r="C1068" s="3" t="s">
        <v>18</v>
      </c>
    </row>
    <row r="1069">
      <c r="A1069" s="3" t="s">
        <v>9</v>
      </c>
      <c r="B1069" s="3" t="s">
        <v>10</v>
      </c>
    </row>
    <row r="1070">
      <c r="A1070" s="3" t="s">
        <v>9</v>
      </c>
      <c r="B1070" s="3" t="s">
        <v>10</v>
      </c>
    </row>
    <row r="1071">
      <c r="A1071" s="3" t="s">
        <v>9</v>
      </c>
      <c r="B1071" s="3" t="s">
        <v>12</v>
      </c>
      <c r="C1071" s="3" t="s">
        <v>18</v>
      </c>
    </row>
    <row r="1072">
      <c r="A1072" s="3" t="s">
        <v>11</v>
      </c>
      <c r="B1072" s="3" t="s">
        <v>12</v>
      </c>
      <c r="C1072" s="3" t="s">
        <v>17</v>
      </c>
    </row>
    <row r="1073">
      <c r="A1073" s="3" t="s">
        <v>11</v>
      </c>
      <c r="B1073" s="3" t="s">
        <v>12</v>
      </c>
      <c r="C1073" s="3" t="s">
        <v>17</v>
      </c>
    </row>
    <row r="1074">
      <c r="A1074" s="3" t="s">
        <v>11</v>
      </c>
      <c r="B1074" s="3" t="s">
        <v>12</v>
      </c>
      <c r="C1074" s="3" t="s">
        <v>17</v>
      </c>
    </row>
    <row r="1075">
      <c r="A1075" s="3" t="s">
        <v>11</v>
      </c>
      <c r="B1075" s="3" t="s">
        <v>12</v>
      </c>
      <c r="C1075" s="3" t="s">
        <v>15</v>
      </c>
    </row>
    <row r="1076">
      <c r="A1076" s="3" t="s">
        <v>11</v>
      </c>
      <c r="B1076" s="3" t="s">
        <v>12</v>
      </c>
      <c r="C1076" s="3" t="s">
        <v>17</v>
      </c>
    </row>
    <row r="1077">
      <c r="A1077" s="3" t="s">
        <v>11</v>
      </c>
      <c r="B1077" s="3" t="s">
        <v>15</v>
      </c>
      <c r="C1077" s="3" t="s">
        <v>16</v>
      </c>
    </row>
    <row r="1078">
      <c r="A1078" s="3" t="s">
        <v>11</v>
      </c>
      <c r="B1078" s="3" t="s">
        <v>12</v>
      </c>
    </row>
    <row r="1079">
      <c r="A1079" s="3" t="s">
        <v>11</v>
      </c>
      <c r="B1079" s="3" t="s">
        <v>12</v>
      </c>
    </row>
    <row r="1080">
      <c r="A1080" s="3" t="s">
        <v>11</v>
      </c>
      <c r="B1080" s="3" t="s">
        <v>12</v>
      </c>
    </row>
    <row r="1081">
      <c r="A1081" s="3" t="s">
        <v>11</v>
      </c>
      <c r="B1081" s="3" t="s">
        <v>12</v>
      </c>
    </row>
    <row r="1082">
      <c r="A1082" s="3" t="s">
        <v>11</v>
      </c>
      <c r="B1082" s="3" t="s">
        <v>12</v>
      </c>
      <c r="C1082" s="3" t="s">
        <v>15</v>
      </c>
    </row>
    <row r="1083">
      <c r="A1083" s="3" t="s">
        <v>11</v>
      </c>
      <c r="B1083" s="3" t="s">
        <v>12</v>
      </c>
      <c r="C1083" s="3" t="s">
        <v>17</v>
      </c>
    </row>
    <row r="1084">
      <c r="A1084" s="3" t="s">
        <v>11</v>
      </c>
      <c r="B1084" s="3" t="s">
        <v>15</v>
      </c>
    </row>
    <row r="1085">
      <c r="A1085" s="3" t="s">
        <v>11</v>
      </c>
      <c r="B1085" s="3" t="s">
        <v>15</v>
      </c>
    </row>
    <row r="1086">
      <c r="A1086" s="3" t="s">
        <v>11</v>
      </c>
      <c r="B1086" s="3" t="s">
        <v>12</v>
      </c>
      <c r="C1086" s="3" t="s">
        <v>17</v>
      </c>
    </row>
    <row r="1087">
      <c r="A1087" s="3" t="s">
        <v>11</v>
      </c>
      <c r="B1087" s="3" t="s">
        <v>12</v>
      </c>
    </row>
    <row r="1088">
      <c r="A1088" s="3" t="s">
        <v>11</v>
      </c>
      <c r="B1088" s="3" t="s">
        <v>12</v>
      </c>
      <c r="C1088" s="3" t="s">
        <v>17</v>
      </c>
    </row>
    <row r="1089">
      <c r="A1089" s="3" t="s">
        <v>11</v>
      </c>
      <c r="B1089" s="3" t="s">
        <v>12</v>
      </c>
      <c r="C1089" s="3" t="s">
        <v>15</v>
      </c>
    </row>
    <row r="1090">
      <c r="A1090" s="3" t="s">
        <v>11</v>
      </c>
    </row>
    <row r="1091">
      <c r="A1091" s="3" t="s">
        <v>11</v>
      </c>
      <c r="B1091" s="3" t="s">
        <v>12</v>
      </c>
    </row>
    <row r="1092">
      <c r="A1092" s="3" t="s">
        <v>11</v>
      </c>
      <c r="B1092" s="3" t="s">
        <v>12</v>
      </c>
      <c r="C1092" s="3" t="s">
        <v>15</v>
      </c>
    </row>
    <row r="1093">
      <c r="A1093" s="3" t="s">
        <v>11</v>
      </c>
      <c r="B1093" s="3" t="s">
        <v>12</v>
      </c>
      <c r="C1093" s="3" t="s">
        <v>17</v>
      </c>
    </row>
    <row r="1094">
      <c r="A1094" s="3" t="s">
        <v>11</v>
      </c>
      <c r="B1094" s="3" t="s">
        <v>12</v>
      </c>
    </row>
    <row r="1095">
      <c r="A1095" s="3" t="s">
        <v>11</v>
      </c>
      <c r="B1095" s="3" t="s">
        <v>12</v>
      </c>
    </row>
    <row r="1096">
      <c r="A1096" s="3" t="s">
        <v>11</v>
      </c>
      <c r="B1096" s="3" t="s">
        <v>15</v>
      </c>
      <c r="C1096" s="3" t="s">
        <v>16</v>
      </c>
    </row>
    <row r="1097">
      <c r="A1097" s="3" t="s">
        <v>11</v>
      </c>
      <c r="B1097" s="3" t="s">
        <v>12</v>
      </c>
    </row>
    <row r="1098">
      <c r="A1098" s="3" t="s">
        <v>11</v>
      </c>
      <c r="B1098" s="3" t="s">
        <v>12</v>
      </c>
      <c r="C1098" s="3" t="s">
        <v>17</v>
      </c>
    </row>
    <row r="1099">
      <c r="A1099" s="3" t="s">
        <v>11</v>
      </c>
      <c r="B1099" s="3" t="s">
        <v>12</v>
      </c>
    </row>
    <row r="1100">
      <c r="A1100" s="3" t="s">
        <v>11</v>
      </c>
      <c r="B1100" s="3" t="s">
        <v>12</v>
      </c>
    </row>
    <row r="1101">
      <c r="A1101" s="3" t="s">
        <v>11</v>
      </c>
      <c r="B1101" s="3" t="s">
        <v>12</v>
      </c>
    </row>
    <row r="1102">
      <c r="A1102" s="3" t="s">
        <v>11</v>
      </c>
      <c r="B1102" s="3" t="s">
        <v>12</v>
      </c>
    </row>
    <row r="1103">
      <c r="A1103" s="3" t="s">
        <v>11</v>
      </c>
    </row>
    <row r="1104">
      <c r="A1104" s="3" t="s">
        <v>11</v>
      </c>
      <c r="B1104" s="3" t="s">
        <v>12</v>
      </c>
      <c r="C1104" s="3" t="s">
        <v>17</v>
      </c>
    </row>
    <row r="1105">
      <c r="A1105" s="3" t="s">
        <v>11</v>
      </c>
      <c r="B1105" s="3" t="s">
        <v>12</v>
      </c>
    </row>
    <row r="1106">
      <c r="A1106" s="3" t="s">
        <v>11</v>
      </c>
      <c r="B1106" s="3" t="s">
        <v>16</v>
      </c>
      <c r="C1106" s="3" t="s">
        <v>17</v>
      </c>
    </row>
    <row r="1107">
      <c r="A1107" s="3" t="s">
        <v>11</v>
      </c>
      <c r="B1107" s="3" t="s">
        <v>12</v>
      </c>
    </row>
    <row r="1108">
      <c r="A1108" s="3" t="s">
        <v>11</v>
      </c>
      <c r="B1108" s="3" t="s">
        <v>12</v>
      </c>
    </row>
    <row r="1109">
      <c r="A1109" s="3" t="s">
        <v>11</v>
      </c>
      <c r="B1109" s="3" t="s">
        <v>15</v>
      </c>
      <c r="C1109" s="3" t="s">
        <v>16</v>
      </c>
    </row>
    <row r="1110">
      <c r="A1110" s="3" t="s">
        <v>11</v>
      </c>
      <c r="B1110" s="3" t="s">
        <v>12</v>
      </c>
      <c r="C1110" s="3" t="s">
        <v>18</v>
      </c>
    </row>
    <row r="1111">
      <c r="A1111" s="3" t="s">
        <v>11</v>
      </c>
      <c r="B1111" s="3" t="s">
        <v>12</v>
      </c>
      <c r="C1111" s="3" t="s">
        <v>15</v>
      </c>
    </row>
    <row r="1112">
      <c r="A1112" s="3" t="s">
        <v>12</v>
      </c>
      <c r="B1112" s="3" t="s">
        <v>17</v>
      </c>
      <c r="C1112" s="3" t="s">
        <v>18</v>
      </c>
    </row>
    <row r="1113">
      <c r="A1113" s="3" t="s">
        <v>12</v>
      </c>
      <c r="B1113" s="3" t="s">
        <v>17</v>
      </c>
      <c r="C1113" s="3" t="s">
        <v>18</v>
      </c>
    </row>
    <row r="1114">
      <c r="A1114" s="3" t="s">
        <v>13</v>
      </c>
      <c r="B1114" s="3" t="s">
        <v>14</v>
      </c>
    </row>
    <row r="1115">
      <c r="A1115" s="3" t="s">
        <v>13</v>
      </c>
      <c r="B1115" s="3" t="s">
        <v>14</v>
      </c>
      <c r="C1115" s="3" t="s">
        <v>17</v>
      </c>
    </row>
    <row r="1116">
      <c r="A1116" s="3" t="s">
        <v>13</v>
      </c>
      <c r="B1116" s="3" t="s">
        <v>14</v>
      </c>
      <c r="C1116" s="3" t="s">
        <v>17</v>
      </c>
    </row>
    <row r="1117">
      <c r="A1117" s="3" t="s">
        <v>13</v>
      </c>
      <c r="B1117" s="3" t="s">
        <v>14</v>
      </c>
    </row>
    <row r="1118">
      <c r="A1118" s="3" t="s">
        <v>13</v>
      </c>
      <c r="B1118" s="3" t="s">
        <v>14</v>
      </c>
    </row>
    <row r="1119">
      <c r="A1119" s="3" t="s">
        <v>13</v>
      </c>
      <c r="B1119" s="3" t="s">
        <v>14</v>
      </c>
      <c r="C1119" s="3" t="s">
        <v>17</v>
      </c>
    </row>
    <row r="1120">
      <c r="A1120" s="3" t="s">
        <v>13</v>
      </c>
      <c r="B1120" s="3" t="s">
        <v>14</v>
      </c>
      <c r="C1120" s="3" t="s">
        <v>17</v>
      </c>
    </row>
    <row r="1121">
      <c r="A1121" s="3" t="s">
        <v>13</v>
      </c>
    </row>
    <row r="1122">
      <c r="A1122" s="3" t="s">
        <v>13</v>
      </c>
      <c r="B1122" s="3" t="s">
        <v>14</v>
      </c>
      <c r="C1122" s="3" t="s">
        <v>17</v>
      </c>
    </row>
    <row r="1123">
      <c r="A1123" s="3" t="s">
        <v>13</v>
      </c>
      <c r="B1123" s="3" t="s">
        <v>14</v>
      </c>
    </row>
    <row r="1124">
      <c r="A1124" s="3" t="s">
        <v>13</v>
      </c>
      <c r="B1124" s="3" t="s">
        <v>14</v>
      </c>
    </row>
    <row r="1125">
      <c r="A1125" s="3" t="s">
        <v>13</v>
      </c>
      <c r="B1125" s="3" t="s">
        <v>14</v>
      </c>
      <c r="C1125" s="3" t="s">
        <v>17</v>
      </c>
    </row>
    <row r="1126">
      <c r="A1126" s="3" t="s">
        <v>13</v>
      </c>
      <c r="B1126" s="3" t="s">
        <v>14</v>
      </c>
    </row>
    <row r="1127">
      <c r="A1127" s="3" t="s">
        <v>13</v>
      </c>
      <c r="B1127" s="3" t="s">
        <v>14</v>
      </c>
    </row>
    <row r="1128">
      <c r="A1128" s="3" t="s">
        <v>13</v>
      </c>
      <c r="B1128" s="3" t="s">
        <v>14</v>
      </c>
    </row>
    <row r="1129">
      <c r="A1129" s="3" t="s">
        <v>13</v>
      </c>
      <c r="B1129" s="3" t="s">
        <v>14</v>
      </c>
      <c r="C1129" s="3" t="s">
        <v>18</v>
      </c>
    </row>
    <row r="1130">
      <c r="A1130" s="3" t="s">
        <v>13</v>
      </c>
      <c r="B1130" s="3" t="s">
        <v>14</v>
      </c>
    </row>
    <row r="1131">
      <c r="A1131" s="3" t="s">
        <v>13</v>
      </c>
      <c r="B1131" s="3" t="s">
        <v>14</v>
      </c>
    </row>
    <row r="1132">
      <c r="A1132" s="3" t="s">
        <v>13</v>
      </c>
      <c r="B1132" s="3" t="s">
        <v>14</v>
      </c>
    </row>
    <row r="1133">
      <c r="A1133" s="3" t="s">
        <v>13</v>
      </c>
      <c r="B1133" s="3" t="s">
        <v>14</v>
      </c>
      <c r="C1133" s="3" t="s">
        <v>17</v>
      </c>
    </row>
    <row r="1134">
      <c r="A1134" s="3" t="s">
        <v>13</v>
      </c>
      <c r="B1134" s="3" t="s">
        <v>14</v>
      </c>
      <c r="C1134" s="3" t="s">
        <v>17</v>
      </c>
    </row>
    <row r="1135">
      <c r="A1135" s="3" t="s">
        <v>13</v>
      </c>
      <c r="B1135" s="3" t="s">
        <v>14</v>
      </c>
      <c r="C1135" s="3" t="s">
        <v>17</v>
      </c>
    </row>
    <row r="1136">
      <c r="A1136" s="3" t="s">
        <v>13</v>
      </c>
      <c r="B1136" s="3" t="s">
        <v>14</v>
      </c>
    </row>
    <row r="1137">
      <c r="A1137" s="3" t="s">
        <v>13</v>
      </c>
      <c r="B1137" s="3" t="s">
        <v>14</v>
      </c>
    </row>
    <row r="1138">
      <c r="A1138" s="3" t="s">
        <v>13</v>
      </c>
      <c r="B1138" s="3" t="s">
        <v>14</v>
      </c>
    </row>
    <row r="1139">
      <c r="A1139" s="3" t="s">
        <v>13</v>
      </c>
      <c r="B1139" s="3" t="s">
        <v>14</v>
      </c>
      <c r="C1139" s="3" t="s">
        <v>17</v>
      </c>
    </row>
    <row r="1140">
      <c r="A1140" s="3" t="s">
        <v>13</v>
      </c>
      <c r="B1140" s="3" t="s">
        <v>14</v>
      </c>
    </row>
    <row r="1141">
      <c r="A1141" s="3" t="s">
        <v>13</v>
      </c>
      <c r="B1141" s="3" t="s">
        <v>14</v>
      </c>
      <c r="C1141" s="3" t="s">
        <v>17</v>
      </c>
    </row>
    <row r="1142">
      <c r="A1142" s="3" t="s">
        <v>13</v>
      </c>
      <c r="B1142" s="3" t="s">
        <v>14</v>
      </c>
    </row>
    <row r="1143">
      <c r="A1143" s="3" t="s">
        <v>13</v>
      </c>
      <c r="B1143" s="3" t="s">
        <v>14</v>
      </c>
    </row>
    <row r="1144">
      <c r="A1144" s="3" t="s">
        <v>13</v>
      </c>
      <c r="B1144" s="3" t="s">
        <v>14</v>
      </c>
    </row>
    <row r="1145">
      <c r="A1145" s="3" t="s">
        <v>13</v>
      </c>
      <c r="B1145" s="3" t="s">
        <v>14</v>
      </c>
      <c r="C1145" s="3" t="s">
        <v>17</v>
      </c>
    </row>
    <row r="1146">
      <c r="A1146" s="3" t="s">
        <v>13</v>
      </c>
      <c r="B1146" s="3" t="s">
        <v>14</v>
      </c>
      <c r="C1146" s="3" t="s">
        <v>17</v>
      </c>
    </row>
    <row r="1147">
      <c r="A1147" s="3" t="s">
        <v>13</v>
      </c>
      <c r="B1147" s="3" t="s">
        <v>14</v>
      </c>
    </row>
    <row r="1148">
      <c r="A1148" s="3" t="s">
        <v>13</v>
      </c>
      <c r="B1148" s="3" t="s">
        <v>14</v>
      </c>
    </row>
    <row r="1149">
      <c r="A1149" s="3" t="s">
        <v>13</v>
      </c>
      <c r="B1149" s="3" t="s">
        <v>14</v>
      </c>
      <c r="C1149" s="3" t="s">
        <v>17</v>
      </c>
    </row>
    <row r="1150">
      <c r="A1150" s="3" t="s">
        <v>13</v>
      </c>
    </row>
    <row r="1151">
      <c r="A1151" s="3" t="s">
        <v>14</v>
      </c>
      <c r="B1151" s="3" t="s">
        <v>17</v>
      </c>
      <c r="C1151" s="3" t="s">
        <v>18</v>
      </c>
    </row>
    <row r="1152">
      <c r="A1152" s="3" t="s">
        <v>14</v>
      </c>
      <c r="B1152" s="3" t="s">
        <v>17</v>
      </c>
      <c r="C1152" s="3" t="s">
        <v>18</v>
      </c>
    </row>
    <row r="1153">
      <c r="A1153" s="3" t="s">
        <v>14</v>
      </c>
      <c r="B1153" s="3" t="s">
        <v>17</v>
      </c>
      <c r="C1153" s="3" t="s">
        <v>18</v>
      </c>
    </row>
    <row r="1154">
      <c r="A1154" s="3" t="s">
        <v>14</v>
      </c>
      <c r="B1154" s="3" t="s">
        <v>17</v>
      </c>
      <c r="C1154" s="3" t="s">
        <v>18</v>
      </c>
    </row>
    <row r="1155">
      <c r="A1155" s="3" t="s">
        <v>14</v>
      </c>
      <c r="B1155" s="3" t="s">
        <v>17</v>
      </c>
      <c r="C1155" s="3" t="s">
        <v>18</v>
      </c>
    </row>
    <row r="1156">
      <c r="A1156" s="3" t="s">
        <v>14</v>
      </c>
      <c r="B1156" s="3" t="s">
        <v>17</v>
      </c>
      <c r="C1156" s="3" t="s">
        <v>18</v>
      </c>
    </row>
    <row r="1157">
      <c r="A1157" s="3" t="s">
        <v>15</v>
      </c>
      <c r="B1157" s="3" t="s">
        <v>16</v>
      </c>
      <c r="C1157" s="3" t="s">
        <v>17</v>
      </c>
    </row>
    <row r="1158">
      <c r="A1158" s="3" t="s">
        <v>15</v>
      </c>
      <c r="B1158" s="3" t="s">
        <v>16</v>
      </c>
      <c r="C1158" s="3" t="s">
        <v>17</v>
      </c>
    </row>
    <row r="1159">
      <c r="A1159" s="3" t="s">
        <v>15</v>
      </c>
      <c r="B1159" s="3" t="s">
        <v>16</v>
      </c>
      <c r="C1159" s="3" t="s">
        <v>17</v>
      </c>
    </row>
    <row r="1160">
      <c r="A1160" s="3" t="s">
        <v>15</v>
      </c>
      <c r="B1160" s="3" t="s">
        <v>16</v>
      </c>
    </row>
    <row r="1161">
      <c r="A1161" s="3" t="s">
        <v>15</v>
      </c>
      <c r="B1161" s="3" t="s">
        <v>16</v>
      </c>
      <c r="C1161" s="3" t="s">
        <v>17</v>
      </c>
    </row>
    <row r="1162">
      <c r="A1162" s="3" t="s">
        <v>15</v>
      </c>
      <c r="B1162" s="3" t="s">
        <v>16</v>
      </c>
      <c r="C1162" s="3" t="s">
        <v>17</v>
      </c>
    </row>
    <row r="1163">
      <c r="A1163" s="3" t="s">
        <v>15</v>
      </c>
      <c r="B1163" s="3" t="s">
        <v>16</v>
      </c>
    </row>
    <row r="1164">
      <c r="A1164" s="3" t="s">
        <v>15</v>
      </c>
      <c r="B1164" s="3" t="s">
        <v>16</v>
      </c>
    </row>
    <row r="1165">
      <c r="A1165" s="3" t="s">
        <v>15</v>
      </c>
      <c r="B1165" s="3" t="s">
        <v>16</v>
      </c>
      <c r="C1165" s="3" t="s">
        <v>17</v>
      </c>
    </row>
    <row r="1166">
      <c r="A1166" s="3" t="s">
        <v>15</v>
      </c>
      <c r="B1166" s="3" t="s">
        <v>16</v>
      </c>
    </row>
    <row r="1167">
      <c r="A1167" s="3" t="s">
        <v>15</v>
      </c>
      <c r="B1167" s="3" t="s">
        <v>16</v>
      </c>
    </row>
    <row r="1168">
      <c r="A1168" s="3" t="s">
        <v>16</v>
      </c>
      <c r="B1168" s="3" t="s">
        <v>17</v>
      </c>
      <c r="C1168" s="3" t="s">
        <v>18</v>
      </c>
    </row>
    <row r="1169">
      <c r="A1169" s="3" t="s">
        <v>16</v>
      </c>
      <c r="B1169" s="3" t="s">
        <v>17</v>
      </c>
      <c r="C1169" s="3" t="s">
        <v>18</v>
      </c>
    </row>
    <row r="1170">
      <c r="A1170" s="3" t="s">
        <v>16</v>
      </c>
      <c r="B1170" s="3" t="s">
        <v>17</v>
      </c>
      <c r="C1170" s="3" t="s">
        <v>18</v>
      </c>
    </row>
    <row r="1171">
      <c r="A1171" s="3" t="s">
        <v>16</v>
      </c>
      <c r="B1171" s="3" t="s">
        <v>17</v>
      </c>
    </row>
    <row r="1172">
      <c r="A1172" s="3" t="s">
        <v>16</v>
      </c>
      <c r="B1172" s="3" t="s">
        <v>17</v>
      </c>
      <c r="C1172" s="3" t="s">
        <v>18</v>
      </c>
    </row>
    <row r="1173">
      <c r="A1173" s="3" t="s">
        <v>16</v>
      </c>
      <c r="B1173" s="3" t="s">
        <v>17</v>
      </c>
    </row>
    <row r="1174">
      <c r="A1174" s="3" t="s">
        <v>16</v>
      </c>
      <c r="B1174" s="3" t="s">
        <v>17</v>
      </c>
      <c r="C1174" s="3" t="s">
        <v>18</v>
      </c>
    </row>
    <row r="1175">
      <c r="A1175" s="3" t="s">
        <v>16</v>
      </c>
      <c r="B1175" s="3" t="s">
        <v>17</v>
      </c>
      <c r="C1175" s="3" t="s">
        <v>18</v>
      </c>
    </row>
    <row r="1176">
      <c r="A1176" s="3" t="s">
        <v>16</v>
      </c>
      <c r="B1176" s="3" t="s">
        <v>17</v>
      </c>
      <c r="C1176" s="3" t="s">
        <v>18</v>
      </c>
    </row>
    <row r="1177">
      <c r="A1177" s="3" t="s">
        <v>16</v>
      </c>
      <c r="B1177" s="3" t="s">
        <v>17</v>
      </c>
      <c r="C1177" s="3" t="s">
        <v>18</v>
      </c>
    </row>
    <row r="1178">
      <c r="A1178" s="3" t="s">
        <v>16</v>
      </c>
      <c r="B1178" s="3" t="s">
        <v>17</v>
      </c>
      <c r="C1178" s="3" t="s">
        <v>18</v>
      </c>
    </row>
    <row r="1179">
      <c r="A1179" s="3" t="s">
        <v>16</v>
      </c>
      <c r="B1179" s="3" t="s">
        <v>17</v>
      </c>
      <c r="C1179" s="3" t="s">
        <v>18</v>
      </c>
    </row>
    <row r="1180">
      <c r="A1180" s="3" t="s">
        <v>17</v>
      </c>
    </row>
    <row r="1181">
      <c r="A1181" s="3" t="s">
        <v>6</v>
      </c>
      <c r="B1181" s="3" t="s">
        <v>7</v>
      </c>
      <c r="C1181" s="3" t="s">
        <v>13</v>
      </c>
    </row>
    <row r="1182">
      <c r="A1182" s="3" t="s">
        <v>6</v>
      </c>
      <c r="B1182" s="3" t="s">
        <v>7</v>
      </c>
    </row>
    <row r="1183">
      <c r="A1183" s="3" t="s">
        <v>6</v>
      </c>
      <c r="B1183" s="3" t="s">
        <v>7</v>
      </c>
      <c r="C1183" s="3" t="s">
        <v>15</v>
      </c>
    </row>
    <row r="1184">
      <c r="A1184" s="3" t="s">
        <v>6</v>
      </c>
      <c r="B1184" s="3" t="s">
        <v>7</v>
      </c>
    </row>
    <row r="1185">
      <c r="A1185" s="3" t="s">
        <v>6</v>
      </c>
      <c r="B1185" s="3" t="s">
        <v>7</v>
      </c>
      <c r="C1185" s="3" t="s">
        <v>15</v>
      </c>
    </row>
    <row r="1186">
      <c r="A1186" s="3" t="s">
        <v>6</v>
      </c>
      <c r="B1186" s="3" t="s">
        <v>7</v>
      </c>
      <c r="C1186" s="3" t="s">
        <v>15</v>
      </c>
    </row>
    <row r="1187">
      <c r="A1187" s="3" t="s">
        <v>6</v>
      </c>
      <c r="B1187" s="3" t="s">
        <v>7</v>
      </c>
      <c r="C1187" s="3" t="s">
        <v>13</v>
      </c>
    </row>
    <row r="1188">
      <c r="A1188" s="3" t="s">
        <v>6</v>
      </c>
      <c r="B1188" s="3" t="s">
        <v>7</v>
      </c>
      <c r="C1188" s="3" t="s">
        <v>15</v>
      </c>
    </row>
    <row r="1189">
      <c r="A1189" s="3" t="s">
        <v>6</v>
      </c>
      <c r="B1189" s="3" t="s">
        <v>7</v>
      </c>
      <c r="C1189" s="3" t="s">
        <v>8</v>
      </c>
    </row>
    <row r="1190">
      <c r="A1190" s="3" t="s">
        <v>6</v>
      </c>
      <c r="B1190" s="3" t="s">
        <v>7</v>
      </c>
      <c r="C1190" s="3" t="s">
        <v>15</v>
      </c>
    </row>
    <row r="1191">
      <c r="A1191" s="3" t="s">
        <v>6</v>
      </c>
      <c r="B1191" s="3" t="s">
        <v>11</v>
      </c>
      <c r="C1191" s="3" t="s">
        <v>15</v>
      </c>
    </row>
    <row r="1192">
      <c r="A1192" s="3" t="s">
        <v>6</v>
      </c>
      <c r="B1192" s="3" t="s">
        <v>7</v>
      </c>
      <c r="C1192" s="3" t="s">
        <v>8</v>
      </c>
    </row>
    <row r="1193">
      <c r="A1193" s="3" t="s">
        <v>6</v>
      </c>
      <c r="B1193" s="3" t="s">
        <v>7</v>
      </c>
      <c r="C1193" s="3" t="s">
        <v>15</v>
      </c>
    </row>
    <row r="1194">
      <c r="A1194" s="3" t="s">
        <v>6</v>
      </c>
      <c r="B1194" s="3" t="s">
        <v>7</v>
      </c>
      <c r="C1194" s="3" t="s">
        <v>8</v>
      </c>
    </row>
    <row r="1195">
      <c r="A1195" s="3" t="s">
        <v>6</v>
      </c>
      <c r="B1195" s="3" t="s">
        <v>7</v>
      </c>
      <c r="C1195" s="3" t="s">
        <v>15</v>
      </c>
    </row>
    <row r="1196">
      <c r="A1196" s="3" t="s">
        <v>6</v>
      </c>
      <c r="B1196" s="3" t="s">
        <v>7</v>
      </c>
      <c r="C1196" s="3" t="s">
        <v>8</v>
      </c>
    </row>
    <row r="1197">
      <c r="A1197" s="3" t="s">
        <v>6</v>
      </c>
      <c r="B1197" s="3" t="s">
        <v>7</v>
      </c>
      <c r="C1197" s="3" t="s">
        <v>11</v>
      </c>
    </row>
    <row r="1198">
      <c r="A1198" s="3" t="s">
        <v>6</v>
      </c>
      <c r="B1198" s="3" t="s">
        <v>7</v>
      </c>
      <c r="C1198" s="3" t="s">
        <v>8</v>
      </c>
    </row>
    <row r="1199">
      <c r="A1199" s="3" t="s">
        <v>6</v>
      </c>
      <c r="B1199" s="3" t="s">
        <v>7</v>
      </c>
    </row>
    <row r="1200">
      <c r="A1200" s="3" t="s">
        <v>6</v>
      </c>
      <c r="B1200" s="3" t="s">
        <v>15</v>
      </c>
      <c r="C1200" s="3" t="s">
        <v>16</v>
      </c>
    </row>
    <row r="1201">
      <c r="A1201" s="3" t="s">
        <v>6</v>
      </c>
      <c r="B1201" s="3" t="s">
        <v>7</v>
      </c>
    </row>
    <row r="1202">
      <c r="A1202" s="3" t="s">
        <v>6</v>
      </c>
      <c r="B1202" s="3" t="s">
        <v>7</v>
      </c>
    </row>
    <row r="1203">
      <c r="A1203" s="3" t="s">
        <v>6</v>
      </c>
      <c r="B1203" s="3" t="s">
        <v>7</v>
      </c>
    </row>
    <row r="1204">
      <c r="A1204" s="3" t="s">
        <v>6</v>
      </c>
    </row>
    <row r="1205">
      <c r="A1205" s="3" t="s">
        <v>6</v>
      </c>
      <c r="B1205" s="3" t="s">
        <v>7</v>
      </c>
    </row>
    <row r="1206">
      <c r="A1206" s="3" t="s">
        <v>6</v>
      </c>
      <c r="B1206" s="3" t="s">
        <v>7</v>
      </c>
      <c r="C1206" s="3" t="s">
        <v>13</v>
      </c>
    </row>
    <row r="1207">
      <c r="A1207" s="3" t="s">
        <v>6</v>
      </c>
      <c r="B1207" s="3" t="s">
        <v>7</v>
      </c>
    </row>
    <row r="1208">
      <c r="A1208" s="3" t="s">
        <v>6</v>
      </c>
      <c r="B1208" s="3" t="s">
        <v>11</v>
      </c>
      <c r="C1208" s="3" t="s">
        <v>15</v>
      </c>
    </row>
    <row r="1209">
      <c r="A1209" s="3" t="s">
        <v>6</v>
      </c>
      <c r="B1209" s="3" t="s">
        <v>7</v>
      </c>
      <c r="C1209" s="3" t="s">
        <v>8</v>
      </c>
    </row>
    <row r="1210">
      <c r="A1210" s="3" t="s">
        <v>6</v>
      </c>
      <c r="B1210" s="3" t="s">
        <v>7</v>
      </c>
      <c r="C1210" s="3" t="s">
        <v>11</v>
      </c>
    </row>
    <row r="1211">
      <c r="A1211" s="3" t="s">
        <v>6</v>
      </c>
      <c r="B1211" s="3" t="s">
        <v>7</v>
      </c>
      <c r="C1211" s="3" t="s">
        <v>15</v>
      </c>
    </row>
    <row r="1212">
      <c r="A1212" s="3" t="s">
        <v>6</v>
      </c>
      <c r="B1212" s="3" t="s">
        <v>7</v>
      </c>
      <c r="C1212" s="3" t="s">
        <v>8</v>
      </c>
    </row>
    <row r="1213">
      <c r="A1213" s="3" t="s">
        <v>6</v>
      </c>
    </row>
    <row r="1214">
      <c r="A1214" s="3" t="s">
        <v>6</v>
      </c>
      <c r="B1214" s="3" t="s">
        <v>15</v>
      </c>
    </row>
    <row r="1215">
      <c r="A1215" s="3" t="s">
        <v>6</v>
      </c>
      <c r="B1215" s="3" t="s">
        <v>7</v>
      </c>
      <c r="C1215" s="3" t="s">
        <v>11</v>
      </c>
    </row>
    <row r="1216">
      <c r="A1216" s="3" t="s">
        <v>6</v>
      </c>
      <c r="B1216" s="3" t="s">
        <v>13</v>
      </c>
      <c r="C1216" s="3" t="s">
        <v>14</v>
      </c>
    </row>
    <row r="1217">
      <c r="A1217" s="3" t="s">
        <v>6</v>
      </c>
      <c r="B1217" s="3" t="s">
        <v>7</v>
      </c>
    </row>
    <row r="1218">
      <c r="A1218" s="3" t="s">
        <v>6</v>
      </c>
      <c r="B1218" s="3" t="s">
        <v>7</v>
      </c>
      <c r="C1218" s="3" t="s">
        <v>15</v>
      </c>
    </row>
    <row r="1219">
      <c r="A1219" s="3" t="s">
        <v>6</v>
      </c>
      <c r="B1219" s="3" t="s">
        <v>15</v>
      </c>
      <c r="C1219" s="3" t="s">
        <v>16</v>
      </c>
    </row>
    <row r="1220">
      <c r="A1220" s="3" t="s">
        <v>6</v>
      </c>
      <c r="B1220" s="3" t="s">
        <v>7</v>
      </c>
      <c r="C1220" s="3" t="s">
        <v>8</v>
      </c>
    </row>
    <row r="1221">
      <c r="A1221" s="3" t="s">
        <v>6</v>
      </c>
      <c r="B1221" s="3" t="s">
        <v>11</v>
      </c>
      <c r="C1221" s="3" t="s">
        <v>15</v>
      </c>
    </row>
    <row r="1222">
      <c r="A1222" s="3" t="s">
        <v>6</v>
      </c>
      <c r="B1222" s="3" t="s">
        <v>7</v>
      </c>
      <c r="C1222" s="3" t="s">
        <v>8</v>
      </c>
    </row>
    <row r="1223">
      <c r="A1223" s="3" t="s">
        <v>6</v>
      </c>
      <c r="B1223" s="3" t="s">
        <v>11</v>
      </c>
      <c r="C1223" s="3" t="s">
        <v>12</v>
      </c>
    </row>
    <row r="1224">
      <c r="A1224" s="3" t="s">
        <v>6</v>
      </c>
      <c r="B1224" s="3" t="s">
        <v>7</v>
      </c>
      <c r="C1224" s="3" t="s">
        <v>8</v>
      </c>
    </row>
    <row r="1225">
      <c r="A1225" s="3" t="s">
        <v>6</v>
      </c>
      <c r="B1225" s="3" t="s">
        <v>13</v>
      </c>
    </row>
    <row r="1226">
      <c r="A1226" s="3" t="s">
        <v>6</v>
      </c>
      <c r="B1226" s="3" t="s">
        <v>7</v>
      </c>
      <c r="C1226" s="3" t="s">
        <v>11</v>
      </c>
    </row>
    <row r="1227">
      <c r="A1227" s="3" t="s">
        <v>6</v>
      </c>
      <c r="B1227" s="3" t="s">
        <v>15</v>
      </c>
      <c r="C1227" s="3" t="s">
        <v>16</v>
      </c>
    </row>
    <row r="1228">
      <c r="A1228" s="3" t="s">
        <v>6</v>
      </c>
      <c r="B1228" s="3" t="s">
        <v>15</v>
      </c>
      <c r="C1228" s="3" t="s">
        <v>16</v>
      </c>
    </row>
    <row r="1229">
      <c r="A1229" s="3" t="s">
        <v>6</v>
      </c>
      <c r="B1229" s="3" t="s">
        <v>7</v>
      </c>
      <c r="C1229" s="3" t="s">
        <v>15</v>
      </c>
    </row>
    <row r="1230">
      <c r="A1230" s="3" t="s">
        <v>6</v>
      </c>
      <c r="B1230" s="3" t="s">
        <v>15</v>
      </c>
    </row>
    <row r="1231">
      <c r="A1231" s="3" t="s">
        <v>609</v>
      </c>
    </row>
    <row r="1232">
      <c r="A1232" s="3" t="s">
        <v>7</v>
      </c>
      <c r="B1232" s="3" t="s">
        <v>8</v>
      </c>
      <c r="C1232" s="3" t="s">
        <v>9</v>
      </c>
    </row>
    <row r="1233">
      <c r="A1233" s="3" t="s">
        <v>7</v>
      </c>
      <c r="B1233" s="3" t="s">
        <v>8</v>
      </c>
      <c r="C1233" s="3" t="s">
        <v>9</v>
      </c>
    </row>
    <row r="1234">
      <c r="A1234" s="3" t="s">
        <v>7</v>
      </c>
    </row>
    <row r="1235">
      <c r="A1235" s="3" t="s">
        <v>7</v>
      </c>
      <c r="B1235" s="3" t="s">
        <v>8</v>
      </c>
    </row>
    <row r="1236">
      <c r="A1236" s="3" t="s">
        <v>7</v>
      </c>
      <c r="B1236" s="3" t="s">
        <v>17</v>
      </c>
      <c r="C1236" s="3" t="s">
        <v>18</v>
      </c>
    </row>
    <row r="1237">
      <c r="A1237" s="3" t="s">
        <v>7</v>
      </c>
      <c r="B1237" s="3" t="s">
        <v>8</v>
      </c>
      <c r="C1237" s="3" t="s">
        <v>9</v>
      </c>
    </row>
    <row r="1238">
      <c r="A1238" s="3" t="s">
        <v>7</v>
      </c>
      <c r="B1238" s="3" t="s">
        <v>8</v>
      </c>
      <c r="C1238" s="3" t="s">
        <v>17</v>
      </c>
    </row>
    <row r="1239">
      <c r="A1239" s="3" t="s">
        <v>7</v>
      </c>
      <c r="B1239" s="3" t="s">
        <v>8</v>
      </c>
      <c r="C1239" s="3" t="s">
        <v>9</v>
      </c>
    </row>
    <row r="1240">
      <c r="A1240" s="3" t="s">
        <v>7</v>
      </c>
      <c r="B1240" s="3" t="s">
        <v>15</v>
      </c>
    </row>
    <row r="1241">
      <c r="A1241" s="3" t="s">
        <v>7</v>
      </c>
      <c r="B1241" s="3" t="s">
        <v>8</v>
      </c>
      <c r="C1241" s="3" t="s">
        <v>9</v>
      </c>
    </row>
    <row r="1242">
      <c r="A1242" s="3" t="s">
        <v>7</v>
      </c>
      <c r="B1242" s="3" t="s">
        <v>8</v>
      </c>
      <c r="C1242" s="3" t="s">
        <v>9</v>
      </c>
    </row>
    <row r="1243">
      <c r="A1243" s="3" t="s">
        <v>7</v>
      </c>
      <c r="B1243" s="3" t="s">
        <v>15</v>
      </c>
    </row>
    <row r="1244">
      <c r="A1244" s="3" t="s">
        <v>7</v>
      </c>
      <c r="B1244" s="3" t="s">
        <v>8</v>
      </c>
    </row>
    <row r="1245">
      <c r="A1245" s="3" t="s">
        <v>7</v>
      </c>
      <c r="B1245" s="3" t="s">
        <v>15</v>
      </c>
    </row>
    <row r="1246">
      <c r="A1246" s="3" t="s">
        <v>7</v>
      </c>
      <c r="B1246" s="3" t="s">
        <v>8</v>
      </c>
      <c r="C1246" s="3" t="s">
        <v>11</v>
      </c>
    </row>
    <row r="1247">
      <c r="A1247" s="3" t="s">
        <v>7</v>
      </c>
      <c r="B1247" s="3" t="s">
        <v>8</v>
      </c>
      <c r="C1247" s="3" t="s">
        <v>17</v>
      </c>
    </row>
    <row r="1248">
      <c r="A1248" s="3" t="s">
        <v>7</v>
      </c>
      <c r="B1248" s="3" t="s">
        <v>8</v>
      </c>
      <c r="C1248" s="3" t="s">
        <v>9</v>
      </c>
    </row>
    <row r="1249">
      <c r="A1249" s="3" t="s">
        <v>7</v>
      </c>
      <c r="B1249" s="3" t="s">
        <v>8</v>
      </c>
    </row>
    <row r="1250">
      <c r="A1250" s="3" t="s">
        <v>8</v>
      </c>
      <c r="B1250" s="3" t="s">
        <v>9</v>
      </c>
      <c r="C1250" s="3" t="s">
        <v>10</v>
      </c>
    </row>
    <row r="1251">
      <c r="A1251" s="3" t="s">
        <v>8</v>
      </c>
      <c r="B1251" s="3" t="s">
        <v>9</v>
      </c>
      <c r="C1251" s="3" t="s">
        <v>16</v>
      </c>
    </row>
    <row r="1252">
      <c r="A1252" s="3" t="s">
        <v>8</v>
      </c>
      <c r="B1252" s="3" t="s">
        <v>9</v>
      </c>
      <c r="C1252" s="3" t="s">
        <v>10</v>
      </c>
    </row>
    <row r="1253">
      <c r="A1253" s="3" t="s">
        <v>8</v>
      </c>
      <c r="B1253" s="3" t="s">
        <v>16</v>
      </c>
      <c r="C1253" s="3" t="s">
        <v>17</v>
      </c>
    </row>
    <row r="1254">
      <c r="A1254" s="3" t="s">
        <v>8</v>
      </c>
      <c r="B1254" s="3" t="s">
        <v>16</v>
      </c>
      <c r="C1254" s="3" t="s">
        <v>17</v>
      </c>
    </row>
    <row r="1255">
      <c r="A1255" s="3" t="s">
        <v>8</v>
      </c>
      <c r="B1255" s="3" t="s">
        <v>9</v>
      </c>
      <c r="C1255" s="3" t="s">
        <v>16</v>
      </c>
    </row>
    <row r="1256">
      <c r="A1256" s="3" t="s">
        <v>8</v>
      </c>
      <c r="B1256" s="3" t="s">
        <v>9</v>
      </c>
      <c r="C1256" s="3" t="s">
        <v>10</v>
      </c>
    </row>
    <row r="1257">
      <c r="A1257" s="3" t="s">
        <v>8</v>
      </c>
      <c r="B1257" s="3" t="s">
        <v>9</v>
      </c>
      <c r="C1257" s="3" t="s">
        <v>10</v>
      </c>
    </row>
    <row r="1258">
      <c r="A1258" s="3" t="s">
        <v>8</v>
      </c>
      <c r="B1258" s="3" t="s">
        <v>9</v>
      </c>
      <c r="C1258" s="3" t="s">
        <v>10</v>
      </c>
    </row>
    <row r="1259">
      <c r="A1259" s="3" t="s">
        <v>8</v>
      </c>
      <c r="B1259" s="3" t="s">
        <v>9</v>
      </c>
      <c r="C1259" s="3" t="s">
        <v>10</v>
      </c>
    </row>
    <row r="1260">
      <c r="A1260" s="3" t="s">
        <v>8</v>
      </c>
      <c r="B1260" s="3" t="s">
        <v>9</v>
      </c>
      <c r="C1260" s="3" t="s">
        <v>16</v>
      </c>
    </row>
    <row r="1261">
      <c r="A1261" s="3" t="s">
        <v>8</v>
      </c>
      <c r="B1261" s="3" t="s">
        <v>9</v>
      </c>
      <c r="C1261" s="3" t="s">
        <v>10</v>
      </c>
    </row>
    <row r="1262">
      <c r="A1262" s="3" t="s">
        <v>8</v>
      </c>
      <c r="B1262" s="3" t="s">
        <v>9</v>
      </c>
      <c r="C1262" s="3" t="s">
        <v>10</v>
      </c>
    </row>
    <row r="1263">
      <c r="A1263" s="3" t="s">
        <v>8</v>
      </c>
      <c r="B1263" s="3" t="s">
        <v>9</v>
      </c>
      <c r="C1263" s="3" t="s">
        <v>16</v>
      </c>
    </row>
    <row r="1264">
      <c r="A1264" s="3" t="s">
        <v>8</v>
      </c>
      <c r="B1264" s="3" t="s">
        <v>9</v>
      </c>
      <c r="C1264" s="3" t="s">
        <v>16</v>
      </c>
    </row>
    <row r="1265">
      <c r="A1265" s="3" t="s">
        <v>8</v>
      </c>
      <c r="B1265" s="3" t="s">
        <v>9</v>
      </c>
      <c r="C1265" s="3" t="s">
        <v>10</v>
      </c>
    </row>
    <row r="1266">
      <c r="A1266" s="3" t="s">
        <v>8</v>
      </c>
      <c r="B1266" s="3" t="s">
        <v>9</v>
      </c>
      <c r="C1266" s="3" t="s">
        <v>10</v>
      </c>
    </row>
    <row r="1267">
      <c r="A1267" s="3" t="s">
        <v>8</v>
      </c>
      <c r="B1267" s="3" t="s">
        <v>9</v>
      </c>
      <c r="C1267" s="3" t="s">
        <v>10</v>
      </c>
    </row>
    <row r="1268">
      <c r="A1268" s="3" t="s">
        <v>8</v>
      </c>
      <c r="B1268" s="3" t="s">
        <v>11</v>
      </c>
      <c r="C1268" s="3" t="s">
        <v>12</v>
      </c>
    </row>
    <row r="1269">
      <c r="A1269" s="3" t="s">
        <v>8</v>
      </c>
      <c r="B1269" s="3" t="s">
        <v>9</v>
      </c>
      <c r="C1269" s="3" t="s">
        <v>10</v>
      </c>
    </row>
    <row r="1270">
      <c r="A1270" s="3" t="s">
        <v>8</v>
      </c>
      <c r="B1270" s="3" t="s">
        <v>9</v>
      </c>
      <c r="C1270" s="3" t="s">
        <v>12</v>
      </c>
    </row>
    <row r="1271">
      <c r="A1271" s="3" t="s">
        <v>8</v>
      </c>
      <c r="B1271" s="3" t="s">
        <v>9</v>
      </c>
      <c r="C1271" s="3" t="s">
        <v>10</v>
      </c>
    </row>
    <row r="1272">
      <c r="A1272" s="3" t="s">
        <v>8</v>
      </c>
      <c r="B1272" s="3" t="s">
        <v>9</v>
      </c>
      <c r="C1272" s="3" t="s">
        <v>10</v>
      </c>
    </row>
    <row r="1273">
      <c r="A1273" s="3" t="s">
        <v>8</v>
      </c>
      <c r="B1273" s="3" t="s">
        <v>9</v>
      </c>
      <c r="C1273" s="3" t="s">
        <v>10</v>
      </c>
    </row>
    <row r="1274">
      <c r="A1274" s="3" t="s">
        <v>8</v>
      </c>
      <c r="B1274" s="3" t="s">
        <v>9</v>
      </c>
      <c r="C1274" s="3" t="s">
        <v>10</v>
      </c>
    </row>
    <row r="1275">
      <c r="A1275" s="3" t="s">
        <v>8</v>
      </c>
      <c r="B1275" s="3" t="s">
        <v>11</v>
      </c>
      <c r="C1275" s="3" t="s">
        <v>12</v>
      </c>
    </row>
    <row r="1276">
      <c r="A1276" s="3" t="s">
        <v>8</v>
      </c>
      <c r="B1276" s="3" t="s">
        <v>9</v>
      </c>
      <c r="C1276" s="3" t="s">
        <v>10</v>
      </c>
    </row>
    <row r="1277">
      <c r="A1277" s="3" t="s">
        <v>9</v>
      </c>
      <c r="B1277" s="3" t="s">
        <v>16</v>
      </c>
      <c r="C1277" s="3" t="s">
        <v>18</v>
      </c>
    </row>
    <row r="1278">
      <c r="A1278" s="3" t="s">
        <v>9</v>
      </c>
      <c r="B1278" s="3" t="s">
        <v>12</v>
      </c>
      <c r="C1278" s="3" t="s">
        <v>15</v>
      </c>
    </row>
    <row r="1279">
      <c r="A1279" s="3" t="s">
        <v>9</v>
      </c>
      <c r="B1279" s="3" t="s">
        <v>10</v>
      </c>
    </row>
    <row r="1280">
      <c r="A1280" s="3" t="s">
        <v>9</v>
      </c>
      <c r="B1280" s="3" t="s">
        <v>12</v>
      </c>
      <c r="C1280" s="3" t="s">
        <v>18</v>
      </c>
    </row>
    <row r="1281">
      <c r="A1281" s="3" t="s">
        <v>9</v>
      </c>
      <c r="B1281" s="3" t="s">
        <v>10</v>
      </c>
    </row>
    <row r="1282">
      <c r="A1282" s="3" t="s">
        <v>9</v>
      </c>
      <c r="B1282" s="3" t="s">
        <v>10</v>
      </c>
      <c r="C1282" s="3" t="s">
        <v>18</v>
      </c>
    </row>
    <row r="1283">
      <c r="A1283" s="3" t="s">
        <v>9</v>
      </c>
      <c r="B1283" s="3" t="s">
        <v>10</v>
      </c>
    </row>
    <row r="1284">
      <c r="A1284" s="3" t="s">
        <v>9</v>
      </c>
      <c r="B1284" s="3" t="s">
        <v>10</v>
      </c>
    </row>
    <row r="1285">
      <c r="A1285" s="3" t="s">
        <v>9</v>
      </c>
      <c r="B1285" s="3" t="s">
        <v>10</v>
      </c>
    </row>
    <row r="1286">
      <c r="A1286" s="3" t="s">
        <v>9</v>
      </c>
      <c r="B1286" s="3" t="s">
        <v>10</v>
      </c>
      <c r="C1286" s="3" t="s">
        <v>18</v>
      </c>
    </row>
    <row r="1287">
      <c r="A1287" s="3" t="s">
        <v>9</v>
      </c>
      <c r="B1287" s="3" t="s">
        <v>10</v>
      </c>
    </row>
    <row r="1288">
      <c r="A1288" s="3" t="s">
        <v>9</v>
      </c>
      <c r="B1288" s="3" t="s">
        <v>12</v>
      </c>
      <c r="C1288" s="3" t="s">
        <v>18</v>
      </c>
    </row>
    <row r="1289">
      <c r="A1289" s="3" t="s">
        <v>9</v>
      </c>
      <c r="B1289" s="3" t="s">
        <v>10</v>
      </c>
    </row>
    <row r="1290">
      <c r="A1290" s="3" t="s">
        <v>9</v>
      </c>
      <c r="B1290" s="3" t="s">
        <v>10</v>
      </c>
      <c r="C1290" s="3" t="s">
        <v>18</v>
      </c>
    </row>
    <row r="1291">
      <c r="A1291" s="3" t="s">
        <v>9</v>
      </c>
      <c r="B1291" s="3" t="s">
        <v>10</v>
      </c>
      <c r="C1291" s="3" t="s">
        <v>18</v>
      </c>
    </row>
    <row r="1292">
      <c r="A1292" s="3" t="s">
        <v>9</v>
      </c>
      <c r="B1292" s="3" t="s">
        <v>10</v>
      </c>
    </row>
    <row r="1293">
      <c r="A1293" s="3" t="s">
        <v>9</v>
      </c>
      <c r="B1293" s="3" t="s">
        <v>10</v>
      </c>
    </row>
    <row r="1294">
      <c r="A1294" s="3" t="s">
        <v>9</v>
      </c>
      <c r="B1294" s="3" t="s">
        <v>16</v>
      </c>
      <c r="C1294" s="3" t="s">
        <v>18</v>
      </c>
    </row>
    <row r="1295">
      <c r="A1295" s="3" t="s">
        <v>9</v>
      </c>
      <c r="B1295" s="3" t="s">
        <v>10</v>
      </c>
      <c r="C1295" s="3" t="s">
        <v>18</v>
      </c>
    </row>
    <row r="1296">
      <c r="A1296" s="3" t="s">
        <v>9</v>
      </c>
      <c r="B1296" s="3" t="s">
        <v>10</v>
      </c>
      <c r="C1296" s="3" t="s">
        <v>16</v>
      </c>
    </row>
    <row r="1297">
      <c r="A1297" s="3" t="s">
        <v>9</v>
      </c>
      <c r="B1297" s="3" t="s">
        <v>10</v>
      </c>
    </row>
    <row r="1298">
      <c r="A1298" s="3" t="s">
        <v>9</v>
      </c>
      <c r="B1298" s="3" t="s">
        <v>15</v>
      </c>
      <c r="C1298" s="3" t="s">
        <v>16</v>
      </c>
    </row>
    <row r="1299">
      <c r="A1299" s="3" t="s">
        <v>10</v>
      </c>
      <c r="B1299" s="3" t="s">
        <v>16</v>
      </c>
      <c r="C1299" s="3" t="s">
        <v>18</v>
      </c>
    </row>
    <row r="1300">
      <c r="A1300" s="3" t="s">
        <v>10</v>
      </c>
      <c r="B1300" s="3" t="s">
        <v>12</v>
      </c>
      <c r="C1300" s="3" t="s">
        <v>18</v>
      </c>
    </row>
    <row r="1301">
      <c r="A1301" s="3" t="s">
        <v>11</v>
      </c>
      <c r="B1301" s="3" t="s">
        <v>12</v>
      </c>
      <c r="C1301" s="3" t="s">
        <v>17</v>
      </c>
    </row>
    <row r="1302">
      <c r="A1302" s="3" t="s">
        <v>11</v>
      </c>
      <c r="B1302" s="3" t="s">
        <v>12</v>
      </c>
    </row>
    <row r="1303">
      <c r="A1303" s="3" t="s">
        <v>11</v>
      </c>
      <c r="B1303" s="3" t="s">
        <v>12</v>
      </c>
      <c r="C1303" s="3" t="s">
        <v>17</v>
      </c>
    </row>
    <row r="1304">
      <c r="A1304" s="3" t="s">
        <v>11</v>
      </c>
      <c r="B1304" s="3" t="s">
        <v>12</v>
      </c>
    </row>
    <row r="1305">
      <c r="A1305" s="3" t="s">
        <v>11</v>
      </c>
      <c r="B1305" s="3" t="s">
        <v>12</v>
      </c>
      <c r="C1305" s="3" t="s">
        <v>17</v>
      </c>
    </row>
    <row r="1306">
      <c r="A1306" s="3" t="s">
        <v>11</v>
      </c>
      <c r="B1306" s="3" t="s">
        <v>15</v>
      </c>
    </row>
    <row r="1307">
      <c r="A1307" s="3" t="s">
        <v>11</v>
      </c>
      <c r="B1307" s="3" t="s">
        <v>12</v>
      </c>
    </row>
    <row r="1308">
      <c r="A1308" s="3" t="s">
        <v>11</v>
      </c>
      <c r="B1308" s="3" t="s">
        <v>12</v>
      </c>
      <c r="C1308" s="3" t="s">
        <v>17</v>
      </c>
    </row>
    <row r="1309">
      <c r="A1309" s="3" t="s">
        <v>11</v>
      </c>
      <c r="B1309" s="3" t="s">
        <v>12</v>
      </c>
      <c r="C1309" s="3" t="s">
        <v>17</v>
      </c>
    </row>
    <row r="1310">
      <c r="A1310" s="3" t="s">
        <v>11</v>
      </c>
    </row>
    <row r="1311">
      <c r="A1311" s="3" t="s">
        <v>11</v>
      </c>
      <c r="B1311" s="3" t="s">
        <v>12</v>
      </c>
    </row>
    <row r="1312">
      <c r="A1312" s="3" t="s">
        <v>11</v>
      </c>
      <c r="B1312" s="3" t="s">
        <v>12</v>
      </c>
    </row>
    <row r="1313">
      <c r="A1313" s="3" t="s">
        <v>11</v>
      </c>
      <c r="B1313" s="3" t="s">
        <v>12</v>
      </c>
      <c r="C1313" s="3" t="s">
        <v>17</v>
      </c>
    </row>
    <row r="1314">
      <c r="A1314" s="3" t="s">
        <v>11</v>
      </c>
      <c r="B1314" s="3" t="s">
        <v>12</v>
      </c>
      <c r="C1314" s="3" t="s">
        <v>15</v>
      </c>
    </row>
    <row r="1315">
      <c r="A1315" s="3" t="s">
        <v>11</v>
      </c>
      <c r="B1315" s="3" t="s">
        <v>12</v>
      </c>
      <c r="C1315" s="3" t="s">
        <v>17</v>
      </c>
    </row>
    <row r="1316">
      <c r="A1316" s="3" t="s">
        <v>11</v>
      </c>
      <c r="B1316" s="3" t="s">
        <v>12</v>
      </c>
    </row>
    <row r="1317">
      <c r="A1317" s="3" t="s">
        <v>11</v>
      </c>
      <c r="B1317" s="3" t="s">
        <v>12</v>
      </c>
    </row>
    <row r="1318">
      <c r="A1318" s="3" t="s">
        <v>11</v>
      </c>
      <c r="B1318" s="3" t="s">
        <v>12</v>
      </c>
    </row>
    <row r="1319">
      <c r="A1319" s="3" t="s">
        <v>11</v>
      </c>
      <c r="B1319" s="3" t="s">
        <v>12</v>
      </c>
    </row>
    <row r="1320">
      <c r="A1320" s="3" t="s">
        <v>11</v>
      </c>
      <c r="B1320" s="3" t="s">
        <v>12</v>
      </c>
      <c r="C1320" s="3" t="s">
        <v>17</v>
      </c>
    </row>
    <row r="1321">
      <c r="A1321" s="3" t="s">
        <v>11</v>
      </c>
    </row>
    <row r="1322">
      <c r="A1322" s="3" t="s">
        <v>11</v>
      </c>
      <c r="B1322" s="3" t="s">
        <v>12</v>
      </c>
      <c r="C1322" s="3" t="s">
        <v>17</v>
      </c>
    </row>
    <row r="1323">
      <c r="A1323" s="3" t="s">
        <v>11</v>
      </c>
      <c r="B1323" s="3" t="s">
        <v>12</v>
      </c>
    </row>
    <row r="1324">
      <c r="A1324" s="3" t="s">
        <v>11</v>
      </c>
      <c r="B1324" s="3" t="s">
        <v>12</v>
      </c>
    </row>
    <row r="1325">
      <c r="A1325" s="3" t="s">
        <v>11</v>
      </c>
      <c r="B1325" s="3" t="s">
        <v>12</v>
      </c>
      <c r="C1325" s="3" t="s">
        <v>17</v>
      </c>
    </row>
    <row r="1326">
      <c r="A1326" s="3" t="s">
        <v>11</v>
      </c>
      <c r="B1326" s="3" t="s">
        <v>12</v>
      </c>
      <c r="C1326" s="3" t="s">
        <v>15</v>
      </c>
    </row>
    <row r="1327">
      <c r="A1327" s="3" t="s">
        <v>11</v>
      </c>
      <c r="B1327" s="3" t="s">
        <v>12</v>
      </c>
      <c r="C1327" s="3" t="s">
        <v>17</v>
      </c>
    </row>
    <row r="1328">
      <c r="A1328" s="3" t="s">
        <v>11</v>
      </c>
      <c r="B1328" s="3" t="s">
        <v>12</v>
      </c>
    </row>
    <row r="1329">
      <c r="A1329" s="3" t="s">
        <v>11</v>
      </c>
      <c r="B1329" s="3" t="s">
        <v>12</v>
      </c>
    </row>
    <row r="1330">
      <c r="A1330" s="3" t="s">
        <v>11</v>
      </c>
      <c r="B1330" s="3" t="s">
        <v>16</v>
      </c>
    </row>
    <row r="1331">
      <c r="A1331" s="3" t="s">
        <v>11</v>
      </c>
      <c r="B1331" s="3" t="s">
        <v>12</v>
      </c>
      <c r="C1331" s="3" t="s">
        <v>17</v>
      </c>
    </row>
    <row r="1332">
      <c r="A1332" s="3" t="s">
        <v>11</v>
      </c>
      <c r="B1332" s="3" t="s">
        <v>12</v>
      </c>
    </row>
    <row r="1333">
      <c r="A1333" s="3" t="s">
        <v>11</v>
      </c>
      <c r="B1333" s="3" t="s">
        <v>12</v>
      </c>
    </row>
    <row r="1334">
      <c r="A1334" s="3" t="s">
        <v>11</v>
      </c>
      <c r="B1334" s="3" t="s">
        <v>12</v>
      </c>
    </row>
    <row r="1335">
      <c r="A1335" s="3" t="s">
        <v>11</v>
      </c>
      <c r="B1335" s="3" t="s">
        <v>12</v>
      </c>
    </row>
    <row r="1336">
      <c r="A1336" s="3" t="s">
        <v>12</v>
      </c>
      <c r="B1336" s="3" t="s">
        <v>17</v>
      </c>
      <c r="C1336" s="3" t="s">
        <v>18</v>
      </c>
    </row>
    <row r="1337">
      <c r="A1337" s="3" t="s">
        <v>12</v>
      </c>
      <c r="B1337" s="3" t="s">
        <v>17</v>
      </c>
      <c r="C1337" s="3" t="s">
        <v>18</v>
      </c>
    </row>
    <row r="1338">
      <c r="A1338" s="3" t="s">
        <v>12</v>
      </c>
      <c r="B1338" s="3" t="s">
        <v>18</v>
      </c>
    </row>
    <row r="1339">
      <c r="A1339" s="3" t="s">
        <v>12</v>
      </c>
      <c r="B1339" s="3" t="s">
        <v>16</v>
      </c>
      <c r="C1339" s="3" t="s">
        <v>18</v>
      </c>
    </row>
    <row r="1340">
      <c r="A1340" s="3" t="s">
        <v>12</v>
      </c>
      <c r="B1340" s="3" t="s">
        <v>17</v>
      </c>
      <c r="C1340" s="3" t="s">
        <v>18</v>
      </c>
    </row>
    <row r="1341">
      <c r="A1341" s="3" t="s">
        <v>12</v>
      </c>
      <c r="B1341" s="3" t="s">
        <v>17</v>
      </c>
    </row>
    <row r="1342">
      <c r="A1342" s="3" t="s">
        <v>13</v>
      </c>
      <c r="B1342" s="3" t="s">
        <v>14</v>
      </c>
    </row>
    <row r="1343">
      <c r="A1343" s="3" t="s">
        <v>13</v>
      </c>
      <c r="B1343" s="3" t="s">
        <v>14</v>
      </c>
      <c r="C1343" s="3" t="s">
        <v>17</v>
      </c>
    </row>
    <row r="1344">
      <c r="A1344" s="3" t="s">
        <v>13</v>
      </c>
      <c r="B1344" s="3" t="s">
        <v>14</v>
      </c>
    </row>
    <row r="1345">
      <c r="A1345" s="3" t="s">
        <v>13</v>
      </c>
      <c r="B1345" s="3" t="s">
        <v>14</v>
      </c>
      <c r="C1345" s="3" t="s">
        <v>17</v>
      </c>
    </row>
    <row r="1346">
      <c r="A1346" s="3" t="s">
        <v>13</v>
      </c>
      <c r="B1346" s="3" t="s">
        <v>14</v>
      </c>
      <c r="C1346" s="3" t="s">
        <v>17</v>
      </c>
    </row>
    <row r="1347">
      <c r="A1347" s="3" t="s">
        <v>13</v>
      </c>
      <c r="B1347" s="3" t="s">
        <v>14</v>
      </c>
      <c r="C1347" s="3" t="s">
        <v>17</v>
      </c>
    </row>
    <row r="1348">
      <c r="A1348" s="3" t="s">
        <v>13</v>
      </c>
      <c r="B1348" s="3" t="s">
        <v>14</v>
      </c>
      <c r="C1348" s="3" t="s">
        <v>17</v>
      </c>
    </row>
    <row r="1349">
      <c r="A1349" s="3" t="s">
        <v>13</v>
      </c>
      <c r="B1349" s="3" t="s">
        <v>14</v>
      </c>
      <c r="C1349" s="3" t="s">
        <v>17</v>
      </c>
    </row>
    <row r="1350">
      <c r="A1350" s="3" t="s">
        <v>13</v>
      </c>
      <c r="B1350" s="3" t="s">
        <v>14</v>
      </c>
    </row>
    <row r="1351">
      <c r="A1351" s="3" t="s">
        <v>13</v>
      </c>
      <c r="B1351" s="3" t="s">
        <v>14</v>
      </c>
      <c r="C1351" s="3" t="s">
        <v>17</v>
      </c>
    </row>
    <row r="1352">
      <c r="A1352" s="3" t="s">
        <v>13</v>
      </c>
      <c r="B1352" s="3" t="s">
        <v>14</v>
      </c>
      <c r="C1352" s="3" t="s">
        <v>17</v>
      </c>
    </row>
    <row r="1353">
      <c r="A1353" s="3" t="s">
        <v>13</v>
      </c>
      <c r="B1353" s="3" t="s">
        <v>14</v>
      </c>
    </row>
    <row r="1354">
      <c r="A1354" s="3" t="s">
        <v>13</v>
      </c>
      <c r="B1354" s="3" t="s">
        <v>14</v>
      </c>
      <c r="C1354" s="3" t="s">
        <v>18</v>
      </c>
    </row>
    <row r="1355">
      <c r="A1355" s="3" t="s">
        <v>13</v>
      </c>
      <c r="B1355" s="3" t="s">
        <v>14</v>
      </c>
    </row>
    <row r="1356">
      <c r="A1356" s="3" t="s">
        <v>13</v>
      </c>
      <c r="B1356" s="3" t="s">
        <v>14</v>
      </c>
    </row>
    <row r="1357">
      <c r="A1357" s="3" t="s">
        <v>13</v>
      </c>
      <c r="B1357" s="3" t="s">
        <v>14</v>
      </c>
    </row>
    <row r="1358">
      <c r="A1358" s="3" t="s">
        <v>13</v>
      </c>
      <c r="B1358" s="3" t="s">
        <v>14</v>
      </c>
      <c r="C1358" s="3" t="s">
        <v>17</v>
      </c>
    </row>
    <row r="1359">
      <c r="A1359" s="3" t="s">
        <v>13</v>
      </c>
      <c r="B1359" s="3" t="s">
        <v>14</v>
      </c>
    </row>
    <row r="1360">
      <c r="A1360" s="3" t="s">
        <v>13</v>
      </c>
      <c r="B1360" s="3" t="s">
        <v>14</v>
      </c>
      <c r="C1360" s="3" t="s">
        <v>17</v>
      </c>
    </row>
    <row r="1361">
      <c r="A1361" s="3" t="s">
        <v>13</v>
      </c>
    </row>
    <row r="1362">
      <c r="A1362" s="3" t="s">
        <v>13</v>
      </c>
      <c r="B1362" s="3" t="s">
        <v>14</v>
      </c>
      <c r="C1362" s="3" t="s">
        <v>17</v>
      </c>
    </row>
    <row r="1363">
      <c r="A1363" s="3" t="s">
        <v>13</v>
      </c>
      <c r="B1363" s="3" t="s">
        <v>14</v>
      </c>
    </row>
    <row r="1364">
      <c r="A1364" s="3" t="s">
        <v>13</v>
      </c>
    </row>
    <row r="1365">
      <c r="A1365" s="3" t="s">
        <v>13</v>
      </c>
      <c r="B1365" s="3" t="s">
        <v>14</v>
      </c>
    </row>
    <row r="1366">
      <c r="A1366" s="3" t="s">
        <v>13</v>
      </c>
      <c r="B1366" s="3" t="s">
        <v>14</v>
      </c>
      <c r="C1366" s="3" t="s">
        <v>17</v>
      </c>
    </row>
    <row r="1367">
      <c r="A1367" s="3" t="s">
        <v>13</v>
      </c>
      <c r="B1367" s="3" t="s">
        <v>14</v>
      </c>
    </row>
    <row r="1368">
      <c r="A1368" s="3" t="s">
        <v>13</v>
      </c>
    </row>
    <row r="1369">
      <c r="A1369" s="3" t="s">
        <v>13</v>
      </c>
      <c r="B1369" s="3" t="s">
        <v>14</v>
      </c>
    </row>
    <row r="1370">
      <c r="A1370" s="3" t="s">
        <v>13</v>
      </c>
      <c r="B1370" s="3" t="s">
        <v>14</v>
      </c>
    </row>
    <row r="1371">
      <c r="A1371" s="3" t="s">
        <v>13</v>
      </c>
      <c r="B1371" s="3" t="s">
        <v>14</v>
      </c>
    </row>
    <row r="1372">
      <c r="A1372" s="3" t="s">
        <v>13</v>
      </c>
      <c r="B1372" s="3" t="s">
        <v>14</v>
      </c>
      <c r="C1372" s="3" t="s">
        <v>17</v>
      </c>
    </row>
    <row r="1373">
      <c r="A1373" s="3" t="s">
        <v>13</v>
      </c>
      <c r="B1373" s="3" t="s">
        <v>14</v>
      </c>
    </row>
    <row r="1374">
      <c r="A1374" s="3" t="s">
        <v>13</v>
      </c>
      <c r="B1374" s="3" t="s">
        <v>14</v>
      </c>
    </row>
    <row r="1375">
      <c r="A1375" s="3" t="s">
        <v>13</v>
      </c>
      <c r="B1375" s="3" t="s">
        <v>14</v>
      </c>
      <c r="C1375" s="3" t="s">
        <v>17</v>
      </c>
    </row>
    <row r="1376">
      <c r="A1376" s="3" t="s">
        <v>13</v>
      </c>
      <c r="B1376" s="3" t="s">
        <v>14</v>
      </c>
    </row>
    <row r="1377">
      <c r="A1377" s="3" t="s">
        <v>13</v>
      </c>
    </row>
    <row r="1378">
      <c r="A1378" s="3" t="s">
        <v>14</v>
      </c>
      <c r="B1378" s="3" t="s">
        <v>17</v>
      </c>
      <c r="C1378" s="3" t="s">
        <v>18</v>
      </c>
    </row>
    <row r="1379">
      <c r="A1379" s="3" t="s">
        <v>14</v>
      </c>
      <c r="B1379" s="3" t="s">
        <v>17</v>
      </c>
      <c r="C1379" s="3" t="s">
        <v>18</v>
      </c>
    </row>
    <row r="1380">
      <c r="A1380" s="3" t="s">
        <v>14</v>
      </c>
      <c r="B1380" s="3" t="s">
        <v>17</v>
      </c>
      <c r="C1380" s="3" t="s">
        <v>18</v>
      </c>
    </row>
    <row r="1381">
      <c r="A1381" s="3" t="s">
        <v>14</v>
      </c>
      <c r="B1381" s="3" t="s">
        <v>17</v>
      </c>
      <c r="C1381" s="3" t="s">
        <v>18</v>
      </c>
    </row>
    <row r="1382">
      <c r="A1382" s="3" t="s">
        <v>14</v>
      </c>
      <c r="B1382" s="3" t="s">
        <v>17</v>
      </c>
      <c r="C1382" s="3" t="s">
        <v>18</v>
      </c>
    </row>
    <row r="1383">
      <c r="A1383" s="3" t="s">
        <v>14</v>
      </c>
      <c r="B1383" s="3" t="s">
        <v>17</v>
      </c>
      <c r="C1383" s="3" t="s">
        <v>18</v>
      </c>
    </row>
    <row r="1384">
      <c r="A1384" s="3" t="s">
        <v>14</v>
      </c>
      <c r="B1384" s="3" t="s">
        <v>17</v>
      </c>
      <c r="C1384" s="3" t="s">
        <v>18</v>
      </c>
    </row>
    <row r="1385">
      <c r="A1385" s="3" t="s">
        <v>14</v>
      </c>
      <c r="B1385" s="3" t="s">
        <v>17</v>
      </c>
      <c r="C1385" s="3" t="s">
        <v>18</v>
      </c>
    </row>
    <row r="1386">
      <c r="A1386" s="3" t="s">
        <v>15</v>
      </c>
      <c r="B1386" s="3" t="s">
        <v>16</v>
      </c>
      <c r="C1386" s="3" t="s">
        <v>17</v>
      </c>
    </row>
    <row r="1387">
      <c r="A1387" s="3" t="s">
        <v>15</v>
      </c>
    </row>
    <row r="1388">
      <c r="A1388" s="3" t="s">
        <v>15</v>
      </c>
      <c r="B1388" s="3" t="s">
        <v>16</v>
      </c>
      <c r="C1388" s="3" t="s">
        <v>17</v>
      </c>
    </row>
    <row r="1389">
      <c r="A1389" s="3" t="s">
        <v>15</v>
      </c>
      <c r="B1389" s="3" t="s">
        <v>16</v>
      </c>
      <c r="C1389" s="3" t="s">
        <v>17</v>
      </c>
    </row>
    <row r="1390">
      <c r="A1390" s="3" t="s">
        <v>15</v>
      </c>
      <c r="B1390" s="3" t="s">
        <v>16</v>
      </c>
    </row>
    <row r="1391">
      <c r="A1391" s="3" t="s">
        <v>15</v>
      </c>
    </row>
    <row r="1392">
      <c r="A1392" s="3" t="s">
        <v>15</v>
      </c>
      <c r="B1392" s="3" t="s">
        <v>16</v>
      </c>
    </row>
    <row r="1393">
      <c r="A1393" s="3" t="s">
        <v>15</v>
      </c>
      <c r="B1393" s="3" t="s">
        <v>16</v>
      </c>
    </row>
    <row r="1394">
      <c r="A1394" s="3" t="s">
        <v>15</v>
      </c>
    </row>
    <row r="1395">
      <c r="A1395" s="3" t="s">
        <v>15</v>
      </c>
      <c r="B1395" s="3" t="s">
        <v>16</v>
      </c>
    </row>
    <row r="1396">
      <c r="A1396" s="3" t="s">
        <v>15</v>
      </c>
      <c r="B1396" s="3" t="s">
        <v>16</v>
      </c>
    </row>
    <row r="1397">
      <c r="A1397" s="3" t="s">
        <v>15</v>
      </c>
      <c r="B1397" s="3" t="s">
        <v>16</v>
      </c>
      <c r="C1397" s="3" t="s">
        <v>17</v>
      </c>
    </row>
    <row r="1398">
      <c r="A1398" s="3" t="s">
        <v>15</v>
      </c>
    </row>
    <row r="1399">
      <c r="A1399" s="3" t="s">
        <v>15</v>
      </c>
      <c r="B1399" s="3" t="s">
        <v>16</v>
      </c>
      <c r="C1399" s="3" t="s">
        <v>17</v>
      </c>
    </row>
    <row r="1400">
      <c r="A1400" s="3" t="s">
        <v>15</v>
      </c>
      <c r="B1400" s="3" t="s">
        <v>16</v>
      </c>
    </row>
    <row r="1401">
      <c r="A1401" s="3" t="s">
        <v>15</v>
      </c>
      <c r="B1401" s="3" t="s">
        <v>16</v>
      </c>
    </row>
    <row r="1402">
      <c r="A1402" s="3" t="s">
        <v>15</v>
      </c>
      <c r="B1402" s="3" t="s">
        <v>16</v>
      </c>
      <c r="C1402" s="3" t="s">
        <v>17</v>
      </c>
    </row>
    <row r="1403">
      <c r="A1403" s="3" t="s">
        <v>16</v>
      </c>
      <c r="B1403" s="3" t="s">
        <v>17</v>
      </c>
      <c r="C1403" s="3" t="s">
        <v>18</v>
      </c>
    </row>
    <row r="1404">
      <c r="A1404" s="3" t="s">
        <v>16</v>
      </c>
      <c r="B1404" s="3" t="s">
        <v>18</v>
      </c>
    </row>
    <row r="1405">
      <c r="A1405" s="3" t="s">
        <v>16</v>
      </c>
      <c r="B1405" s="3" t="s">
        <v>17</v>
      </c>
      <c r="C1405" s="3" t="s">
        <v>18</v>
      </c>
    </row>
    <row r="1406">
      <c r="A1406" s="3" t="s">
        <v>16</v>
      </c>
      <c r="B1406" s="3" t="s">
        <v>17</v>
      </c>
      <c r="C1406" s="3" t="s">
        <v>18</v>
      </c>
    </row>
    <row r="1407">
      <c r="A1407" s="3" t="s">
        <v>16</v>
      </c>
      <c r="B1407" s="3" t="s">
        <v>17</v>
      </c>
      <c r="C1407" s="3" t="s">
        <v>18</v>
      </c>
    </row>
    <row r="1408">
      <c r="A1408" s="3" t="s">
        <v>16</v>
      </c>
      <c r="B1408" s="3" t="s">
        <v>17</v>
      </c>
      <c r="C1408" s="3" t="s">
        <v>18</v>
      </c>
    </row>
    <row r="1409">
      <c r="A1409" s="3" t="s">
        <v>16</v>
      </c>
      <c r="B1409" s="3" t="s">
        <v>17</v>
      </c>
      <c r="C1409" s="3" t="s">
        <v>18</v>
      </c>
    </row>
    <row r="1410">
      <c r="A1410" s="3" t="s">
        <v>16</v>
      </c>
      <c r="B1410" s="3" t="s">
        <v>17</v>
      </c>
    </row>
    <row r="1411">
      <c r="A1411" s="3" t="s">
        <v>16</v>
      </c>
      <c r="B1411" s="3" t="s">
        <v>17</v>
      </c>
      <c r="C1411" s="3" t="s">
        <v>18</v>
      </c>
    </row>
    <row r="1412">
      <c r="A1412" s="3" t="s">
        <v>16</v>
      </c>
    </row>
    <row r="1413">
      <c r="A1413" s="3" t="s">
        <v>16</v>
      </c>
      <c r="B1413" s="3" t="s">
        <v>17</v>
      </c>
      <c r="C1413" s="3" t="s">
        <v>18</v>
      </c>
    </row>
    <row r="1414">
      <c r="A1414" s="3" t="s">
        <v>16</v>
      </c>
      <c r="B1414" s="3" t="s">
        <v>17</v>
      </c>
      <c r="C1414" s="3" t="s">
        <v>18</v>
      </c>
    </row>
    <row r="1415">
      <c r="A1415" s="3" t="s">
        <v>17</v>
      </c>
      <c r="B1415" s="3" t="s">
        <v>18</v>
      </c>
    </row>
    <row r="1416">
      <c r="A1416" s="3" t="s">
        <v>17</v>
      </c>
      <c r="B1416" s="3" t="s">
        <v>18</v>
      </c>
    </row>
    <row r="1417">
      <c r="A1417" s="3" t="s">
        <v>6</v>
      </c>
      <c r="B1417" s="3" t="s">
        <v>7</v>
      </c>
      <c r="C1417" s="3" t="s">
        <v>13</v>
      </c>
    </row>
    <row r="1418">
      <c r="A1418" s="3" t="s">
        <v>6</v>
      </c>
      <c r="B1418" s="3" t="s">
        <v>7</v>
      </c>
      <c r="C1418" s="3" t="s">
        <v>15</v>
      </c>
    </row>
    <row r="1419">
      <c r="A1419" s="3" t="s">
        <v>6</v>
      </c>
      <c r="B1419" s="3" t="s">
        <v>7</v>
      </c>
    </row>
    <row r="1420">
      <c r="A1420" s="3" t="s">
        <v>6</v>
      </c>
      <c r="B1420" s="3" t="s">
        <v>11</v>
      </c>
      <c r="C1420" s="3" t="s">
        <v>15</v>
      </c>
    </row>
    <row r="1421">
      <c r="A1421" s="3" t="s">
        <v>6</v>
      </c>
      <c r="B1421" s="3" t="s">
        <v>7</v>
      </c>
      <c r="C1421" s="3" t="s">
        <v>15</v>
      </c>
    </row>
    <row r="1422">
      <c r="A1422" s="3" t="s">
        <v>6</v>
      </c>
      <c r="B1422" s="3" t="s">
        <v>7</v>
      </c>
      <c r="C1422" s="3" t="s">
        <v>8</v>
      </c>
    </row>
    <row r="1423">
      <c r="A1423" s="3" t="s">
        <v>6</v>
      </c>
    </row>
    <row r="1424">
      <c r="A1424" s="3" t="s">
        <v>6</v>
      </c>
      <c r="B1424" s="3" t="s">
        <v>7</v>
      </c>
      <c r="C1424" s="3" t="s">
        <v>8</v>
      </c>
    </row>
    <row r="1425">
      <c r="A1425" s="3" t="s">
        <v>6</v>
      </c>
      <c r="B1425" s="3" t="s">
        <v>7</v>
      </c>
    </row>
    <row r="1426">
      <c r="A1426" s="3" t="s">
        <v>6</v>
      </c>
      <c r="B1426" s="3" t="s">
        <v>7</v>
      </c>
      <c r="C1426" s="3" t="s">
        <v>13</v>
      </c>
    </row>
    <row r="1427">
      <c r="A1427" s="3" t="s">
        <v>6</v>
      </c>
      <c r="B1427" s="3" t="s">
        <v>7</v>
      </c>
    </row>
    <row r="1428">
      <c r="A1428" s="3" t="s">
        <v>6</v>
      </c>
      <c r="B1428" s="3" t="s">
        <v>7</v>
      </c>
      <c r="C1428" s="3" t="s">
        <v>8</v>
      </c>
    </row>
    <row r="1429">
      <c r="A1429" s="3" t="s">
        <v>6</v>
      </c>
      <c r="B1429" s="3" t="s">
        <v>7</v>
      </c>
      <c r="C1429" s="3" t="s">
        <v>8</v>
      </c>
    </row>
    <row r="1430">
      <c r="A1430" s="3" t="s">
        <v>6</v>
      </c>
      <c r="B1430" s="3" t="s">
        <v>7</v>
      </c>
      <c r="C1430" s="3" t="s">
        <v>15</v>
      </c>
    </row>
    <row r="1431">
      <c r="A1431" s="3" t="s">
        <v>6</v>
      </c>
      <c r="B1431" s="3" t="s">
        <v>7</v>
      </c>
      <c r="C1431" s="3" t="s">
        <v>13</v>
      </c>
    </row>
    <row r="1432">
      <c r="A1432" s="3" t="s">
        <v>6</v>
      </c>
      <c r="B1432" s="3" t="s">
        <v>11</v>
      </c>
      <c r="C1432" s="3" t="s">
        <v>12</v>
      </c>
    </row>
    <row r="1433">
      <c r="A1433" s="3" t="s">
        <v>6</v>
      </c>
      <c r="B1433" s="3" t="s">
        <v>11</v>
      </c>
      <c r="C1433" s="3" t="s">
        <v>15</v>
      </c>
    </row>
    <row r="1434">
      <c r="A1434" s="3" t="s">
        <v>6</v>
      </c>
      <c r="B1434" s="3" t="s">
        <v>7</v>
      </c>
    </row>
    <row r="1435">
      <c r="A1435" s="3" t="s">
        <v>6</v>
      </c>
      <c r="B1435" s="3" t="s">
        <v>7</v>
      </c>
      <c r="C1435" s="3" t="s">
        <v>15</v>
      </c>
    </row>
    <row r="1436">
      <c r="A1436" s="3" t="s">
        <v>6</v>
      </c>
      <c r="B1436" s="3" t="s">
        <v>7</v>
      </c>
      <c r="C1436" s="3" t="s">
        <v>8</v>
      </c>
    </row>
    <row r="1437">
      <c r="A1437" s="3" t="s">
        <v>6</v>
      </c>
      <c r="B1437" s="3" t="s">
        <v>7</v>
      </c>
    </row>
    <row r="1438">
      <c r="A1438" s="3" t="s">
        <v>6</v>
      </c>
      <c r="B1438" s="3" t="s">
        <v>7</v>
      </c>
    </row>
    <row r="1439">
      <c r="A1439" s="3" t="s">
        <v>6</v>
      </c>
      <c r="B1439" s="3" t="s">
        <v>7</v>
      </c>
      <c r="C1439" s="3" t="s">
        <v>15</v>
      </c>
    </row>
    <row r="1440">
      <c r="A1440" s="3" t="s">
        <v>6</v>
      </c>
      <c r="B1440" s="3" t="s">
        <v>7</v>
      </c>
      <c r="C1440" s="3" t="s">
        <v>8</v>
      </c>
    </row>
    <row r="1441">
      <c r="A1441" s="3" t="s">
        <v>6</v>
      </c>
      <c r="B1441" s="3" t="s">
        <v>7</v>
      </c>
      <c r="C1441" s="3" t="s">
        <v>15</v>
      </c>
    </row>
    <row r="1442">
      <c r="A1442" s="3" t="s">
        <v>6</v>
      </c>
      <c r="B1442" s="3" t="s">
        <v>7</v>
      </c>
      <c r="C1442" s="3" t="s">
        <v>8</v>
      </c>
    </row>
    <row r="1443">
      <c r="A1443" s="3" t="s">
        <v>6</v>
      </c>
      <c r="B1443" s="3" t="s">
        <v>7</v>
      </c>
      <c r="C1443" s="3" t="s">
        <v>8</v>
      </c>
    </row>
    <row r="1444">
      <c r="A1444" s="3" t="s">
        <v>6</v>
      </c>
      <c r="B1444" s="3" t="s">
        <v>11</v>
      </c>
      <c r="C1444" s="3" t="s">
        <v>15</v>
      </c>
    </row>
    <row r="1445">
      <c r="A1445" s="3" t="s">
        <v>6</v>
      </c>
      <c r="B1445" s="3" t="s">
        <v>7</v>
      </c>
    </row>
    <row r="1446">
      <c r="A1446" s="3" t="s">
        <v>6</v>
      </c>
      <c r="B1446" s="3" t="s">
        <v>7</v>
      </c>
    </row>
    <row r="1447">
      <c r="A1447" s="3" t="s">
        <v>6</v>
      </c>
      <c r="B1447" s="3" t="s">
        <v>7</v>
      </c>
    </row>
    <row r="1448">
      <c r="A1448" s="3" t="s">
        <v>6</v>
      </c>
      <c r="B1448" s="3" t="s">
        <v>7</v>
      </c>
    </row>
    <row r="1449">
      <c r="A1449" s="3" t="s">
        <v>6</v>
      </c>
      <c r="B1449" s="3" t="s">
        <v>7</v>
      </c>
    </row>
    <row r="1450">
      <c r="A1450" s="3" t="s">
        <v>6</v>
      </c>
    </row>
    <row r="1451">
      <c r="A1451" s="3" t="s">
        <v>6</v>
      </c>
      <c r="B1451" s="3" t="s">
        <v>7</v>
      </c>
      <c r="C1451" s="3" t="s">
        <v>11</v>
      </c>
    </row>
    <row r="1452">
      <c r="A1452" s="3" t="s">
        <v>6</v>
      </c>
      <c r="B1452" s="3" t="s">
        <v>7</v>
      </c>
    </row>
    <row r="1453">
      <c r="A1453" s="3" t="s">
        <v>6</v>
      </c>
      <c r="B1453" s="3" t="s">
        <v>7</v>
      </c>
      <c r="C1453" s="3" t="s">
        <v>15</v>
      </c>
    </row>
    <row r="1454">
      <c r="A1454" s="3" t="s">
        <v>6</v>
      </c>
      <c r="B1454" s="3" t="s">
        <v>7</v>
      </c>
    </row>
    <row r="1455">
      <c r="A1455" s="3" t="s">
        <v>6</v>
      </c>
      <c r="B1455" s="3" t="s">
        <v>7</v>
      </c>
      <c r="C1455" s="3" t="s">
        <v>8</v>
      </c>
    </row>
    <row r="1456">
      <c r="A1456" s="3" t="s">
        <v>6</v>
      </c>
      <c r="B1456" s="3" t="s">
        <v>11</v>
      </c>
      <c r="C1456" s="3" t="s">
        <v>15</v>
      </c>
    </row>
    <row r="1457">
      <c r="A1457" s="3" t="s">
        <v>6</v>
      </c>
      <c r="B1457" s="3" t="s">
        <v>7</v>
      </c>
      <c r="C1457" s="3" t="s">
        <v>8</v>
      </c>
    </row>
    <row r="1458">
      <c r="A1458" s="3" t="s">
        <v>6</v>
      </c>
      <c r="B1458" s="3" t="s">
        <v>7</v>
      </c>
    </row>
    <row r="1459">
      <c r="A1459" s="3" t="s">
        <v>6</v>
      </c>
      <c r="B1459" s="3" t="s">
        <v>7</v>
      </c>
      <c r="C1459" s="3" t="s">
        <v>8</v>
      </c>
    </row>
    <row r="1460">
      <c r="A1460" s="3" t="s">
        <v>6</v>
      </c>
      <c r="B1460" s="3" t="s">
        <v>11</v>
      </c>
      <c r="C1460" s="3" t="s">
        <v>12</v>
      </c>
    </row>
    <row r="1461">
      <c r="A1461" s="3" t="s">
        <v>6</v>
      </c>
      <c r="B1461" s="3" t="s">
        <v>15</v>
      </c>
    </row>
    <row r="1462">
      <c r="A1462" s="3" t="s">
        <v>6</v>
      </c>
      <c r="B1462" s="3" t="s">
        <v>7</v>
      </c>
      <c r="C1462" s="3" t="s">
        <v>15</v>
      </c>
    </row>
    <row r="1463">
      <c r="A1463" s="3" t="s">
        <v>6</v>
      </c>
      <c r="B1463" s="3" t="s">
        <v>7</v>
      </c>
      <c r="C1463" s="3" t="s">
        <v>8</v>
      </c>
    </row>
    <row r="1464">
      <c r="A1464" s="3" t="s">
        <v>609</v>
      </c>
    </row>
    <row r="1465">
      <c r="A1465" s="3" t="s">
        <v>7</v>
      </c>
      <c r="B1465" s="3" t="s">
        <v>8</v>
      </c>
    </row>
    <row r="1466">
      <c r="A1466" s="3" t="s">
        <v>7</v>
      </c>
      <c r="B1466" s="3" t="s">
        <v>8</v>
      </c>
      <c r="C1466" s="3" t="s">
        <v>9</v>
      </c>
    </row>
    <row r="1467">
      <c r="A1467" s="3" t="s">
        <v>7</v>
      </c>
      <c r="B1467" s="3" t="s">
        <v>11</v>
      </c>
    </row>
    <row r="1468">
      <c r="A1468" s="3" t="s">
        <v>7</v>
      </c>
      <c r="B1468" s="3" t="s">
        <v>8</v>
      </c>
      <c r="C1468" s="3" t="s">
        <v>17</v>
      </c>
    </row>
    <row r="1469">
      <c r="A1469" s="3" t="s">
        <v>7</v>
      </c>
      <c r="B1469" s="3" t="s">
        <v>8</v>
      </c>
      <c r="C1469" s="3" t="s">
        <v>9</v>
      </c>
    </row>
    <row r="1470">
      <c r="A1470" s="3" t="s">
        <v>7</v>
      </c>
      <c r="B1470" s="3" t="s">
        <v>8</v>
      </c>
    </row>
    <row r="1471">
      <c r="A1471" s="3" t="s">
        <v>7</v>
      </c>
    </row>
    <row r="1472">
      <c r="A1472" s="3" t="s">
        <v>7</v>
      </c>
      <c r="B1472" s="3" t="s">
        <v>8</v>
      </c>
      <c r="C1472" s="3" t="s">
        <v>9</v>
      </c>
    </row>
    <row r="1473">
      <c r="A1473" s="3" t="s">
        <v>7</v>
      </c>
      <c r="B1473" s="3" t="s">
        <v>8</v>
      </c>
      <c r="C1473" s="3" t="s">
        <v>9</v>
      </c>
    </row>
    <row r="1474">
      <c r="A1474" s="3" t="s">
        <v>7</v>
      </c>
      <c r="B1474" s="3" t="s">
        <v>8</v>
      </c>
      <c r="C1474" s="3" t="s">
        <v>9</v>
      </c>
    </row>
    <row r="1475">
      <c r="A1475" s="3" t="s">
        <v>7</v>
      </c>
      <c r="B1475" s="3" t="s">
        <v>8</v>
      </c>
    </row>
    <row r="1476">
      <c r="A1476" s="3" t="s">
        <v>7</v>
      </c>
      <c r="B1476" s="3" t="s">
        <v>8</v>
      </c>
      <c r="C1476" s="3" t="s">
        <v>9</v>
      </c>
    </row>
    <row r="1477">
      <c r="A1477" s="3" t="s">
        <v>7</v>
      </c>
      <c r="B1477" s="3" t="s">
        <v>15</v>
      </c>
    </row>
    <row r="1478">
      <c r="A1478" s="3" t="s">
        <v>7</v>
      </c>
      <c r="B1478" s="3" t="s">
        <v>8</v>
      </c>
      <c r="C1478" s="3" t="s">
        <v>17</v>
      </c>
    </row>
    <row r="1479">
      <c r="A1479" s="3" t="s">
        <v>7</v>
      </c>
      <c r="B1479" s="3" t="s">
        <v>8</v>
      </c>
      <c r="C1479" s="3" t="s">
        <v>17</v>
      </c>
    </row>
    <row r="1480">
      <c r="A1480" s="3" t="s">
        <v>8</v>
      </c>
      <c r="B1480" s="3" t="s">
        <v>16</v>
      </c>
      <c r="C1480" s="3" t="s">
        <v>17</v>
      </c>
    </row>
    <row r="1481">
      <c r="A1481" s="3" t="s">
        <v>8</v>
      </c>
      <c r="B1481" s="3" t="s">
        <v>9</v>
      </c>
      <c r="C1481" s="3" t="s">
        <v>10</v>
      </c>
    </row>
    <row r="1482">
      <c r="A1482" s="3" t="s">
        <v>8</v>
      </c>
      <c r="B1482" s="3" t="s">
        <v>9</v>
      </c>
      <c r="C1482" s="3" t="s">
        <v>10</v>
      </c>
    </row>
    <row r="1483">
      <c r="A1483" s="3" t="s">
        <v>8</v>
      </c>
      <c r="B1483" s="3" t="s">
        <v>9</v>
      </c>
      <c r="C1483" s="3" t="s">
        <v>10</v>
      </c>
    </row>
    <row r="1484">
      <c r="A1484" s="3" t="s">
        <v>8</v>
      </c>
      <c r="B1484" s="3" t="s">
        <v>9</v>
      </c>
      <c r="C1484" s="3" t="s">
        <v>16</v>
      </c>
    </row>
    <row r="1485">
      <c r="A1485" s="3" t="s">
        <v>8</v>
      </c>
      <c r="B1485" s="3" t="s">
        <v>9</v>
      </c>
      <c r="C1485" s="3" t="s">
        <v>10</v>
      </c>
    </row>
    <row r="1486">
      <c r="A1486" s="3" t="s">
        <v>8</v>
      </c>
      <c r="B1486" s="3" t="s">
        <v>9</v>
      </c>
      <c r="C1486" s="3" t="s">
        <v>16</v>
      </c>
    </row>
    <row r="1487">
      <c r="A1487" s="3" t="s">
        <v>8</v>
      </c>
      <c r="B1487" s="3" t="s">
        <v>16</v>
      </c>
      <c r="C1487" s="3" t="s">
        <v>17</v>
      </c>
    </row>
    <row r="1488">
      <c r="A1488" s="3" t="s">
        <v>8</v>
      </c>
      <c r="B1488" s="3" t="s">
        <v>9</v>
      </c>
      <c r="C1488" s="3" t="s">
        <v>10</v>
      </c>
    </row>
    <row r="1489">
      <c r="A1489" s="3" t="s">
        <v>8</v>
      </c>
      <c r="B1489" s="3" t="s">
        <v>9</v>
      </c>
      <c r="C1489" s="3" t="s">
        <v>10</v>
      </c>
    </row>
    <row r="1490">
      <c r="A1490" s="3" t="s">
        <v>8</v>
      </c>
      <c r="B1490" s="3" t="s">
        <v>9</v>
      </c>
    </row>
    <row r="1491">
      <c r="A1491" s="3" t="s">
        <v>8</v>
      </c>
      <c r="B1491" s="3" t="s">
        <v>9</v>
      </c>
      <c r="C1491" s="3" t="s">
        <v>12</v>
      </c>
    </row>
    <row r="1492">
      <c r="A1492" s="3" t="s">
        <v>8</v>
      </c>
      <c r="B1492" s="3" t="s">
        <v>9</v>
      </c>
      <c r="C1492" s="3" t="s">
        <v>10</v>
      </c>
    </row>
    <row r="1493">
      <c r="A1493" s="3" t="s">
        <v>8</v>
      </c>
      <c r="B1493" s="3" t="s">
        <v>9</v>
      </c>
      <c r="C1493" s="3" t="s">
        <v>10</v>
      </c>
    </row>
    <row r="1494">
      <c r="A1494" s="3" t="s">
        <v>8</v>
      </c>
      <c r="B1494" s="3" t="s">
        <v>9</v>
      </c>
      <c r="C1494" s="3" t="s">
        <v>10</v>
      </c>
    </row>
    <row r="1495">
      <c r="A1495" s="3" t="s">
        <v>8</v>
      </c>
      <c r="B1495" s="3" t="s">
        <v>9</v>
      </c>
      <c r="C1495" s="3" t="s">
        <v>16</v>
      </c>
    </row>
    <row r="1496">
      <c r="A1496" s="3" t="s">
        <v>8</v>
      </c>
    </row>
    <row r="1497">
      <c r="A1497" s="3" t="s">
        <v>8</v>
      </c>
      <c r="B1497" s="3" t="s">
        <v>12</v>
      </c>
      <c r="C1497" s="3" t="s">
        <v>17</v>
      </c>
    </row>
    <row r="1498">
      <c r="A1498" s="3" t="s">
        <v>8</v>
      </c>
      <c r="B1498" s="3" t="s">
        <v>9</v>
      </c>
      <c r="C1498" s="3" t="s">
        <v>16</v>
      </c>
    </row>
    <row r="1499">
      <c r="A1499" s="3" t="s">
        <v>8</v>
      </c>
      <c r="B1499" s="3" t="s">
        <v>9</v>
      </c>
      <c r="C1499" s="3" t="s">
        <v>10</v>
      </c>
    </row>
    <row r="1500">
      <c r="A1500" s="3" t="s">
        <v>8</v>
      </c>
      <c r="B1500" s="3" t="s">
        <v>9</v>
      </c>
      <c r="C1500" s="3" t="s">
        <v>10</v>
      </c>
    </row>
    <row r="1501">
      <c r="A1501" s="3" t="s">
        <v>8</v>
      </c>
      <c r="B1501" s="3" t="s">
        <v>9</v>
      </c>
      <c r="C1501" s="3" t="s">
        <v>10</v>
      </c>
    </row>
    <row r="1502">
      <c r="A1502" s="3" t="s">
        <v>8</v>
      </c>
      <c r="B1502" s="3" t="s">
        <v>9</v>
      </c>
      <c r="C1502" s="3" t="s">
        <v>10</v>
      </c>
    </row>
    <row r="1503">
      <c r="A1503" s="3" t="s">
        <v>8</v>
      </c>
      <c r="B1503" s="3" t="s">
        <v>15</v>
      </c>
      <c r="C1503" s="3" t="s">
        <v>16</v>
      </c>
    </row>
    <row r="1504">
      <c r="A1504" s="3" t="s">
        <v>8</v>
      </c>
      <c r="B1504" s="3" t="s">
        <v>9</v>
      </c>
      <c r="C1504" s="3" t="s">
        <v>10</v>
      </c>
    </row>
    <row r="1505">
      <c r="A1505" s="3" t="s">
        <v>8</v>
      </c>
      <c r="B1505" s="3" t="s">
        <v>9</v>
      </c>
      <c r="C1505" s="3" t="s">
        <v>10</v>
      </c>
    </row>
    <row r="1506">
      <c r="A1506" s="3" t="s">
        <v>9</v>
      </c>
      <c r="B1506" s="3" t="s">
        <v>14</v>
      </c>
      <c r="C1506" s="3" t="s">
        <v>18</v>
      </c>
    </row>
    <row r="1507">
      <c r="A1507" s="3" t="s">
        <v>9</v>
      </c>
      <c r="B1507" s="3" t="s">
        <v>16</v>
      </c>
      <c r="C1507" s="3" t="s">
        <v>18</v>
      </c>
    </row>
    <row r="1508">
      <c r="A1508" s="3" t="s">
        <v>9</v>
      </c>
      <c r="B1508" s="3" t="s">
        <v>10</v>
      </c>
    </row>
    <row r="1509">
      <c r="A1509" s="3" t="s">
        <v>9</v>
      </c>
      <c r="B1509" s="3" t="s">
        <v>10</v>
      </c>
      <c r="C1509" s="3" t="s">
        <v>18</v>
      </c>
    </row>
    <row r="1510">
      <c r="A1510" s="3" t="s">
        <v>9</v>
      </c>
      <c r="B1510" s="3" t="s">
        <v>10</v>
      </c>
      <c r="C1510" s="3" t="s">
        <v>18</v>
      </c>
    </row>
    <row r="1511">
      <c r="A1511" s="3" t="s">
        <v>9</v>
      </c>
      <c r="B1511" s="3" t="s">
        <v>10</v>
      </c>
      <c r="C1511" s="3" t="s">
        <v>18</v>
      </c>
    </row>
    <row r="1512">
      <c r="A1512" s="3" t="s">
        <v>9</v>
      </c>
      <c r="B1512" s="3" t="s">
        <v>10</v>
      </c>
    </row>
    <row r="1513">
      <c r="A1513" s="3" t="s">
        <v>9</v>
      </c>
      <c r="B1513" s="3" t="s">
        <v>10</v>
      </c>
    </row>
    <row r="1514">
      <c r="A1514" s="3" t="s">
        <v>9</v>
      </c>
      <c r="B1514" s="3" t="s">
        <v>10</v>
      </c>
    </row>
    <row r="1515">
      <c r="A1515" s="3" t="s">
        <v>9</v>
      </c>
      <c r="B1515" s="3" t="s">
        <v>10</v>
      </c>
    </row>
    <row r="1516">
      <c r="A1516" s="3" t="s">
        <v>9</v>
      </c>
      <c r="B1516" s="3" t="s">
        <v>10</v>
      </c>
    </row>
    <row r="1517">
      <c r="A1517" s="3" t="s">
        <v>9</v>
      </c>
      <c r="B1517" s="3" t="s">
        <v>10</v>
      </c>
    </row>
    <row r="1518">
      <c r="A1518" s="3" t="s">
        <v>9</v>
      </c>
      <c r="B1518" s="3" t="s">
        <v>10</v>
      </c>
      <c r="C1518" s="3" t="s">
        <v>18</v>
      </c>
    </row>
    <row r="1519">
      <c r="A1519" s="3" t="s">
        <v>9</v>
      </c>
      <c r="B1519" s="3" t="s">
        <v>10</v>
      </c>
    </row>
    <row r="1520">
      <c r="A1520" s="3" t="s">
        <v>9</v>
      </c>
      <c r="B1520" s="3" t="s">
        <v>10</v>
      </c>
      <c r="C1520" s="3" t="s">
        <v>18</v>
      </c>
    </row>
    <row r="1521">
      <c r="A1521" s="3" t="s">
        <v>9</v>
      </c>
      <c r="B1521" s="3" t="s">
        <v>14</v>
      </c>
    </row>
    <row r="1522">
      <c r="A1522" s="3" t="s">
        <v>9</v>
      </c>
      <c r="B1522" s="3" t="s">
        <v>10</v>
      </c>
      <c r="C1522" s="3" t="s">
        <v>18</v>
      </c>
    </row>
    <row r="1523">
      <c r="A1523" s="3" t="s">
        <v>9</v>
      </c>
      <c r="B1523" s="3" t="s">
        <v>10</v>
      </c>
    </row>
    <row r="1524">
      <c r="A1524" s="3" t="s">
        <v>9</v>
      </c>
      <c r="B1524" s="3" t="s">
        <v>10</v>
      </c>
    </row>
    <row r="1525">
      <c r="A1525" s="3" t="s">
        <v>9</v>
      </c>
      <c r="B1525" s="3" t="s">
        <v>10</v>
      </c>
    </row>
    <row r="1526">
      <c r="A1526" s="3" t="s">
        <v>9</v>
      </c>
      <c r="B1526" s="3" t="s">
        <v>10</v>
      </c>
    </row>
    <row r="1527">
      <c r="A1527" s="3" t="s">
        <v>9</v>
      </c>
      <c r="B1527" s="3" t="s">
        <v>10</v>
      </c>
    </row>
    <row r="1528">
      <c r="A1528" s="3" t="s">
        <v>9</v>
      </c>
      <c r="B1528" s="3" t="s">
        <v>15</v>
      </c>
      <c r="C1528" s="3" t="s">
        <v>16</v>
      </c>
    </row>
    <row r="1529">
      <c r="A1529" s="3" t="s">
        <v>9</v>
      </c>
      <c r="B1529" s="3" t="s">
        <v>10</v>
      </c>
      <c r="C1529" s="3" t="s">
        <v>18</v>
      </c>
    </row>
    <row r="1530">
      <c r="A1530" s="3" t="s">
        <v>9</v>
      </c>
      <c r="B1530" s="3" t="s">
        <v>12</v>
      </c>
      <c r="C1530" s="3" t="s">
        <v>18</v>
      </c>
    </row>
    <row r="1531">
      <c r="A1531" s="3" t="s">
        <v>9</v>
      </c>
      <c r="B1531" s="3" t="s">
        <v>18</v>
      </c>
    </row>
    <row r="1532">
      <c r="A1532" s="3" t="s">
        <v>9</v>
      </c>
      <c r="B1532" s="3" t="s">
        <v>10</v>
      </c>
    </row>
    <row r="1533">
      <c r="A1533" s="3" t="s">
        <v>11</v>
      </c>
      <c r="B1533" s="3" t="s">
        <v>12</v>
      </c>
      <c r="C1533" s="3" t="s">
        <v>17</v>
      </c>
    </row>
    <row r="1534">
      <c r="A1534" s="3" t="s">
        <v>11</v>
      </c>
      <c r="B1534" s="3" t="s">
        <v>15</v>
      </c>
      <c r="C1534" s="3" t="s">
        <v>16</v>
      </c>
    </row>
    <row r="1535">
      <c r="A1535" s="3" t="s">
        <v>11</v>
      </c>
      <c r="B1535" s="3" t="s">
        <v>12</v>
      </c>
      <c r="C1535" s="3" t="s">
        <v>17</v>
      </c>
    </row>
    <row r="1536">
      <c r="A1536" s="3" t="s">
        <v>11</v>
      </c>
      <c r="B1536" s="3" t="s">
        <v>12</v>
      </c>
      <c r="C1536" s="3" t="s">
        <v>17</v>
      </c>
    </row>
    <row r="1537">
      <c r="A1537" s="3" t="s">
        <v>11</v>
      </c>
      <c r="B1537" s="3" t="s">
        <v>12</v>
      </c>
      <c r="C1537" s="3" t="s">
        <v>17</v>
      </c>
    </row>
    <row r="1538">
      <c r="A1538" s="3" t="s">
        <v>11</v>
      </c>
      <c r="B1538" s="3" t="s">
        <v>12</v>
      </c>
    </row>
    <row r="1539">
      <c r="A1539" s="3" t="s">
        <v>11</v>
      </c>
      <c r="B1539" s="3" t="s">
        <v>12</v>
      </c>
    </row>
    <row r="1540">
      <c r="A1540" s="3" t="s">
        <v>11</v>
      </c>
      <c r="B1540" s="3" t="s">
        <v>12</v>
      </c>
      <c r="C1540" s="3" t="s">
        <v>17</v>
      </c>
    </row>
    <row r="1541">
      <c r="A1541" s="3" t="s">
        <v>11</v>
      </c>
      <c r="B1541" s="3" t="s">
        <v>12</v>
      </c>
    </row>
    <row r="1542">
      <c r="A1542" s="3" t="s">
        <v>11</v>
      </c>
      <c r="B1542" s="3" t="s">
        <v>12</v>
      </c>
      <c r="C1542" s="3" t="s">
        <v>17</v>
      </c>
    </row>
    <row r="1543">
      <c r="A1543" s="3" t="s">
        <v>11</v>
      </c>
      <c r="B1543" s="3" t="s">
        <v>12</v>
      </c>
    </row>
    <row r="1544">
      <c r="A1544" s="3" t="s">
        <v>11</v>
      </c>
      <c r="B1544" s="3" t="s">
        <v>12</v>
      </c>
    </row>
    <row r="1545">
      <c r="A1545" s="3" t="s">
        <v>11</v>
      </c>
      <c r="B1545" s="3" t="s">
        <v>12</v>
      </c>
      <c r="C1545" s="3" t="s">
        <v>17</v>
      </c>
    </row>
    <row r="1546">
      <c r="A1546" s="3" t="s">
        <v>11</v>
      </c>
      <c r="B1546" s="3" t="s">
        <v>12</v>
      </c>
    </row>
    <row r="1547">
      <c r="A1547" s="3" t="s">
        <v>11</v>
      </c>
      <c r="B1547" s="3" t="s">
        <v>15</v>
      </c>
    </row>
    <row r="1548">
      <c r="A1548" s="3" t="s">
        <v>11</v>
      </c>
    </row>
    <row r="1549">
      <c r="A1549" s="3" t="s">
        <v>11</v>
      </c>
      <c r="B1549" s="3" t="s">
        <v>12</v>
      </c>
      <c r="C1549" s="3" t="s">
        <v>17</v>
      </c>
    </row>
    <row r="1550">
      <c r="A1550" s="3" t="s">
        <v>11</v>
      </c>
      <c r="B1550" s="3" t="s">
        <v>12</v>
      </c>
    </row>
    <row r="1551">
      <c r="A1551" s="3" t="s">
        <v>11</v>
      </c>
      <c r="B1551" s="3" t="s">
        <v>12</v>
      </c>
      <c r="C1551" s="3" t="s">
        <v>17</v>
      </c>
    </row>
    <row r="1552">
      <c r="A1552" s="3" t="s">
        <v>11</v>
      </c>
      <c r="B1552" s="3" t="s">
        <v>12</v>
      </c>
      <c r="C1552" s="3" t="s">
        <v>17</v>
      </c>
    </row>
    <row r="1553">
      <c r="A1553" s="3" t="s">
        <v>11</v>
      </c>
      <c r="B1553" s="3" t="s">
        <v>12</v>
      </c>
    </row>
    <row r="1554">
      <c r="A1554" s="3" t="s">
        <v>11</v>
      </c>
      <c r="B1554" s="3" t="s">
        <v>12</v>
      </c>
    </row>
    <row r="1555">
      <c r="A1555" s="3" t="s">
        <v>11</v>
      </c>
      <c r="B1555" s="3" t="s">
        <v>12</v>
      </c>
    </row>
    <row r="1556">
      <c r="A1556" s="3" t="s">
        <v>11</v>
      </c>
      <c r="B1556" s="3" t="s">
        <v>12</v>
      </c>
      <c r="C1556" s="3" t="s">
        <v>17</v>
      </c>
    </row>
    <row r="1557">
      <c r="A1557" s="3" t="s">
        <v>11</v>
      </c>
      <c r="B1557" s="3" t="s">
        <v>12</v>
      </c>
    </row>
    <row r="1558">
      <c r="A1558" s="3" t="s">
        <v>11</v>
      </c>
      <c r="B1558" s="3" t="s">
        <v>12</v>
      </c>
      <c r="C1558" s="3" t="s">
        <v>15</v>
      </c>
    </row>
    <row r="1559">
      <c r="A1559" s="3" t="s">
        <v>11</v>
      </c>
      <c r="B1559" s="3" t="s">
        <v>12</v>
      </c>
      <c r="C1559" s="3" t="s">
        <v>17</v>
      </c>
    </row>
    <row r="1560">
      <c r="A1560" s="3" t="s">
        <v>11</v>
      </c>
      <c r="B1560" s="3" t="s">
        <v>15</v>
      </c>
    </row>
    <row r="1561">
      <c r="A1561" s="3" t="s">
        <v>11</v>
      </c>
      <c r="B1561" s="3" t="s">
        <v>12</v>
      </c>
      <c r="C1561" s="3" t="s">
        <v>15</v>
      </c>
    </row>
    <row r="1562">
      <c r="A1562" s="3" t="s">
        <v>11</v>
      </c>
      <c r="B1562" s="3" t="s">
        <v>12</v>
      </c>
    </row>
    <row r="1563">
      <c r="A1563" s="3" t="s">
        <v>11</v>
      </c>
      <c r="B1563" s="3" t="s">
        <v>12</v>
      </c>
      <c r="C1563" s="3" t="s">
        <v>17</v>
      </c>
    </row>
    <row r="1564">
      <c r="A1564" s="3" t="s">
        <v>11</v>
      </c>
      <c r="B1564" s="3" t="s">
        <v>15</v>
      </c>
      <c r="C1564" s="3" t="s">
        <v>16</v>
      </c>
    </row>
    <row r="1565">
      <c r="A1565" s="3" t="s">
        <v>11</v>
      </c>
      <c r="B1565" s="3" t="s">
        <v>12</v>
      </c>
    </row>
    <row r="1566">
      <c r="A1566" s="3" t="s">
        <v>11</v>
      </c>
      <c r="B1566" s="3" t="s">
        <v>12</v>
      </c>
      <c r="C1566" s="3" t="s">
        <v>15</v>
      </c>
    </row>
    <row r="1567">
      <c r="A1567" s="3" t="s">
        <v>11</v>
      </c>
      <c r="B1567" s="3" t="s">
        <v>15</v>
      </c>
      <c r="C1567" s="3" t="s">
        <v>16</v>
      </c>
    </row>
    <row r="1568">
      <c r="A1568" s="3" t="s">
        <v>12</v>
      </c>
      <c r="B1568" s="3" t="s">
        <v>17</v>
      </c>
      <c r="C1568" s="3" t="s">
        <v>18</v>
      </c>
    </row>
    <row r="1569">
      <c r="A1569" s="3" t="s">
        <v>12</v>
      </c>
      <c r="B1569" s="3" t="s">
        <v>17</v>
      </c>
      <c r="C1569" s="3" t="s">
        <v>18</v>
      </c>
    </row>
    <row r="1570">
      <c r="A1570" s="3" t="s">
        <v>12</v>
      </c>
      <c r="B1570" s="3" t="s">
        <v>17</v>
      </c>
      <c r="C1570" s="3" t="s">
        <v>18</v>
      </c>
    </row>
    <row r="1571">
      <c r="A1571" s="3" t="s">
        <v>12</v>
      </c>
      <c r="B1571" s="3" t="s">
        <v>15</v>
      </c>
      <c r="C1571" s="3" t="s">
        <v>17</v>
      </c>
    </row>
    <row r="1572">
      <c r="A1572" s="3" t="s">
        <v>12</v>
      </c>
    </row>
    <row r="1573">
      <c r="A1573" s="3" t="s">
        <v>12</v>
      </c>
      <c r="B1573" s="3" t="s">
        <v>17</v>
      </c>
      <c r="C1573" s="3" t="s">
        <v>18</v>
      </c>
    </row>
    <row r="1574">
      <c r="A1574" s="3" t="s">
        <v>12</v>
      </c>
      <c r="B1574" s="3" t="s">
        <v>17</v>
      </c>
      <c r="C1574" s="3" t="s">
        <v>18</v>
      </c>
    </row>
    <row r="1575">
      <c r="A1575" s="3" t="s">
        <v>12</v>
      </c>
      <c r="B1575" s="3" t="s">
        <v>17</v>
      </c>
      <c r="C1575" s="3" t="s">
        <v>18</v>
      </c>
    </row>
    <row r="1576">
      <c r="A1576" s="3" t="s">
        <v>13</v>
      </c>
      <c r="B1576" s="3" t="s">
        <v>14</v>
      </c>
    </row>
    <row r="1577">
      <c r="A1577" s="3" t="s">
        <v>13</v>
      </c>
      <c r="B1577" s="3" t="s">
        <v>14</v>
      </c>
    </row>
    <row r="1578">
      <c r="A1578" s="3" t="s">
        <v>13</v>
      </c>
      <c r="B1578" s="3" t="s">
        <v>14</v>
      </c>
    </row>
    <row r="1579">
      <c r="A1579" s="3" t="s">
        <v>13</v>
      </c>
      <c r="B1579" s="3" t="s">
        <v>14</v>
      </c>
      <c r="C1579" s="3" t="s">
        <v>17</v>
      </c>
    </row>
    <row r="1580">
      <c r="A1580" s="3" t="s">
        <v>13</v>
      </c>
      <c r="B1580" s="3" t="s">
        <v>14</v>
      </c>
      <c r="C1580" s="3" t="s">
        <v>17</v>
      </c>
    </row>
    <row r="1581">
      <c r="A1581" s="3" t="s">
        <v>13</v>
      </c>
      <c r="B1581" s="3" t="s">
        <v>14</v>
      </c>
      <c r="C1581" s="3" t="s">
        <v>17</v>
      </c>
    </row>
    <row r="1582">
      <c r="A1582" s="3" t="s">
        <v>13</v>
      </c>
      <c r="B1582" s="3" t="s">
        <v>14</v>
      </c>
      <c r="C1582" s="3" t="s">
        <v>17</v>
      </c>
    </row>
    <row r="1583">
      <c r="A1583" s="3" t="s">
        <v>13</v>
      </c>
      <c r="B1583" s="3" t="s">
        <v>14</v>
      </c>
      <c r="C1583" s="3" t="s">
        <v>17</v>
      </c>
    </row>
    <row r="1584">
      <c r="A1584" s="3" t="s">
        <v>13</v>
      </c>
      <c r="B1584" s="3" t="s">
        <v>14</v>
      </c>
    </row>
    <row r="1585">
      <c r="A1585" s="3" t="s">
        <v>13</v>
      </c>
      <c r="B1585" s="3" t="s">
        <v>14</v>
      </c>
      <c r="C1585" s="3" t="s">
        <v>17</v>
      </c>
    </row>
    <row r="1586">
      <c r="A1586" s="3" t="s">
        <v>13</v>
      </c>
      <c r="B1586" s="3" t="s">
        <v>14</v>
      </c>
      <c r="C1586" s="3" t="s">
        <v>17</v>
      </c>
    </row>
    <row r="1587">
      <c r="A1587" s="3" t="s">
        <v>13</v>
      </c>
      <c r="B1587" s="3" t="s">
        <v>14</v>
      </c>
      <c r="C1587" s="3" t="s">
        <v>17</v>
      </c>
    </row>
    <row r="1588">
      <c r="A1588" s="3" t="s">
        <v>13</v>
      </c>
      <c r="B1588" s="3" t="s">
        <v>14</v>
      </c>
    </row>
    <row r="1589">
      <c r="A1589" s="3" t="s">
        <v>13</v>
      </c>
    </row>
    <row r="1590">
      <c r="A1590" s="3" t="s">
        <v>13</v>
      </c>
      <c r="B1590" s="3" t="s">
        <v>14</v>
      </c>
    </row>
    <row r="1591">
      <c r="A1591" s="3" t="s">
        <v>13</v>
      </c>
      <c r="B1591" s="3" t="s">
        <v>14</v>
      </c>
    </row>
    <row r="1592">
      <c r="A1592" s="3" t="s">
        <v>13</v>
      </c>
      <c r="B1592" s="3" t="s">
        <v>14</v>
      </c>
    </row>
    <row r="1593">
      <c r="A1593" s="3" t="s">
        <v>13</v>
      </c>
      <c r="B1593" s="3" t="s">
        <v>14</v>
      </c>
    </row>
    <row r="1594">
      <c r="A1594" s="3" t="s">
        <v>13</v>
      </c>
      <c r="B1594" s="3" t="s">
        <v>14</v>
      </c>
      <c r="C1594" s="3" t="s">
        <v>17</v>
      </c>
    </row>
    <row r="1595">
      <c r="A1595" s="3" t="s">
        <v>13</v>
      </c>
      <c r="B1595" s="3" t="s">
        <v>14</v>
      </c>
    </row>
    <row r="1596">
      <c r="A1596" s="3" t="s">
        <v>13</v>
      </c>
      <c r="B1596" s="3" t="s">
        <v>14</v>
      </c>
      <c r="C1596" s="3" t="s">
        <v>17</v>
      </c>
    </row>
    <row r="1597">
      <c r="A1597" s="3" t="s">
        <v>13</v>
      </c>
    </row>
    <row r="1598">
      <c r="A1598" s="3" t="s">
        <v>13</v>
      </c>
      <c r="B1598" s="3" t="s">
        <v>14</v>
      </c>
      <c r="C1598" s="3" t="s">
        <v>17</v>
      </c>
    </row>
    <row r="1599">
      <c r="A1599" s="3" t="s">
        <v>13</v>
      </c>
      <c r="B1599" s="3" t="s">
        <v>14</v>
      </c>
    </row>
    <row r="1600">
      <c r="A1600" s="3" t="s">
        <v>13</v>
      </c>
      <c r="B1600" s="3" t="s">
        <v>14</v>
      </c>
    </row>
    <row r="1601">
      <c r="A1601" s="3" t="s">
        <v>13</v>
      </c>
      <c r="B1601" s="3" t="s">
        <v>14</v>
      </c>
      <c r="C1601" s="3" t="s">
        <v>17</v>
      </c>
    </row>
    <row r="1602">
      <c r="A1602" s="3" t="s">
        <v>13</v>
      </c>
      <c r="B1602" s="3" t="s">
        <v>14</v>
      </c>
    </row>
    <row r="1603">
      <c r="A1603" s="3" t="s">
        <v>13</v>
      </c>
      <c r="B1603" s="3" t="s">
        <v>14</v>
      </c>
    </row>
    <row r="1604">
      <c r="A1604" s="3" t="s">
        <v>13</v>
      </c>
    </row>
    <row r="1605">
      <c r="A1605" s="3" t="s">
        <v>13</v>
      </c>
      <c r="B1605" s="3" t="s">
        <v>14</v>
      </c>
    </row>
    <row r="1606">
      <c r="A1606" s="3" t="s">
        <v>13</v>
      </c>
      <c r="B1606" s="3" t="s">
        <v>14</v>
      </c>
      <c r="C1606" s="3" t="s">
        <v>17</v>
      </c>
    </row>
    <row r="1607">
      <c r="A1607" s="3" t="s">
        <v>13</v>
      </c>
      <c r="B1607" s="3" t="s">
        <v>14</v>
      </c>
      <c r="C1607" s="3" t="s">
        <v>17</v>
      </c>
    </row>
    <row r="1608">
      <c r="A1608" s="3" t="s">
        <v>13</v>
      </c>
      <c r="B1608" s="3" t="s">
        <v>14</v>
      </c>
    </row>
    <row r="1609">
      <c r="A1609" s="3" t="s">
        <v>13</v>
      </c>
      <c r="B1609" s="3" t="s">
        <v>14</v>
      </c>
    </row>
    <row r="1610">
      <c r="A1610" s="3" t="s">
        <v>13</v>
      </c>
      <c r="B1610" s="3" t="s">
        <v>14</v>
      </c>
      <c r="C1610" s="3" t="s">
        <v>17</v>
      </c>
    </row>
    <row r="1611">
      <c r="A1611" s="3" t="s">
        <v>13</v>
      </c>
      <c r="B1611" s="3" t="s">
        <v>14</v>
      </c>
      <c r="C1611" s="3" t="s">
        <v>17</v>
      </c>
    </row>
    <row r="1612">
      <c r="A1612" s="3" t="s">
        <v>13</v>
      </c>
      <c r="B1612" s="3" t="s">
        <v>14</v>
      </c>
    </row>
    <row r="1613">
      <c r="A1613" s="3" t="s">
        <v>13</v>
      </c>
      <c r="B1613" s="3" t="s">
        <v>14</v>
      </c>
      <c r="C1613" s="3" t="s">
        <v>17</v>
      </c>
    </row>
    <row r="1614">
      <c r="A1614" s="3" t="s">
        <v>14</v>
      </c>
      <c r="B1614" s="3" t="s">
        <v>17</v>
      </c>
      <c r="C1614" s="3" t="s">
        <v>18</v>
      </c>
    </row>
    <row r="1615">
      <c r="A1615" s="3" t="s">
        <v>14</v>
      </c>
      <c r="B1615" s="3" t="s">
        <v>17</v>
      </c>
      <c r="C1615" s="3" t="s">
        <v>18</v>
      </c>
    </row>
    <row r="1616">
      <c r="A1616" s="3" t="s">
        <v>14</v>
      </c>
      <c r="B1616" s="3" t="s">
        <v>17</v>
      </c>
      <c r="C1616" s="3" t="s">
        <v>18</v>
      </c>
    </row>
    <row r="1617">
      <c r="A1617" s="3" t="s">
        <v>14</v>
      </c>
      <c r="B1617" s="3" t="s">
        <v>17</v>
      </c>
      <c r="C1617" s="3" t="s">
        <v>18</v>
      </c>
    </row>
    <row r="1618">
      <c r="A1618" s="3" t="s">
        <v>14</v>
      </c>
      <c r="B1618" s="3" t="s">
        <v>17</v>
      </c>
      <c r="C1618" s="3" t="s">
        <v>18</v>
      </c>
    </row>
    <row r="1619">
      <c r="A1619" s="3" t="s">
        <v>14</v>
      </c>
      <c r="B1619" s="3" t="s">
        <v>17</v>
      </c>
      <c r="C1619" s="3" t="s">
        <v>18</v>
      </c>
    </row>
    <row r="1620">
      <c r="A1620" s="3" t="s">
        <v>14</v>
      </c>
      <c r="B1620" s="3" t="s">
        <v>17</v>
      </c>
      <c r="C1620" s="3" t="s">
        <v>18</v>
      </c>
    </row>
    <row r="1621">
      <c r="A1621" s="3" t="s">
        <v>15</v>
      </c>
      <c r="B1621" s="3" t="s">
        <v>16</v>
      </c>
      <c r="C1621" s="3" t="s">
        <v>17</v>
      </c>
    </row>
    <row r="1622">
      <c r="A1622" s="3" t="s">
        <v>15</v>
      </c>
    </row>
    <row r="1623">
      <c r="A1623" s="3" t="s">
        <v>15</v>
      </c>
    </row>
    <row r="1624">
      <c r="A1624" s="3" t="s">
        <v>15</v>
      </c>
      <c r="B1624" s="3" t="s">
        <v>16</v>
      </c>
      <c r="C1624" s="3" t="s">
        <v>17</v>
      </c>
    </row>
    <row r="1625">
      <c r="A1625" s="3" t="s">
        <v>15</v>
      </c>
    </row>
    <row r="1626">
      <c r="A1626" s="3" t="s">
        <v>15</v>
      </c>
      <c r="B1626" s="3" t="s">
        <v>16</v>
      </c>
    </row>
    <row r="1627">
      <c r="A1627" s="3" t="s">
        <v>15</v>
      </c>
      <c r="B1627" s="3" t="s">
        <v>16</v>
      </c>
      <c r="C1627" s="3" t="s">
        <v>17</v>
      </c>
    </row>
    <row r="1628">
      <c r="A1628" s="3" t="s">
        <v>15</v>
      </c>
      <c r="B1628" s="3" t="s">
        <v>16</v>
      </c>
    </row>
    <row r="1629">
      <c r="A1629" s="3" t="s">
        <v>15</v>
      </c>
      <c r="B1629" s="3" t="s">
        <v>16</v>
      </c>
      <c r="C1629" s="3" t="s">
        <v>17</v>
      </c>
    </row>
    <row r="1630">
      <c r="A1630" s="3" t="s">
        <v>15</v>
      </c>
      <c r="B1630" s="3" t="s">
        <v>16</v>
      </c>
      <c r="C1630" s="3" t="s">
        <v>17</v>
      </c>
    </row>
    <row r="1631">
      <c r="A1631" s="3" t="s">
        <v>15</v>
      </c>
      <c r="B1631" s="3" t="s">
        <v>16</v>
      </c>
    </row>
    <row r="1632">
      <c r="A1632" s="3" t="s">
        <v>15</v>
      </c>
      <c r="B1632" s="3" t="s">
        <v>16</v>
      </c>
    </row>
    <row r="1633">
      <c r="A1633" s="3" t="s">
        <v>15</v>
      </c>
      <c r="B1633" s="3" t="s">
        <v>16</v>
      </c>
    </row>
    <row r="1634">
      <c r="A1634" s="3" t="s">
        <v>15</v>
      </c>
      <c r="B1634" s="3" t="s">
        <v>16</v>
      </c>
    </row>
    <row r="1635">
      <c r="A1635" s="3" t="s">
        <v>15</v>
      </c>
    </row>
    <row r="1636">
      <c r="A1636" s="3" t="s">
        <v>15</v>
      </c>
      <c r="B1636" s="3" t="s">
        <v>16</v>
      </c>
      <c r="C1636" s="3" t="s">
        <v>17</v>
      </c>
    </row>
    <row r="1637">
      <c r="A1637" s="3" t="s">
        <v>15</v>
      </c>
      <c r="B1637" s="3" t="s">
        <v>16</v>
      </c>
    </row>
    <row r="1638">
      <c r="A1638" s="3" t="s">
        <v>15</v>
      </c>
    </row>
    <row r="1639">
      <c r="A1639" s="3" t="s">
        <v>15</v>
      </c>
      <c r="B1639" s="3" t="s">
        <v>16</v>
      </c>
    </row>
    <row r="1640">
      <c r="A1640" s="3" t="s">
        <v>16</v>
      </c>
      <c r="B1640" s="3" t="s">
        <v>17</v>
      </c>
      <c r="C1640" s="3" t="s">
        <v>18</v>
      </c>
    </row>
    <row r="1641">
      <c r="A1641" s="3" t="s">
        <v>16</v>
      </c>
      <c r="B1641" s="3" t="s">
        <v>17</v>
      </c>
      <c r="C1641" s="3" t="s">
        <v>18</v>
      </c>
    </row>
    <row r="1642">
      <c r="A1642" s="3" t="s">
        <v>16</v>
      </c>
      <c r="B1642" s="3" t="s">
        <v>17</v>
      </c>
      <c r="C1642" s="3" t="s">
        <v>18</v>
      </c>
    </row>
    <row r="1643">
      <c r="A1643" s="3" t="s">
        <v>16</v>
      </c>
      <c r="B1643" s="3" t="s">
        <v>17</v>
      </c>
      <c r="C1643" s="3" t="s">
        <v>18</v>
      </c>
    </row>
    <row r="1644">
      <c r="A1644" s="3" t="s">
        <v>16</v>
      </c>
    </row>
    <row r="1645">
      <c r="A1645" s="3" t="s">
        <v>16</v>
      </c>
      <c r="B1645" s="3" t="s">
        <v>17</v>
      </c>
      <c r="C1645" s="3" t="s">
        <v>18</v>
      </c>
    </row>
    <row r="1646">
      <c r="A1646" s="3" t="s">
        <v>16</v>
      </c>
      <c r="B1646" s="3" t="s">
        <v>17</v>
      </c>
      <c r="C1646" s="3" t="s">
        <v>18</v>
      </c>
    </row>
    <row r="1647">
      <c r="A1647" s="3" t="s">
        <v>16</v>
      </c>
      <c r="B1647" s="3" t="s">
        <v>17</v>
      </c>
      <c r="C1647" s="3" t="s">
        <v>18</v>
      </c>
    </row>
    <row r="1648">
      <c r="A1648" s="3" t="s">
        <v>16</v>
      </c>
      <c r="B1648" s="3" t="s">
        <v>17</v>
      </c>
      <c r="C1648" s="3" t="s">
        <v>18</v>
      </c>
    </row>
    <row r="1649">
      <c r="A1649" s="3" t="s">
        <v>16</v>
      </c>
      <c r="B1649" s="3" t="s">
        <v>18</v>
      </c>
    </row>
    <row r="1650">
      <c r="A1650" s="3" t="s">
        <v>16</v>
      </c>
      <c r="B1650" s="3" t="s">
        <v>17</v>
      </c>
      <c r="C1650" s="3" t="s">
        <v>18</v>
      </c>
    </row>
    <row r="1651">
      <c r="A1651" s="3" t="s">
        <v>16</v>
      </c>
      <c r="B1651" s="3" t="s">
        <v>17</v>
      </c>
      <c r="C1651" s="3" t="s">
        <v>18</v>
      </c>
    </row>
    <row r="1652">
      <c r="A1652" s="3" t="s">
        <v>16</v>
      </c>
      <c r="B1652" s="3" t="s">
        <v>17</v>
      </c>
      <c r="C1652" s="3" t="s">
        <v>18</v>
      </c>
    </row>
    <row r="1653">
      <c r="A1653" s="3" t="s">
        <v>6</v>
      </c>
      <c r="B1653" s="3" t="s">
        <v>7</v>
      </c>
      <c r="C1653" s="3" t="s">
        <v>15</v>
      </c>
    </row>
    <row r="1654">
      <c r="A1654" s="3" t="s">
        <v>6</v>
      </c>
      <c r="B1654" s="3" t="s">
        <v>7</v>
      </c>
      <c r="C1654" s="3" t="s">
        <v>8</v>
      </c>
    </row>
    <row r="1655">
      <c r="A1655" s="3" t="s">
        <v>6</v>
      </c>
      <c r="B1655" s="3" t="s">
        <v>7</v>
      </c>
    </row>
    <row r="1656">
      <c r="A1656" s="3" t="s">
        <v>6</v>
      </c>
      <c r="B1656" s="3" t="s">
        <v>7</v>
      </c>
    </row>
    <row r="1657">
      <c r="A1657" s="3" t="s">
        <v>6</v>
      </c>
      <c r="B1657" s="3" t="s">
        <v>15</v>
      </c>
      <c r="C1657" s="3" t="s">
        <v>16</v>
      </c>
    </row>
    <row r="1658">
      <c r="A1658" s="3" t="s">
        <v>6</v>
      </c>
      <c r="B1658" s="3" t="s">
        <v>7</v>
      </c>
    </row>
    <row r="1659">
      <c r="A1659" s="3" t="s">
        <v>6</v>
      </c>
      <c r="B1659" s="3" t="s">
        <v>7</v>
      </c>
    </row>
    <row r="1660">
      <c r="A1660" s="3" t="s">
        <v>6</v>
      </c>
      <c r="B1660" s="3" t="s">
        <v>7</v>
      </c>
      <c r="C1660" s="3" t="s">
        <v>8</v>
      </c>
    </row>
    <row r="1661">
      <c r="A1661" s="3" t="s">
        <v>6</v>
      </c>
      <c r="B1661" s="3" t="s">
        <v>7</v>
      </c>
      <c r="C1661" s="3" t="s">
        <v>8</v>
      </c>
    </row>
    <row r="1662">
      <c r="A1662" s="3" t="s">
        <v>6</v>
      </c>
      <c r="B1662" s="3" t="s">
        <v>7</v>
      </c>
      <c r="C1662" s="3" t="s">
        <v>15</v>
      </c>
    </row>
    <row r="1663">
      <c r="A1663" s="3" t="s">
        <v>6</v>
      </c>
      <c r="B1663" s="3" t="s">
        <v>7</v>
      </c>
    </row>
    <row r="1664">
      <c r="A1664" s="3" t="s">
        <v>6</v>
      </c>
      <c r="B1664" s="3" t="s">
        <v>7</v>
      </c>
      <c r="C1664" s="3" t="s">
        <v>15</v>
      </c>
    </row>
    <row r="1665">
      <c r="A1665" s="3" t="s">
        <v>6</v>
      </c>
      <c r="B1665" s="3" t="s">
        <v>7</v>
      </c>
    </row>
    <row r="1666">
      <c r="A1666" s="3" t="s">
        <v>6</v>
      </c>
      <c r="B1666" s="3" t="s">
        <v>7</v>
      </c>
      <c r="C1666" s="3" t="s">
        <v>8</v>
      </c>
    </row>
    <row r="1667">
      <c r="A1667" s="3" t="s">
        <v>6</v>
      </c>
      <c r="B1667" s="3" t="s">
        <v>7</v>
      </c>
      <c r="C1667" s="3" t="s">
        <v>15</v>
      </c>
    </row>
    <row r="1668">
      <c r="A1668" s="3" t="s">
        <v>6</v>
      </c>
      <c r="B1668" s="3" t="s">
        <v>7</v>
      </c>
      <c r="C1668" s="3" t="s">
        <v>15</v>
      </c>
    </row>
    <row r="1669">
      <c r="A1669" s="3" t="s">
        <v>6</v>
      </c>
      <c r="B1669" s="3" t="s">
        <v>7</v>
      </c>
      <c r="C1669" s="3" t="s">
        <v>15</v>
      </c>
    </row>
    <row r="1670">
      <c r="A1670" s="3" t="s">
        <v>6</v>
      </c>
    </row>
    <row r="1671">
      <c r="A1671" s="3" t="s">
        <v>6</v>
      </c>
      <c r="B1671" s="3" t="s">
        <v>7</v>
      </c>
      <c r="C1671" s="3" t="s">
        <v>13</v>
      </c>
    </row>
    <row r="1672">
      <c r="A1672" s="3" t="s">
        <v>6</v>
      </c>
      <c r="B1672" s="3" t="s">
        <v>7</v>
      </c>
      <c r="C1672" s="3" t="s">
        <v>11</v>
      </c>
    </row>
    <row r="1673">
      <c r="A1673" s="3" t="s">
        <v>6</v>
      </c>
      <c r="B1673" s="3" t="s">
        <v>7</v>
      </c>
    </row>
    <row r="1674">
      <c r="A1674" s="3" t="s">
        <v>6</v>
      </c>
      <c r="B1674" s="3" t="s">
        <v>7</v>
      </c>
      <c r="C1674" s="3" t="s">
        <v>8</v>
      </c>
    </row>
    <row r="1675">
      <c r="A1675" s="3" t="s">
        <v>6</v>
      </c>
      <c r="B1675" s="3" t="s">
        <v>7</v>
      </c>
      <c r="C1675" s="3" t="s">
        <v>8</v>
      </c>
    </row>
    <row r="1676">
      <c r="A1676" s="3" t="s">
        <v>6</v>
      </c>
      <c r="B1676" s="3" t="s">
        <v>7</v>
      </c>
      <c r="C1676" s="3" t="s">
        <v>11</v>
      </c>
    </row>
    <row r="1677">
      <c r="A1677" s="3" t="s">
        <v>6</v>
      </c>
      <c r="B1677" s="3" t="s">
        <v>7</v>
      </c>
    </row>
    <row r="1678">
      <c r="A1678" s="3" t="s">
        <v>6</v>
      </c>
      <c r="B1678" s="3" t="s">
        <v>7</v>
      </c>
      <c r="C1678" s="3" t="s">
        <v>15</v>
      </c>
    </row>
    <row r="1679">
      <c r="A1679" s="3" t="s">
        <v>6</v>
      </c>
      <c r="B1679" s="3" t="s">
        <v>7</v>
      </c>
      <c r="C1679" s="3" t="s">
        <v>13</v>
      </c>
    </row>
    <row r="1680">
      <c r="A1680" s="3" t="s">
        <v>6</v>
      </c>
      <c r="B1680" s="3" t="s">
        <v>11</v>
      </c>
      <c r="C1680" s="3" t="s">
        <v>15</v>
      </c>
    </row>
    <row r="1681">
      <c r="A1681" s="3" t="s">
        <v>6</v>
      </c>
      <c r="B1681" s="3" t="s">
        <v>7</v>
      </c>
    </row>
    <row r="1682">
      <c r="A1682" s="3" t="s">
        <v>6</v>
      </c>
      <c r="B1682" s="3" t="s">
        <v>7</v>
      </c>
    </row>
    <row r="1683">
      <c r="A1683" s="3" t="s">
        <v>6</v>
      </c>
    </row>
    <row r="1684">
      <c r="A1684" s="3" t="s">
        <v>6</v>
      </c>
      <c r="B1684" s="3" t="s">
        <v>7</v>
      </c>
    </row>
    <row r="1685">
      <c r="A1685" s="3" t="s">
        <v>6</v>
      </c>
      <c r="B1685" s="3" t="s">
        <v>7</v>
      </c>
    </row>
    <row r="1686">
      <c r="A1686" s="3" t="s">
        <v>6</v>
      </c>
      <c r="B1686" s="3" t="s">
        <v>7</v>
      </c>
      <c r="C1686" s="3" t="s">
        <v>15</v>
      </c>
    </row>
    <row r="1687">
      <c r="A1687" s="3" t="s">
        <v>6</v>
      </c>
      <c r="B1687" s="3" t="s">
        <v>7</v>
      </c>
      <c r="C1687" s="3" t="s">
        <v>8</v>
      </c>
    </row>
    <row r="1688">
      <c r="A1688" s="3" t="s">
        <v>6</v>
      </c>
      <c r="B1688" s="3" t="s">
        <v>7</v>
      </c>
      <c r="C1688" s="3" t="s">
        <v>11</v>
      </c>
    </row>
    <row r="1689">
      <c r="A1689" s="3" t="s">
        <v>6</v>
      </c>
      <c r="B1689" s="3" t="s">
        <v>13</v>
      </c>
      <c r="C1689" s="3" t="s">
        <v>14</v>
      </c>
    </row>
    <row r="1690">
      <c r="A1690" s="3" t="s">
        <v>6</v>
      </c>
      <c r="B1690" s="3" t="s">
        <v>7</v>
      </c>
      <c r="C1690" s="3" t="s">
        <v>8</v>
      </c>
    </row>
    <row r="1691">
      <c r="A1691" s="3" t="s">
        <v>6</v>
      </c>
      <c r="B1691" s="3" t="s">
        <v>7</v>
      </c>
    </row>
    <row r="1692">
      <c r="A1692" s="3" t="s">
        <v>6</v>
      </c>
      <c r="B1692" s="3" t="s">
        <v>7</v>
      </c>
    </row>
    <row r="1693">
      <c r="A1693" s="3" t="s">
        <v>6</v>
      </c>
      <c r="B1693" s="3" t="s">
        <v>7</v>
      </c>
      <c r="C1693" s="3" t="s">
        <v>8</v>
      </c>
    </row>
    <row r="1694">
      <c r="A1694" s="3" t="s">
        <v>6</v>
      </c>
      <c r="B1694" s="3" t="s">
        <v>15</v>
      </c>
    </row>
    <row r="1695">
      <c r="A1695" s="3" t="s">
        <v>6</v>
      </c>
      <c r="B1695" s="3" t="s">
        <v>7</v>
      </c>
      <c r="C1695" s="3" t="s">
        <v>8</v>
      </c>
    </row>
    <row r="1696">
      <c r="A1696" s="3" t="s">
        <v>6</v>
      </c>
      <c r="B1696" s="3" t="s">
        <v>7</v>
      </c>
    </row>
    <row r="1697">
      <c r="A1697" s="3" t="s">
        <v>6</v>
      </c>
      <c r="B1697" s="3" t="s">
        <v>7</v>
      </c>
      <c r="C1697" s="3" t="s">
        <v>15</v>
      </c>
    </row>
    <row r="1698">
      <c r="A1698" s="3" t="s">
        <v>6</v>
      </c>
      <c r="B1698" s="3" t="s">
        <v>7</v>
      </c>
      <c r="C1698" s="3" t="s">
        <v>8</v>
      </c>
    </row>
    <row r="1699">
      <c r="A1699" s="3" t="s">
        <v>6</v>
      </c>
      <c r="B1699" s="3" t="s">
        <v>7</v>
      </c>
      <c r="C1699" s="3" t="s">
        <v>13</v>
      </c>
    </row>
    <row r="1700">
      <c r="A1700" s="3" t="s">
        <v>6</v>
      </c>
      <c r="B1700" s="3" t="s">
        <v>15</v>
      </c>
    </row>
    <row r="1701">
      <c r="A1701" s="3" t="s">
        <v>6</v>
      </c>
    </row>
    <row r="1702">
      <c r="A1702" s="3" t="s">
        <v>6</v>
      </c>
      <c r="B1702" s="3" t="s">
        <v>7</v>
      </c>
    </row>
    <row r="1703">
      <c r="A1703" s="3" t="s">
        <v>6</v>
      </c>
      <c r="B1703" s="3" t="s">
        <v>7</v>
      </c>
    </row>
    <row r="1704">
      <c r="A1704" s="3" t="s">
        <v>6</v>
      </c>
    </row>
    <row r="1705">
      <c r="A1705" s="3" t="s">
        <v>6</v>
      </c>
      <c r="B1705" s="3" t="s">
        <v>7</v>
      </c>
    </row>
    <row r="1706">
      <c r="A1706" s="3" t="s">
        <v>6</v>
      </c>
    </row>
    <row r="1707">
      <c r="A1707" s="3" t="s">
        <v>6</v>
      </c>
      <c r="B1707" s="3" t="s">
        <v>7</v>
      </c>
      <c r="C1707" s="3" t="s">
        <v>8</v>
      </c>
    </row>
    <row r="1708">
      <c r="A1708" s="3" t="s">
        <v>6</v>
      </c>
      <c r="B1708" s="3" t="s">
        <v>7</v>
      </c>
      <c r="C1708" s="3" t="s">
        <v>13</v>
      </c>
    </row>
    <row r="1709">
      <c r="A1709" s="3" t="s">
        <v>6</v>
      </c>
    </row>
    <row r="1710">
      <c r="A1710" s="3" t="s">
        <v>6</v>
      </c>
      <c r="B1710" s="3" t="s">
        <v>7</v>
      </c>
    </row>
    <row r="1711">
      <c r="A1711" s="3" t="s">
        <v>6</v>
      </c>
    </row>
    <row r="1712">
      <c r="A1712" s="3" t="s">
        <v>6</v>
      </c>
      <c r="B1712" s="3" t="s">
        <v>7</v>
      </c>
    </row>
    <row r="1713">
      <c r="A1713" s="3" t="s">
        <v>6</v>
      </c>
    </row>
    <row r="1714">
      <c r="A1714" s="3" t="s">
        <v>6</v>
      </c>
    </row>
    <row r="1715">
      <c r="A1715" s="3" t="s">
        <v>6</v>
      </c>
      <c r="B1715" s="3" t="s">
        <v>15</v>
      </c>
    </row>
    <row r="1716">
      <c r="A1716" s="3" t="s">
        <v>6</v>
      </c>
      <c r="B1716" s="3" t="s">
        <v>7</v>
      </c>
    </row>
    <row r="1717">
      <c r="A1717" s="3" t="s">
        <v>6</v>
      </c>
      <c r="B1717" s="3" t="s">
        <v>13</v>
      </c>
      <c r="C1717" s="3" t="s">
        <v>14</v>
      </c>
    </row>
    <row r="1718">
      <c r="A1718" s="3" t="s">
        <v>6</v>
      </c>
    </row>
    <row r="1719">
      <c r="A1719" s="3" t="s">
        <v>6</v>
      </c>
    </row>
    <row r="1720">
      <c r="A1720" s="3" t="s">
        <v>6</v>
      </c>
      <c r="B1720" s="3" t="s">
        <v>7</v>
      </c>
    </row>
    <row r="1721">
      <c r="A1721" s="3" t="s">
        <v>6</v>
      </c>
      <c r="B1721" s="3" t="s">
        <v>7</v>
      </c>
      <c r="C1721" s="3" t="s">
        <v>8</v>
      </c>
    </row>
    <row r="1722">
      <c r="A1722" s="3" t="s">
        <v>6</v>
      </c>
      <c r="B1722" s="3" t="s">
        <v>7</v>
      </c>
      <c r="C1722" s="3" t="s">
        <v>8</v>
      </c>
    </row>
    <row r="1723">
      <c r="A1723" s="3" t="s">
        <v>6</v>
      </c>
      <c r="B1723" s="3" t="s">
        <v>7</v>
      </c>
    </row>
    <row r="1724">
      <c r="A1724" s="3" t="s">
        <v>6</v>
      </c>
      <c r="B1724" s="3" t="s">
        <v>7</v>
      </c>
    </row>
    <row r="1725">
      <c r="A1725" s="3" t="s">
        <v>6</v>
      </c>
      <c r="B1725" s="3" t="s">
        <v>7</v>
      </c>
      <c r="C1725" s="3" t="s">
        <v>8</v>
      </c>
    </row>
    <row r="1726">
      <c r="A1726" s="3" t="s">
        <v>609</v>
      </c>
    </row>
    <row r="1727">
      <c r="A1727" s="3" t="s">
        <v>7</v>
      </c>
      <c r="B1727" s="3" t="s">
        <v>8</v>
      </c>
    </row>
    <row r="1728">
      <c r="A1728" s="3" t="s">
        <v>7</v>
      </c>
      <c r="B1728" s="3" t="s">
        <v>8</v>
      </c>
      <c r="C1728" s="3" t="s">
        <v>17</v>
      </c>
    </row>
    <row r="1729">
      <c r="A1729" s="3" t="s">
        <v>7</v>
      </c>
      <c r="B1729" s="3" t="s">
        <v>8</v>
      </c>
    </row>
    <row r="1730">
      <c r="A1730" s="3" t="s">
        <v>7</v>
      </c>
      <c r="B1730" s="3" t="s">
        <v>11</v>
      </c>
      <c r="C1730" s="3" t="s">
        <v>17</v>
      </c>
    </row>
    <row r="1731">
      <c r="A1731" s="3" t="s">
        <v>7</v>
      </c>
      <c r="B1731" s="3" t="s">
        <v>8</v>
      </c>
      <c r="C1731" s="3" t="s">
        <v>9</v>
      </c>
    </row>
    <row r="1732">
      <c r="A1732" s="3" t="s">
        <v>7</v>
      </c>
      <c r="B1732" s="3" t="s">
        <v>8</v>
      </c>
      <c r="C1732" s="3" t="s">
        <v>17</v>
      </c>
    </row>
    <row r="1733">
      <c r="A1733" s="3" t="s">
        <v>7</v>
      </c>
      <c r="B1733" s="3" t="s">
        <v>8</v>
      </c>
      <c r="C1733" s="3" t="s">
        <v>9</v>
      </c>
    </row>
    <row r="1734">
      <c r="A1734" s="3" t="s">
        <v>7</v>
      </c>
      <c r="B1734" s="3" t="s">
        <v>8</v>
      </c>
      <c r="C1734" s="3" t="s">
        <v>9</v>
      </c>
    </row>
    <row r="1735">
      <c r="A1735" s="3" t="s">
        <v>7</v>
      </c>
      <c r="B1735" s="3" t="s">
        <v>8</v>
      </c>
      <c r="C1735" s="3" t="s">
        <v>9</v>
      </c>
    </row>
    <row r="1736">
      <c r="A1736" s="3" t="s">
        <v>7</v>
      </c>
    </row>
    <row r="1737">
      <c r="A1737" s="3" t="s">
        <v>7</v>
      </c>
      <c r="B1737" s="3" t="s">
        <v>13</v>
      </c>
    </row>
    <row r="1738">
      <c r="A1738" s="3" t="s">
        <v>7</v>
      </c>
      <c r="B1738" s="3" t="s">
        <v>8</v>
      </c>
    </row>
    <row r="1739">
      <c r="A1739" s="3" t="s">
        <v>7</v>
      </c>
      <c r="B1739" s="3" t="s">
        <v>13</v>
      </c>
    </row>
    <row r="1740">
      <c r="A1740" s="3" t="s">
        <v>8</v>
      </c>
      <c r="B1740" s="3" t="s">
        <v>9</v>
      </c>
      <c r="C1740" s="3" t="s">
        <v>16</v>
      </c>
    </row>
    <row r="1741">
      <c r="A1741" s="3" t="s">
        <v>8</v>
      </c>
    </row>
    <row r="1742">
      <c r="A1742" s="3" t="s">
        <v>8</v>
      </c>
      <c r="B1742" s="3" t="s">
        <v>17</v>
      </c>
    </row>
    <row r="1743">
      <c r="A1743" s="3" t="s">
        <v>8</v>
      </c>
      <c r="B1743" s="3" t="s">
        <v>9</v>
      </c>
      <c r="C1743" s="3" t="s">
        <v>10</v>
      </c>
    </row>
    <row r="1744">
      <c r="A1744" s="3" t="s">
        <v>8</v>
      </c>
      <c r="B1744" s="3" t="s">
        <v>9</v>
      </c>
      <c r="C1744" s="3" t="s">
        <v>16</v>
      </c>
    </row>
    <row r="1745">
      <c r="A1745" s="3" t="s">
        <v>8</v>
      </c>
      <c r="B1745" s="3" t="s">
        <v>9</v>
      </c>
      <c r="C1745" s="3" t="s">
        <v>10</v>
      </c>
    </row>
    <row r="1746">
      <c r="A1746" s="3" t="s">
        <v>8</v>
      </c>
      <c r="B1746" s="3" t="s">
        <v>9</v>
      </c>
      <c r="C1746" s="3" t="s">
        <v>12</v>
      </c>
    </row>
    <row r="1747">
      <c r="A1747" s="3" t="s">
        <v>8</v>
      </c>
      <c r="B1747" s="3" t="s">
        <v>9</v>
      </c>
      <c r="C1747" s="3" t="s">
        <v>10</v>
      </c>
    </row>
    <row r="1748">
      <c r="A1748" s="3" t="s">
        <v>8</v>
      </c>
      <c r="B1748" s="3" t="s">
        <v>12</v>
      </c>
    </row>
    <row r="1749">
      <c r="A1749" s="3" t="s">
        <v>8</v>
      </c>
      <c r="B1749" s="3" t="s">
        <v>9</v>
      </c>
      <c r="C1749" s="3" t="s">
        <v>12</v>
      </c>
    </row>
    <row r="1750">
      <c r="A1750" s="3" t="s">
        <v>8</v>
      </c>
      <c r="B1750" s="3" t="s">
        <v>9</v>
      </c>
      <c r="C1750" s="3" t="s">
        <v>16</v>
      </c>
    </row>
    <row r="1751">
      <c r="A1751" s="3" t="s">
        <v>8</v>
      </c>
      <c r="B1751" s="3" t="s">
        <v>9</v>
      </c>
      <c r="C1751" s="3" t="s">
        <v>10</v>
      </c>
    </row>
    <row r="1752">
      <c r="A1752" s="3" t="s">
        <v>8</v>
      </c>
      <c r="B1752" s="3" t="s">
        <v>9</v>
      </c>
      <c r="C1752" s="3" t="s">
        <v>10</v>
      </c>
    </row>
    <row r="1753">
      <c r="A1753" s="3" t="s">
        <v>8</v>
      </c>
      <c r="B1753" s="3" t="s">
        <v>9</v>
      </c>
      <c r="C1753" s="3" t="s">
        <v>16</v>
      </c>
    </row>
    <row r="1754">
      <c r="A1754" s="3" t="s">
        <v>8</v>
      </c>
      <c r="B1754" s="3" t="s">
        <v>9</v>
      </c>
      <c r="C1754" s="3" t="s">
        <v>10</v>
      </c>
    </row>
    <row r="1755">
      <c r="A1755" s="3" t="s">
        <v>8</v>
      </c>
      <c r="B1755" s="3" t="s">
        <v>17</v>
      </c>
    </row>
    <row r="1756">
      <c r="A1756" s="3" t="s">
        <v>8</v>
      </c>
      <c r="B1756" s="3" t="s">
        <v>17</v>
      </c>
    </row>
    <row r="1757">
      <c r="A1757" s="3" t="s">
        <v>8</v>
      </c>
      <c r="B1757" s="3" t="s">
        <v>11</v>
      </c>
      <c r="C1757" s="3" t="s">
        <v>12</v>
      </c>
    </row>
    <row r="1758">
      <c r="A1758" s="3" t="s">
        <v>8</v>
      </c>
      <c r="B1758" s="3" t="s">
        <v>9</v>
      </c>
      <c r="C1758" s="3" t="s">
        <v>10</v>
      </c>
    </row>
    <row r="1759">
      <c r="A1759" s="3" t="s">
        <v>8</v>
      </c>
      <c r="B1759" s="3" t="s">
        <v>9</v>
      </c>
      <c r="C1759" s="3" t="s">
        <v>10</v>
      </c>
    </row>
    <row r="1760">
      <c r="A1760" s="3" t="s">
        <v>8</v>
      </c>
    </row>
    <row r="1761">
      <c r="A1761" s="3" t="s">
        <v>8</v>
      </c>
      <c r="B1761" s="3" t="s">
        <v>16</v>
      </c>
      <c r="C1761" s="3" t="s">
        <v>17</v>
      </c>
    </row>
    <row r="1762">
      <c r="A1762" s="3" t="s">
        <v>8</v>
      </c>
      <c r="B1762" s="3" t="s">
        <v>9</v>
      </c>
      <c r="C1762" s="3" t="s">
        <v>10</v>
      </c>
    </row>
    <row r="1763">
      <c r="A1763" s="3" t="s">
        <v>8</v>
      </c>
      <c r="B1763" s="3" t="s">
        <v>17</v>
      </c>
    </row>
    <row r="1764">
      <c r="A1764" s="3" t="s">
        <v>8</v>
      </c>
      <c r="B1764" s="3" t="s">
        <v>9</v>
      </c>
      <c r="C1764" s="3" t="s">
        <v>10</v>
      </c>
    </row>
    <row r="1765">
      <c r="A1765" s="3" t="s">
        <v>9</v>
      </c>
      <c r="B1765" s="3" t="s">
        <v>10</v>
      </c>
      <c r="C1765" s="3" t="s">
        <v>18</v>
      </c>
    </row>
    <row r="1766">
      <c r="A1766" s="3" t="s">
        <v>9</v>
      </c>
      <c r="B1766" s="3" t="s">
        <v>10</v>
      </c>
      <c r="C1766" s="3" t="s">
        <v>18</v>
      </c>
    </row>
    <row r="1767">
      <c r="A1767" s="3" t="s">
        <v>9</v>
      </c>
      <c r="B1767" s="3" t="s">
        <v>10</v>
      </c>
    </row>
    <row r="1768">
      <c r="A1768" s="3" t="s">
        <v>9</v>
      </c>
      <c r="B1768" s="3" t="s">
        <v>15</v>
      </c>
      <c r="C1768" s="3" t="s">
        <v>16</v>
      </c>
    </row>
    <row r="1769">
      <c r="A1769" s="3" t="s">
        <v>9</v>
      </c>
      <c r="B1769" s="3" t="s">
        <v>10</v>
      </c>
      <c r="C1769" s="3" t="s">
        <v>18</v>
      </c>
    </row>
    <row r="1770">
      <c r="A1770" s="3" t="s">
        <v>9</v>
      </c>
      <c r="B1770" s="3" t="s">
        <v>10</v>
      </c>
      <c r="C1770" s="3" t="s">
        <v>16</v>
      </c>
    </row>
    <row r="1771">
      <c r="A1771" s="3" t="s">
        <v>9</v>
      </c>
      <c r="B1771" s="3" t="s">
        <v>14</v>
      </c>
      <c r="C1771" s="3" t="s">
        <v>18</v>
      </c>
    </row>
    <row r="1772">
      <c r="A1772" s="3" t="s">
        <v>9</v>
      </c>
      <c r="B1772" s="3" t="s">
        <v>10</v>
      </c>
      <c r="C1772" s="3" t="s">
        <v>18</v>
      </c>
    </row>
    <row r="1773">
      <c r="A1773" s="3" t="s">
        <v>9</v>
      </c>
      <c r="B1773" s="3" t="s">
        <v>10</v>
      </c>
    </row>
    <row r="1774">
      <c r="A1774" s="3" t="s">
        <v>9</v>
      </c>
      <c r="B1774" s="3" t="s">
        <v>10</v>
      </c>
    </row>
    <row r="1775">
      <c r="A1775" s="3" t="s">
        <v>9</v>
      </c>
      <c r="B1775" s="3" t="s">
        <v>10</v>
      </c>
      <c r="C1775" s="3" t="s">
        <v>18</v>
      </c>
    </row>
    <row r="1776">
      <c r="A1776" s="3" t="s">
        <v>9</v>
      </c>
      <c r="B1776" s="3" t="s">
        <v>10</v>
      </c>
    </row>
    <row r="1777">
      <c r="A1777" s="3" t="s">
        <v>9</v>
      </c>
      <c r="B1777" s="3" t="s">
        <v>10</v>
      </c>
    </row>
    <row r="1778">
      <c r="A1778" s="3" t="s">
        <v>9</v>
      </c>
      <c r="B1778" s="3" t="s">
        <v>10</v>
      </c>
      <c r="C1778" s="3" t="s">
        <v>18</v>
      </c>
    </row>
    <row r="1779">
      <c r="A1779" s="3" t="s">
        <v>9</v>
      </c>
      <c r="B1779" s="3" t="s">
        <v>10</v>
      </c>
      <c r="C1779" s="3" t="s">
        <v>18</v>
      </c>
    </row>
    <row r="1780">
      <c r="A1780" s="3" t="s">
        <v>9</v>
      </c>
      <c r="B1780" s="3" t="s">
        <v>10</v>
      </c>
    </row>
    <row r="1781">
      <c r="A1781" s="3" t="s">
        <v>9</v>
      </c>
      <c r="B1781" s="3" t="s">
        <v>10</v>
      </c>
      <c r="C1781" s="3" t="s">
        <v>16</v>
      </c>
    </row>
    <row r="1782">
      <c r="A1782" s="3" t="s">
        <v>9</v>
      </c>
      <c r="B1782" s="3" t="s">
        <v>10</v>
      </c>
    </row>
    <row r="1783">
      <c r="A1783" s="3" t="s">
        <v>9</v>
      </c>
      <c r="B1783" s="3" t="s">
        <v>10</v>
      </c>
    </row>
    <row r="1784">
      <c r="A1784" s="3" t="s">
        <v>9</v>
      </c>
      <c r="B1784" s="3" t="s">
        <v>18</v>
      </c>
    </row>
    <row r="1785">
      <c r="A1785" s="3" t="s">
        <v>9</v>
      </c>
      <c r="B1785" s="3" t="s">
        <v>10</v>
      </c>
    </row>
    <row r="1786">
      <c r="A1786" s="3" t="s">
        <v>9</v>
      </c>
      <c r="B1786" s="3" t="s">
        <v>10</v>
      </c>
      <c r="C1786" s="3" t="s">
        <v>18</v>
      </c>
    </row>
    <row r="1787">
      <c r="A1787" s="3" t="s">
        <v>11</v>
      </c>
      <c r="B1787" s="3" t="s">
        <v>15</v>
      </c>
      <c r="C1787" s="3" t="s">
        <v>16</v>
      </c>
    </row>
    <row r="1788">
      <c r="A1788" s="3" t="s">
        <v>11</v>
      </c>
      <c r="B1788" s="3" t="s">
        <v>12</v>
      </c>
      <c r="C1788" s="3" t="s">
        <v>17</v>
      </c>
    </row>
    <row r="1789">
      <c r="A1789" s="3" t="s">
        <v>11</v>
      </c>
      <c r="B1789" s="3" t="s">
        <v>12</v>
      </c>
      <c r="C1789" s="3" t="s">
        <v>15</v>
      </c>
    </row>
    <row r="1790">
      <c r="A1790" s="3" t="s">
        <v>11</v>
      </c>
      <c r="B1790" s="3" t="s">
        <v>12</v>
      </c>
      <c r="C1790" s="3" t="s">
        <v>17</v>
      </c>
    </row>
    <row r="1791">
      <c r="A1791" s="3" t="s">
        <v>11</v>
      </c>
      <c r="B1791" s="3" t="s">
        <v>12</v>
      </c>
      <c r="C1791" s="3" t="s">
        <v>17</v>
      </c>
    </row>
    <row r="1792">
      <c r="A1792" s="3" t="s">
        <v>11</v>
      </c>
      <c r="B1792" s="3" t="s">
        <v>12</v>
      </c>
    </row>
    <row r="1793">
      <c r="A1793" s="3" t="s">
        <v>11</v>
      </c>
      <c r="B1793" s="3" t="s">
        <v>12</v>
      </c>
      <c r="C1793" s="3" t="s">
        <v>17</v>
      </c>
    </row>
    <row r="1794">
      <c r="A1794" s="3" t="s">
        <v>11</v>
      </c>
      <c r="B1794" s="3" t="s">
        <v>12</v>
      </c>
      <c r="C1794" s="3" t="s">
        <v>15</v>
      </c>
    </row>
    <row r="1795">
      <c r="A1795" s="3" t="s">
        <v>11</v>
      </c>
      <c r="B1795" s="3" t="s">
        <v>12</v>
      </c>
    </row>
    <row r="1796">
      <c r="A1796" s="3" t="s">
        <v>11</v>
      </c>
      <c r="B1796" s="3" t="s">
        <v>12</v>
      </c>
    </row>
    <row r="1797">
      <c r="A1797" s="3" t="s">
        <v>11</v>
      </c>
      <c r="B1797" s="3" t="s">
        <v>12</v>
      </c>
    </row>
    <row r="1798">
      <c r="A1798" s="3" t="s">
        <v>11</v>
      </c>
      <c r="B1798" s="3" t="s">
        <v>12</v>
      </c>
      <c r="C1798" s="3" t="s">
        <v>17</v>
      </c>
    </row>
    <row r="1799">
      <c r="A1799" s="3" t="s">
        <v>11</v>
      </c>
      <c r="B1799" s="3" t="s">
        <v>12</v>
      </c>
    </row>
    <row r="1800">
      <c r="A1800" s="3" t="s">
        <v>11</v>
      </c>
      <c r="B1800" s="3" t="s">
        <v>12</v>
      </c>
    </row>
    <row r="1801">
      <c r="A1801" s="3" t="s">
        <v>11</v>
      </c>
      <c r="B1801" s="3" t="s">
        <v>12</v>
      </c>
      <c r="C1801" s="3" t="s">
        <v>15</v>
      </c>
    </row>
    <row r="1802">
      <c r="A1802" s="3" t="s">
        <v>11</v>
      </c>
      <c r="B1802" s="3" t="s">
        <v>12</v>
      </c>
      <c r="C1802" s="3" t="s">
        <v>17</v>
      </c>
    </row>
    <row r="1803">
      <c r="A1803" s="3" t="s">
        <v>11</v>
      </c>
      <c r="B1803" s="3" t="s">
        <v>12</v>
      </c>
    </row>
    <row r="1804">
      <c r="A1804" s="3" t="s">
        <v>11</v>
      </c>
      <c r="B1804" s="3" t="s">
        <v>12</v>
      </c>
      <c r="C1804" s="3" t="s">
        <v>17</v>
      </c>
    </row>
    <row r="1805">
      <c r="A1805" s="3" t="s">
        <v>11</v>
      </c>
      <c r="B1805" s="3" t="s">
        <v>15</v>
      </c>
    </row>
    <row r="1806">
      <c r="A1806" s="3" t="s">
        <v>11</v>
      </c>
      <c r="B1806" s="3" t="s">
        <v>12</v>
      </c>
      <c r="C1806" s="3" t="s">
        <v>17</v>
      </c>
    </row>
    <row r="1807">
      <c r="A1807" s="3" t="s">
        <v>11</v>
      </c>
      <c r="B1807" s="3" t="s">
        <v>12</v>
      </c>
      <c r="C1807" s="3" t="s">
        <v>17</v>
      </c>
    </row>
    <row r="1808">
      <c r="A1808" s="3" t="s">
        <v>11</v>
      </c>
      <c r="B1808" s="3" t="s">
        <v>12</v>
      </c>
    </row>
    <row r="1809">
      <c r="A1809" s="3" t="s">
        <v>11</v>
      </c>
      <c r="B1809" s="3" t="s">
        <v>12</v>
      </c>
    </row>
    <row r="1810">
      <c r="A1810" s="3" t="s">
        <v>11</v>
      </c>
      <c r="B1810" s="3" t="s">
        <v>12</v>
      </c>
      <c r="C1810" s="3" t="s">
        <v>17</v>
      </c>
    </row>
    <row r="1811">
      <c r="A1811" s="3" t="s">
        <v>11</v>
      </c>
      <c r="B1811" s="3" t="s">
        <v>12</v>
      </c>
      <c r="C1811" s="3" t="s">
        <v>15</v>
      </c>
    </row>
    <row r="1812">
      <c r="A1812" s="3" t="s">
        <v>11</v>
      </c>
    </row>
    <row r="1813">
      <c r="A1813" s="3" t="s">
        <v>11</v>
      </c>
      <c r="B1813" s="3" t="s">
        <v>12</v>
      </c>
    </row>
    <row r="1814">
      <c r="A1814" s="3" t="s">
        <v>11</v>
      </c>
      <c r="B1814" s="3" t="s">
        <v>12</v>
      </c>
    </row>
    <row r="1815">
      <c r="A1815" s="3" t="s">
        <v>11</v>
      </c>
      <c r="B1815" s="3" t="s">
        <v>12</v>
      </c>
      <c r="C1815" s="3" t="s">
        <v>15</v>
      </c>
    </row>
    <row r="1816">
      <c r="A1816" s="3" t="s">
        <v>11</v>
      </c>
      <c r="B1816" s="3" t="s">
        <v>15</v>
      </c>
      <c r="C1816" s="3" t="s">
        <v>16</v>
      </c>
    </row>
    <row r="1817">
      <c r="A1817" s="3" t="s">
        <v>11</v>
      </c>
      <c r="B1817" s="3" t="s">
        <v>15</v>
      </c>
      <c r="C1817" s="3" t="s">
        <v>16</v>
      </c>
    </row>
    <row r="1818">
      <c r="A1818" s="3" t="s">
        <v>12</v>
      </c>
      <c r="B1818" s="3" t="s">
        <v>17</v>
      </c>
      <c r="C1818" s="3" t="s">
        <v>18</v>
      </c>
    </row>
    <row r="1819">
      <c r="A1819" s="3" t="s">
        <v>12</v>
      </c>
      <c r="B1819" s="3" t="s">
        <v>15</v>
      </c>
      <c r="C1819" s="3" t="s">
        <v>17</v>
      </c>
    </row>
    <row r="1820">
      <c r="A1820" s="3" t="s">
        <v>12</v>
      </c>
      <c r="B1820" s="3" t="s">
        <v>17</v>
      </c>
      <c r="C1820" s="3" t="s">
        <v>18</v>
      </c>
    </row>
    <row r="1821">
      <c r="A1821" s="3" t="s">
        <v>12</v>
      </c>
      <c r="B1821" s="3" t="s">
        <v>16</v>
      </c>
    </row>
    <row r="1822">
      <c r="A1822" s="3" t="s">
        <v>12</v>
      </c>
      <c r="B1822" s="3" t="s">
        <v>18</v>
      </c>
    </row>
    <row r="1823">
      <c r="A1823" s="3" t="s">
        <v>12</v>
      </c>
    </row>
    <row r="1824">
      <c r="A1824" s="3" t="s">
        <v>12</v>
      </c>
      <c r="B1824" s="3" t="s">
        <v>17</v>
      </c>
      <c r="C1824" s="3" t="s">
        <v>18</v>
      </c>
    </row>
    <row r="1825">
      <c r="A1825" s="3" t="s">
        <v>12</v>
      </c>
      <c r="B1825" s="3" t="s">
        <v>17</v>
      </c>
      <c r="C1825" s="3" t="s">
        <v>18</v>
      </c>
    </row>
    <row r="1826">
      <c r="A1826" s="3" t="s">
        <v>13</v>
      </c>
      <c r="B1826" s="3" t="s">
        <v>14</v>
      </c>
    </row>
    <row r="1827">
      <c r="A1827" s="3" t="s">
        <v>13</v>
      </c>
      <c r="B1827" s="3" t="s">
        <v>14</v>
      </c>
      <c r="C1827" s="3" t="s">
        <v>17</v>
      </c>
    </row>
    <row r="1828">
      <c r="A1828" s="3" t="s">
        <v>13</v>
      </c>
      <c r="B1828" s="3" t="s">
        <v>14</v>
      </c>
      <c r="C1828" s="3" t="s">
        <v>17</v>
      </c>
    </row>
    <row r="1829">
      <c r="A1829" s="3" t="s">
        <v>13</v>
      </c>
      <c r="B1829" s="3" t="s">
        <v>14</v>
      </c>
    </row>
    <row r="1830">
      <c r="A1830" s="3" t="s">
        <v>13</v>
      </c>
      <c r="B1830" s="3" t="s">
        <v>14</v>
      </c>
      <c r="C1830" s="3" t="s">
        <v>17</v>
      </c>
    </row>
    <row r="1831">
      <c r="A1831" s="3" t="s">
        <v>13</v>
      </c>
      <c r="B1831" s="3" t="s">
        <v>14</v>
      </c>
    </row>
    <row r="1832">
      <c r="A1832" s="3" t="s">
        <v>13</v>
      </c>
      <c r="B1832" s="3" t="s">
        <v>14</v>
      </c>
      <c r="C1832" s="3" t="s">
        <v>17</v>
      </c>
    </row>
    <row r="1833">
      <c r="A1833" s="3" t="s">
        <v>13</v>
      </c>
      <c r="B1833" s="3" t="s">
        <v>14</v>
      </c>
    </row>
    <row r="1834">
      <c r="A1834" s="3" t="s">
        <v>13</v>
      </c>
      <c r="B1834" s="3" t="s">
        <v>14</v>
      </c>
      <c r="C1834" s="3" t="s">
        <v>17</v>
      </c>
    </row>
    <row r="1835">
      <c r="A1835" s="3" t="s">
        <v>13</v>
      </c>
      <c r="B1835" s="3" t="s">
        <v>14</v>
      </c>
    </row>
    <row r="1836">
      <c r="A1836" s="3" t="s">
        <v>13</v>
      </c>
      <c r="B1836" s="3" t="s">
        <v>14</v>
      </c>
    </row>
    <row r="1837">
      <c r="A1837" s="3" t="s">
        <v>13</v>
      </c>
      <c r="B1837" s="3" t="s">
        <v>14</v>
      </c>
    </row>
    <row r="1838">
      <c r="A1838" s="3" t="s">
        <v>13</v>
      </c>
      <c r="B1838" s="3" t="s">
        <v>14</v>
      </c>
      <c r="C1838" s="3" t="s">
        <v>17</v>
      </c>
    </row>
    <row r="1839">
      <c r="A1839" s="3" t="s">
        <v>13</v>
      </c>
      <c r="B1839" s="3" t="s">
        <v>14</v>
      </c>
    </row>
    <row r="1840">
      <c r="A1840" s="3" t="s">
        <v>13</v>
      </c>
      <c r="B1840" s="3" t="s">
        <v>14</v>
      </c>
    </row>
    <row r="1841">
      <c r="A1841" s="3" t="s">
        <v>13</v>
      </c>
      <c r="B1841" s="3" t="s">
        <v>14</v>
      </c>
      <c r="C1841" s="3" t="s">
        <v>17</v>
      </c>
    </row>
    <row r="1842">
      <c r="A1842" s="3" t="s">
        <v>13</v>
      </c>
      <c r="B1842" s="3" t="s">
        <v>14</v>
      </c>
    </row>
    <row r="1843">
      <c r="A1843" s="3" t="s">
        <v>13</v>
      </c>
      <c r="B1843" s="3" t="s">
        <v>14</v>
      </c>
    </row>
    <row r="1844">
      <c r="A1844" s="3" t="s">
        <v>13</v>
      </c>
      <c r="B1844" s="3" t="s">
        <v>14</v>
      </c>
      <c r="C1844" s="3" t="s">
        <v>17</v>
      </c>
    </row>
    <row r="1845">
      <c r="A1845" s="3" t="s">
        <v>13</v>
      </c>
      <c r="B1845" s="3" t="s">
        <v>14</v>
      </c>
      <c r="C1845" s="3" t="s">
        <v>17</v>
      </c>
    </row>
    <row r="1846">
      <c r="A1846" s="3" t="s">
        <v>13</v>
      </c>
      <c r="B1846" s="3" t="s">
        <v>14</v>
      </c>
    </row>
    <row r="1847">
      <c r="A1847" s="3" t="s">
        <v>13</v>
      </c>
      <c r="B1847" s="3" t="s">
        <v>14</v>
      </c>
      <c r="C1847" s="3" t="s">
        <v>17</v>
      </c>
    </row>
    <row r="1848">
      <c r="A1848" s="3" t="s">
        <v>13</v>
      </c>
    </row>
    <row r="1849">
      <c r="A1849" s="3" t="s">
        <v>13</v>
      </c>
    </row>
    <row r="1850">
      <c r="A1850" s="3" t="s">
        <v>13</v>
      </c>
    </row>
    <row r="1851">
      <c r="A1851" s="3" t="s">
        <v>14</v>
      </c>
      <c r="B1851" s="3" t="s">
        <v>17</v>
      </c>
      <c r="C1851" s="3" t="s">
        <v>18</v>
      </c>
    </row>
    <row r="1852">
      <c r="A1852" s="3" t="s">
        <v>14</v>
      </c>
      <c r="B1852" s="3" t="s">
        <v>17</v>
      </c>
      <c r="C1852" s="3" t="s">
        <v>18</v>
      </c>
    </row>
    <row r="1853">
      <c r="A1853" s="3" t="s">
        <v>14</v>
      </c>
      <c r="B1853" s="3" t="s">
        <v>17</v>
      </c>
      <c r="C1853" s="3" t="s">
        <v>18</v>
      </c>
    </row>
    <row r="1854">
      <c r="A1854" s="3" t="s">
        <v>14</v>
      </c>
      <c r="B1854" s="3" t="s">
        <v>17</v>
      </c>
      <c r="C1854" s="3" t="s">
        <v>18</v>
      </c>
    </row>
    <row r="1855">
      <c r="A1855" s="3" t="s">
        <v>14</v>
      </c>
      <c r="B1855" s="3" t="s">
        <v>17</v>
      </c>
      <c r="C1855" s="3" t="s">
        <v>18</v>
      </c>
    </row>
    <row r="1856">
      <c r="A1856" s="3" t="s">
        <v>14</v>
      </c>
      <c r="B1856" s="3" t="s">
        <v>17</v>
      </c>
      <c r="C1856" s="3" t="s">
        <v>18</v>
      </c>
    </row>
    <row r="1857">
      <c r="A1857" s="3" t="s">
        <v>14</v>
      </c>
      <c r="B1857" s="3" t="s">
        <v>17</v>
      </c>
      <c r="C1857" s="3" t="s">
        <v>18</v>
      </c>
    </row>
    <row r="1858">
      <c r="A1858" s="3" t="s">
        <v>15</v>
      </c>
      <c r="B1858" s="3" t="s">
        <v>16</v>
      </c>
      <c r="C1858" s="3" t="s">
        <v>17</v>
      </c>
    </row>
    <row r="1859">
      <c r="A1859" s="3" t="s">
        <v>15</v>
      </c>
      <c r="B1859" s="3" t="s">
        <v>16</v>
      </c>
      <c r="C1859" s="3" t="s">
        <v>17</v>
      </c>
    </row>
    <row r="1860">
      <c r="A1860" s="3" t="s">
        <v>15</v>
      </c>
      <c r="B1860" s="3" t="s">
        <v>16</v>
      </c>
    </row>
    <row r="1861">
      <c r="A1861" s="3" t="s">
        <v>15</v>
      </c>
      <c r="B1861" s="3" t="s">
        <v>16</v>
      </c>
    </row>
    <row r="1862">
      <c r="A1862" s="3" t="s">
        <v>15</v>
      </c>
      <c r="B1862" s="3" t="s">
        <v>16</v>
      </c>
      <c r="C1862" s="3" t="s">
        <v>17</v>
      </c>
    </row>
    <row r="1863">
      <c r="A1863" s="3" t="s">
        <v>15</v>
      </c>
    </row>
    <row r="1864">
      <c r="A1864" s="3" t="s">
        <v>15</v>
      </c>
    </row>
    <row r="1865">
      <c r="A1865" s="3" t="s">
        <v>15</v>
      </c>
      <c r="B1865" s="3" t="s">
        <v>16</v>
      </c>
      <c r="C1865" s="3" t="s">
        <v>17</v>
      </c>
    </row>
    <row r="1866">
      <c r="A1866" s="3" t="s">
        <v>15</v>
      </c>
      <c r="B1866" s="3" t="s">
        <v>16</v>
      </c>
      <c r="C1866" s="3" t="s">
        <v>17</v>
      </c>
    </row>
    <row r="1867">
      <c r="A1867" s="3" t="s">
        <v>15</v>
      </c>
      <c r="B1867" s="3" t="s">
        <v>16</v>
      </c>
      <c r="C1867" s="3" t="s">
        <v>17</v>
      </c>
    </row>
    <row r="1868">
      <c r="A1868" s="3" t="s">
        <v>15</v>
      </c>
      <c r="B1868" s="3" t="s">
        <v>16</v>
      </c>
    </row>
    <row r="1869">
      <c r="A1869" s="3" t="s">
        <v>15</v>
      </c>
      <c r="B1869" s="3" t="s">
        <v>16</v>
      </c>
    </row>
    <row r="1870">
      <c r="A1870" s="3" t="s">
        <v>15</v>
      </c>
      <c r="B1870" s="3" t="s">
        <v>16</v>
      </c>
      <c r="C1870" s="3" t="s">
        <v>17</v>
      </c>
    </row>
    <row r="1871">
      <c r="A1871" s="3" t="s">
        <v>15</v>
      </c>
      <c r="B1871" s="3" t="s">
        <v>16</v>
      </c>
    </row>
    <row r="1872">
      <c r="A1872" s="3" t="s">
        <v>15</v>
      </c>
      <c r="B1872" s="3" t="s">
        <v>16</v>
      </c>
    </row>
    <row r="1873">
      <c r="A1873" s="3" t="s">
        <v>15</v>
      </c>
      <c r="B1873" s="3" t="s">
        <v>16</v>
      </c>
      <c r="C1873" s="3" t="s">
        <v>17</v>
      </c>
    </row>
    <row r="1874">
      <c r="A1874" s="3" t="s">
        <v>15</v>
      </c>
    </row>
    <row r="1875">
      <c r="A1875" s="3" t="s">
        <v>15</v>
      </c>
    </row>
    <row r="1876">
      <c r="A1876" s="3" t="s">
        <v>15</v>
      </c>
      <c r="B1876" s="3" t="s">
        <v>16</v>
      </c>
      <c r="C1876" s="3" t="s">
        <v>17</v>
      </c>
    </row>
    <row r="1877">
      <c r="A1877" s="3" t="s">
        <v>16</v>
      </c>
      <c r="B1877" s="3" t="s">
        <v>17</v>
      </c>
      <c r="C1877" s="3" t="s">
        <v>18</v>
      </c>
    </row>
    <row r="1878">
      <c r="A1878" s="3" t="s">
        <v>16</v>
      </c>
      <c r="B1878" s="3" t="s">
        <v>17</v>
      </c>
      <c r="C1878" s="3" t="s">
        <v>18</v>
      </c>
    </row>
    <row r="1879">
      <c r="A1879" s="3" t="s">
        <v>16</v>
      </c>
      <c r="B1879" s="3" t="s">
        <v>17</v>
      </c>
      <c r="C1879" s="3" t="s">
        <v>18</v>
      </c>
    </row>
    <row r="1880">
      <c r="A1880" s="3" t="s">
        <v>16</v>
      </c>
      <c r="B1880" s="3" t="s">
        <v>17</v>
      </c>
      <c r="C1880" s="3" t="s">
        <v>18</v>
      </c>
    </row>
    <row r="1881">
      <c r="A1881" s="3" t="s">
        <v>16</v>
      </c>
    </row>
    <row r="1882">
      <c r="A1882" s="3" t="s">
        <v>16</v>
      </c>
      <c r="B1882" s="3" t="s">
        <v>17</v>
      </c>
      <c r="C1882" s="3" t="s">
        <v>18</v>
      </c>
    </row>
    <row r="1883">
      <c r="A1883" s="3" t="s">
        <v>6</v>
      </c>
      <c r="B1883" s="3" t="s">
        <v>7</v>
      </c>
      <c r="C1883" s="3" t="s">
        <v>15</v>
      </c>
    </row>
    <row r="1884">
      <c r="A1884" s="3" t="s">
        <v>6</v>
      </c>
      <c r="B1884" s="3" t="s">
        <v>7</v>
      </c>
      <c r="C1884" s="3" t="s">
        <v>15</v>
      </c>
    </row>
    <row r="1885">
      <c r="A1885" s="3" t="s">
        <v>6</v>
      </c>
      <c r="B1885" s="3" t="s">
        <v>7</v>
      </c>
      <c r="C1885" s="3" t="s">
        <v>15</v>
      </c>
    </row>
    <row r="1886">
      <c r="A1886" s="3" t="s">
        <v>6</v>
      </c>
      <c r="B1886" s="3" t="s">
        <v>7</v>
      </c>
      <c r="C1886" s="3" t="s">
        <v>15</v>
      </c>
    </row>
    <row r="1887">
      <c r="A1887" s="3" t="s">
        <v>6</v>
      </c>
      <c r="B1887" s="3" t="s">
        <v>7</v>
      </c>
      <c r="C1887" s="3" t="s">
        <v>8</v>
      </c>
    </row>
    <row r="1888">
      <c r="A1888" s="3" t="s">
        <v>6</v>
      </c>
      <c r="B1888" s="3" t="s">
        <v>7</v>
      </c>
      <c r="C1888" s="3" t="s">
        <v>11</v>
      </c>
    </row>
    <row r="1889">
      <c r="A1889" s="3" t="s">
        <v>6</v>
      </c>
      <c r="B1889" s="3" t="s">
        <v>7</v>
      </c>
      <c r="C1889" s="3" t="s">
        <v>8</v>
      </c>
    </row>
    <row r="1890">
      <c r="A1890" s="3" t="s">
        <v>6</v>
      </c>
      <c r="B1890" s="3" t="s">
        <v>7</v>
      </c>
      <c r="C1890" s="3" t="s">
        <v>15</v>
      </c>
    </row>
    <row r="1891">
      <c r="A1891" s="3" t="s">
        <v>6</v>
      </c>
      <c r="B1891" s="3" t="s">
        <v>7</v>
      </c>
    </row>
    <row r="1892">
      <c r="A1892" s="3" t="s">
        <v>6</v>
      </c>
      <c r="B1892" s="3" t="s">
        <v>7</v>
      </c>
      <c r="C1892" s="3" t="s">
        <v>8</v>
      </c>
    </row>
    <row r="1893">
      <c r="A1893" s="3" t="s">
        <v>6</v>
      </c>
      <c r="B1893" s="3" t="s">
        <v>11</v>
      </c>
      <c r="C1893" s="3" t="s">
        <v>12</v>
      </c>
    </row>
    <row r="1894">
      <c r="A1894" s="3" t="s">
        <v>6</v>
      </c>
      <c r="B1894" s="3" t="s">
        <v>7</v>
      </c>
    </row>
    <row r="1895">
      <c r="A1895" s="3" t="s">
        <v>6</v>
      </c>
      <c r="B1895" s="3" t="s">
        <v>7</v>
      </c>
      <c r="C1895" s="3" t="s">
        <v>15</v>
      </c>
    </row>
    <row r="1896">
      <c r="A1896" s="3" t="s">
        <v>6</v>
      </c>
      <c r="B1896" s="3" t="s">
        <v>7</v>
      </c>
      <c r="C1896" s="3" t="s">
        <v>13</v>
      </c>
    </row>
    <row r="1897">
      <c r="A1897" s="3" t="s">
        <v>6</v>
      </c>
      <c r="B1897" s="3" t="s">
        <v>7</v>
      </c>
    </row>
    <row r="1898">
      <c r="A1898" s="3" t="s">
        <v>6</v>
      </c>
      <c r="B1898" s="3" t="s">
        <v>7</v>
      </c>
    </row>
    <row r="1899">
      <c r="A1899" s="3" t="s">
        <v>6</v>
      </c>
      <c r="B1899" s="3" t="s">
        <v>7</v>
      </c>
      <c r="C1899" s="3" t="s">
        <v>8</v>
      </c>
    </row>
    <row r="1900">
      <c r="A1900" s="3" t="s">
        <v>6</v>
      </c>
      <c r="B1900" s="3" t="s">
        <v>7</v>
      </c>
      <c r="C1900" s="3" t="s">
        <v>8</v>
      </c>
    </row>
    <row r="1901">
      <c r="A1901" s="3" t="s">
        <v>6</v>
      </c>
      <c r="B1901" s="3" t="s">
        <v>7</v>
      </c>
      <c r="C1901" s="3" t="s">
        <v>8</v>
      </c>
    </row>
    <row r="1902">
      <c r="A1902" s="3" t="s">
        <v>6</v>
      </c>
      <c r="B1902" s="3" t="s">
        <v>7</v>
      </c>
      <c r="C1902" s="3" t="s">
        <v>8</v>
      </c>
    </row>
    <row r="1903">
      <c r="A1903" s="3" t="s">
        <v>6</v>
      </c>
      <c r="B1903" s="3" t="s">
        <v>7</v>
      </c>
      <c r="C1903" s="3" t="s">
        <v>15</v>
      </c>
    </row>
    <row r="1904">
      <c r="A1904" s="3" t="s">
        <v>6</v>
      </c>
      <c r="B1904" s="3" t="s">
        <v>7</v>
      </c>
    </row>
    <row r="1905">
      <c r="A1905" s="3" t="s">
        <v>6</v>
      </c>
      <c r="B1905" s="3" t="s">
        <v>7</v>
      </c>
    </row>
    <row r="1906">
      <c r="A1906" s="3" t="s">
        <v>6</v>
      </c>
      <c r="B1906" s="3" t="s">
        <v>7</v>
      </c>
      <c r="C1906" s="3" t="s">
        <v>8</v>
      </c>
    </row>
    <row r="1907">
      <c r="A1907" s="3" t="s">
        <v>6</v>
      </c>
      <c r="B1907" s="3" t="s">
        <v>7</v>
      </c>
      <c r="C1907" s="3" t="s">
        <v>13</v>
      </c>
    </row>
    <row r="1908">
      <c r="A1908" s="3" t="s">
        <v>6</v>
      </c>
      <c r="B1908" s="3" t="s">
        <v>7</v>
      </c>
      <c r="C1908" s="3" t="s">
        <v>8</v>
      </c>
    </row>
    <row r="1909">
      <c r="A1909" s="3" t="s">
        <v>6</v>
      </c>
      <c r="B1909" s="3" t="s">
        <v>7</v>
      </c>
      <c r="C1909" s="3" t="s">
        <v>11</v>
      </c>
    </row>
    <row r="1910">
      <c r="A1910" s="3" t="s">
        <v>6</v>
      </c>
    </row>
    <row r="1911">
      <c r="A1911" s="3" t="s">
        <v>6</v>
      </c>
    </row>
    <row r="1912">
      <c r="A1912" s="3" t="s">
        <v>6</v>
      </c>
      <c r="B1912" s="3" t="s">
        <v>7</v>
      </c>
      <c r="C1912" s="3" t="s">
        <v>8</v>
      </c>
    </row>
    <row r="1913">
      <c r="A1913" s="3" t="s">
        <v>6</v>
      </c>
      <c r="B1913" s="3" t="s">
        <v>7</v>
      </c>
      <c r="C1913" s="3" t="s">
        <v>11</v>
      </c>
    </row>
    <row r="1914">
      <c r="A1914" s="3" t="s">
        <v>6</v>
      </c>
      <c r="B1914" s="3" t="s">
        <v>7</v>
      </c>
    </row>
    <row r="1915">
      <c r="A1915" s="3" t="s">
        <v>6</v>
      </c>
      <c r="B1915" s="3" t="s">
        <v>7</v>
      </c>
    </row>
    <row r="1916">
      <c r="A1916" s="3" t="s">
        <v>6</v>
      </c>
    </row>
    <row r="1917">
      <c r="A1917" s="3" t="s">
        <v>6</v>
      </c>
      <c r="B1917" s="3" t="s">
        <v>7</v>
      </c>
    </row>
    <row r="1918">
      <c r="A1918" s="3" t="s">
        <v>6</v>
      </c>
    </row>
    <row r="1919">
      <c r="A1919" s="3" t="s">
        <v>6</v>
      </c>
      <c r="B1919" s="3" t="s">
        <v>15</v>
      </c>
    </row>
    <row r="1920">
      <c r="A1920" s="3" t="s">
        <v>6</v>
      </c>
      <c r="B1920" s="3" t="s">
        <v>13</v>
      </c>
    </row>
    <row r="1921">
      <c r="A1921" s="3" t="s">
        <v>6</v>
      </c>
      <c r="B1921" s="3" t="s">
        <v>7</v>
      </c>
    </row>
    <row r="1922">
      <c r="A1922" s="3" t="s">
        <v>6</v>
      </c>
      <c r="B1922" s="3" t="s">
        <v>7</v>
      </c>
    </row>
    <row r="1923">
      <c r="A1923" s="3" t="s">
        <v>6</v>
      </c>
      <c r="B1923" s="3" t="s">
        <v>7</v>
      </c>
    </row>
    <row r="1924">
      <c r="A1924" s="3" t="s">
        <v>6</v>
      </c>
      <c r="B1924" s="3" t="s">
        <v>11</v>
      </c>
      <c r="C1924" s="3" t="s">
        <v>12</v>
      </c>
    </row>
    <row r="1925">
      <c r="A1925" s="3" t="s">
        <v>6</v>
      </c>
      <c r="B1925" s="3" t="s">
        <v>11</v>
      </c>
      <c r="C1925" s="3" t="s">
        <v>15</v>
      </c>
    </row>
    <row r="1926">
      <c r="A1926" s="3" t="s">
        <v>6</v>
      </c>
      <c r="B1926" s="3" t="s">
        <v>7</v>
      </c>
    </row>
    <row r="1927">
      <c r="A1927" s="3" t="s">
        <v>6</v>
      </c>
      <c r="B1927" s="3" t="s">
        <v>7</v>
      </c>
    </row>
    <row r="1928">
      <c r="A1928" s="3" t="s">
        <v>6</v>
      </c>
      <c r="B1928" s="3" t="s">
        <v>8</v>
      </c>
    </row>
    <row r="1929">
      <c r="A1929" s="3" t="s">
        <v>6</v>
      </c>
    </row>
    <row r="1930">
      <c r="A1930" s="3" t="s">
        <v>6</v>
      </c>
      <c r="B1930" s="3" t="s">
        <v>7</v>
      </c>
    </row>
    <row r="1931">
      <c r="A1931" s="3" t="s">
        <v>6</v>
      </c>
      <c r="B1931" s="3" t="s">
        <v>7</v>
      </c>
      <c r="C1931" s="3" t="s">
        <v>15</v>
      </c>
    </row>
    <row r="1932">
      <c r="A1932" s="3" t="s">
        <v>6</v>
      </c>
      <c r="B1932" s="3" t="s">
        <v>7</v>
      </c>
      <c r="C1932" s="3" t="s">
        <v>8</v>
      </c>
    </row>
    <row r="1933">
      <c r="A1933" s="3" t="s">
        <v>6</v>
      </c>
      <c r="B1933" s="3" t="s">
        <v>15</v>
      </c>
    </row>
    <row r="1934">
      <c r="A1934" s="3" t="s">
        <v>6</v>
      </c>
      <c r="B1934" s="3" t="s">
        <v>7</v>
      </c>
      <c r="C1934" s="3" t="s">
        <v>8</v>
      </c>
    </row>
    <row r="1935">
      <c r="A1935" s="3" t="s">
        <v>6</v>
      </c>
      <c r="B1935" s="3" t="s">
        <v>7</v>
      </c>
      <c r="C1935" s="3" t="s">
        <v>8</v>
      </c>
    </row>
    <row r="1936">
      <c r="A1936" s="3" t="s">
        <v>6</v>
      </c>
    </row>
    <row r="1937">
      <c r="A1937" s="3" t="s">
        <v>6</v>
      </c>
      <c r="B1937" s="3" t="s">
        <v>8</v>
      </c>
    </row>
    <row r="1938">
      <c r="A1938" s="3" t="s">
        <v>609</v>
      </c>
    </row>
    <row r="1939">
      <c r="A1939" s="3" t="s">
        <v>7</v>
      </c>
      <c r="B1939" s="3" t="s">
        <v>15</v>
      </c>
      <c r="C1939" s="3" t="s">
        <v>17</v>
      </c>
    </row>
    <row r="1940">
      <c r="A1940" s="3" t="s">
        <v>7</v>
      </c>
      <c r="B1940" s="3" t="s">
        <v>8</v>
      </c>
    </row>
    <row r="1941">
      <c r="A1941" s="3" t="s">
        <v>7</v>
      </c>
      <c r="B1941" s="3" t="s">
        <v>8</v>
      </c>
      <c r="C1941" s="3" t="s">
        <v>17</v>
      </c>
    </row>
    <row r="1942">
      <c r="A1942" s="3" t="s">
        <v>7</v>
      </c>
      <c r="B1942" s="3" t="s">
        <v>9</v>
      </c>
      <c r="C1942" s="3" t="s">
        <v>18</v>
      </c>
    </row>
    <row r="1943">
      <c r="A1943" s="3" t="s">
        <v>7</v>
      </c>
      <c r="B1943" s="3" t="s">
        <v>11</v>
      </c>
      <c r="C1943" s="3" t="s">
        <v>15</v>
      </c>
    </row>
    <row r="1944">
      <c r="A1944" s="3" t="s">
        <v>7</v>
      </c>
      <c r="B1944" s="3" t="s">
        <v>8</v>
      </c>
    </row>
    <row r="1945">
      <c r="A1945" s="3" t="s">
        <v>7</v>
      </c>
      <c r="B1945" s="3" t="s">
        <v>11</v>
      </c>
    </row>
    <row r="1946">
      <c r="A1946" s="3" t="s">
        <v>7</v>
      </c>
      <c r="B1946" s="3" t="s">
        <v>8</v>
      </c>
    </row>
    <row r="1947">
      <c r="A1947" s="3" t="s">
        <v>7</v>
      </c>
      <c r="B1947" s="3" t="s">
        <v>8</v>
      </c>
    </row>
    <row r="1948">
      <c r="A1948" s="3" t="s">
        <v>7</v>
      </c>
      <c r="B1948" s="3" t="s">
        <v>8</v>
      </c>
      <c r="C1948" s="3" t="s">
        <v>9</v>
      </c>
    </row>
    <row r="1949">
      <c r="A1949" s="3" t="s">
        <v>7</v>
      </c>
      <c r="B1949" s="3" t="s">
        <v>8</v>
      </c>
      <c r="C1949" s="3" t="s">
        <v>9</v>
      </c>
    </row>
    <row r="1950">
      <c r="A1950" s="3" t="s">
        <v>7</v>
      </c>
      <c r="B1950" s="3" t="s">
        <v>8</v>
      </c>
      <c r="C1950" s="3" t="s">
        <v>9</v>
      </c>
    </row>
    <row r="1951">
      <c r="A1951" s="3" t="s">
        <v>7</v>
      </c>
      <c r="B1951" s="3" t="s">
        <v>8</v>
      </c>
    </row>
    <row r="1952">
      <c r="A1952" s="3" t="s">
        <v>7</v>
      </c>
      <c r="B1952" s="3" t="s">
        <v>8</v>
      </c>
      <c r="C1952" s="3" t="s">
        <v>9</v>
      </c>
    </row>
    <row r="1953">
      <c r="A1953" s="3" t="s">
        <v>7</v>
      </c>
      <c r="B1953" s="3" t="s">
        <v>15</v>
      </c>
    </row>
    <row r="1954">
      <c r="A1954" s="3" t="s">
        <v>7</v>
      </c>
      <c r="B1954" s="3" t="s">
        <v>11</v>
      </c>
      <c r="C1954" s="3" t="s">
        <v>15</v>
      </c>
    </row>
    <row r="1955">
      <c r="A1955" s="3" t="s">
        <v>7</v>
      </c>
      <c r="B1955" s="3" t="s">
        <v>8</v>
      </c>
      <c r="C1955" s="3" t="s">
        <v>9</v>
      </c>
    </row>
    <row r="1956">
      <c r="A1956" s="3" t="s">
        <v>8</v>
      </c>
      <c r="B1956" s="3" t="s">
        <v>9</v>
      </c>
      <c r="C1956" s="3" t="s">
        <v>16</v>
      </c>
    </row>
    <row r="1957">
      <c r="A1957" s="3" t="s">
        <v>8</v>
      </c>
      <c r="B1957" s="3" t="s">
        <v>9</v>
      </c>
      <c r="C1957" s="3" t="s">
        <v>10</v>
      </c>
    </row>
    <row r="1958">
      <c r="A1958" s="3" t="s">
        <v>8</v>
      </c>
      <c r="B1958" s="3" t="s">
        <v>16</v>
      </c>
      <c r="C1958" s="3" t="s">
        <v>17</v>
      </c>
    </row>
    <row r="1959">
      <c r="A1959" s="3" t="s">
        <v>8</v>
      </c>
      <c r="B1959" s="3" t="s">
        <v>16</v>
      </c>
      <c r="C1959" s="3" t="s">
        <v>17</v>
      </c>
    </row>
    <row r="1960">
      <c r="A1960" s="3" t="s">
        <v>8</v>
      </c>
      <c r="B1960" s="3" t="s">
        <v>9</v>
      </c>
      <c r="C1960" s="3" t="s">
        <v>16</v>
      </c>
    </row>
    <row r="1961">
      <c r="A1961" s="3" t="s">
        <v>8</v>
      </c>
      <c r="B1961" s="3" t="s">
        <v>9</v>
      </c>
      <c r="C1961" s="3" t="s">
        <v>10</v>
      </c>
    </row>
    <row r="1962">
      <c r="A1962" s="3" t="s">
        <v>8</v>
      </c>
      <c r="B1962" s="3" t="s">
        <v>16</v>
      </c>
    </row>
    <row r="1963">
      <c r="A1963" s="3" t="s">
        <v>8</v>
      </c>
      <c r="B1963" s="3" t="s">
        <v>9</v>
      </c>
      <c r="C1963" s="3" t="s">
        <v>16</v>
      </c>
    </row>
    <row r="1964">
      <c r="A1964" s="3" t="s">
        <v>8</v>
      </c>
      <c r="B1964" s="3" t="s">
        <v>17</v>
      </c>
    </row>
    <row r="1965">
      <c r="A1965" s="3" t="s">
        <v>8</v>
      </c>
      <c r="B1965" s="3" t="s">
        <v>9</v>
      </c>
    </row>
    <row r="1966">
      <c r="A1966" s="3" t="s">
        <v>8</v>
      </c>
      <c r="B1966" s="3" t="s">
        <v>9</v>
      </c>
      <c r="C1966" s="3" t="s">
        <v>10</v>
      </c>
    </row>
    <row r="1967">
      <c r="A1967" s="3" t="s">
        <v>8</v>
      </c>
      <c r="B1967" s="3" t="s">
        <v>9</v>
      </c>
    </row>
    <row r="1968">
      <c r="A1968" s="3" t="s">
        <v>8</v>
      </c>
      <c r="B1968" s="3" t="s">
        <v>17</v>
      </c>
    </row>
    <row r="1969">
      <c r="A1969" s="3" t="s">
        <v>8</v>
      </c>
      <c r="B1969" s="3" t="s">
        <v>9</v>
      </c>
    </row>
    <row r="1970">
      <c r="A1970" s="3" t="s">
        <v>8</v>
      </c>
      <c r="B1970" s="3" t="s">
        <v>9</v>
      </c>
      <c r="C1970" s="3" t="s">
        <v>16</v>
      </c>
    </row>
    <row r="1971">
      <c r="A1971" s="3" t="s">
        <v>8</v>
      </c>
      <c r="B1971" s="3" t="s">
        <v>9</v>
      </c>
      <c r="C1971" s="3" t="s">
        <v>10</v>
      </c>
    </row>
    <row r="1972">
      <c r="A1972" s="3" t="s">
        <v>8</v>
      </c>
      <c r="B1972" s="3" t="s">
        <v>9</v>
      </c>
      <c r="C1972" s="3" t="s">
        <v>16</v>
      </c>
    </row>
    <row r="1973">
      <c r="A1973" s="3" t="s">
        <v>8</v>
      </c>
      <c r="B1973" s="3" t="s">
        <v>9</v>
      </c>
      <c r="C1973" s="3" t="s">
        <v>10</v>
      </c>
    </row>
    <row r="1974">
      <c r="A1974" s="3" t="s">
        <v>8</v>
      </c>
    </row>
    <row r="1975">
      <c r="A1975" s="3" t="s">
        <v>8</v>
      </c>
      <c r="B1975" s="3" t="s">
        <v>9</v>
      </c>
      <c r="C1975" s="3" t="s">
        <v>10</v>
      </c>
    </row>
    <row r="1976">
      <c r="A1976" s="3" t="s">
        <v>8</v>
      </c>
      <c r="B1976" s="3" t="s">
        <v>9</v>
      </c>
    </row>
    <row r="1977">
      <c r="A1977" s="3" t="s">
        <v>8</v>
      </c>
      <c r="B1977" s="3" t="s">
        <v>9</v>
      </c>
      <c r="C1977" s="3" t="s">
        <v>10</v>
      </c>
    </row>
    <row r="1978">
      <c r="A1978" s="3" t="s">
        <v>8</v>
      </c>
      <c r="B1978" s="3" t="s">
        <v>9</v>
      </c>
      <c r="C1978" s="3" t="s">
        <v>10</v>
      </c>
    </row>
    <row r="1979">
      <c r="A1979" s="3" t="s">
        <v>8</v>
      </c>
    </row>
    <row r="1980">
      <c r="A1980" s="3" t="s">
        <v>8</v>
      </c>
      <c r="B1980" s="3" t="s">
        <v>9</v>
      </c>
      <c r="C1980" s="3" t="s">
        <v>15</v>
      </c>
    </row>
    <row r="1981">
      <c r="A1981" s="3" t="s">
        <v>8</v>
      </c>
    </row>
    <row r="1982">
      <c r="A1982" s="3" t="s">
        <v>8</v>
      </c>
      <c r="B1982" s="3" t="s">
        <v>15</v>
      </c>
    </row>
    <row r="1983">
      <c r="A1983" s="3" t="s">
        <v>9</v>
      </c>
      <c r="B1983" s="3" t="s">
        <v>15</v>
      </c>
      <c r="C1983" s="3" t="s">
        <v>16</v>
      </c>
    </row>
    <row r="1984">
      <c r="A1984" s="3" t="s">
        <v>9</v>
      </c>
      <c r="B1984" s="3" t="s">
        <v>10</v>
      </c>
      <c r="C1984" s="3" t="s">
        <v>18</v>
      </c>
    </row>
    <row r="1985">
      <c r="A1985" s="3" t="s">
        <v>9</v>
      </c>
      <c r="B1985" s="3" t="s">
        <v>10</v>
      </c>
    </row>
    <row r="1986">
      <c r="A1986" s="3" t="s">
        <v>9</v>
      </c>
      <c r="B1986" s="3" t="s">
        <v>10</v>
      </c>
      <c r="C1986" s="3" t="s">
        <v>18</v>
      </c>
    </row>
    <row r="1987">
      <c r="A1987" s="3" t="s">
        <v>9</v>
      </c>
      <c r="B1987" s="3" t="s">
        <v>10</v>
      </c>
    </row>
    <row r="1988">
      <c r="A1988" s="3" t="s">
        <v>9</v>
      </c>
      <c r="B1988" s="3" t="s">
        <v>10</v>
      </c>
    </row>
    <row r="1989">
      <c r="A1989" s="3" t="s">
        <v>9</v>
      </c>
      <c r="B1989" s="3" t="s">
        <v>10</v>
      </c>
    </row>
    <row r="1990">
      <c r="A1990" s="3" t="s">
        <v>9</v>
      </c>
      <c r="B1990" s="3" t="s">
        <v>10</v>
      </c>
    </row>
    <row r="1991">
      <c r="A1991" s="3" t="s">
        <v>9</v>
      </c>
      <c r="B1991" s="3" t="s">
        <v>10</v>
      </c>
    </row>
    <row r="1992">
      <c r="A1992" s="3" t="s">
        <v>9</v>
      </c>
      <c r="B1992" s="3" t="s">
        <v>10</v>
      </c>
    </row>
    <row r="1993">
      <c r="A1993" s="3" t="s">
        <v>9</v>
      </c>
      <c r="B1993" s="3" t="s">
        <v>10</v>
      </c>
    </row>
    <row r="1994">
      <c r="A1994" s="3" t="s">
        <v>9</v>
      </c>
      <c r="B1994" s="3" t="s">
        <v>10</v>
      </c>
      <c r="C1994" s="3" t="s">
        <v>18</v>
      </c>
    </row>
    <row r="1995">
      <c r="A1995" s="3" t="s">
        <v>9</v>
      </c>
      <c r="B1995" s="3" t="s">
        <v>10</v>
      </c>
      <c r="C1995" s="3" t="s">
        <v>18</v>
      </c>
    </row>
    <row r="1996">
      <c r="A1996" s="3" t="s">
        <v>9</v>
      </c>
      <c r="B1996" s="3" t="s">
        <v>10</v>
      </c>
      <c r="C1996" s="3" t="s">
        <v>18</v>
      </c>
    </row>
    <row r="1997">
      <c r="A1997" s="3" t="s">
        <v>9</v>
      </c>
      <c r="B1997" s="3" t="s">
        <v>10</v>
      </c>
    </row>
    <row r="1998">
      <c r="A1998" s="3" t="s">
        <v>9</v>
      </c>
      <c r="B1998" s="3" t="s">
        <v>10</v>
      </c>
    </row>
    <row r="1999">
      <c r="A1999" s="3" t="s">
        <v>9</v>
      </c>
      <c r="B1999" s="3" t="s">
        <v>12</v>
      </c>
    </row>
    <row r="2000">
      <c r="A2000" s="3" t="s">
        <v>9</v>
      </c>
      <c r="B2000" s="3" t="s">
        <v>12</v>
      </c>
      <c r="C2000" s="3" t="s">
        <v>18</v>
      </c>
    </row>
    <row r="2001">
      <c r="A2001" s="3" t="s">
        <v>9</v>
      </c>
      <c r="B2001" s="3" t="s">
        <v>10</v>
      </c>
    </row>
    <row r="2002">
      <c r="A2002" s="3" t="s">
        <v>9</v>
      </c>
      <c r="B2002" s="3" t="s">
        <v>10</v>
      </c>
      <c r="C2002" s="3" t="s">
        <v>16</v>
      </c>
    </row>
    <row r="2003">
      <c r="A2003" s="3" t="s">
        <v>9</v>
      </c>
      <c r="B2003" s="3" t="s">
        <v>10</v>
      </c>
      <c r="C2003" s="3" t="s">
        <v>18</v>
      </c>
    </row>
    <row r="2004">
      <c r="A2004" s="3" t="s">
        <v>10</v>
      </c>
      <c r="B2004" s="3" t="s">
        <v>17</v>
      </c>
      <c r="C2004" s="3" t="s">
        <v>18</v>
      </c>
    </row>
    <row r="2005">
      <c r="A2005" s="3" t="s">
        <v>10</v>
      </c>
      <c r="B2005" s="3" t="s">
        <v>18</v>
      </c>
    </row>
    <row r="2006">
      <c r="A2006" s="3" t="s">
        <v>11</v>
      </c>
      <c r="B2006" s="3" t="s">
        <v>15</v>
      </c>
      <c r="C2006" s="3" t="s">
        <v>16</v>
      </c>
    </row>
    <row r="2007">
      <c r="A2007" s="3" t="s">
        <v>11</v>
      </c>
      <c r="B2007" s="3" t="s">
        <v>12</v>
      </c>
    </row>
    <row r="2008">
      <c r="A2008" s="3" t="s">
        <v>11</v>
      </c>
      <c r="B2008" s="3" t="s">
        <v>12</v>
      </c>
      <c r="C2008" s="3" t="s">
        <v>15</v>
      </c>
    </row>
    <row r="2009">
      <c r="A2009" s="3" t="s">
        <v>11</v>
      </c>
      <c r="B2009" s="3" t="s">
        <v>12</v>
      </c>
      <c r="C2009" s="3" t="s">
        <v>17</v>
      </c>
    </row>
    <row r="2010">
      <c r="A2010" s="3" t="s">
        <v>11</v>
      </c>
      <c r="B2010" s="3" t="s">
        <v>12</v>
      </c>
    </row>
    <row r="2011">
      <c r="A2011" s="3" t="s">
        <v>11</v>
      </c>
      <c r="B2011" s="3" t="s">
        <v>12</v>
      </c>
      <c r="C2011" s="3" t="s">
        <v>17</v>
      </c>
    </row>
    <row r="2012">
      <c r="A2012" s="3" t="s">
        <v>11</v>
      </c>
      <c r="B2012" s="3" t="s">
        <v>16</v>
      </c>
    </row>
    <row r="2013">
      <c r="A2013" s="3" t="s">
        <v>11</v>
      </c>
      <c r="B2013" s="3" t="s">
        <v>12</v>
      </c>
      <c r="C2013" s="3" t="s">
        <v>15</v>
      </c>
    </row>
    <row r="2014">
      <c r="A2014" s="3" t="s">
        <v>11</v>
      </c>
      <c r="B2014" s="3" t="s">
        <v>12</v>
      </c>
    </row>
    <row r="2015">
      <c r="A2015" s="3" t="s">
        <v>11</v>
      </c>
      <c r="B2015" s="3" t="s">
        <v>12</v>
      </c>
    </row>
    <row r="2016">
      <c r="A2016" s="3" t="s">
        <v>11</v>
      </c>
      <c r="B2016" s="3" t="s">
        <v>12</v>
      </c>
    </row>
    <row r="2017">
      <c r="A2017" s="3" t="s">
        <v>11</v>
      </c>
      <c r="B2017" s="3" t="s">
        <v>12</v>
      </c>
      <c r="C2017" s="3" t="s">
        <v>15</v>
      </c>
    </row>
    <row r="2018">
      <c r="A2018" s="3" t="s">
        <v>11</v>
      </c>
      <c r="B2018" s="3" t="s">
        <v>12</v>
      </c>
      <c r="C2018" s="3" t="s">
        <v>15</v>
      </c>
    </row>
    <row r="2019">
      <c r="A2019" s="3" t="s">
        <v>11</v>
      </c>
      <c r="B2019" s="3" t="s">
        <v>12</v>
      </c>
    </row>
    <row r="2020">
      <c r="A2020" s="3" t="s">
        <v>11</v>
      </c>
      <c r="B2020" s="3" t="s">
        <v>12</v>
      </c>
      <c r="C2020" s="3" t="s">
        <v>16</v>
      </c>
    </row>
    <row r="2021">
      <c r="A2021" s="3" t="s">
        <v>11</v>
      </c>
      <c r="B2021" s="3" t="s">
        <v>12</v>
      </c>
    </row>
    <row r="2022">
      <c r="A2022" s="3" t="s">
        <v>11</v>
      </c>
      <c r="B2022" s="3" t="s">
        <v>12</v>
      </c>
    </row>
    <row r="2023">
      <c r="A2023" s="3" t="s">
        <v>11</v>
      </c>
      <c r="B2023" s="3" t="s">
        <v>12</v>
      </c>
      <c r="C2023" s="3" t="s">
        <v>17</v>
      </c>
    </row>
    <row r="2024">
      <c r="A2024" s="3" t="s">
        <v>11</v>
      </c>
      <c r="B2024" s="3" t="s">
        <v>12</v>
      </c>
    </row>
    <row r="2025">
      <c r="A2025" s="3" t="s">
        <v>11</v>
      </c>
      <c r="B2025" s="3" t="s">
        <v>12</v>
      </c>
      <c r="C2025" s="3" t="s">
        <v>17</v>
      </c>
    </row>
    <row r="2026">
      <c r="A2026" s="3" t="s">
        <v>11</v>
      </c>
    </row>
    <row r="2027">
      <c r="A2027" s="3" t="s">
        <v>11</v>
      </c>
      <c r="B2027" s="3" t="s">
        <v>12</v>
      </c>
    </row>
    <row r="2028">
      <c r="A2028" s="3" t="s">
        <v>11</v>
      </c>
      <c r="B2028" s="3" t="s">
        <v>12</v>
      </c>
      <c r="C2028" s="3" t="s">
        <v>17</v>
      </c>
    </row>
    <row r="2029">
      <c r="A2029" s="3" t="s">
        <v>11</v>
      </c>
      <c r="B2029" s="3" t="s">
        <v>12</v>
      </c>
    </row>
    <row r="2030">
      <c r="A2030" s="3" t="s">
        <v>11</v>
      </c>
    </row>
    <row r="2031">
      <c r="A2031" s="3" t="s">
        <v>11</v>
      </c>
      <c r="B2031" s="3" t="s">
        <v>12</v>
      </c>
      <c r="C2031" s="3" t="s">
        <v>15</v>
      </c>
    </row>
    <row r="2032">
      <c r="A2032" s="3" t="s">
        <v>11</v>
      </c>
      <c r="B2032" s="3" t="s">
        <v>12</v>
      </c>
      <c r="C2032" s="3" t="s">
        <v>15</v>
      </c>
    </row>
    <row r="2033">
      <c r="A2033" s="3" t="s">
        <v>11</v>
      </c>
      <c r="B2033" s="3" t="s">
        <v>12</v>
      </c>
    </row>
    <row r="2034">
      <c r="A2034" s="3" t="s">
        <v>11</v>
      </c>
      <c r="B2034" s="3" t="s">
        <v>12</v>
      </c>
      <c r="C2034" s="3" t="s">
        <v>15</v>
      </c>
    </row>
    <row r="2035">
      <c r="A2035" s="3" t="s">
        <v>11</v>
      </c>
      <c r="B2035" s="3" t="s">
        <v>15</v>
      </c>
      <c r="C2035" s="3" t="s">
        <v>16</v>
      </c>
    </row>
    <row r="2036">
      <c r="A2036" s="3" t="s">
        <v>11</v>
      </c>
      <c r="B2036" s="3" t="s">
        <v>15</v>
      </c>
    </row>
    <row r="2037">
      <c r="A2037" s="3" t="s">
        <v>12</v>
      </c>
      <c r="B2037" s="3" t="s">
        <v>17</v>
      </c>
      <c r="C2037" s="3" t="s">
        <v>18</v>
      </c>
    </row>
    <row r="2038">
      <c r="A2038" s="3" t="s">
        <v>12</v>
      </c>
      <c r="B2038" s="3" t="s">
        <v>17</v>
      </c>
      <c r="C2038" s="3" t="s">
        <v>18</v>
      </c>
    </row>
    <row r="2039">
      <c r="A2039" s="3" t="s">
        <v>12</v>
      </c>
      <c r="B2039" s="3" t="s">
        <v>15</v>
      </c>
      <c r="C2039" s="3" t="s">
        <v>17</v>
      </c>
    </row>
    <row r="2040">
      <c r="A2040" s="3" t="s">
        <v>12</v>
      </c>
      <c r="B2040" s="3" t="s">
        <v>17</v>
      </c>
      <c r="C2040" s="3" t="s">
        <v>18</v>
      </c>
    </row>
    <row r="2041">
      <c r="A2041" s="3" t="s">
        <v>12</v>
      </c>
      <c r="B2041" s="3" t="s">
        <v>17</v>
      </c>
      <c r="C2041" s="3" t="s">
        <v>18</v>
      </c>
    </row>
    <row r="2042">
      <c r="A2042" s="3" t="s">
        <v>12</v>
      </c>
      <c r="B2042" s="3" t="s">
        <v>15</v>
      </c>
    </row>
    <row r="2043">
      <c r="A2043" s="3" t="s">
        <v>12</v>
      </c>
      <c r="B2043" s="3" t="s">
        <v>17</v>
      </c>
      <c r="C2043" s="3" t="s">
        <v>18</v>
      </c>
    </row>
    <row r="2044">
      <c r="A2044" s="3" t="s">
        <v>12</v>
      </c>
      <c r="B2044" s="3" t="s">
        <v>17</v>
      </c>
      <c r="C2044" s="3" t="s">
        <v>18</v>
      </c>
    </row>
    <row r="2045">
      <c r="A2045" s="3" t="s">
        <v>12</v>
      </c>
      <c r="B2045" s="3" t="s">
        <v>16</v>
      </c>
    </row>
    <row r="2046">
      <c r="A2046" s="3" t="s">
        <v>13</v>
      </c>
      <c r="B2046" s="3" t="s">
        <v>14</v>
      </c>
    </row>
    <row r="2047">
      <c r="A2047" s="3" t="s">
        <v>13</v>
      </c>
      <c r="B2047" s="3" t="s">
        <v>14</v>
      </c>
      <c r="C2047" s="3" t="s">
        <v>17</v>
      </c>
    </row>
    <row r="2048">
      <c r="A2048" s="3" t="s">
        <v>13</v>
      </c>
      <c r="B2048" s="3" t="s">
        <v>14</v>
      </c>
      <c r="C2048" s="3" t="s">
        <v>17</v>
      </c>
    </row>
    <row r="2049">
      <c r="A2049" s="3" t="s">
        <v>13</v>
      </c>
      <c r="B2049" s="3" t="s">
        <v>14</v>
      </c>
      <c r="C2049" s="3" t="s">
        <v>17</v>
      </c>
    </row>
    <row r="2050">
      <c r="A2050" s="3" t="s">
        <v>13</v>
      </c>
      <c r="B2050" s="3" t="s">
        <v>14</v>
      </c>
    </row>
    <row r="2051">
      <c r="A2051" s="3" t="s">
        <v>13</v>
      </c>
      <c r="B2051" s="3" t="s">
        <v>14</v>
      </c>
      <c r="C2051" s="3" t="s">
        <v>17</v>
      </c>
    </row>
    <row r="2052">
      <c r="A2052" s="3" t="s">
        <v>13</v>
      </c>
      <c r="B2052" s="3" t="s">
        <v>14</v>
      </c>
      <c r="C2052" s="3" t="s">
        <v>17</v>
      </c>
    </row>
    <row r="2053">
      <c r="A2053" s="3" t="s">
        <v>13</v>
      </c>
      <c r="B2053" s="3" t="s">
        <v>14</v>
      </c>
    </row>
    <row r="2054">
      <c r="A2054" s="3" t="s">
        <v>13</v>
      </c>
      <c r="B2054" s="3" t="s">
        <v>14</v>
      </c>
      <c r="C2054" s="3" t="s">
        <v>17</v>
      </c>
    </row>
    <row r="2055">
      <c r="A2055" s="3" t="s">
        <v>13</v>
      </c>
      <c r="B2055" s="3" t="s">
        <v>14</v>
      </c>
    </row>
    <row r="2056">
      <c r="A2056" s="3" t="s">
        <v>13</v>
      </c>
      <c r="B2056" s="3" t="s">
        <v>14</v>
      </c>
    </row>
    <row r="2057">
      <c r="A2057" s="3" t="s">
        <v>13</v>
      </c>
      <c r="B2057" s="3" t="s">
        <v>14</v>
      </c>
    </row>
    <row r="2058">
      <c r="A2058" s="3" t="s">
        <v>13</v>
      </c>
      <c r="B2058" s="3" t="s">
        <v>14</v>
      </c>
    </row>
    <row r="2059">
      <c r="A2059" s="3" t="s">
        <v>13</v>
      </c>
      <c r="B2059" s="3" t="s">
        <v>14</v>
      </c>
    </row>
    <row r="2060">
      <c r="A2060" s="3" t="s">
        <v>13</v>
      </c>
      <c r="B2060" s="3" t="s">
        <v>14</v>
      </c>
    </row>
    <row r="2061">
      <c r="A2061" s="3" t="s">
        <v>13</v>
      </c>
      <c r="B2061" s="3" t="s">
        <v>14</v>
      </c>
      <c r="C2061" s="3" t="s">
        <v>17</v>
      </c>
    </row>
    <row r="2062">
      <c r="A2062" s="3" t="s">
        <v>13</v>
      </c>
      <c r="B2062" s="3" t="s">
        <v>14</v>
      </c>
    </row>
    <row r="2063">
      <c r="A2063" s="3" t="s">
        <v>13</v>
      </c>
      <c r="B2063" s="3" t="s">
        <v>14</v>
      </c>
      <c r="C2063" s="3" t="s">
        <v>17</v>
      </c>
    </row>
    <row r="2064">
      <c r="A2064" s="3" t="s">
        <v>13</v>
      </c>
      <c r="B2064" s="3" t="s">
        <v>14</v>
      </c>
    </row>
    <row r="2065">
      <c r="A2065" s="3" t="s">
        <v>13</v>
      </c>
      <c r="B2065" s="3" t="s">
        <v>14</v>
      </c>
      <c r="C2065" s="3" t="s">
        <v>17</v>
      </c>
    </row>
    <row r="2066">
      <c r="A2066" s="3" t="s">
        <v>13</v>
      </c>
      <c r="B2066" s="3" t="s">
        <v>14</v>
      </c>
    </row>
    <row r="2067">
      <c r="A2067" s="3" t="s">
        <v>13</v>
      </c>
      <c r="B2067" s="3" t="s">
        <v>14</v>
      </c>
    </row>
    <row r="2068">
      <c r="A2068" s="3" t="s">
        <v>13</v>
      </c>
      <c r="B2068" s="3" t="s">
        <v>14</v>
      </c>
    </row>
    <row r="2069">
      <c r="A2069" s="3" t="s">
        <v>13</v>
      </c>
      <c r="B2069" s="3" t="s">
        <v>14</v>
      </c>
      <c r="C2069" s="3" t="s">
        <v>17</v>
      </c>
    </row>
    <row r="2070">
      <c r="A2070" s="3" t="s">
        <v>13</v>
      </c>
      <c r="B2070" s="3" t="s">
        <v>14</v>
      </c>
    </row>
    <row r="2071">
      <c r="A2071" s="3" t="s">
        <v>13</v>
      </c>
      <c r="B2071" s="3" t="s">
        <v>14</v>
      </c>
    </row>
    <row r="2072">
      <c r="A2072" s="3" t="s">
        <v>13</v>
      </c>
      <c r="B2072" s="3" t="s">
        <v>14</v>
      </c>
    </row>
    <row r="2073">
      <c r="A2073" s="3" t="s">
        <v>13</v>
      </c>
      <c r="B2073" s="3" t="s">
        <v>14</v>
      </c>
    </row>
    <row r="2074">
      <c r="A2074" s="3" t="s">
        <v>13</v>
      </c>
      <c r="B2074" s="3" t="s">
        <v>14</v>
      </c>
    </row>
    <row r="2075">
      <c r="A2075" s="3" t="s">
        <v>13</v>
      </c>
      <c r="B2075" s="3" t="s">
        <v>14</v>
      </c>
      <c r="C2075" s="3" t="s">
        <v>17</v>
      </c>
    </row>
    <row r="2076">
      <c r="A2076" s="3" t="s">
        <v>13</v>
      </c>
      <c r="B2076" s="3" t="s">
        <v>14</v>
      </c>
    </row>
    <row r="2077">
      <c r="A2077" s="3" t="s">
        <v>13</v>
      </c>
      <c r="B2077" s="3" t="s">
        <v>15</v>
      </c>
      <c r="C2077" s="3" t="s">
        <v>17</v>
      </c>
    </row>
    <row r="2078">
      <c r="A2078" s="3" t="s">
        <v>14</v>
      </c>
      <c r="B2078" s="3" t="s">
        <v>17</v>
      </c>
      <c r="C2078" s="3" t="s">
        <v>18</v>
      </c>
    </row>
    <row r="2079">
      <c r="A2079" s="3" t="s">
        <v>14</v>
      </c>
      <c r="B2079" s="3" t="s">
        <v>17</v>
      </c>
      <c r="C2079" s="3" t="s">
        <v>18</v>
      </c>
    </row>
    <row r="2080">
      <c r="A2080" s="3" t="s">
        <v>14</v>
      </c>
      <c r="B2080" s="3" t="s">
        <v>17</v>
      </c>
      <c r="C2080" s="3" t="s">
        <v>18</v>
      </c>
    </row>
    <row r="2081">
      <c r="A2081" s="3" t="s">
        <v>14</v>
      </c>
      <c r="B2081" s="3" t="s">
        <v>17</v>
      </c>
      <c r="C2081" s="3" t="s">
        <v>18</v>
      </c>
    </row>
    <row r="2082">
      <c r="A2082" s="3" t="s">
        <v>14</v>
      </c>
      <c r="B2082" s="3" t="s">
        <v>17</v>
      </c>
      <c r="C2082" s="3" t="s">
        <v>18</v>
      </c>
    </row>
    <row r="2083">
      <c r="A2083" s="3" t="s">
        <v>14</v>
      </c>
      <c r="B2083" s="3" t="s">
        <v>17</v>
      </c>
      <c r="C2083" s="3" t="s">
        <v>18</v>
      </c>
    </row>
    <row r="2084">
      <c r="A2084" s="3" t="s">
        <v>14</v>
      </c>
      <c r="B2084" s="3" t="s">
        <v>17</v>
      </c>
      <c r="C2084" s="3" t="s">
        <v>18</v>
      </c>
    </row>
    <row r="2085">
      <c r="A2085" s="3" t="s">
        <v>14</v>
      </c>
      <c r="B2085" s="3" t="s">
        <v>17</v>
      </c>
      <c r="C2085" s="3" t="s">
        <v>18</v>
      </c>
    </row>
    <row r="2086">
      <c r="A2086" s="3" t="s">
        <v>15</v>
      </c>
      <c r="B2086" s="3" t="s">
        <v>16</v>
      </c>
      <c r="C2086" s="3" t="s">
        <v>17</v>
      </c>
    </row>
    <row r="2087">
      <c r="A2087" s="3" t="s">
        <v>15</v>
      </c>
      <c r="B2087" s="3" t="s">
        <v>16</v>
      </c>
      <c r="C2087" s="3" t="s">
        <v>17</v>
      </c>
    </row>
    <row r="2088">
      <c r="A2088" s="3" t="s">
        <v>15</v>
      </c>
      <c r="B2088" s="3" t="s">
        <v>16</v>
      </c>
      <c r="C2088" s="3" t="s">
        <v>17</v>
      </c>
    </row>
    <row r="2089">
      <c r="A2089" s="3" t="s">
        <v>15</v>
      </c>
    </row>
    <row r="2090">
      <c r="A2090" s="3" t="s">
        <v>15</v>
      </c>
      <c r="B2090" s="3" t="s">
        <v>16</v>
      </c>
      <c r="C2090" s="3" t="s">
        <v>17</v>
      </c>
    </row>
    <row r="2091">
      <c r="A2091" s="3" t="s">
        <v>15</v>
      </c>
      <c r="B2091" s="3" t="s">
        <v>16</v>
      </c>
    </row>
    <row r="2092">
      <c r="A2092" s="3" t="s">
        <v>15</v>
      </c>
      <c r="B2092" s="3" t="s">
        <v>16</v>
      </c>
    </row>
    <row r="2093">
      <c r="A2093" s="3" t="s">
        <v>15</v>
      </c>
      <c r="B2093" s="3" t="s">
        <v>17</v>
      </c>
    </row>
    <row r="2094">
      <c r="A2094" s="3" t="s">
        <v>15</v>
      </c>
      <c r="B2094" s="3" t="s">
        <v>16</v>
      </c>
    </row>
    <row r="2095">
      <c r="A2095" s="3" t="s">
        <v>15</v>
      </c>
      <c r="B2095" s="3" t="s">
        <v>16</v>
      </c>
      <c r="C2095" s="3" t="s">
        <v>17</v>
      </c>
    </row>
    <row r="2096">
      <c r="A2096" s="3" t="s">
        <v>15</v>
      </c>
      <c r="B2096" s="3" t="s">
        <v>16</v>
      </c>
      <c r="C2096" s="3" t="s">
        <v>17</v>
      </c>
    </row>
    <row r="2097">
      <c r="A2097" s="3" t="s">
        <v>15</v>
      </c>
    </row>
    <row r="2098">
      <c r="A2098" s="3" t="s">
        <v>15</v>
      </c>
      <c r="B2098" s="3" t="s">
        <v>16</v>
      </c>
    </row>
    <row r="2099">
      <c r="A2099" s="3" t="s">
        <v>15</v>
      </c>
      <c r="B2099" s="3" t="s">
        <v>16</v>
      </c>
    </row>
    <row r="2100">
      <c r="A2100" s="3" t="s">
        <v>15</v>
      </c>
    </row>
    <row r="2101">
      <c r="A2101" s="3" t="s">
        <v>15</v>
      </c>
      <c r="B2101" s="3" t="s">
        <v>16</v>
      </c>
    </row>
    <row r="2102">
      <c r="A2102" s="3" t="s">
        <v>15</v>
      </c>
      <c r="B2102" s="3" t="s">
        <v>16</v>
      </c>
    </row>
    <row r="2103">
      <c r="A2103" s="3" t="s">
        <v>16</v>
      </c>
      <c r="B2103" s="3" t="s">
        <v>17</v>
      </c>
      <c r="C2103" s="3" t="s">
        <v>18</v>
      </c>
    </row>
    <row r="2104">
      <c r="A2104" s="3" t="s">
        <v>16</v>
      </c>
      <c r="B2104" s="3" t="s">
        <v>17</v>
      </c>
    </row>
    <row r="2105">
      <c r="A2105" s="3" t="s">
        <v>16</v>
      </c>
      <c r="B2105" s="3" t="s">
        <v>17</v>
      </c>
      <c r="C2105" s="3" t="s">
        <v>18</v>
      </c>
    </row>
    <row r="2106">
      <c r="A2106" s="3" t="s">
        <v>16</v>
      </c>
      <c r="B2106" s="3" t="s">
        <v>17</v>
      </c>
      <c r="C2106" s="3" t="s">
        <v>18</v>
      </c>
    </row>
    <row r="2107">
      <c r="A2107" s="3" t="s">
        <v>16</v>
      </c>
      <c r="B2107" s="3" t="s">
        <v>17</v>
      </c>
      <c r="C2107" s="3" t="s">
        <v>18</v>
      </c>
    </row>
    <row r="2108">
      <c r="A2108" s="3" t="s">
        <v>16</v>
      </c>
      <c r="B2108" s="3" t="s">
        <v>17</v>
      </c>
      <c r="C2108" s="3" t="s">
        <v>18</v>
      </c>
    </row>
    <row r="2109">
      <c r="A2109" s="3" t="s">
        <v>16</v>
      </c>
      <c r="B2109" s="3" t="s">
        <v>17</v>
      </c>
      <c r="C2109" s="3" t="s">
        <v>18</v>
      </c>
    </row>
    <row r="2110">
      <c r="A2110" s="3" t="s">
        <v>16</v>
      </c>
    </row>
    <row r="2111">
      <c r="A2111" s="3" t="s">
        <v>16</v>
      </c>
      <c r="B2111" s="3" t="s">
        <v>17</v>
      </c>
      <c r="C2111" s="3" t="s">
        <v>18</v>
      </c>
    </row>
    <row r="2112">
      <c r="A2112" s="3" t="s">
        <v>17</v>
      </c>
      <c r="B2112" s="3" t="s">
        <v>18</v>
      </c>
    </row>
    <row r="2113">
      <c r="A2113" s="3" t="s">
        <v>6</v>
      </c>
      <c r="B2113" s="3" t="s">
        <v>7</v>
      </c>
      <c r="C2113" s="3" t="s">
        <v>15</v>
      </c>
    </row>
    <row r="2114">
      <c r="A2114" s="3" t="s">
        <v>6</v>
      </c>
      <c r="B2114" s="3" t="s">
        <v>7</v>
      </c>
      <c r="C2114" s="3" t="s">
        <v>15</v>
      </c>
    </row>
    <row r="2115">
      <c r="A2115" s="3" t="s">
        <v>6</v>
      </c>
      <c r="B2115" s="3" t="s">
        <v>7</v>
      </c>
      <c r="C2115" s="3" t="s">
        <v>15</v>
      </c>
    </row>
    <row r="2116">
      <c r="A2116" s="3" t="s">
        <v>6</v>
      </c>
      <c r="B2116" s="3" t="s">
        <v>7</v>
      </c>
      <c r="C2116" s="3" t="s">
        <v>15</v>
      </c>
    </row>
    <row r="2117">
      <c r="A2117" s="3" t="s">
        <v>6</v>
      </c>
      <c r="B2117" s="3" t="s">
        <v>7</v>
      </c>
    </row>
    <row r="2118">
      <c r="A2118" s="3" t="s">
        <v>6</v>
      </c>
      <c r="B2118" s="3" t="s">
        <v>7</v>
      </c>
    </row>
    <row r="2119">
      <c r="A2119" s="3" t="s">
        <v>6</v>
      </c>
      <c r="B2119" s="3" t="s">
        <v>7</v>
      </c>
    </row>
    <row r="2120">
      <c r="A2120" s="3" t="s">
        <v>6</v>
      </c>
      <c r="B2120" s="3" t="s">
        <v>7</v>
      </c>
    </row>
    <row r="2121">
      <c r="A2121" s="3" t="s">
        <v>6</v>
      </c>
      <c r="B2121" s="3" t="s">
        <v>7</v>
      </c>
      <c r="C2121" s="3" t="s">
        <v>15</v>
      </c>
    </row>
    <row r="2122">
      <c r="A2122" s="3" t="s">
        <v>6</v>
      </c>
      <c r="B2122" s="3" t="s">
        <v>7</v>
      </c>
    </row>
    <row r="2123">
      <c r="A2123" s="3" t="s">
        <v>6</v>
      </c>
      <c r="B2123" s="3" t="s">
        <v>7</v>
      </c>
      <c r="C2123" s="3" t="s">
        <v>8</v>
      </c>
    </row>
    <row r="2124">
      <c r="A2124" s="3" t="s">
        <v>6</v>
      </c>
      <c r="B2124" s="3" t="s">
        <v>7</v>
      </c>
      <c r="C2124" s="3" t="s">
        <v>11</v>
      </c>
    </row>
    <row r="2125">
      <c r="A2125" s="3" t="s">
        <v>6</v>
      </c>
      <c r="B2125" s="3" t="s">
        <v>7</v>
      </c>
    </row>
    <row r="2126">
      <c r="A2126" s="3" t="s">
        <v>6</v>
      </c>
      <c r="B2126" s="3" t="s">
        <v>7</v>
      </c>
    </row>
    <row r="2127">
      <c r="A2127" s="3" t="s">
        <v>6</v>
      </c>
      <c r="B2127" s="3" t="s">
        <v>15</v>
      </c>
    </row>
    <row r="2128">
      <c r="A2128" s="3" t="s">
        <v>6</v>
      </c>
    </row>
    <row r="2129">
      <c r="A2129" s="3" t="s">
        <v>6</v>
      </c>
      <c r="B2129" s="3" t="s">
        <v>15</v>
      </c>
    </row>
    <row r="2130">
      <c r="A2130" s="3" t="s">
        <v>6</v>
      </c>
      <c r="B2130" s="3" t="s">
        <v>7</v>
      </c>
    </row>
    <row r="2131">
      <c r="A2131" s="3" t="s">
        <v>6</v>
      </c>
      <c r="B2131" s="3" t="s">
        <v>7</v>
      </c>
    </row>
    <row r="2132">
      <c r="A2132" s="3" t="s">
        <v>6</v>
      </c>
      <c r="B2132" s="3" t="s">
        <v>7</v>
      </c>
      <c r="C2132" s="3" t="s">
        <v>8</v>
      </c>
    </row>
    <row r="2133">
      <c r="A2133" s="3" t="s">
        <v>6</v>
      </c>
    </row>
    <row r="2134">
      <c r="A2134" s="3" t="s">
        <v>6</v>
      </c>
    </row>
    <row r="2135">
      <c r="A2135" s="3" t="s">
        <v>6</v>
      </c>
      <c r="B2135" s="3" t="s">
        <v>13</v>
      </c>
      <c r="C2135" s="3" t="s">
        <v>14</v>
      </c>
    </row>
    <row r="2136">
      <c r="A2136" s="3" t="s">
        <v>6</v>
      </c>
      <c r="B2136" s="3" t="s">
        <v>13</v>
      </c>
    </row>
    <row r="2137">
      <c r="A2137" s="3" t="s">
        <v>6</v>
      </c>
      <c r="B2137" s="3" t="s">
        <v>7</v>
      </c>
    </row>
    <row r="2138">
      <c r="A2138" s="3" t="s">
        <v>6</v>
      </c>
      <c r="B2138" s="3" t="s">
        <v>7</v>
      </c>
    </row>
    <row r="2139">
      <c r="A2139" s="3" t="s">
        <v>6</v>
      </c>
      <c r="B2139" s="3" t="s">
        <v>15</v>
      </c>
    </row>
    <row r="2140">
      <c r="A2140" s="3" t="s">
        <v>6</v>
      </c>
      <c r="B2140" s="3" t="s">
        <v>7</v>
      </c>
    </row>
    <row r="2141">
      <c r="A2141" s="3" t="s">
        <v>6</v>
      </c>
      <c r="B2141" s="3" t="s">
        <v>11</v>
      </c>
      <c r="C2141" s="3" t="s">
        <v>12</v>
      </c>
    </row>
    <row r="2142">
      <c r="A2142" s="3" t="s">
        <v>6</v>
      </c>
      <c r="B2142" s="3" t="s">
        <v>7</v>
      </c>
      <c r="C2142" s="3" t="s">
        <v>8</v>
      </c>
    </row>
    <row r="2143">
      <c r="A2143" s="3" t="s">
        <v>6</v>
      </c>
      <c r="B2143" s="3" t="s">
        <v>7</v>
      </c>
      <c r="C2143" s="3" t="s">
        <v>8</v>
      </c>
    </row>
    <row r="2144">
      <c r="A2144" s="3" t="s">
        <v>6</v>
      </c>
      <c r="B2144" s="3" t="s">
        <v>11</v>
      </c>
      <c r="C2144" s="3" t="s">
        <v>12</v>
      </c>
    </row>
    <row r="2145">
      <c r="A2145" s="3" t="s">
        <v>6</v>
      </c>
      <c r="B2145" s="3" t="s">
        <v>7</v>
      </c>
      <c r="C2145" s="3" t="s">
        <v>15</v>
      </c>
    </row>
    <row r="2146">
      <c r="A2146" s="3" t="s">
        <v>6</v>
      </c>
      <c r="B2146" s="3" t="s">
        <v>7</v>
      </c>
    </row>
    <row r="2147">
      <c r="A2147" s="3" t="s">
        <v>6</v>
      </c>
      <c r="B2147" s="3" t="s">
        <v>7</v>
      </c>
      <c r="C2147" s="3" t="s">
        <v>8</v>
      </c>
    </row>
    <row r="2148">
      <c r="A2148" s="3" t="s">
        <v>6</v>
      </c>
      <c r="B2148" s="3" t="s">
        <v>7</v>
      </c>
      <c r="C2148" s="3" t="s">
        <v>13</v>
      </c>
    </row>
    <row r="2149">
      <c r="A2149" s="3" t="s">
        <v>6</v>
      </c>
      <c r="B2149" s="3" t="s">
        <v>7</v>
      </c>
      <c r="C2149" s="3" t="s">
        <v>8</v>
      </c>
    </row>
    <row r="2150">
      <c r="A2150" s="3" t="s">
        <v>6</v>
      </c>
    </row>
    <row r="2151">
      <c r="A2151" s="3" t="s">
        <v>6</v>
      </c>
      <c r="B2151" s="3" t="s">
        <v>7</v>
      </c>
      <c r="C2151" s="3" t="s">
        <v>13</v>
      </c>
    </row>
    <row r="2152">
      <c r="A2152" s="3" t="s">
        <v>6</v>
      </c>
      <c r="B2152" s="3" t="s">
        <v>7</v>
      </c>
      <c r="C2152" s="3" t="s">
        <v>8</v>
      </c>
    </row>
    <row r="2153">
      <c r="A2153" s="3" t="s">
        <v>6</v>
      </c>
    </row>
    <row r="2154">
      <c r="A2154" s="3" t="s">
        <v>6</v>
      </c>
      <c r="B2154" s="3" t="s">
        <v>15</v>
      </c>
    </row>
    <row r="2155">
      <c r="A2155" s="3" t="s">
        <v>6</v>
      </c>
      <c r="B2155" s="3" t="s">
        <v>7</v>
      </c>
      <c r="C2155" s="3" t="s">
        <v>8</v>
      </c>
    </row>
    <row r="2156">
      <c r="A2156" s="3" t="s">
        <v>6</v>
      </c>
      <c r="B2156" s="3" t="s">
        <v>15</v>
      </c>
    </row>
    <row r="2157">
      <c r="A2157" s="3" t="s">
        <v>6</v>
      </c>
    </row>
    <row r="2158">
      <c r="A2158" s="3" t="s">
        <v>6</v>
      </c>
      <c r="B2158" s="3" t="s">
        <v>13</v>
      </c>
    </row>
    <row r="2159">
      <c r="A2159" s="3" t="s">
        <v>6</v>
      </c>
      <c r="B2159" s="3" t="s">
        <v>8</v>
      </c>
    </row>
    <row r="2160">
      <c r="A2160" s="3" t="s">
        <v>6</v>
      </c>
    </row>
    <row r="2161">
      <c r="A2161" s="3" t="s">
        <v>6</v>
      </c>
      <c r="B2161" s="3" t="s">
        <v>15</v>
      </c>
    </row>
    <row r="2162">
      <c r="A2162" s="3" t="s">
        <v>6</v>
      </c>
    </row>
    <row r="2163">
      <c r="A2163" s="3" t="s">
        <v>6</v>
      </c>
      <c r="B2163" s="3" t="s">
        <v>15</v>
      </c>
    </row>
    <row r="2164">
      <c r="A2164" s="3" t="s">
        <v>6</v>
      </c>
      <c r="B2164" s="3" t="s">
        <v>7</v>
      </c>
      <c r="C2164" s="3" t="s">
        <v>8</v>
      </c>
    </row>
    <row r="2165">
      <c r="A2165" s="3" t="s">
        <v>609</v>
      </c>
    </row>
    <row r="2166">
      <c r="A2166" s="3" t="s">
        <v>7</v>
      </c>
      <c r="B2166" s="3" t="s">
        <v>8</v>
      </c>
      <c r="C2166" s="3" t="s">
        <v>9</v>
      </c>
    </row>
    <row r="2167">
      <c r="A2167" s="3" t="s">
        <v>7</v>
      </c>
      <c r="B2167" s="3" t="s">
        <v>8</v>
      </c>
      <c r="C2167" s="3" t="s">
        <v>9</v>
      </c>
    </row>
    <row r="2168">
      <c r="A2168" s="3" t="s">
        <v>7</v>
      </c>
      <c r="B2168" s="3" t="s">
        <v>8</v>
      </c>
    </row>
    <row r="2169">
      <c r="A2169" s="3" t="s">
        <v>7</v>
      </c>
      <c r="B2169" s="3" t="s">
        <v>8</v>
      </c>
    </row>
    <row r="2170">
      <c r="A2170" s="3" t="s">
        <v>7</v>
      </c>
      <c r="B2170" s="3" t="s">
        <v>8</v>
      </c>
      <c r="C2170" s="3" t="s">
        <v>9</v>
      </c>
    </row>
    <row r="2171">
      <c r="A2171" s="3" t="s">
        <v>7</v>
      </c>
      <c r="B2171" s="3" t="s">
        <v>11</v>
      </c>
      <c r="C2171" s="3" t="s">
        <v>15</v>
      </c>
    </row>
    <row r="2172">
      <c r="A2172" s="3" t="s">
        <v>7</v>
      </c>
    </row>
    <row r="2173">
      <c r="A2173" s="3" t="s">
        <v>7</v>
      </c>
    </row>
    <row r="2174">
      <c r="A2174" s="3" t="s">
        <v>7</v>
      </c>
      <c r="B2174" s="3" t="s">
        <v>8</v>
      </c>
    </row>
    <row r="2175">
      <c r="A2175" s="3" t="s">
        <v>7</v>
      </c>
      <c r="B2175" s="3" t="s">
        <v>8</v>
      </c>
    </row>
    <row r="2176">
      <c r="A2176" s="3" t="s">
        <v>7</v>
      </c>
      <c r="B2176" s="3" t="s">
        <v>8</v>
      </c>
      <c r="C2176" s="3" t="s">
        <v>9</v>
      </c>
    </row>
    <row r="2177">
      <c r="A2177" s="3" t="s">
        <v>7</v>
      </c>
      <c r="B2177" s="3" t="s">
        <v>8</v>
      </c>
      <c r="C2177" s="3" t="s">
        <v>9</v>
      </c>
    </row>
    <row r="2178">
      <c r="A2178" s="3" t="s">
        <v>7</v>
      </c>
    </row>
    <row r="2179">
      <c r="A2179" s="3" t="s">
        <v>7</v>
      </c>
      <c r="B2179" s="3" t="s">
        <v>11</v>
      </c>
    </row>
    <row r="2180">
      <c r="A2180" s="3" t="s">
        <v>7</v>
      </c>
      <c r="B2180" s="3" t="s">
        <v>8</v>
      </c>
      <c r="C2180" s="3" t="s">
        <v>9</v>
      </c>
    </row>
    <row r="2181">
      <c r="A2181" s="3" t="s">
        <v>8</v>
      </c>
      <c r="B2181" s="3" t="s">
        <v>16</v>
      </c>
      <c r="C2181" s="3" t="s">
        <v>17</v>
      </c>
    </row>
    <row r="2182">
      <c r="A2182" s="3" t="s">
        <v>8</v>
      </c>
      <c r="B2182" s="3" t="s">
        <v>16</v>
      </c>
      <c r="C2182" s="3" t="s">
        <v>17</v>
      </c>
    </row>
    <row r="2183">
      <c r="A2183" s="3" t="s">
        <v>8</v>
      </c>
      <c r="B2183" s="3" t="s">
        <v>9</v>
      </c>
      <c r="C2183" s="3" t="s">
        <v>10</v>
      </c>
    </row>
    <row r="2184">
      <c r="A2184" s="3" t="s">
        <v>8</v>
      </c>
      <c r="B2184" s="3" t="s">
        <v>9</v>
      </c>
      <c r="C2184" s="3" t="s">
        <v>16</v>
      </c>
    </row>
    <row r="2185">
      <c r="A2185" s="3" t="s">
        <v>8</v>
      </c>
      <c r="B2185" s="3" t="s">
        <v>9</v>
      </c>
      <c r="C2185" s="3" t="s">
        <v>16</v>
      </c>
    </row>
    <row r="2186">
      <c r="A2186" s="3" t="s">
        <v>8</v>
      </c>
      <c r="B2186" s="3" t="s">
        <v>9</v>
      </c>
      <c r="C2186" s="3" t="s">
        <v>16</v>
      </c>
    </row>
    <row r="2187">
      <c r="A2187" s="3" t="s">
        <v>8</v>
      </c>
      <c r="B2187" s="3" t="s">
        <v>15</v>
      </c>
      <c r="C2187" s="3" t="s">
        <v>16</v>
      </c>
    </row>
    <row r="2188">
      <c r="A2188" s="3" t="s">
        <v>8</v>
      </c>
      <c r="B2188" s="3" t="s">
        <v>16</v>
      </c>
      <c r="C2188" s="3" t="s">
        <v>17</v>
      </c>
    </row>
    <row r="2189">
      <c r="A2189" s="3" t="s">
        <v>8</v>
      </c>
    </row>
    <row r="2190">
      <c r="A2190" s="3" t="s">
        <v>8</v>
      </c>
      <c r="B2190" s="3" t="s">
        <v>9</v>
      </c>
      <c r="C2190" s="3" t="s">
        <v>10</v>
      </c>
    </row>
    <row r="2191">
      <c r="A2191" s="3" t="s">
        <v>8</v>
      </c>
      <c r="B2191" s="3" t="s">
        <v>9</v>
      </c>
    </row>
    <row r="2192">
      <c r="A2192" s="3" t="s">
        <v>8</v>
      </c>
      <c r="B2192" s="3" t="s">
        <v>9</v>
      </c>
      <c r="C2192" s="3" t="s">
        <v>16</v>
      </c>
    </row>
    <row r="2193">
      <c r="A2193" s="3" t="s">
        <v>8</v>
      </c>
      <c r="B2193" s="3" t="s">
        <v>9</v>
      </c>
      <c r="C2193" s="3" t="s">
        <v>10</v>
      </c>
    </row>
    <row r="2194">
      <c r="A2194" s="3" t="s">
        <v>8</v>
      </c>
      <c r="B2194" s="3" t="s">
        <v>14</v>
      </c>
      <c r="C2194" s="3" t="s">
        <v>17</v>
      </c>
    </row>
    <row r="2195">
      <c r="A2195" s="3" t="s">
        <v>8</v>
      </c>
      <c r="B2195" s="3" t="s">
        <v>9</v>
      </c>
    </row>
    <row r="2196">
      <c r="A2196" s="3" t="s">
        <v>8</v>
      </c>
      <c r="B2196" s="3" t="s">
        <v>9</v>
      </c>
      <c r="C2196" s="3" t="s">
        <v>10</v>
      </c>
    </row>
    <row r="2197">
      <c r="A2197" s="3" t="s">
        <v>8</v>
      </c>
      <c r="B2197" s="3" t="s">
        <v>9</v>
      </c>
      <c r="C2197" s="3" t="s">
        <v>16</v>
      </c>
    </row>
    <row r="2198">
      <c r="A2198" s="3" t="s">
        <v>8</v>
      </c>
      <c r="B2198" s="3" t="s">
        <v>9</v>
      </c>
      <c r="C2198" s="3" t="s">
        <v>10</v>
      </c>
    </row>
    <row r="2199">
      <c r="A2199" s="3" t="s">
        <v>8</v>
      </c>
      <c r="B2199" s="3" t="s">
        <v>9</v>
      </c>
      <c r="C2199" s="3" t="s">
        <v>10</v>
      </c>
    </row>
    <row r="2200">
      <c r="A2200" s="3" t="s">
        <v>8</v>
      </c>
      <c r="B2200" s="3" t="s">
        <v>9</v>
      </c>
      <c r="C2200" s="3" t="s">
        <v>10</v>
      </c>
    </row>
    <row r="2201">
      <c r="A2201" s="3" t="s">
        <v>8</v>
      </c>
      <c r="B2201" s="3" t="s">
        <v>9</v>
      </c>
      <c r="C2201" s="3" t="s">
        <v>10</v>
      </c>
    </row>
    <row r="2202">
      <c r="A2202" s="3" t="s">
        <v>8</v>
      </c>
      <c r="B2202" s="3" t="s">
        <v>9</v>
      </c>
    </row>
    <row r="2203">
      <c r="A2203" s="3" t="s">
        <v>8</v>
      </c>
      <c r="B2203" s="3" t="s">
        <v>9</v>
      </c>
      <c r="C2203" s="3" t="s">
        <v>10</v>
      </c>
    </row>
    <row r="2204">
      <c r="A2204" s="3" t="s">
        <v>8</v>
      </c>
      <c r="B2204" s="3" t="s">
        <v>9</v>
      </c>
      <c r="C2204" s="3" t="s">
        <v>10</v>
      </c>
    </row>
    <row r="2205">
      <c r="A2205" s="3" t="s">
        <v>8</v>
      </c>
      <c r="B2205" s="3" t="s">
        <v>9</v>
      </c>
      <c r="C2205" s="3" t="s">
        <v>10</v>
      </c>
    </row>
    <row r="2206">
      <c r="A2206" s="3" t="s">
        <v>8</v>
      </c>
      <c r="B2206" s="3" t="s">
        <v>9</v>
      </c>
      <c r="C2206" s="3" t="s">
        <v>10</v>
      </c>
    </row>
    <row r="2207">
      <c r="A2207" s="3" t="s">
        <v>8</v>
      </c>
      <c r="B2207" s="3" t="s">
        <v>9</v>
      </c>
      <c r="C2207" s="3" t="s">
        <v>10</v>
      </c>
    </row>
    <row r="2208">
      <c r="A2208" s="3" t="s">
        <v>9</v>
      </c>
      <c r="B2208" s="3" t="s">
        <v>10</v>
      </c>
      <c r="C2208" s="3" t="s">
        <v>16</v>
      </c>
    </row>
    <row r="2209">
      <c r="A2209" s="3" t="s">
        <v>9</v>
      </c>
    </row>
    <row r="2210">
      <c r="A2210" s="3" t="s">
        <v>9</v>
      </c>
      <c r="B2210" s="3" t="s">
        <v>10</v>
      </c>
    </row>
    <row r="2211">
      <c r="A2211" s="3" t="s">
        <v>9</v>
      </c>
      <c r="B2211" s="3" t="s">
        <v>10</v>
      </c>
    </row>
    <row r="2212">
      <c r="A2212" s="3" t="s">
        <v>9</v>
      </c>
      <c r="B2212" s="3" t="s">
        <v>10</v>
      </c>
      <c r="C2212" s="3" t="s">
        <v>18</v>
      </c>
    </row>
    <row r="2213">
      <c r="A2213" s="3" t="s">
        <v>9</v>
      </c>
      <c r="B2213" s="3" t="s">
        <v>10</v>
      </c>
    </row>
    <row r="2214">
      <c r="A2214" s="3" t="s">
        <v>9</v>
      </c>
      <c r="B2214" s="3" t="s">
        <v>10</v>
      </c>
    </row>
    <row r="2215">
      <c r="A2215" s="3" t="s">
        <v>9</v>
      </c>
      <c r="B2215" s="3" t="s">
        <v>10</v>
      </c>
    </row>
    <row r="2216">
      <c r="A2216" s="3" t="s">
        <v>9</v>
      </c>
      <c r="B2216" s="3" t="s">
        <v>10</v>
      </c>
    </row>
    <row r="2217">
      <c r="A2217" s="3" t="s">
        <v>9</v>
      </c>
      <c r="B2217" s="3" t="s">
        <v>10</v>
      </c>
    </row>
    <row r="2218">
      <c r="A2218" s="3" t="s">
        <v>9</v>
      </c>
      <c r="B2218" s="3" t="s">
        <v>10</v>
      </c>
      <c r="C2218" s="3" t="s">
        <v>18</v>
      </c>
    </row>
    <row r="2219">
      <c r="A2219" s="3" t="s">
        <v>9</v>
      </c>
      <c r="B2219" s="3" t="s">
        <v>18</v>
      </c>
    </row>
    <row r="2220">
      <c r="A2220" s="3" t="s">
        <v>9</v>
      </c>
      <c r="B2220" s="3" t="s">
        <v>10</v>
      </c>
      <c r="C2220" s="3" t="s">
        <v>18</v>
      </c>
    </row>
    <row r="2221">
      <c r="A2221" s="3" t="s">
        <v>9</v>
      </c>
      <c r="B2221" s="3" t="s">
        <v>10</v>
      </c>
    </row>
    <row r="2222">
      <c r="A2222" s="3" t="s">
        <v>9</v>
      </c>
      <c r="B2222" s="3" t="s">
        <v>14</v>
      </c>
      <c r="C2222" s="3" t="s">
        <v>18</v>
      </c>
    </row>
    <row r="2223">
      <c r="A2223" s="3" t="s">
        <v>9</v>
      </c>
      <c r="B2223" s="3" t="s">
        <v>10</v>
      </c>
      <c r="C2223" s="3" t="s">
        <v>18</v>
      </c>
    </row>
    <row r="2224">
      <c r="A2224" s="3" t="s">
        <v>9</v>
      </c>
      <c r="B2224" s="3" t="s">
        <v>11</v>
      </c>
      <c r="C2224" s="3" t="s">
        <v>12</v>
      </c>
    </row>
    <row r="2225">
      <c r="A2225" s="3" t="s">
        <v>9</v>
      </c>
      <c r="B2225" s="3" t="s">
        <v>10</v>
      </c>
      <c r="C2225" s="3" t="s">
        <v>18</v>
      </c>
    </row>
    <row r="2226">
      <c r="A2226" s="3" t="s">
        <v>9</v>
      </c>
      <c r="B2226" s="3" t="s">
        <v>10</v>
      </c>
    </row>
    <row r="2227">
      <c r="A2227" s="3" t="s">
        <v>10</v>
      </c>
    </row>
    <row r="2228">
      <c r="A2228" s="3" t="s">
        <v>11</v>
      </c>
      <c r="B2228" s="3" t="s">
        <v>12</v>
      </c>
      <c r="C2228" s="3" t="s">
        <v>15</v>
      </c>
    </row>
    <row r="2229">
      <c r="A2229" s="3" t="s">
        <v>11</v>
      </c>
      <c r="B2229" s="3" t="s">
        <v>12</v>
      </c>
    </row>
    <row r="2230">
      <c r="A2230" s="3" t="s">
        <v>11</v>
      </c>
      <c r="B2230" s="3" t="s">
        <v>12</v>
      </c>
    </row>
    <row r="2231">
      <c r="A2231" s="3" t="s">
        <v>11</v>
      </c>
      <c r="B2231" s="3" t="s">
        <v>12</v>
      </c>
      <c r="C2231" s="3" t="s">
        <v>17</v>
      </c>
    </row>
    <row r="2232">
      <c r="A2232" s="3" t="s">
        <v>11</v>
      </c>
      <c r="B2232" s="3" t="s">
        <v>12</v>
      </c>
      <c r="C2232" s="3" t="s">
        <v>15</v>
      </c>
    </row>
    <row r="2233">
      <c r="A2233" s="3" t="s">
        <v>11</v>
      </c>
      <c r="B2233" s="3" t="s">
        <v>12</v>
      </c>
    </row>
    <row r="2234">
      <c r="A2234" s="3" t="s">
        <v>11</v>
      </c>
      <c r="B2234" s="3" t="s">
        <v>12</v>
      </c>
      <c r="C2234" s="3" t="s">
        <v>17</v>
      </c>
    </row>
    <row r="2235">
      <c r="A2235" s="3" t="s">
        <v>11</v>
      </c>
      <c r="B2235" s="3" t="s">
        <v>12</v>
      </c>
      <c r="C2235" s="3" t="s">
        <v>15</v>
      </c>
    </row>
    <row r="2236">
      <c r="A2236" s="3" t="s">
        <v>11</v>
      </c>
      <c r="B2236" s="3" t="s">
        <v>12</v>
      </c>
      <c r="C2236" s="3" t="s">
        <v>17</v>
      </c>
    </row>
    <row r="2237">
      <c r="A2237" s="3" t="s">
        <v>11</v>
      </c>
      <c r="B2237" s="3" t="s">
        <v>12</v>
      </c>
    </row>
    <row r="2238">
      <c r="A2238" s="3" t="s">
        <v>11</v>
      </c>
      <c r="B2238" s="3" t="s">
        <v>12</v>
      </c>
    </row>
    <row r="2239">
      <c r="A2239" s="3" t="s">
        <v>11</v>
      </c>
      <c r="B2239" s="3" t="s">
        <v>15</v>
      </c>
    </row>
    <row r="2240">
      <c r="A2240" s="3" t="s">
        <v>11</v>
      </c>
      <c r="B2240" s="3" t="s">
        <v>15</v>
      </c>
    </row>
    <row r="2241">
      <c r="A2241" s="3" t="s">
        <v>11</v>
      </c>
      <c r="B2241" s="3" t="s">
        <v>12</v>
      </c>
    </row>
    <row r="2242">
      <c r="A2242" s="3" t="s">
        <v>11</v>
      </c>
      <c r="B2242" s="3" t="s">
        <v>12</v>
      </c>
    </row>
    <row r="2243">
      <c r="A2243" s="3" t="s">
        <v>11</v>
      </c>
    </row>
    <row r="2244">
      <c r="A2244" s="3" t="s">
        <v>11</v>
      </c>
      <c r="B2244" s="3" t="s">
        <v>12</v>
      </c>
      <c r="C2244" s="3" t="s">
        <v>17</v>
      </c>
    </row>
    <row r="2245">
      <c r="A2245" s="3" t="s">
        <v>11</v>
      </c>
    </row>
    <row r="2246">
      <c r="A2246" s="3" t="s">
        <v>11</v>
      </c>
    </row>
    <row r="2247">
      <c r="A2247" s="3" t="s">
        <v>11</v>
      </c>
      <c r="B2247" s="3" t="s">
        <v>12</v>
      </c>
    </row>
    <row r="2248">
      <c r="A2248" s="3" t="s">
        <v>11</v>
      </c>
      <c r="B2248" s="3" t="s">
        <v>15</v>
      </c>
      <c r="C2248" s="3" t="s">
        <v>16</v>
      </c>
    </row>
    <row r="2249">
      <c r="A2249" s="3" t="s">
        <v>11</v>
      </c>
      <c r="B2249" s="3" t="s">
        <v>12</v>
      </c>
    </row>
    <row r="2250">
      <c r="A2250" s="3" t="s">
        <v>11</v>
      </c>
      <c r="B2250" s="3" t="s">
        <v>12</v>
      </c>
    </row>
    <row r="2251">
      <c r="A2251" s="3" t="s">
        <v>11</v>
      </c>
      <c r="B2251" s="3" t="s">
        <v>12</v>
      </c>
    </row>
    <row r="2252">
      <c r="A2252" s="3" t="s">
        <v>11</v>
      </c>
      <c r="B2252" s="3" t="s">
        <v>12</v>
      </c>
      <c r="C2252" s="3" t="s">
        <v>17</v>
      </c>
    </row>
    <row r="2253">
      <c r="A2253" s="3" t="s">
        <v>11</v>
      </c>
      <c r="B2253" s="3" t="s">
        <v>12</v>
      </c>
    </row>
    <row r="2254">
      <c r="A2254" s="3" t="s">
        <v>11</v>
      </c>
      <c r="B2254" s="3" t="s">
        <v>12</v>
      </c>
    </row>
    <row r="2255">
      <c r="A2255" s="3" t="s">
        <v>11</v>
      </c>
      <c r="B2255" s="3" t="s">
        <v>12</v>
      </c>
    </row>
    <row r="2256">
      <c r="A2256" s="3" t="s">
        <v>11</v>
      </c>
      <c r="B2256" s="3" t="s">
        <v>12</v>
      </c>
      <c r="C2256" s="3" t="s">
        <v>15</v>
      </c>
    </row>
    <row r="2257">
      <c r="A2257" s="3" t="s">
        <v>11</v>
      </c>
      <c r="B2257" s="3" t="s">
        <v>12</v>
      </c>
    </row>
    <row r="2258">
      <c r="A2258" s="3" t="s">
        <v>11</v>
      </c>
      <c r="B2258" s="3" t="s">
        <v>15</v>
      </c>
      <c r="C2258" s="3" t="s">
        <v>16</v>
      </c>
    </row>
    <row r="2259">
      <c r="A2259" s="3" t="s">
        <v>11</v>
      </c>
      <c r="B2259" s="3" t="s">
        <v>12</v>
      </c>
    </row>
    <row r="2260">
      <c r="A2260" s="3" t="s">
        <v>11</v>
      </c>
      <c r="B2260" s="3" t="s">
        <v>12</v>
      </c>
    </row>
    <row r="2261">
      <c r="A2261" s="3" t="s">
        <v>11</v>
      </c>
      <c r="B2261" s="3" t="s">
        <v>12</v>
      </c>
      <c r="C2261" s="3" t="s">
        <v>17</v>
      </c>
    </row>
    <row r="2262">
      <c r="A2262" s="3" t="s">
        <v>11</v>
      </c>
      <c r="B2262" s="3" t="s">
        <v>12</v>
      </c>
    </row>
    <row r="2263">
      <c r="A2263" s="3" t="s">
        <v>11</v>
      </c>
      <c r="B2263" s="3" t="s">
        <v>12</v>
      </c>
    </row>
    <row r="2264">
      <c r="A2264" s="3" t="s">
        <v>12</v>
      </c>
      <c r="B2264" s="3" t="s">
        <v>17</v>
      </c>
      <c r="C2264" s="3" t="s">
        <v>18</v>
      </c>
    </row>
    <row r="2265">
      <c r="A2265" s="3" t="s">
        <v>12</v>
      </c>
      <c r="B2265" s="3" t="s">
        <v>17</v>
      </c>
      <c r="C2265" s="3" t="s">
        <v>18</v>
      </c>
    </row>
    <row r="2266">
      <c r="A2266" s="3" t="s">
        <v>12</v>
      </c>
      <c r="B2266" s="3" t="s">
        <v>18</v>
      </c>
    </row>
    <row r="2267">
      <c r="A2267" s="3" t="s">
        <v>12</v>
      </c>
      <c r="B2267" s="3" t="s">
        <v>17</v>
      </c>
      <c r="C2267" s="3" t="s">
        <v>18</v>
      </c>
    </row>
    <row r="2268">
      <c r="A2268" s="3" t="s">
        <v>12</v>
      </c>
      <c r="B2268" s="3" t="s">
        <v>17</v>
      </c>
      <c r="C2268" s="3" t="s">
        <v>18</v>
      </c>
    </row>
    <row r="2269">
      <c r="A2269" s="3" t="s">
        <v>12</v>
      </c>
      <c r="B2269" s="3" t="s">
        <v>15</v>
      </c>
      <c r="C2269" s="3" t="s">
        <v>17</v>
      </c>
    </row>
    <row r="2270">
      <c r="A2270" s="3" t="s">
        <v>12</v>
      </c>
      <c r="B2270" s="3" t="s">
        <v>17</v>
      </c>
      <c r="C2270" s="3" t="s">
        <v>18</v>
      </c>
    </row>
    <row r="2271">
      <c r="A2271" s="3" t="s">
        <v>12</v>
      </c>
      <c r="B2271" s="3" t="s">
        <v>18</v>
      </c>
    </row>
    <row r="2272">
      <c r="A2272" s="3" t="s">
        <v>12</v>
      </c>
      <c r="B2272" s="3" t="s">
        <v>18</v>
      </c>
    </row>
    <row r="2273">
      <c r="A2273" s="3" t="s">
        <v>12</v>
      </c>
      <c r="B2273" s="3" t="s">
        <v>17</v>
      </c>
      <c r="C2273" s="3" t="s">
        <v>18</v>
      </c>
    </row>
    <row r="2274">
      <c r="A2274" s="3" t="s">
        <v>12</v>
      </c>
      <c r="B2274" s="3" t="s">
        <v>17</v>
      </c>
      <c r="C2274" s="3" t="s">
        <v>18</v>
      </c>
    </row>
    <row r="2275">
      <c r="A2275" s="3" t="s">
        <v>13</v>
      </c>
      <c r="B2275" s="3" t="s">
        <v>14</v>
      </c>
    </row>
    <row r="2276">
      <c r="A2276" s="3" t="s">
        <v>13</v>
      </c>
      <c r="B2276" s="3" t="s">
        <v>14</v>
      </c>
    </row>
    <row r="2277">
      <c r="A2277" s="3" t="s">
        <v>13</v>
      </c>
      <c r="B2277" s="3" t="s">
        <v>14</v>
      </c>
      <c r="C2277" s="3" t="s">
        <v>17</v>
      </c>
    </row>
    <row r="2278">
      <c r="A2278" s="3" t="s">
        <v>13</v>
      </c>
      <c r="B2278" s="3" t="s">
        <v>14</v>
      </c>
    </row>
    <row r="2279">
      <c r="A2279" s="3" t="s">
        <v>13</v>
      </c>
      <c r="B2279" s="3" t="s">
        <v>14</v>
      </c>
      <c r="C2279" s="3" t="s">
        <v>17</v>
      </c>
    </row>
    <row r="2280">
      <c r="A2280" s="3" t="s">
        <v>13</v>
      </c>
      <c r="B2280" s="3" t="s">
        <v>17</v>
      </c>
    </row>
    <row r="2281">
      <c r="A2281" s="3" t="s">
        <v>13</v>
      </c>
      <c r="B2281" s="3" t="s">
        <v>14</v>
      </c>
      <c r="C2281" s="3" t="s">
        <v>17</v>
      </c>
    </row>
    <row r="2282">
      <c r="A2282" s="3" t="s">
        <v>13</v>
      </c>
      <c r="B2282" s="3" t="s">
        <v>14</v>
      </c>
    </row>
    <row r="2283">
      <c r="A2283" s="3" t="s">
        <v>13</v>
      </c>
      <c r="B2283" s="3" t="s">
        <v>14</v>
      </c>
      <c r="C2283" s="3" t="s">
        <v>17</v>
      </c>
    </row>
    <row r="2284">
      <c r="A2284" s="3" t="s">
        <v>13</v>
      </c>
      <c r="B2284" s="3" t="s">
        <v>14</v>
      </c>
    </row>
    <row r="2285">
      <c r="A2285" s="3" t="s">
        <v>13</v>
      </c>
      <c r="B2285" s="3" t="s">
        <v>14</v>
      </c>
      <c r="C2285" s="3" t="s">
        <v>17</v>
      </c>
    </row>
    <row r="2286">
      <c r="A2286" s="3" t="s">
        <v>13</v>
      </c>
      <c r="B2286" s="3" t="s">
        <v>14</v>
      </c>
    </row>
    <row r="2287">
      <c r="A2287" s="3" t="s">
        <v>13</v>
      </c>
      <c r="B2287" s="3" t="s">
        <v>14</v>
      </c>
      <c r="C2287" s="3" t="s">
        <v>17</v>
      </c>
    </row>
    <row r="2288">
      <c r="A2288" s="3" t="s">
        <v>13</v>
      </c>
      <c r="B2288" s="3" t="s">
        <v>14</v>
      </c>
    </row>
    <row r="2289">
      <c r="A2289" s="3" t="s">
        <v>13</v>
      </c>
      <c r="B2289" s="3" t="s">
        <v>14</v>
      </c>
    </row>
    <row r="2290">
      <c r="A2290" s="3" t="s">
        <v>13</v>
      </c>
      <c r="B2290" s="3" t="s">
        <v>14</v>
      </c>
    </row>
    <row r="2291">
      <c r="A2291" s="3" t="s">
        <v>13</v>
      </c>
      <c r="B2291" s="3" t="s">
        <v>14</v>
      </c>
    </row>
    <row r="2292">
      <c r="A2292" s="3" t="s">
        <v>13</v>
      </c>
      <c r="B2292" s="3" t="s">
        <v>14</v>
      </c>
    </row>
    <row r="2293">
      <c r="A2293" s="3" t="s">
        <v>13</v>
      </c>
      <c r="B2293" s="3" t="s">
        <v>14</v>
      </c>
      <c r="C2293" s="3" t="s">
        <v>17</v>
      </c>
    </row>
    <row r="2294">
      <c r="A2294" s="3" t="s">
        <v>13</v>
      </c>
      <c r="B2294" s="3" t="s">
        <v>14</v>
      </c>
    </row>
    <row r="2295">
      <c r="A2295" s="3" t="s">
        <v>13</v>
      </c>
      <c r="B2295" s="3" t="s">
        <v>14</v>
      </c>
    </row>
    <row r="2296">
      <c r="A2296" s="3" t="s">
        <v>13</v>
      </c>
      <c r="B2296" s="3" t="s">
        <v>14</v>
      </c>
    </row>
    <row r="2297">
      <c r="A2297" s="3" t="s">
        <v>13</v>
      </c>
    </row>
    <row r="2298">
      <c r="A2298" s="3" t="s">
        <v>13</v>
      </c>
      <c r="B2298" s="3" t="s">
        <v>14</v>
      </c>
    </row>
    <row r="2299">
      <c r="A2299" s="3" t="s">
        <v>13</v>
      </c>
      <c r="B2299" s="3" t="s">
        <v>14</v>
      </c>
    </row>
    <row r="2300">
      <c r="A2300" s="3" t="s">
        <v>13</v>
      </c>
      <c r="B2300" s="3" t="s">
        <v>14</v>
      </c>
    </row>
    <row r="2301">
      <c r="A2301" s="3" t="s">
        <v>13</v>
      </c>
      <c r="B2301" s="3" t="s">
        <v>14</v>
      </c>
    </row>
    <row r="2302">
      <c r="A2302" s="3" t="s">
        <v>13</v>
      </c>
      <c r="B2302" s="3" t="s">
        <v>14</v>
      </c>
    </row>
    <row r="2303">
      <c r="A2303" s="3" t="s">
        <v>13</v>
      </c>
      <c r="B2303" s="3" t="s">
        <v>14</v>
      </c>
      <c r="C2303" s="3" t="s">
        <v>17</v>
      </c>
    </row>
    <row r="2304">
      <c r="A2304" s="3" t="s">
        <v>13</v>
      </c>
      <c r="B2304" s="3" t="s">
        <v>14</v>
      </c>
      <c r="C2304" s="3" t="s">
        <v>17</v>
      </c>
    </row>
    <row r="2305">
      <c r="A2305" s="3" t="s">
        <v>13</v>
      </c>
      <c r="B2305" s="3" t="s">
        <v>14</v>
      </c>
    </row>
    <row r="2306">
      <c r="A2306" s="3" t="s">
        <v>14</v>
      </c>
      <c r="B2306" s="3" t="s">
        <v>17</v>
      </c>
      <c r="C2306" s="3" t="s">
        <v>18</v>
      </c>
    </row>
    <row r="2307">
      <c r="A2307" s="3" t="s">
        <v>14</v>
      </c>
      <c r="B2307" s="3" t="s">
        <v>17</v>
      </c>
      <c r="C2307" s="3" t="s">
        <v>18</v>
      </c>
    </row>
    <row r="2308">
      <c r="A2308" s="3" t="s">
        <v>14</v>
      </c>
      <c r="B2308" s="3" t="s">
        <v>17</v>
      </c>
      <c r="C2308" s="3" t="s">
        <v>18</v>
      </c>
    </row>
    <row r="2309">
      <c r="A2309" s="3" t="s">
        <v>14</v>
      </c>
      <c r="B2309" s="3" t="s">
        <v>15</v>
      </c>
      <c r="C2309" s="3" t="s">
        <v>17</v>
      </c>
    </row>
    <row r="2310">
      <c r="A2310" s="3" t="s">
        <v>14</v>
      </c>
      <c r="B2310" s="3" t="s">
        <v>17</v>
      </c>
      <c r="C2310" s="3" t="s">
        <v>18</v>
      </c>
    </row>
    <row r="2311">
      <c r="A2311" s="3" t="s">
        <v>14</v>
      </c>
      <c r="B2311" s="3" t="s">
        <v>17</v>
      </c>
      <c r="C2311" s="3" t="s">
        <v>18</v>
      </c>
    </row>
    <row r="2312">
      <c r="A2312" s="3" t="s">
        <v>14</v>
      </c>
      <c r="B2312" s="3" t="s">
        <v>17</v>
      </c>
      <c r="C2312" s="3" t="s">
        <v>18</v>
      </c>
    </row>
    <row r="2313">
      <c r="A2313" s="3" t="s">
        <v>14</v>
      </c>
      <c r="B2313" s="3" t="s">
        <v>17</v>
      </c>
      <c r="C2313" s="3" t="s">
        <v>18</v>
      </c>
    </row>
    <row r="2314">
      <c r="A2314" s="3" t="s">
        <v>14</v>
      </c>
    </row>
    <row r="2315">
      <c r="A2315" s="3" t="s">
        <v>15</v>
      </c>
      <c r="B2315" s="3" t="s">
        <v>16</v>
      </c>
      <c r="C2315" s="3" t="s">
        <v>17</v>
      </c>
    </row>
    <row r="2316">
      <c r="A2316" s="3" t="s">
        <v>15</v>
      </c>
      <c r="B2316" s="3" t="s">
        <v>16</v>
      </c>
      <c r="C2316" s="3" t="s">
        <v>17</v>
      </c>
    </row>
    <row r="2317">
      <c r="A2317" s="3" t="s">
        <v>15</v>
      </c>
    </row>
    <row r="2318">
      <c r="A2318" s="3" t="s">
        <v>15</v>
      </c>
    </row>
    <row r="2319">
      <c r="A2319" s="3" t="s">
        <v>15</v>
      </c>
    </row>
    <row r="2320">
      <c r="A2320" s="3" t="s">
        <v>15</v>
      </c>
      <c r="B2320" s="3" t="s">
        <v>16</v>
      </c>
    </row>
    <row r="2321">
      <c r="A2321" s="3" t="s">
        <v>15</v>
      </c>
      <c r="B2321" s="3" t="s">
        <v>16</v>
      </c>
    </row>
    <row r="2322">
      <c r="A2322" s="3" t="s">
        <v>15</v>
      </c>
      <c r="B2322" s="3" t="s">
        <v>16</v>
      </c>
    </row>
    <row r="2323">
      <c r="A2323" s="3" t="s">
        <v>15</v>
      </c>
      <c r="B2323" s="3" t="s">
        <v>17</v>
      </c>
    </row>
    <row r="2324">
      <c r="A2324" s="3" t="s">
        <v>15</v>
      </c>
      <c r="B2324" s="3" t="s">
        <v>16</v>
      </c>
    </row>
    <row r="2325">
      <c r="A2325" s="3" t="s">
        <v>15</v>
      </c>
      <c r="B2325" s="3" t="s">
        <v>16</v>
      </c>
    </row>
    <row r="2326">
      <c r="A2326" s="3" t="s">
        <v>15</v>
      </c>
    </row>
    <row r="2327">
      <c r="A2327" s="3" t="s">
        <v>15</v>
      </c>
      <c r="B2327" s="3" t="s">
        <v>16</v>
      </c>
    </row>
    <row r="2328">
      <c r="A2328" s="3" t="s">
        <v>15</v>
      </c>
      <c r="B2328" s="3" t="s">
        <v>16</v>
      </c>
    </row>
    <row r="2329">
      <c r="A2329" s="3" t="s">
        <v>15</v>
      </c>
      <c r="B2329" s="3" t="s">
        <v>16</v>
      </c>
    </row>
    <row r="2330">
      <c r="A2330" s="3" t="s">
        <v>15</v>
      </c>
      <c r="B2330" s="3" t="s">
        <v>16</v>
      </c>
    </row>
    <row r="2331">
      <c r="A2331" s="3" t="s">
        <v>16</v>
      </c>
      <c r="B2331" s="3" t="s">
        <v>18</v>
      </c>
    </row>
    <row r="2332">
      <c r="A2332" s="3" t="s">
        <v>16</v>
      </c>
      <c r="B2332" s="3" t="s">
        <v>17</v>
      </c>
      <c r="C2332" s="3" t="s">
        <v>18</v>
      </c>
    </row>
    <row r="2333">
      <c r="A2333" s="3" t="s">
        <v>16</v>
      </c>
      <c r="B2333" s="3" t="s">
        <v>17</v>
      </c>
      <c r="C2333" s="3" t="s">
        <v>18</v>
      </c>
    </row>
    <row r="2334">
      <c r="A2334" s="3" t="s">
        <v>16</v>
      </c>
      <c r="B2334" s="3" t="s">
        <v>17</v>
      </c>
      <c r="C2334" s="3" t="s">
        <v>18</v>
      </c>
    </row>
    <row r="2335">
      <c r="A2335" s="3" t="s">
        <v>16</v>
      </c>
      <c r="B2335" s="3" t="s">
        <v>17</v>
      </c>
    </row>
    <row r="2336">
      <c r="A2336" s="3" t="s">
        <v>16</v>
      </c>
    </row>
    <row r="2337">
      <c r="A2337" s="3" t="s">
        <v>16</v>
      </c>
      <c r="B2337" s="3" t="s">
        <v>17</v>
      </c>
    </row>
    <row r="2338">
      <c r="A2338" s="3" t="s">
        <v>16</v>
      </c>
      <c r="B2338" s="3" t="s">
        <v>17</v>
      </c>
      <c r="C2338" s="3" t="s">
        <v>18</v>
      </c>
    </row>
    <row r="2339">
      <c r="A2339" s="3" t="s">
        <v>16</v>
      </c>
      <c r="B2339" s="3" t="s">
        <v>17</v>
      </c>
      <c r="C2339" s="3" t="s">
        <v>18</v>
      </c>
    </row>
    <row r="2340">
      <c r="A2340" s="3" t="s">
        <v>17</v>
      </c>
    </row>
    <row r="2341">
      <c r="A2341" s="3" t="s">
        <v>17</v>
      </c>
      <c r="B2341" s="3" t="s">
        <v>18</v>
      </c>
    </row>
    <row r="2342">
      <c r="A2342" s="3" t="s">
        <v>6</v>
      </c>
      <c r="B2342" s="3" t="s">
        <v>7</v>
      </c>
      <c r="C2342" s="3" t="s">
        <v>8</v>
      </c>
    </row>
    <row r="2343">
      <c r="A2343" s="3" t="s">
        <v>6</v>
      </c>
      <c r="B2343" s="3" t="s">
        <v>7</v>
      </c>
      <c r="C2343" s="3" t="s">
        <v>15</v>
      </c>
    </row>
    <row r="2344">
      <c r="A2344" s="3" t="s">
        <v>6</v>
      </c>
      <c r="B2344" s="3" t="s">
        <v>7</v>
      </c>
      <c r="C2344" s="3" t="s">
        <v>15</v>
      </c>
    </row>
    <row r="2345">
      <c r="A2345" s="3" t="s">
        <v>6</v>
      </c>
      <c r="B2345" s="3" t="s">
        <v>7</v>
      </c>
      <c r="C2345" s="3" t="s">
        <v>15</v>
      </c>
    </row>
    <row r="2346">
      <c r="A2346" s="3" t="s">
        <v>6</v>
      </c>
      <c r="B2346" s="3" t="s">
        <v>7</v>
      </c>
      <c r="C2346" s="3" t="s">
        <v>11</v>
      </c>
    </row>
    <row r="2347">
      <c r="A2347" s="3" t="s">
        <v>6</v>
      </c>
      <c r="B2347" s="3" t="s">
        <v>7</v>
      </c>
      <c r="C2347" s="3" t="s">
        <v>8</v>
      </c>
    </row>
    <row r="2348">
      <c r="A2348" s="3" t="s">
        <v>6</v>
      </c>
      <c r="B2348" s="3" t="s">
        <v>7</v>
      </c>
      <c r="C2348" s="3" t="s">
        <v>15</v>
      </c>
    </row>
    <row r="2349">
      <c r="A2349" s="3" t="s">
        <v>6</v>
      </c>
      <c r="B2349" s="3" t="s">
        <v>7</v>
      </c>
      <c r="C2349" s="3" t="s">
        <v>8</v>
      </c>
    </row>
    <row r="2350">
      <c r="A2350" s="3" t="s">
        <v>6</v>
      </c>
      <c r="B2350" s="3" t="s">
        <v>7</v>
      </c>
      <c r="C2350" s="3" t="s">
        <v>15</v>
      </c>
    </row>
    <row r="2351">
      <c r="A2351" s="3" t="s">
        <v>6</v>
      </c>
      <c r="B2351" s="3" t="s">
        <v>7</v>
      </c>
      <c r="C2351" s="3" t="s">
        <v>15</v>
      </c>
    </row>
    <row r="2352">
      <c r="A2352" s="3" t="s">
        <v>6</v>
      </c>
      <c r="B2352" s="3" t="s">
        <v>7</v>
      </c>
      <c r="C2352" s="3" t="s">
        <v>8</v>
      </c>
    </row>
    <row r="2353">
      <c r="A2353" s="3" t="s">
        <v>6</v>
      </c>
      <c r="B2353" s="3" t="s">
        <v>7</v>
      </c>
      <c r="C2353" s="3" t="s">
        <v>15</v>
      </c>
    </row>
    <row r="2354">
      <c r="A2354" s="3" t="s">
        <v>6</v>
      </c>
      <c r="B2354" s="3" t="s">
        <v>7</v>
      </c>
    </row>
    <row r="2355">
      <c r="A2355" s="3" t="s">
        <v>6</v>
      </c>
      <c r="B2355" s="3" t="s">
        <v>7</v>
      </c>
      <c r="C2355" s="3" t="s">
        <v>13</v>
      </c>
    </row>
    <row r="2356">
      <c r="A2356" s="3" t="s">
        <v>6</v>
      </c>
      <c r="B2356" s="3" t="s">
        <v>7</v>
      </c>
      <c r="C2356" s="3" t="s">
        <v>15</v>
      </c>
    </row>
    <row r="2357">
      <c r="A2357" s="3" t="s">
        <v>6</v>
      </c>
      <c r="B2357" s="3" t="s">
        <v>7</v>
      </c>
      <c r="C2357" s="3" t="s">
        <v>8</v>
      </c>
    </row>
    <row r="2358">
      <c r="A2358" s="3" t="s">
        <v>6</v>
      </c>
      <c r="B2358" s="3" t="s">
        <v>7</v>
      </c>
      <c r="C2358" s="3" t="s">
        <v>15</v>
      </c>
    </row>
    <row r="2359">
      <c r="A2359" s="3" t="s">
        <v>6</v>
      </c>
      <c r="B2359" s="3" t="s">
        <v>11</v>
      </c>
      <c r="C2359" s="3" t="s">
        <v>12</v>
      </c>
    </row>
    <row r="2360">
      <c r="A2360" s="3" t="s">
        <v>6</v>
      </c>
      <c r="B2360" s="3" t="s">
        <v>7</v>
      </c>
    </row>
    <row r="2361">
      <c r="A2361" s="3" t="s">
        <v>6</v>
      </c>
      <c r="B2361" s="3" t="s">
        <v>11</v>
      </c>
      <c r="C2361" s="3" t="s">
        <v>12</v>
      </c>
    </row>
    <row r="2362">
      <c r="A2362" s="3" t="s">
        <v>6</v>
      </c>
      <c r="B2362" s="3" t="s">
        <v>7</v>
      </c>
      <c r="C2362" s="3" t="s">
        <v>15</v>
      </c>
    </row>
    <row r="2363">
      <c r="A2363" s="3" t="s">
        <v>6</v>
      </c>
      <c r="B2363" s="3" t="s">
        <v>7</v>
      </c>
    </row>
    <row r="2364">
      <c r="A2364" s="3" t="s">
        <v>6</v>
      </c>
      <c r="B2364" s="3" t="s">
        <v>7</v>
      </c>
      <c r="C2364" s="3" t="s">
        <v>8</v>
      </c>
    </row>
    <row r="2365">
      <c r="A2365" s="3" t="s">
        <v>6</v>
      </c>
      <c r="B2365" s="3" t="s">
        <v>7</v>
      </c>
      <c r="C2365" s="3" t="s">
        <v>8</v>
      </c>
    </row>
    <row r="2366">
      <c r="A2366" s="3" t="s">
        <v>6</v>
      </c>
      <c r="B2366" s="3" t="s">
        <v>7</v>
      </c>
    </row>
    <row r="2367">
      <c r="A2367" s="3" t="s">
        <v>6</v>
      </c>
      <c r="B2367" s="3" t="s">
        <v>7</v>
      </c>
      <c r="C2367" s="3" t="s">
        <v>8</v>
      </c>
    </row>
    <row r="2368">
      <c r="A2368" s="3" t="s">
        <v>6</v>
      </c>
    </row>
    <row r="2369">
      <c r="A2369" s="3" t="s">
        <v>6</v>
      </c>
      <c r="B2369" s="3" t="s">
        <v>7</v>
      </c>
    </row>
    <row r="2370">
      <c r="A2370" s="3" t="s">
        <v>6</v>
      </c>
      <c r="B2370" s="3" t="s">
        <v>7</v>
      </c>
      <c r="C2370" s="3" t="s">
        <v>8</v>
      </c>
    </row>
    <row r="2371">
      <c r="A2371" s="3" t="s">
        <v>6</v>
      </c>
    </row>
    <row r="2372">
      <c r="A2372" s="3" t="s">
        <v>6</v>
      </c>
      <c r="B2372" s="3" t="s">
        <v>7</v>
      </c>
      <c r="C2372" s="3" t="s">
        <v>15</v>
      </c>
    </row>
    <row r="2373">
      <c r="A2373" s="3" t="s">
        <v>6</v>
      </c>
      <c r="B2373" s="3" t="s">
        <v>15</v>
      </c>
      <c r="C2373" s="3" t="s">
        <v>16</v>
      </c>
    </row>
    <row r="2374">
      <c r="A2374" s="3" t="s">
        <v>6</v>
      </c>
      <c r="B2374" s="3" t="s">
        <v>15</v>
      </c>
    </row>
    <row r="2375">
      <c r="A2375" s="3" t="s">
        <v>6</v>
      </c>
      <c r="B2375" s="3" t="s">
        <v>7</v>
      </c>
    </row>
    <row r="2376">
      <c r="A2376" s="3" t="s">
        <v>6</v>
      </c>
      <c r="B2376" s="3" t="s">
        <v>7</v>
      </c>
    </row>
    <row r="2377">
      <c r="A2377" s="3" t="s">
        <v>6</v>
      </c>
    </row>
    <row r="2378">
      <c r="A2378" s="3" t="s">
        <v>6</v>
      </c>
    </row>
    <row r="2379">
      <c r="A2379" s="3" t="s">
        <v>6</v>
      </c>
      <c r="B2379" s="3" t="s">
        <v>7</v>
      </c>
      <c r="C2379" s="3" t="s">
        <v>15</v>
      </c>
    </row>
    <row r="2380">
      <c r="A2380" s="3" t="s">
        <v>6</v>
      </c>
      <c r="B2380" s="3" t="s">
        <v>7</v>
      </c>
    </row>
    <row r="2381">
      <c r="A2381" s="3" t="s">
        <v>6</v>
      </c>
      <c r="B2381" s="3" t="s">
        <v>11</v>
      </c>
      <c r="C2381" s="3" t="s">
        <v>12</v>
      </c>
    </row>
    <row r="2382">
      <c r="A2382" s="3" t="s">
        <v>6</v>
      </c>
      <c r="B2382" s="3" t="s">
        <v>7</v>
      </c>
      <c r="C2382" s="3" t="s">
        <v>8</v>
      </c>
    </row>
    <row r="2383">
      <c r="A2383" s="3" t="s">
        <v>6</v>
      </c>
    </row>
    <row r="2384">
      <c r="A2384" s="3" t="s">
        <v>6</v>
      </c>
      <c r="B2384" s="3" t="s">
        <v>7</v>
      </c>
    </row>
    <row r="2385">
      <c r="A2385" s="3" t="s">
        <v>6</v>
      </c>
      <c r="B2385" s="3" t="s">
        <v>15</v>
      </c>
    </row>
    <row r="2386">
      <c r="A2386" s="3" t="s">
        <v>6</v>
      </c>
      <c r="B2386" s="3" t="s">
        <v>7</v>
      </c>
      <c r="C2386" s="3" t="s">
        <v>8</v>
      </c>
    </row>
    <row r="2387">
      <c r="A2387" s="3" t="s">
        <v>6</v>
      </c>
    </row>
    <row r="2388">
      <c r="A2388" s="3" t="s">
        <v>6</v>
      </c>
      <c r="B2388" s="3" t="s">
        <v>7</v>
      </c>
    </row>
    <row r="2389">
      <c r="A2389" s="3" t="s">
        <v>6</v>
      </c>
      <c r="B2389" s="3" t="s">
        <v>15</v>
      </c>
    </row>
    <row r="2390">
      <c r="A2390" s="3" t="s">
        <v>6</v>
      </c>
    </row>
    <row r="2391">
      <c r="A2391" s="3" t="s">
        <v>6</v>
      </c>
    </row>
    <row r="2392">
      <c r="A2392" s="3" t="s">
        <v>6</v>
      </c>
      <c r="B2392" s="3" t="s">
        <v>7</v>
      </c>
    </row>
    <row r="2393">
      <c r="A2393" s="3" t="s">
        <v>6</v>
      </c>
    </row>
    <row r="2394">
      <c r="A2394" s="3" t="s">
        <v>6</v>
      </c>
      <c r="B2394" s="3" t="s">
        <v>15</v>
      </c>
    </row>
    <row r="2395">
      <c r="A2395" s="3" t="s">
        <v>6</v>
      </c>
      <c r="B2395" s="3" t="s">
        <v>13</v>
      </c>
    </row>
    <row r="2396">
      <c r="A2396" s="3" t="s">
        <v>6</v>
      </c>
    </row>
    <row r="2397">
      <c r="A2397" s="3" t="s">
        <v>6</v>
      </c>
    </row>
    <row r="2398">
      <c r="A2398" s="3" t="s">
        <v>6</v>
      </c>
    </row>
    <row r="2399">
      <c r="A2399" s="3" t="s">
        <v>6</v>
      </c>
      <c r="B2399" s="3" t="s">
        <v>15</v>
      </c>
    </row>
    <row r="2400">
      <c r="A2400" s="3" t="s">
        <v>6</v>
      </c>
    </row>
    <row r="2401">
      <c r="A2401" s="3" t="s">
        <v>6</v>
      </c>
    </row>
    <row r="2402">
      <c r="A2402" s="3" t="s">
        <v>6</v>
      </c>
      <c r="B2402" s="3" t="s">
        <v>7</v>
      </c>
      <c r="C2402" s="3" t="s">
        <v>8</v>
      </c>
    </row>
    <row r="2403">
      <c r="A2403" s="3" t="s">
        <v>6</v>
      </c>
      <c r="B2403" s="3" t="s">
        <v>7</v>
      </c>
      <c r="C2403" s="3" t="s">
        <v>8</v>
      </c>
    </row>
    <row r="2404">
      <c r="A2404" s="3" t="s">
        <v>6</v>
      </c>
    </row>
    <row r="2405">
      <c r="A2405" s="3" t="s">
        <v>6</v>
      </c>
    </row>
    <row r="2406">
      <c r="A2406" s="3" t="s">
        <v>6</v>
      </c>
      <c r="B2406" s="3" t="s">
        <v>7</v>
      </c>
    </row>
    <row r="2407">
      <c r="A2407" s="3" t="s">
        <v>6</v>
      </c>
    </row>
    <row r="2408">
      <c r="A2408" s="3" t="s">
        <v>6</v>
      </c>
    </row>
    <row r="2409">
      <c r="A2409" s="3" t="s">
        <v>609</v>
      </c>
    </row>
    <row r="2410">
      <c r="A2410" s="3" t="s">
        <v>7</v>
      </c>
      <c r="B2410" s="3" t="s">
        <v>8</v>
      </c>
      <c r="C2410" s="3" t="s">
        <v>17</v>
      </c>
    </row>
    <row r="2411">
      <c r="A2411" s="3" t="s">
        <v>7</v>
      </c>
      <c r="B2411" s="3" t="s">
        <v>8</v>
      </c>
      <c r="C2411" s="3" t="s">
        <v>11</v>
      </c>
    </row>
    <row r="2412">
      <c r="A2412" s="3" t="s">
        <v>7</v>
      </c>
      <c r="B2412" s="3" t="s">
        <v>8</v>
      </c>
    </row>
    <row r="2413">
      <c r="A2413" s="3" t="s">
        <v>7</v>
      </c>
      <c r="B2413" s="3" t="s">
        <v>11</v>
      </c>
    </row>
    <row r="2414">
      <c r="A2414" s="3" t="s">
        <v>7</v>
      </c>
      <c r="B2414" s="3" t="s">
        <v>8</v>
      </c>
    </row>
    <row r="2415">
      <c r="A2415" s="3" t="s">
        <v>7</v>
      </c>
      <c r="B2415" s="3" t="s">
        <v>8</v>
      </c>
      <c r="C2415" s="3" t="s">
        <v>17</v>
      </c>
    </row>
    <row r="2416">
      <c r="A2416" s="3" t="s">
        <v>7</v>
      </c>
      <c r="B2416" s="3" t="s">
        <v>8</v>
      </c>
      <c r="C2416" s="3" t="s">
        <v>9</v>
      </c>
    </row>
    <row r="2417">
      <c r="A2417" s="3" t="s">
        <v>7</v>
      </c>
      <c r="B2417" s="3" t="s">
        <v>8</v>
      </c>
      <c r="C2417" s="3" t="s">
        <v>9</v>
      </c>
    </row>
    <row r="2418">
      <c r="A2418" s="3" t="s">
        <v>7</v>
      </c>
      <c r="B2418" s="3" t="s">
        <v>8</v>
      </c>
    </row>
    <row r="2419">
      <c r="A2419" s="3" t="s">
        <v>7</v>
      </c>
      <c r="B2419" s="3" t="s">
        <v>8</v>
      </c>
      <c r="C2419" s="3" t="s">
        <v>9</v>
      </c>
    </row>
    <row r="2420">
      <c r="A2420" s="3" t="s">
        <v>7</v>
      </c>
      <c r="B2420" s="3" t="s">
        <v>11</v>
      </c>
    </row>
    <row r="2421">
      <c r="A2421" s="3" t="s">
        <v>7</v>
      </c>
      <c r="B2421" s="3" t="s">
        <v>15</v>
      </c>
    </row>
    <row r="2422">
      <c r="A2422" s="3" t="s">
        <v>7</v>
      </c>
      <c r="B2422" s="3" t="s">
        <v>8</v>
      </c>
      <c r="C2422" s="3" t="s">
        <v>9</v>
      </c>
    </row>
    <row r="2423">
      <c r="A2423" s="3" t="s">
        <v>7</v>
      </c>
      <c r="B2423" s="3" t="s">
        <v>8</v>
      </c>
      <c r="C2423" s="3" t="s">
        <v>17</v>
      </c>
    </row>
    <row r="2424">
      <c r="A2424" s="3" t="s">
        <v>8</v>
      </c>
      <c r="B2424" s="3" t="s">
        <v>16</v>
      </c>
      <c r="C2424" s="3" t="s">
        <v>17</v>
      </c>
    </row>
    <row r="2425">
      <c r="A2425" s="3" t="s">
        <v>8</v>
      </c>
      <c r="B2425" s="3" t="s">
        <v>16</v>
      </c>
      <c r="C2425" s="3" t="s">
        <v>17</v>
      </c>
    </row>
    <row r="2426">
      <c r="A2426" s="3" t="s">
        <v>8</v>
      </c>
      <c r="B2426" s="3" t="s">
        <v>9</v>
      </c>
      <c r="C2426" s="3" t="s">
        <v>10</v>
      </c>
    </row>
    <row r="2427">
      <c r="A2427" s="3" t="s">
        <v>8</v>
      </c>
      <c r="B2427" s="3" t="s">
        <v>9</v>
      </c>
      <c r="C2427" s="3" t="s">
        <v>10</v>
      </c>
    </row>
    <row r="2428">
      <c r="A2428" s="3" t="s">
        <v>8</v>
      </c>
      <c r="B2428" s="3" t="s">
        <v>16</v>
      </c>
      <c r="C2428" s="3" t="s">
        <v>17</v>
      </c>
    </row>
    <row r="2429">
      <c r="A2429" s="3" t="s">
        <v>8</v>
      </c>
      <c r="B2429" s="3" t="s">
        <v>9</v>
      </c>
      <c r="C2429" s="3" t="s">
        <v>16</v>
      </c>
    </row>
    <row r="2430">
      <c r="A2430" s="3" t="s">
        <v>8</v>
      </c>
      <c r="B2430" s="3" t="s">
        <v>9</v>
      </c>
      <c r="C2430" s="3" t="s">
        <v>16</v>
      </c>
    </row>
    <row r="2431">
      <c r="A2431" s="3" t="s">
        <v>8</v>
      </c>
      <c r="B2431" s="3" t="s">
        <v>9</v>
      </c>
      <c r="C2431" s="3" t="s">
        <v>10</v>
      </c>
    </row>
    <row r="2432">
      <c r="A2432" s="3" t="s">
        <v>8</v>
      </c>
    </row>
    <row r="2433">
      <c r="A2433" s="3" t="s">
        <v>8</v>
      </c>
      <c r="B2433" s="3" t="s">
        <v>9</v>
      </c>
    </row>
    <row r="2434">
      <c r="A2434" s="3" t="s">
        <v>8</v>
      </c>
      <c r="B2434" s="3" t="s">
        <v>9</v>
      </c>
    </row>
    <row r="2435">
      <c r="A2435" s="3" t="s">
        <v>8</v>
      </c>
      <c r="B2435" s="3" t="s">
        <v>9</v>
      </c>
    </row>
    <row r="2436">
      <c r="A2436" s="3" t="s">
        <v>8</v>
      </c>
      <c r="B2436" s="3" t="s">
        <v>9</v>
      </c>
      <c r="C2436" s="3" t="s">
        <v>10</v>
      </c>
    </row>
    <row r="2437">
      <c r="A2437" s="3" t="s">
        <v>8</v>
      </c>
      <c r="B2437" s="3" t="s">
        <v>9</v>
      </c>
      <c r="C2437" s="3" t="s">
        <v>16</v>
      </c>
    </row>
    <row r="2438">
      <c r="A2438" s="3" t="s">
        <v>8</v>
      </c>
      <c r="B2438" s="3" t="s">
        <v>9</v>
      </c>
      <c r="C2438" s="3" t="s">
        <v>10</v>
      </c>
    </row>
    <row r="2439">
      <c r="A2439" s="3" t="s">
        <v>8</v>
      </c>
      <c r="B2439" s="3" t="s">
        <v>9</v>
      </c>
      <c r="C2439" s="3" t="s">
        <v>10</v>
      </c>
    </row>
    <row r="2440">
      <c r="A2440" s="3" t="s">
        <v>8</v>
      </c>
    </row>
    <row r="2441">
      <c r="A2441" s="3" t="s">
        <v>8</v>
      </c>
      <c r="B2441" s="3" t="s">
        <v>9</v>
      </c>
      <c r="C2441" s="3" t="s">
        <v>16</v>
      </c>
    </row>
    <row r="2442">
      <c r="A2442" s="3" t="s">
        <v>8</v>
      </c>
      <c r="B2442" s="3" t="s">
        <v>9</v>
      </c>
    </row>
    <row r="2443">
      <c r="A2443" s="3" t="s">
        <v>8</v>
      </c>
      <c r="B2443" s="3" t="s">
        <v>9</v>
      </c>
      <c r="C2443" s="3" t="s">
        <v>10</v>
      </c>
    </row>
    <row r="2444">
      <c r="A2444" s="3" t="s">
        <v>8</v>
      </c>
      <c r="B2444" s="3" t="s">
        <v>9</v>
      </c>
      <c r="C2444" s="3" t="s">
        <v>10</v>
      </c>
    </row>
    <row r="2445">
      <c r="A2445" s="3" t="s">
        <v>8</v>
      </c>
      <c r="B2445" s="3" t="s">
        <v>9</v>
      </c>
      <c r="C2445" s="3" t="s">
        <v>10</v>
      </c>
    </row>
    <row r="2446">
      <c r="A2446" s="3" t="s">
        <v>8</v>
      </c>
      <c r="B2446" s="3" t="s">
        <v>11</v>
      </c>
      <c r="C2446" s="3" t="s">
        <v>12</v>
      </c>
    </row>
    <row r="2447">
      <c r="A2447" s="3" t="s">
        <v>8</v>
      </c>
      <c r="B2447" s="3" t="s">
        <v>9</v>
      </c>
      <c r="C2447" s="3" t="s">
        <v>10</v>
      </c>
    </row>
    <row r="2448">
      <c r="A2448" s="3" t="s">
        <v>8</v>
      </c>
      <c r="B2448" s="3" t="s">
        <v>9</v>
      </c>
      <c r="C2448" s="3" t="s">
        <v>12</v>
      </c>
    </row>
    <row r="2449">
      <c r="A2449" s="3" t="s">
        <v>8</v>
      </c>
    </row>
    <row r="2450">
      <c r="A2450" s="3" t="s">
        <v>8</v>
      </c>
      <c r="B2450" s="3" t="s">
        <v>9</v>
      </c>
      <c r="C2450" s="3" t="s">
        <v>10</v>
      </c>
    </row>
    <row r="2451">
      <c r="A2451" s="3" t="s">
        <v>8</v>
      </c>
      <c r="B2451" s="3" t="s">
        <v>15</v>
      </c>
      <c r="C2451" s="3" t="s">
        <v>16</v>
      </c>
    </row>
    <row r="2452">
      <c r="A2452" s="3" t="s">
        <v>8</v>
      </c>
      <c r="B2452" s="3" t="s">
        <v>9</v>
      </c>
      <c r="C2452" s="3" t="s">
        <v>10</v>
      </c>
    </row>
    <row r="2453">
      <c r="A2453" s="3" t="s">
        <v>8</v>
      </c>
      <c r="B2453" s="3" t="s">
        <v>11</v>
      </c>
      <c r="C2453" s="3" t="s">
        <v>12</v>
      </c>
    </row>
    <row r="2454">
      <c r="A2454" s="3" t="s">
        <v>9</v>
      </c>
      <c r="B2454" s="3" t="s">
        <v>10</v>
      </c>
    </row>
    <row r="2455">
      <c r="A2455" s="3" t="s">
        <v>9</v>
      </c>
      <c r="B2455" s="3" t="s">
        <v>10</v>
      </c>
    </row>
    <row r="2456">
      <c r="A2456" s="3" t="s">
        <v>9</v>
      </c>
      <c r="B2456" s="3" t="s">
        <v>10</v>
      </c>
    </row>
    <row r="2457">
      <c r="A2457" s="3" t="s">
        <v>9</v>
      </c>
      <c r="B2457" s="3" t="s">
        <v>10</v>
      </c>
      <c r="C2457" s="3" t="s">
        <v>16</v>
      </c>
    </row>
    <row r="2458">
      <c r="A2458" s="3" t="s">
        <v>9</v>
      </c>
      <c r="B2458" s="3" t="s">
        <v>10</v>
      </c>
      <c r="C2458" s="3" t="s">
        <v>18</v>
      </c>
    </row>
    <row r="2459">
      <c r="A2459" s="3" t="s">
        <v>9</v>
      </c>
      <c r="B2459" s="3" t="s">
        <v>10</v>
      </c>
      <c r="C2459" s="3" t="s">
        <v>18</v>
      </c>
    </row>
    <row r="2460">
      <c r="A2460" s="3" t="s">
        <v>9</v>
      </c>
      <c r="B2460" s="3" t="s">
        <v>10</v>
      </c>
    </row>
    <row r="2461">
      <c r="A2461" s="3" t="s">
        <v>9</v>
      </c>
      <c r="B2461" s="3" t="s">
        <v>10</v>
      </c>
    </row>
    <row r="2462">
      <c r="A2462" s="3" t="s">
        <v>9</v>
      </c>
      <c r="B2462" s="3" t="s">
        <v>11</v>
      </c>
      <c r="C2462" s="3" t="s">
        <v>12</v>
      </c>
    </row>
    <row r="2463">
      <c r="A2463" s="3" t="s">
        <v>9</v>
      </c>
      <c r="B2463" s="3" t="s">
        <v>10</v>
      </c>
      <c r="C2463" s="3" t="s">
        <v>16</v>
      </c>
    </row>
    <row r="2464">
      <c r="A2464" s="3" t="s">
        <v>9</v>
      </c>
      <c r="B2464" s="3" t="s">
        <v>10</v>
      </c>
    </row>
    <row r="2465">
      <c r="A2465" s="3" t="s">
        <v>9</v>
      </c>
      <c r="B2465" s="3" t="s">
        <v>11</v>
      </c>
      <c r="C2465" s="3" t="s">
        <v>12</v>
      </c>
    </row>
    <row r="2466">
      <c r="A2466" s="3" t="s">
        <v>9</v>
      </c>
      <c r="B2466" s="3" t="s">
        <v>10</v>
      </c>
      <c r="C2466" s="3" t="s">
        <v>18</v>
      </c>
    </row>
    <row r="2467">
      <c r="A2467" s="3" t="s">
        <v>9</v>
      </c>
      <c r="B2467" s="3" t="s">
        <v>18</v>
      </c>
    </row>
    <row r="2468">
      <c r="A2468" s="3" t="s">
        <v>9</v>
      </c>
      <c r="B2468" s="3" t="s">
        <v>10</v>
      </c>
    </row>
    <row r="2469">
      <c r="A2469" s="3" t="s">
        <v>9</v>
      </c>
      <c r="B2469" s="3" t="s">
        <v>10</v>
      </c>
    </row>
    <row r="2470">
      <c r="A2470" s="3" t="s">
        <v>9</v>
      </c>
      <c r="B2470" s="3" t="s">
        <v>10</v>
      </c>
      <c r="C2470" s="3" t="s">
        <v>18</v>
      </c>
    </row>
    <row r="2471">
      <c r="A2471" s="3" t="s">
        <v>9</v>
      </c>
      <c r="B2471" s="3" t="s">
        <v>10</v>
      </c>
    </row>
    <row r="2472">
      <c r="A2472" s="3" t="s">
        <v>9</v>
      </c>
      <c r="B2472" s="3" t="s">
        <v>10</v>
      </c>
      <c r="C2472" s="3" t="s">
        <v>18</v>
      </c>
    </row>
    <row r="2473">
      <c r="A2473" s="3" t="s">
        <v>9</v>
      </c>
    </row>
    <row r="2474">
      <c r="A2474" s="3" t="s">
        <v>9</v>
      </c>
      <c r="B2474" s="3" t="s">
        <v>10</v>
      </c>
    </row>
    <row r="2475">
      <c r="A2475" s="3" t="s">
        <v>9</v>
      </c>
      <c r="B2475" s="3" t="s">
        <v>10</v>
      </c>
      <c r="C2475" s="3" t="s">
        <v>18</v>
      </c>
    </row>
    <row r="2476">
      <c r="A2476" s="3" t="s">
        <v>10</v>
      </c>
      <c r="B2476" s="3" t="s">
        <v>17</v>
      </c>
      <c r="C2476" s="3" t="s">
        <v>18</v>
      </c>
    </row>
    <row r="2477">
      <c r="A2477" s="3" t="s">
        <v>11</v>
      </c>
      <c r="B2477" s="3" t="s">
        <v>12</v>
      </c>
    </row>
    <row r="2478">
      <c r="A2478" s="3" t="s">
        <v>11</v>
      </c>
      <c r="B2478" s="3" t="s">
        <v>12</v>
      </c>
      <c r="C2478" s="3" t="s">
        <v>15</v>
      </c>
    </row>
    <row r="2479">
      <c r="A2479" s="3" t="s">
        <v>11</v>
      </c>
      <c r="B2479" s="3" t="s">
        <v>12</v>
      </c>
      <c r="C2479" s="3" t="s">
        <v>15</v>
      </c>
    </row>
    <row r="2480">
      <c r="A2480" s="3" t="s">
        <v>11</v>
      </c>
      <c r="B2480" s="3" t="s">
        <v>12</v>
      </c>
      <c r="C2480" s="3" t="s">
        <v>17</v>
      </c>
    </row>
    <row r="2481">
      <c r="A2481" s="3" t="s">
        <v>11</v>
      </c>
      <c r="B2481" s="3" t="s">
        <v>12</v>
      </c>
    </row>
    <row r="2482">
      <c r="A2482" s="3" t="s">
        <v>11</v>
      </c>
      <c r="B2482" s="3" t="s">
        <v>12</v>
      </c>
      <c r="C2482" s="3" t="s">
        <v>17</v>
      </c>
    </row>
    <row r="2483">
      <c r="A2483" s="3" t="s">
        <v>11</v>
      </c>
      <c r="B2483" s="3" t="s">
        <v>12</v>
      </c>
    </row>
    <row r="2484">
      <c r="A2484" s="3" t="s">
        <v>11</v>
      </c>
      <c r="B2484" s="3" t="s">
        <v>12</v>
      </c>
    </row>
    <row r="2485">
      <c r="A2485" s="3" t="s">
        <v>11</v>
      </c>
      <c r="B2485" s="3" t="s">
        <v>12</v>
      </c>
    </row>
    <row r="2486">
      <c r="A2486" s="3" t="s">
        <v>11</v>
      </c>
      <c r="B2486" s="3" t="s">
        <v>12</v>
      </c>
      <c r="C2486" s="3" t="s">
        <v>17</v>
      </c>
    </row>
    <row r="2487">
      <c r="A2487" s="3" t="s">
        <v>11</v>
      </c>
      <c r="B2487" s="3" t="s">
        <v>12</v>
      </c>
      <c r="C2487" s="3" t="s">
        <v>17</v>
      </c>
    </row>
    <row r="2488">
      <c r="A2488" s="3" t="s">
        <v>11</v>
      </c>
      <c r="B2488" s="3" t="s">
        <v>12</v>
      </c>
      <c r="C2488" s="3" t="s">
        <v>16</v>
      </c>
    </row>
    <row r="2489">
      <c r="A2489" s="3" t="s">
        <v>11</v>
      </c>
      <c r="B2489" s="3" t="s">
        <v>12</v>
      </c>
    </row>
    <row r="2490">
      <c r="A2490" s="3" t="s">
        <v>11</v>
      </c>
      <c r="B2490" s="3" t="s">
        <v>12</v>
      </c>
      <c r="C2490" s="3" t="s">
        <v>15</v>
      </c>
    </row>
    <row r="2491">
      <c r="A2491" s="3" t="s">
        <v>11</v>
      </c>
    </row>
    <row r="2492">
      <c r="A2492" s="3" t="s">
        <v>11</v>
      </c>
      <c r="B2492" s="3" t="s">
        <v>15</v>
      </c>
      <c r="C2492" s="3" t="s">
        <v>16</v>
      </c>
    </row>
    <row r="2493">
      <c r="A2493" s="3" t="s">
        <v>11</v>
      </c>
      <c r="B2493" s="3" t="s">
        <v>12</v>
      </c>
    </row>
    <row r="2494">
      <c r="A2494" s="3" t="s">
        <v>11</v>
      </c>
      <c r="B2494" s="3" t="s">
        <v>12</v>
      </c>
    </row>
    <row r="2495">
      <c r="A2495" s="3" t="s">
        <v>11</v>
      </c>
    </row>
    <row r="2496">
      <c r="A2496" s="3" t="s">
        <v>11</v>
      </c>
      <c r="B2496" s="3" t="s">
        <v>12</v>
      </c>
      <c r="C2496" s="3" t="s">
        <v>17</v>
      </c>
    </row>
    <row r="2497">
      <c r="A2497" s="3" t="s">
        <v>11</v>
      </c>
      <c r="B2497" s="3" t="s">
        <v>12</v>
      </c>
    </row>
    <row r="2498">
      <c r="A2498" s="3" t="s">
        <v>11</v>
      </c>
      <c r="B2498" s="3" t="s">
        <v>12</v>
      </c>
    </row>
    <row r="2499">
      <c r="A2499" s="3" t="s">
        <v>11</v>
      </c>
      <c r="B2499" s="3" t="s">
        <v>15</v>
      </c>
      <c r="C2499" s="3" t="s">
        <v>16</v>
      </c>
    </row>
    <row r="2500">
      <c r="A2500" s="3" t="s">
        <v>11</v>
      </c>
    </row>
    <row r="2501">
      <c r="A2501" s="3" t="s">
        <v>11</v>
      </c>
      <c r="B2501" s="3" t="s">
        <v>15</v>
      </c>
    </row>
    <row r="2502">
      <c r="A2502" s="3" t="s">
        <v>11</v>
      </c>
      <c r="B2502" s="3" t="s">
        <v>12</v>
      </c>
    </row>
    <row r="2503">
      <c r="A2503" s="3" t="s">
        <v>11</v>
      </c>
    </row>
    <row r="2504">
      <c r="A2504" s="3" t="s">
        <v>11</v>
      </c>
      <c r="B2504" s="3" t="s">
        <v>15</v>
      </c>
    </row>
    <row r="2505">
      <c r="A2505" s="3" t="s">
        <v>11</v>
      </c>
      <c r="B2505" s="3" t="s">
        <v>12</v>
      </c>
    </row>
    <row r="2506">
      <c r="A2506" s="3" t="s">
        <v>12</v>
      </c>
      <c r="B2506" s="3" t="s">
        <v>17</v>
      </c>
      <c r="C2506" s="3" t="s">
        <v>18</v>
      </c>
    </row>
    <row r="2507">
      <c r="A2507" s="3" t="s">
        <v>12</v>
      </c>
      <c r="B2507" s="3" t="s">
        <v>17</v>
      </c>
      <c r="C2507" s="3" t="s">
        <v>18</v>
      </c>
    </row>
    <row r="2508">
      <c r="A2508" s="3" t="s">
        <v>12</v>
      </c>
      <c r="B2508" s="3" t="s">
        <v>17</v>
      </c>
      <c r="C2508" s="3" t="s">
        <v>18</v>
      </c>
    </row>
    <row r="2509">
      <c r="A2509" s="3" t="s">
        <v>12</v>
      </c>
      <c r="B2509" s="3" t="s">
        <v>17</v>
      </c>
      <c r="C2509" s="3" t="s">
        <v>18</v>
      </c>
    </row>
    <row r="2510">
      <c r="A2510" s="3" t="s">
        <v>12</v>
      </c>
    </row>
    <row r="2511">
      <c r="A2511" s="3" t="s">
        <v>12</v>
      </c>
    </row>
    <row r="2512">
      <c r="A2512" s="3" t="s">
        <v>12</v>
      </c>
      <c r="B2512" s="3" t="s">
        <v>17</v>
      </c>
      <c r="C2512" s="3" t="s">
        <v>18</v>
      </c>
    </row>
    <row r="2513">
      <c r="A2513" s="3" t="s">
        <v>12</v>
      </c>
      <c r="B2513" s="3" t="s">
        <v>17</v>
      </c>
      <c r="C2513" s="3" t="s">
        <v>18</v>
      </c>
    </row>
    <row r="2514">
      <c r="A2514" s="3" t="s">
        <v>12</v>
      </c>
    </row>
    <row r="2515">
      <c r="A2515" s="3" t="s">
        <v>12</v>
      </c>
      <c r="B2515" s="3" t="s">
        <v>16</v>
      </c>
    </row>
    <row r="2516">
      <c r="A2516" s="3" t="s">
        <v>13</v>
      </c>
      <c r="B2516" s="3" t="s">
        <v>14</v>
      </c>
    </row>
    <row r="2517">
      <c r="A2517" s="3" t="s">
        <v>13</v>
      </c>
      <c r="B2517" s="3" t="s">
        <v>14</v>
      </c>
    </row>
    <row r="2518">
      <c r="A2518" s="3" t="s">
        <v>13</v>
      </c>
      <c r="B2518" s="3" t="s">
        <v>14</v>
      </c>
    </row>
    <row r="2519">
      <c r="A2519" s="3" t="s">
        <v>13</v>
      </c>
      <c r="B2519" s="3" t="s">
        <v>14</v>
      </c>
      <c r="C2519" s="3" t="s">
        <v>17</v>
      </c>
    </row>
    <row r="2520">
      <c r="A2520" s="3" t="s">
        <v>13</v>
      </c>
      <c r="B2520" s="3" t="s">
        <v>14</v>
      </c>
      <c r="C2520" s="3" t="s">
        <v>17</v>
      </c>
    </row>
    <row r="2521">
      <c r="A2521" s="3" t="s">
        <v>13</v>
      </c>
    </row>
    <row r="2522">
      <c r="A2522" s="3" t="s">
        <v>13</v>
      </c>
      <c r="B2522" s="3" t="s">
        <v>14</v>
      </c>
    </row>
    <row r="2523">
      <c r="A2523" s="3" t="s">
        <v>13</v>
      </c>
      <c r="B2523" s="3" t="s">
        <v>14</v>
      </c>
    </row>
    <row r="2524">
      <c r="A2524" s="3" t="s">
        <v>13</v>
      </c>
      <c r="B2524" s="3" t="s">
        <v>14</v>
      </c>
      <c r="C2524" s="3" t="s">
        <v>17</v>
      </c>
    </row>
    <row r="2525">
      <c r="A2525" s="3" t="s">
        <v>13</v>
      </c>
      <c r="B2525" s="3" t="s">
        <v>14</v>
      </c>
      <c r="C2525" s="3" t="s">
        <v>17</v>
      </c>
    </row>
    <row r="2526">
      <c r="A2526" s="3" t="s">
        <v>13</v>
      </c>
      <c r="B2526" s="3" t="s">
        <v>14</v>
      </c>
      <c r="C2526" s="3" t="s">
        <v>17</v>
      </c>
    </row>
    <row r="2527">
      <c r="A2527" s="3" t="s">
        <v>13</v>
      </c>
      <c r="B2527" s="3" t="s">
        <v>14</v>
      </c>
      <c r="C2527" s="3" t="s">
        <v>17</v>
      </c>
    </row>
    <row r="2528">
      <c r="A2528" s="3" t="s">
        <v>13</v>
      </c>
    </row>
    <row r="2529">
      <c r="A2529" s="3" t="s">
        <v>13</v>
      </c>
      <c r="B2529" s="3" t="s">
        <v>14</v>
      </c>
    </row>
    <row r="2530">
      <c r="A2530" s="3" t="s">
        <v>13</v>
      </c>
    </row>
    <row r="2531">
      <c r="A2531" s="3" t="s">
        <v>13</v>
      </c>
    </row>
    <row r="2532">
      <c r="A2532" s="3" t="s">
        <v>13</v>
      </c>
      <c r="B2532" s="3" t="s">
        <v>14</v>
      </c>
      <c r="C2532" s="3" t="s">
        <v>18</v>
      </c>
    </row>
    <row r="2533">
      <c r="A2533" s="3" t="s">
        <v>13</v>
      </c>
    </row>
    <row r="2534">
      <c r="A2534" s="3" t="s">
        <v>13</v>
      </c>
    </row>
    <row r="2535">
      <c r="A2535" s="3" t="s">
        <v>13</v>
      </c>
    </row>
    <row r="2536">
      <c r="A2536" s="3" t="s">
        <v>13</v>
      </c>
      <c r="B2536" s="3" t="s">
        <v>14</v>
      </c>
      <c r="C2536" s="3" t="s">
        <v>17</v>
      </c>
    </row>
    <row r="2537">
      <c r="A2537" s="3" t="s">
        <v>13</v>
      </c>
      <c r="B2537" s="3" t="s">
        <v>14</v>
      </c>
    </row>
    <row r="2538">
      <c r="A2538" s="3" t="s">
        <v>13</v>
      </c>
      <c r="B2538" s="3" t="s">
        <v>14</v>
      </c>
    </row>
    <row r="2539">
      <c r="A2539" s="3" t="s">
        <v>13</v>
      </c>
    </row>
    <row r="2540">
      <c r="A2540" s="3" t="s">
        <v>13</v>
      </c>
      <c r="B2540" s="3" t="s">
        <v>14</v>
      </c>
    </row>
    <row r="2541">
      <c r="A2541" s="3" t="s">
        <v>13</v>
      </c>
      <c r="B2541" s="3" t="s">
        <v>14</v>
      </c>
    </row>
    <row r="2542">
      <c r="A2542" s="3" t="s">
        <v>13</v>
      </c>
    </row>
    <row r="2543">
      <c r="A2543" s="3" t="s">
        <v>13</v>
      </c>
    </row>
    <row r="2544">
      <c r="A2544" s="3" t="s">
        <v>13</v>
      </c>
      <c r="B2544" s="3" t="s">
        <v>14</v>
      </c>
    </row>
    <row r="2545">
      <c r="A2545" s="3" t="s">
        <v>13</v>
      </c>
      <c r="B2545" s="3" t="s">
        <v>14</v>
      </c>
    </row>
    <row r="2546">
      <c r="A2546" s="3" t="s">
        <v>13</v>
      </c>
      <c r="B2546" s="3" t="s">
        <v>14</v>
      </c>
    </row>
    <row r="2547">
      <c r="A2547" s="3" t="s">
        <v>13</v>
      </c>
    </row>
    <row r="2548">
      <c r="A2548" s="3" t="s">
        <v>14</v>
      </c>
      <c r="B2548" s="3" t="s">
        <v>17</v>
      </c>
      <c r="C2548" s="3" t="s">
        <v>18</v>
      </c>
    </row>
    <row r="2549">
      <c r="A2549" s="3" t="s">
        <v>14</v>
      </c>
      <c r="B2549" s="3" t="s">
        <v>17</v>
      </c>
      <c r="C2549" s="3" t="s">
        <v>18</v>
      </c>
    </row>
    <row r="2550">
      <c r="A2550" s="3" t="s">
        <v>14</v>
      </c>
      <c r="B2550" s="3" t="s">
        <v>17</v>
      </c>
      <c r="C2550" s="3" t="s">
        <v>18</v>
      </c>
    </row>
    <row r="2551">
      <c r="A2551" s="3" t="s">
        <v>14</v>
      </c>
      <c r="B2551" s="3" t="s">
        <v>17</v>
      </c>
      <c r="C2551" s="3" t="s">
        <v>18</v>
      </c>
    </row>
    <row r="2552">
      <c r="A2552" s="3" t="s">
        <v>14</v>
      </c>
      <c r="B2552" s="3" t="s">
        <v>17</v>
      </c>
      <c r="C2552" s="3" t="s">
        <v>18</v>
      </c>
    </row>
    <row r="2553">
      <c r="A2553" s="3" t="s">
        <v>14</v>
      </c>
      <c r="B2553" s="3" t="s">
        <v>17</v>
      </c>
      <c r="C2553" s="3" t="s">
        <v>18</v>
      </c>
    </row>
    <row r="2554">
      <c r="A2554" s="3" t="s">
        <v>14</v>
      </c>
      <c r="B2554" s="3" t="s">
        <v>17</v>
      </c>
      <c r="C2554" s="3" t="s">
        <v>18</v>
      </c>
    </row>
    <row r="2555">
      <c r="A2555" s="3" t="s">
        <v>14</v>
      </c>
      <c r="B2555" s="3" t="s">
        <v>17</v>
      </c>
      <c r="C2555" s="3" t="s">
        <v>18</v>
      </c>
    </row>
    <row r="2556">
      <c r="A2556" s="3" t="s">
        <v>14</v>
      </c>
      <c r="B2556" s="3" t="s">
        <v>17</v>
      </c>
      <c r="C2556" s="3" t="s">
        <v>18</v>
      </c>
    </row>
    <row r="2557">
      <c r="A2557" s="3" t="s">
        <v>14</v>
      </c>
      <c r="B2557" s="3" t="s">
        <v>17</v>
      </c>
    </row>
    <row r="2558">
      <c r="A2558" s="3" t="s">
        <v>14</v>
      </c>
      <c r="B2558" s="3" t="s">
        <v>17</v>
      </c>
      <c r="C2558" s="3" t="s">
        <v>18</v>
      </c>
    </row>
    <row r="2559">
      <c r="A2559" s="3" t="s">
        <v>15</v>
      </c>
      <c r="B2559" s="3" t="s">
        <v>16</v>
      </c>
      <c r="C2559" s="3" t="s">
        <v>17</v>
      </c>
    </row>
    <row r="2560">
      <c r="A2560" s="3" t="s">
        <v>15</v>
      </c>
      <c r="B2560" s="3" t="s">
        <v>16</v>
      </c>
      <c r="C2560" s="3" t="s">
        <v>17</v>
      </c>
    </row>
    <row r="2561">
      <c r="A2561" s="3" t="s">
        <v>15</v>
      </c>
    </row>
    <row r="2562">
      <c r="A2562" s="3" t="s">
        <v>15</v>
      </c>
      <c r="B2562" s="3" t="s">
        <v>16</v>
      </c>
    </row>
    <row r="2563">
      <c r="A2563" s="3" t="s">
        <v>15</v>
      </c>
    </row>
    <row r="2564">
      <c r="A2564" s="3" t="s">
        <v>15</v>
      </c>
      <c r="B2564" s="3" t="s">
        <v>16</v>
      </c>
    </row>
    <row r="2565">
      <c r="A2565" s="3" t="s">
        <v>15</v>
      </c>
      <c r="B2565" s="3" t="s">
        <v>16</v>
      </c>
    </row>
    <row r="2566">
      <c r="A2566" s="3" t="s">
        <v>15</v>
      </c>
      <c r="B2566" s="3" t="s">
        <v>16</v>
      </c>
      <c r="C2566" s="3" t="s">
        <v>17</v>
      </c>
    </row>
    <row r="2567">
      <c r="A2567" s="3" t="s">
        <v>15</v>
      </c>
      <c r="B2567" s="3" t="s">
        <v>16</v>
      </c>
      <c r="C2567" s="3" t="s">
        <v>17</v>
      </c>
    </row>
    <row r="2568">
      <c r="A2568" s="3" t="s">
        <v>15</v>
      </c>
      <c r="B2568" s="3" t="s">
        <v>16</v>
      </c>
      <c r="C2568" s="3" t="s">
        <v>17</v>
      </c>
    </row>
    <row r="2569">
      <c r="A2569" s="3" t="s">
        <v>15</v>
      </c>
      <c r="B2569" s="3" t="s">
        <v>16</v>
      </c>
    </row>
    <row r="2570">
      <c r="A2570" s="3" t="s">
        <v>15</v>
      </c>
      <c r="B2570" s="3" t="s">
        <v>16</v>
      </c>
    </row>
    <row r="2571">
      <c r="A2571" s="3" t="s">
        <v>15</v>
      </c>
      <c r="B2571" s="3" t="s">
        <v>16</v>
      </c>
      <c r="C2571" s="3" t="s">
        <v>17</v>
      </c>
    </row>
    <row r="2572">
      <c r="A2572" s="3" t="s">
        <v>15</v>
      </c>
      <c r="B2572" s="3" t="s">
        <v>16</v>
      </c>
    </row>
    <row r="2573">
      <c r="A2573" s="3" t="s">
        <v>15</v>
      </c>
      <c r="B2573" s="3" t="s">
        <v>16</v>
      </c>
    </row>
    <row r="2574">
      <c r="A2574" s="3" t="s">
        <v>15</v>
      </c>
      <c r="B2574" s="3" t="s">
        <v>16</v>
      </c>
      <c r="C2574" s="3" t="s">
        <v>17</v>
      </c>
    </row>
    <row r="2575">
      <c r="A2575" s="3" t="s">
        <v>15</v>
      </c>
      <c r="B2575" s="3" t="s">
        <v>16</v>
      </c>
      <c r="C2575" s="3" t="s">
        <v>17</v>
      </c>
    </row>
    <row r="2576">
      <c r="A2576" s="3" t="s">
        <v>15</v>
      </c>
      <c r="B2576" s="3" t="s">
        <v>16</v>
      </c>
    </row>
    <row r="2577">
      <c r="A2577" s="3" t="s">
        <v>15</v>
      </c>
      <c r="B2577" s="3" t="s">
        <v>16</v>
      </c>
    </row>
    <row r="2578">
      <c r="A2578" s="3" t="s">
        <v>15</v>
      </c>
      <c r="B2578" s="3" t="s">
        <v>16</v>
      </c>
    </row>
    <row r="2579">
      <c r="A2579" s="3" t="s">
        <v>15</v>
      </c>
    </row>
    <row r="2580">
      <c r="A2580" s="3" t="s">
        <v>15</v>
      </c>
    </row>
    <row r="2581">
      <c r="A2581" s="3" t="s">
        <v>15</v>
      </c>
    </row>
    <row r="2582">
      <c r="A2582" s="3" t="s">
        <v>16</v>
      </c>
      <c r="B2582" s="3" t="s">
        <v>17</v>
      </c>
      <c r="C2582" s="3" t="s">
        <v>18</v>
      </c>
    </row>
    <row r="2583">
      <c r="A2583" s="3" t="s">
        <v>16</v>
      </c>
      <c r="B2583" s="3" t="s">
        <v>18</v>
      </c>
    </row>
    <row r="2584">
      <c r="A2584" s="3" t="s">
        <v>16</v>
      </c>
      <c r="B2584" s="3" t="s">
        <v>17</v>
      </c>
      <c r="C2584" s="3" t="s">
        <v>18</v>
      </c>
    </row>
    <row r="2585">
      <c r="A2585" s="3" t="s">
        <v>16</v>
      </c>
      <c r="B2585" s="3" t="s">
        <v>17</v>
      </c>
      <c r="C2585" s="3" t="s">
        <v>18</v>
      </c>
    </row>
    <row r="2586">
      <c r="A2586" s="3" t="s">
        <v>16</v>
      </c>
      <c r="B2586" s="3" t="s">
        <v>17</v>
      </c>
      <c r="C2586" s="3" t="s">
        <v>18</v>
      </c>
    </row>
    <row r="2587">
      <c r="A2587" s="3" t="s">
        <v>16</v>
      </c>
      <c r="B2587" s="3" t="s">
        <v>17</v>
      </c>
      <c r="C2587" s="3" t="s">
        <v>18</v>
      </c>
    </row>
    <row r="2588">
      <c r="A2588" s="3" t="s">
        <v>16</v>
      </c>
      <c r="B2588" s="3" t="s">
        <v>17</v>
      </c>
      <c r="C2588" s="3" t="s">
        <v>18</v>
      </c>
    </row>
    <row r="2589">
      <c r="A2589" s="3" t="s">
        <v>16</v>
      </c>
      <c r="B2589" s="3" t="s">
        <v>17</v>
      </c>
    </row>
    <row r="2590">
      <c r="A2590" s="3" t="s">
        <v>17</v>
      </c>
      <c r="B2590" s="3" t="s">
        <v>18</v>
      </c>
    </row>
    <row r="2591">
      <c r="A2591" s="3" t="s">
        <v>17</v>
      </c>
      <c r="B2591" s="3" t="s">
        <v>18</v>
      </c>
    </row>
    <row r="2592">
      <c r="A2592" s="3" t="s">
        <v>17</v>
      </c>
      <c r="B2592" s="3" t="s">
        <v>18</v>
      </c>
    </row>
    <row r="2593">
      <c r="A2593" s="3" t="s">
        <v>17</v>
      </c>
      <c r="B2593" s="3" t="s">
        <v>18</v>
      </c>
    </row>
    <row r="2594">
      <c r="A2594" s="3" t="s">
        <v>609</v>
      </c>
    </row>
  </sheetData>
  <drawing r:id="rId1"/>
</worksheet>
</file>