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380" yWindow="-75" windowWidth="15480" windowHeight="7245" activeTab="1"/>
  </bookViews>
  <sheets>
    <sheet name="PD GRID" sheetId="1" r:id="rId1"/>
    <sheet name="Financial Grid" sheetId="3" r:id="rId2"/>
    <sheet name="Sectorwise P&amp;L" sheetId="2" r:id="rId3"/>
    <sheet name="Sheet1" sheetId="4" r:id="rId4"/>
  </sheets>
  <definedNames>
    <definedName name="_xlnm._FilterDatabase" localSheetId="0" hidden="1">'PD GRID'!$A$2:$C$56</definedName>
  </definedNames>
  <calcPr calcId="145621"/>
</workbook>
</file>

<file path=xl/calcChain.xml><?xml version="1.0" encoding="utf-8"?>
<calcChain xmlns="http://schemas.openxmlformats.org/spreadsheetml/2006/main">
  <c r="DT50" i="3"/>
  <c r="DT42"/>
  <c r="DT44" s="1"/>
  <c r="DQ50"/>
  <c r="DQ42"/>
  <c r="DQ44" s="1"/>
  <c r="DN50"/>
  <c r="DN42"/>
  <c r="DN44" s="1"/>
  <c r="DT7"/>
  <c r="DT5"/>
  <c r="DT2"/>
  <c r="FG15"/>
  <c r="FG15" i="1"/>
  <c r="DT45" i="3" l="1"/>
  <c r="DT46" s="1"/>
  <c r="DT47" s="1"/>
  <c r="DT49" s="1"/>
  <c r="DT51" s="1"/>
  <c r="DQ45"/>
  <c r="DQ46" s="1"/>
  <c r="DQ47" s="1"/>
  <c r="DQ49" s="1"/>
  <c r="DQ51" s="1"/>
  <c r="DN45"/>
  <c r="DN46" s="1"/>
  <c r="DN47" s="1"/>
  <c r="DN49" s="1"/>
  <c r="DN51" s="1"/>
  <c r="FF15" i="1"/>
  <c r="DK50" i="3"/>
  <c r="DK42"/>
  <c r="DK2"/>
  <c r="FA15" i="1"/>
  <c r="DH50" i="3"/>
  <c r="DH42"/>
  <c r="DH44" s="1"/>
  <c r="DH2"/>
  <c r="EU15" i="1"/>
  <c r="DE50" i="3"/>
  <c r="DE42"/>
  <c r="DE44" s="1"/>
  <c r="EY15" i="1"/>
  <c r="EZ15"/>
  <c r="DB50" i="3"/>
  <c r="DB42"/>
  <c r="DB44" s="1"/>
  <c r="EW15" i="1"/>
  <c r="CY50" i="3"/>
  <c r="CY42"/>
  <c r="CY44" s="1"/>
  <c r="CV50"/>
  <c r="CV42"/>
  <c r="CV44" s="1"/>
  <c r="CV2"/>
  <c r="CS50"/>
  <c r="CS44"/>
  <c r="CS45" s="1"/>
  <c r="CS46" s="1"/>
  <c r="EO15" i="1"/>
  <c r="CS2" i="3"/>
  <c r="EP15" i="1"/>
  <c r="CP8" i="3"/>
  <c r="CP50"/>
  <c r="CP44"/>
  <c r="CP45" s="1"/>
  <c r="CP46" s="1"/>
  <c r="EL15" i="1"/>
  <c r="CM50" i="3"/>
  <c r="CM44"/>
  <c r="CM45" s="1"/>
  <c r="CM46" s="1"/>
  <c r="CM31"/>
  <c r="CM30"/>
  <c r="CM29"/>
  <c r="CM28"/>
  <c r="CM12"/>
  <c r="CM6"/>
  <c r="EN15" i="1"/>
  <c r="CJ23" i="3"/>
  <c r="CJ50"/>
  <c r="CJ44"/>
  <c r="CJ45" s="1"/>
  <c r="CJ46" s="1"/>
  <c r="CJ47" s="1"/>
  <c r="CJ49" s="1"/>
  <c r="CJ51" s="1"/>
  <c r="CJ2"/>
  <c r="CJ4"/>
  <c r="EI15" i="1"/>
  <c r="CG2" i="3"/>
  <c r="CD2"/>
  <c r="CG50"/>
  <c r="CG44"/>
  <c r="CG45" s="1"/>
  <c r="CG46" s="1"/>
  <c r="CG47" s="1"/>
  <c r="CG49" s="1"/>
  <c r="EK15" i="1"/>
  <c r="CD50" i="3"/>
  <c r="CD44"/>
  <c r="CD45" s="1"/>
  <c r="CD46" s="1"/>
  <c r="CD47" s="1"/>
  <c r="CD49" s="1"/>
  <c r="CA50"/>
  <c r="CA44"/>
  <c r="CA45" s="1"/>
  <c r="CA46" s="1"/>
  <c r="CA47" s="1"/>
  <c r="CA49" s="1"/>
  <c r="CA51" s="1"/>
  <c r="BX50"/>
  <c r="BX44"/>
  <c r="BX45" s="1"/>
  <c r="BX46" s="1"/>
  <c r="BX47" s="1"/>
  <c r="BX49" s="1"/>
  <c r="BU50"/>
  <c r="BU44"/>
  <c r="BU45" s="1"/>
  <c r="BU46" s="1"/>
  <c r="BU47" s="1"/>
  <c r="BU49" s="1"/>
  <c r="BU51" s="1"/>
  <c r="BR50"/>
  <c r="BR44"/>
  <c r="BR45" s="1"/>
  <c r="BR46" s="1"/>
  <c r="BR47" s="1"/>
  <c r="BR49" s="1"/>
  <c r="BR51" s="1"/>
  <c r="BO50"/>
  <c r="BO45"/>
  <c r="BO46" s="1"/>
  <c r="BO47" s="1"/>
  <c r="BO49" s="1"/>
  <c r="BO51" s="1"/>
  <c r="BO44"/>
  <c r="BL50"/>
  <c r="BL44"/>
  <c r="BL45" s="1"/>
  <c r="BL46" s="1"/>
  <c r="BL47" s="1"/>
  <c r="BL49" s="1"/>
  <c r="CD8"/>
  <c r="EH15" i="1"/>
  <c r="CA2" i="3"/>
  <c r="EG15" i="1"/>
  <c r="ED15"/>
  <c r="BU3" i="3"/>
  <c r="BU2"/>
  <c r="DS15" i="1"/>
  <c r="DT15"/>
  <c r="CD51" i="3" l="1"/>
  <c r="DK44"/>
  <c r="DK45" s="1"/>
  <c r="DK46" s="1"/>
  <c r="DK47" s="1"/>
  <c r="DK49" s="1"/>
  <c r="DK51" s="1"/>
  <c r="DH45"/>
  <c r="DH46" s="1"/>
  <c r="DH47" s="1"/>
  <c r="DH49" s="1"/>
  <c r="DH51" s="1"/>
  <c r="DE45"/>
  <c r="DE46" s="1"/>
  <c r="DE47" s="1"/>
  <c r="DE49" s="1"/>
  <c r="DE51" s="1"/>
  <c r="DB45"/>
  <c r="DB46" s="1"/>
  <c r="DB47" s="1"/>
  <c r="DB49" s="1"/>
  <c r="DB51" s="1"/>
  <c r="CY45"/>
  <c r="CY46" s="1"/>
  <c r="CY47" s="1"/>
  <c r="CY49" s="1"/>
  <c r="CY51" s="1"/>
  <c r="CV45"/>
  <c r="CV46" s="1"/>
  <c r="CV47" s="1"/>
  <c r="CV49" s="1"/>
  <c r="CV51" s="1"/>
  <c r="CS49"/>
  <c r="CS47"/>
  <c r="CS48" s="1"/>
  <c r="BL51"/>
  <c r="BX51"/>
  <c r="CG51"/>
  <c r="CP49"/>
  <c r="CP47"/>
  <c r="CP48" s="1"/>
  <c r="CP51" s="1"/>
  <c r="CM49"/>
  <c r="CM47"/>
  <c r="CM48" s="1"/>
  <c r="CM51" s="1"/>
  <c r="CM32"/>
  <c r="CM13"/>
  <c r="DV15" i="1"/>
  <c r="BH50" i="3"/>
  <c r="BH44"/>
  <c r="BH45" s="1"/>
  <c r="BH46" s="1"/>
  <c r="BH47" s="1"/>
  <c r="BH49" s="1"/>
  <c r="BE50"/>
  <c r="BE44"/>
  <c r="BE45" s="1"/>
  <c r="BE46" s="1"/>
  <c r="BE47" s="1"/>
  <c r="BE49" s="1"/>
  <c r="BA50"/>
  <c r="BA44"/>
  <c r="BA45" s="1"/>
  <c r="BA46" s="1"/>
  <c r="BA47" s="1"/>
  <c r="BA49" s="1"/>
  <c r="BH10"/>
  <c r="BH21"/>
  <c r="DQ15" i="1"/>
  <c r="DR15"/>
  <c r="DP15"/>
  <c r="DP6"/>
  <c r="AX50" i="3"/>
  <c r="AX44"/>
  <c r="AX45" s="1"/>
  <c r="AX46" s="1"/>
  <c r="AX47" s="1"/>
  <c r="AX49" s="1"/>
  <c r="AU50"/>
  <c r="AU44"/>
  <c r="AU45" s="1"/>
  <c r="AU46" s="1"/>
  <c r="AU47" s="1"/>
  <c r="AU49" s="1"/>
  <c r="AU8"/>
  <c r="DL15" i="1"/>
  <c r="DO15"/>
  <c r="AR50" i="3"/>
  <c r="AR44"/>
  <c r="AR8"/>
  <c r="AR2"/>
  <c r="AO50"/>
  <c r="AO42"/>
  <c r="AO44" s="1"/>
  <c r="DN15" i="1"/>
  <c r="AL50" i="3"/>
  <c r="AL42"/>
  <c r="AL44" s="1"/>
  <c r="AL45" s="1"/>
  <c r="AL46" s="1"/>
  <c r="AL47" s="1"/>
  <c r="AL49" s="1"/>
  <c r="DM15" i="1"/>
  <c r="AH50" i="3"/>
  <c r="AH42"/>
  <c r="AH44" s="1"/>
  <c r="DG15" i="1"/>
  <c r="CV15"/>
  <c r="CS51" i="3" l="1"/>
  <c r="BE51"/>
  <c r="BH51"/>
  <c r="BA51"/>
  <c r="AL51"/>
  <c r="AU51"/>
  <c r="AX51"/>
  <c r="AR45"/>
  <c r="AR46" s="1"/>
  <c r="AR47" s="1"/>
  <c r="AR49" s="1"/>
  <c r="AR51" s="1"/>
  <c r="AO45"/>
  <c r="AO46" s="1"/>
  <c r="AO47" s="1"/>
  <c r="AO49" s="1"/>
  <c r="AO51" s="1"/>
  <c r="AH45"/>
  <c r="AH46" s="1"/>
  <c r="AH47" s="1"/>
  <c r="AH49" s="1"/>
  <c r="AE2"/>
  <c r="AB2" l="1"/>
  <c r="O2"/>
  <c r="O5"/>
  <c r="O47"/>
  <c r="O39"/>
  <c r="CY52" i="1"/>
  <c r="AB8" i="3"/>
  <c r="AB48"/>
  <c r="AB40"/>
  <c r="AB42" s="1"/>
  <c r="CY31" i="1"/>
  <c r="O41" i="3" l="1"/>
  <c r="O42" s="1"/>
  <c r="O43" s="1"/>
  <c r="O44" s="1"/>
  <c r="O46" s="1"/>
  <c r="O48" s="1"/>
  <c r="AB43"/>
  <c r="AB44" s="1"/>
  <c r="AB45" s="1"/>
  <c r="AB47" s="1"/>
  <c r="CZ30" i="1"/>
  <c r="Y10" i="3"/>
  <c r="V10"/>
  <c r="S10"/>
  <c r="Y23"/>
  <c r="V23"/>
  <c r="S23"/>
  <c r="L25"/>
  <c r="I25"/>
  <c r="F25"/>
  <c r="Y47"/>
  <c r="Y41"/>
  <c r="Y2"/>
  <c r="CZ15" i="1"/>
  <c r="V39" i="3"/>
  <c r="V41" s="1"/>
  <c r="V2"/>
  <c r="V47"/>
  <c r="S47"/>
  <c r="S39"/>
  <c r="S41" s="1"/>
  <c r="CW15" i="1"/>
  <c r="CW45"/>
  <c r="DA45"/>
  <c r="DA15"/>
  <c r="S2" i="3"/>
  <c r="CU45" i="1"/>
  <c r="CU6"/>
  <c r="CU14" s="1"/>
  <c r="CU15" s="1"/>
  <c r="CX6"/>
  <c r="CX14" s="1"/>
  <c r="CX15" s="1"/>
  <c r="S42" i="3" l="1"/>
  <c r="S43" s="1"/>
  <c r="S44" s="1"/>
  <c r="S46" s="1"/>
  <c r="S48" s="1"/>
  <c r="Y42"/>
  <c r="Y43" s="1"/>
  <c r="Y44" s="1"/>
  <c r="Y46" s="1"/>
  <c r="Y48" s="1"/>
  <c r="V42"/>
  <c r="V43" s="1"/>
  <c r="V44" s="1"/>
  <c r="V46" s="1"/>
  <c r="V48" s="1"/>
  <c r="L7"/>
  <c r="I7"/>
  <c r="F7"/>
  <c r="L46"/>
  <c r="L38"/>
  <c r="L40" s="1"/>
  <c r="I46"/>
  <c r="I38"/>
  <c r="I40" s="1"/>
  <c r="F46"/>
  <c r="F38"/>
  <c r="F40" s="1"/>
  <c r="L41" l="1"/>
  <c r="L42" s="1"/>
  <c r="L43" s="1"/>
  <c r="L45" s="1"/>
  <c r="L47" s="1"/>
  <c r="I41"/>
  <c r="I42" s="1"/>
  <c r="I43" s="1"/>
  <c r="I45" s="1"/>
  <c r="I47" s="1"/>
  <c r="F41"/>
  <c r="F42" s="1"/>
  <c r="F43" s="1"/>
  <c r="F45" s="1"/>
  <c r="F47" s="1"/>
  <c r="F19" l="1"/>
  <c r="L3"/>
  <c r="L15"/>
  <c r="I15"/>
  <c r="L2"/>
  <c r="I3"/>
  <c r="I2"/>
  <c r="I13" l="1"/>
  <c r="F13"/>
  <c r="F12"/>
  <c r="I12" s="1"/>
  <c r="L12" s="1"/>
  <c r="CT31" i="1" l="1"/>
  <c r="CT6" l="1"/>
  <c r="F3" i="3"/>
  <c r="F2"/>
  <c r="B2"/>
  <c r="CT14" i="1" l="1"/>
  <c r="CT15" s="1"/>
  <c r="B38" i="3" l="1"/>
  <c r="B40" s="1"/>
  <c r="B46"/>
  <c r="C2"/>
  <c r="B27"/>
  <c r="B34"/>
  <c r="CN24" i="1"/>
  <c r="B33" i="3"/>
  <c r="CN14" i="1"/>
  <c r="CN15" s="1"/>
  <c r="S60" i="2"/>
  <c r="P60"/>
  <c r="P54"/>
  <c r="P55" s="1"/>
  <c r="P56" s="1"/>
  <c r="S52"/>
  <c r="S54" s="1"/>
  <c r="P44"/>
  <c r="P43"/>
  <c r="P42"/>
  <c r="P41"/>
  <c r="N34"/>
  <c r="N33"/>
  <c r="N35" s="1"/>
  <c r="N36" s="1"/>
  <c r="P25"/>
  <c r="P19"/>
  <c r="P15"/>
  <c r="V4"/>
  <c r="V5" s="1"/>
  <c r="V6" s="1"/>
  <c r="V7" s="1"/>
  <c r="A3" i="1"/>
  <c r="A4" s="1"/>
  <c r="A5" s="1"/>
  <c r="A6" s="1"/>
  <c r="A7" s="1"/>
  <c r="A8" s="1"/>
  <c r="A9" s="1"/>
  <c r="A10" s="1"/>
  <c r="A11" s="1"/>
  <c r="A12" s="1"/>
  <c r="A14" s="1"/>
  <c r="A15" s="1"/>
  <c r="A16" l="1"/>
  <c r="A17" s="1"/>
  <c r="A18" s="1"/>
  <c r="A19" s="1"/>
  <c r="A20" s="1"/>
  <c r="A21" s="1"/>
  <c r="A22" s="1"/>
  <c r="A23" s="1"/>
  <c r="A25" s="1"/>
  <c r="A26" s="1"/>
  <c r="A27" s="1"/>
  <c r="A28" s="1"/>
  <c r="A29" s="1"/>
  <c r="A30" s="1"/>
  <c r="A31" s="1"/>
  <c r="A33" s="1"/>
  <c r="A34" s="1"/>
  <c r="A35" s="1"/>
  <c r="A36" s="1"/>
  <c r="A37" s="1"/>
  <c r="A38" s="1"/>
  <c r="A39" s="1"/>
  <c r="A40" s="1"/>
  <c r="A42" s="1"/>
  <c r="A43" s="1"/>
  <c r="A44" s="1"/>
  <c r="P45" i="2"/>
  <c r="P26" s="1"/>
  <c r="B41" i="3"/>
  <c r="B42" s="1"/>
  <c r="B43" s="1"/>
  <c r="B45" s="1"/>
  <c r="B47" s="1"/>
  <c r="P59" i="2"/>
  <c r="P57"/>
  <c r="P58" s="1"/>
  <c r="S55"/>
  <c r="S56" s="1"/>
  <c r="S57" s="1"/>
  <c r="S59" s="1"/>
  <c r="S61" s="1"/>
  <c r="A45" i="1" l="1"/>
  <c r="A46" s="1"/>
  <c r="A47" s="1"/>
  <c r="A48" s="1"/>
  <c r="A49" s="1"/>
  <c r="A50" s="1"/>
  <c r="A51" s="1"/>
  <c r="A52" s="1"/>
  <c r="A53" s="1"/>
  <c r="A54" s="1"/>
  <c r="A55" s="1"/>
  <c r="A56" s="1"/>
  <c r="P61" i="2"/>
</calcChain>
</file>

<file path=xl/sharedStrings.xml><?xml version="1.0" encoding="utf-8"?>
<sst xmlns="http://schemas.openxmlformats.org/spreadsheetml/2006/main" count="2835" uniqueCount="641">
  <si>
    <t>No</t>
  </si>
  <si>
    <t>Entity Details</t>
  </si>
  <si>
    <t xml:space="preserve"> Started Since</t>
  </si>
  <si>
    <t>Must have</t>
  </si>
  <si>
    <t>Business  Vintage</t>
  </si>
  <si>
    <t>Office Status</t>
  </si>
  <si>
    <t>How many years on same location</t>
  </si>
  <si>
    <t>No Of Locations</t>
  </si>
  <si>
    <t>Where are tha old locations</t>
  </si>
  <si>
    <t>Good to have</t>
  </si>
  <si>
    <t>deatails of all branches (locatuions,age of establishments,Area,Rent Arrangements etc.)</t>
  </si>
  <si>
    <t>Generation in Business</t>
  </si>
  <si>
    <t>Key Man Risk</t>
  </si>
  <si>
    <t>Future Validity of Agreement</t>
  </si>
  <si>
    <t xml:space="preserve">Promoters Details </t>
  </si>
  <si>
    <t xml:space="preserve"> Total Experience </t>
  </si>
  <si>
    <t>Total Experience in the current business segment</t>
  </si>
  <si>
    <t xml:space="preserve">Previous Work Experience if any </t>
  </si>
  <si>
    <t>Education</t>
  </si>
  <si>
    <t>Other Business</t>
  </si>
  <si>
    <t>Sector of Other Business</t>
  </si>
  <si>
    <t>Income from Other Businesses</t>
  </si>
  <si>
    <t>Marital Status</t>
  </si>
  <si>
    <t xml:space="preserve">Spouse Working </t>
  </si>
  <si>
    <t>No. of dependatns</t>
  </si>
  <si>
    <t>Father working (if young guy)</t>
  </si>
  <si>
    <t xml:space="preserve">Resident Status </t>
  </si>
  <si>
    <t>Years in Residence</t>
  </si>
  <si>
    <t>Type Of Residence 2</t>
  </si>
  <si>
    <t>Car Value</t>
  </si>
  <si>
    <t>No. of Other Properties</t>
  </si>
  <si>
    <t>Value of other Properties</t>
  </si>
  <si>
    <t>Promoters Soft Skills</t>
  </si>
  <si>
    <t>Behaviour of the promoter in the PD (Offering Chair to seat, asking for tea or coffee, etc.)</t>
  </si>
  <si>
    <t>Our analysis</t>
  </si>
  <si>
    <t>Business Prudence (Aware of Cashflows)</t>
  </si>
  <si>
    <t>Body Language ( Professional ?)</t>
  </si>
  <si>
    <t>Dressing Sense</t>
  </si>
  <si>
    <t xml:space="preserve"> Co-operativeness while talking on some critical issues</t>
  </si>
  <si>
    <t xml:space="preserve"> Loan amount required - said any amount or specific number</t>
  </si>
  <si>
    <t>Aware of EMIs, written in a book / register</t>
  </si>
  <si>
    <t xml:space="preserve"> Over confident or Calm </t>
  </si>
  <si>
    <t>Business Details</t>
  </si>
  <si>
    <t>Product  Segmentation</t>
  </si>
  <si>
    <t>Inventory Value</t>
  </si>
  <si>
    <t>Business Type B2B ,B2C If Both then Breakup</t>
  </si>
  <si>
    <t xml:space="preserve"> Market captured (Area Captured, Cities Captured, States Captured, Countries Captured)</t>
  </si>
  <si>
    <t>Seasonality of the products</t>
  </si>
  <si>
    <t>Working Hours</t>
  </si>
  <si>
    <t>No Of Employees</t>
  </si>
  <si>
    <t>Any Expansion Plan:</t>
  </si>
  <si>
    <t>Requirement of Loan:</t>
  </si>
  <si>
    <t>End Use / Purpose of Loan:</t>
  </si>
  <si>
    <t>Risk type - discretionary, utility, luxury, essential</t>
  </si>
  <si>
    <t>Digital Footprint - less wieght in B2B</t>
  </si>
  <si>
    <t xml:space="preserve">RS  </t>
  </si>
  <si>
    <t xml:space="preserve">CF   </t>
  </si>
  <si>
    <t>?</t>
  </si>
  <si>
    <t>Types of P&amp;L</t>
  </si>
  <si>
    <t>Sales</t>
  </si>
  <si>
    <t>Cost</t>
  </si>
  <si>
    <t>Margin</t>
  </si>
  <si>
    <t>Fudging</t>
  </si>
  <si>
    <t xml:space="preserve">CF </t>
  </si>
  <si>
    <t>Margin Based</t>
  </si>
  <si>
    <t>High Fixed + Low Var</t>
  </si>
  <si>
    <t>High Margin</t>
  </si>
  <si>
    <t>Revenue Supression</t>
  </si>
  <si>
    <t>F&amp;B</t>
  </si>
  <si>
    <t>Apparels</t>
  </si>
  <si>
    <t>Accessories</t>
  </si>
  <si>
    <t>Car Wash</t>
  </si>
  <si>
    <t>Salon &amp; Spa</t>
  </si>
  <si>
    <t>Car Servicing</t>
  </si>
  <si>
    <t>Name</t>
  </si>
  <si>
    <t>Category</t>
  </si>
  <si>
    <t>Sub - Category</t>
  </si>
  <si>
    <t xml:space="preserve">Electronic </t>
  </si>
  <si>
    <t>Stores</t>
  </si>
  <si>
    <t>Jewellery</t>
  </si>
  <si>
    <t>Distributor</t>
  </si>
  <si>
    <t>Trading</t>
  </si>
  <si>
    <t>Services</t>
  </si>
  <si>
    <t>Petrol Pump</t>
  </si>
  <si>
    <t>Gym and Fitness</t>
  </si>
  <si>
    <t xml:space="preserve">Distributor Of Milk </t>
  </si>
  <si>
    <t>Tours &amp; Travels</t>
  </si>
  <si>
    <t>Non- Retail</t>
  </si>
  <si>
    <t>Low Fixed + High Var</t>
  </si>
  <si>
    <t>Vinegar</t>
  </si>
  <si>
    <t>Apparel &amp; Accessories</t>
  </si>
  <si>
    <t xml:space="preserve">Restaurant </t>
  </si>
  <si>
    <t>Apparel - Men</t>
  </si>
  <si>
    <t>Footwear</t>
  </si>
  <si>
    <t>White Goods - (frdige tv etc)</t>
  </si>
  <si>
    <t>Medical  Stores</t>
  </si>
  <si>
    <t>Vegetable Wholeseller</t>
  </si>
  <si>
    <t>Diamond Trading</t>
  </si>
  <si>
    <t xml:space="preserve"> Electrical &amp; Turnkey Projects </t>
  </si>
  <si>
    <t>Volume Based (fixed Rs. margin)</t>
  </si>
  <si>
    <t>Jay Khodal</t>
  </si>
  <si>
    <t>Hotel</t>
  </si>
  <si>
    <t>Apparel - Women</t>
  </si>
  <si>
    <t>Immitation Jewellery</t>
  </si>
  <si>
    <t>Mobile &amp; Accessories</t>
  </si>
  <si>
    <t>Beauty Produtcs Store</t>
  </si>
  <si>
    <t>Chemical Distributors</t>
  </si>
  <si>
    <t>Steel Trading</t>
  </si>
  <si>
    <t>Manufacturing</t>
  </si>
  <si>
    <t>Cost Inflation</t>
  </si>
  <si>
    <t>Camaflouge</t>
  </si>
  <si>
    <t>Bar &amp; Resturant</t>
  </si>
  <si>
    <t>Apparel - Saree</t>
  </si>
  <si>
    <t>Handicrafts</t>
  </si>
  <si>
    <t>Computer &amp; Accessories</t>
  </si>
  <si>
    <t>Optical Store</t>
  </si>
  <si>
    <t>Ayurvedic Distributor</t>
  </si>
  <si>
    <t>Chemical Trading</t>
  </si>
  <si>
    <t>Volume Based (% margin)</t>
  </si>
  <si>
    <t>Balvi Creation (Cotton Club)</t>
  </si>
  <si>
    <t>Apparel - Wedding</t>
  </si>
  <si>
    <t>Bags &amp; Luggage</t>
  </si>
  <si>
    <t>White Goods &amp; Service</t>
  </si>
  <si>
    <t>Toys and Kids Wear Store</t>
  </si>
  <si>
    <t>Telecom Service Distributor</t>
  </si>
  <si>
    <t>Low Margin</t>
  </si>
  <si>
    <t>Alive Fashion</t>
  </si>
  <si>
    <t>Apparel - Kids</t>
  </si>
  <si>
    <t xml:space="preserve">Shoes, Belts, Bags </t>
  </si>
  <si>
    <t>Computer Institute &amp; Cyber Cafe</t>
  </si>
  <si>
    <t>FMCG</t>
  </si>
  <si>
    <t>Zee Fashion</t>
  </si>
  <si>
    <t>Apparel - Men, Women</t>
  </si>
  <si>
    <t>Telecom Services Store</t>
  </si>
  <si>
    <t>Rajendra Nakoda Collection (RNC)</t>
  </si>
  <si>
    <t>Novelty &amp; Convenience</t>
  </si>
  <si>
    <t>Just Inn</t>
  </si>
  <si>
    <t xml:space="preserve"> Food Supermarket</t>
  </si>
  <si>
    <t>The Brand Store</t>
  </si>
  <si>
    <t>Wine Shop</t>
  </si>
  <si>
    <t xml:space="preserve">Little Express / Champs </t>
  </si>
  <si>
    <t>P&amp;L</t>
  </si>
  <si>
    <t>RANI NANI LADIES WEAR</t>
  </si>
  <si>
    <t>Food Sale</t>
  </si>
  <si>
    <t>Total Sale</t>
  </si>
  <si>
    <t>Total Income</t>
  </si>
  <si>
    <t>Infancy Clothing Pvt Ltd</t>
  </si>
  <si>
    <t>Beverage Sale</t>
  </si>
  <si>
    <t>COGS</t>
  </si>
  <si>
    <t>COGS (Minimal)</t>
  </si>
  <si>
    <t>Salaries</t>
  </si>
  <si>
    <t>Salary</t>
  </si>
  <si>
    <t>No. of employees</t>
  </si>
  <si>
    <t>Naisha Creation</t>
  </si>
  <si>
    <t>Gross Profit</t>
  </si>
  <si>
    <t>Total Services Income</t>
  </si>
  <si>
    <t>Electricity</t>
  </si>
  <si>
    <t>Rental</t>
  </si>
  <si>
    <t>Avg. Salary</t>
  </si>
  <si>
    <t>Bag Zone NX</t>
  </si>
  <si>
    <t>Food COGS</t>
  </si>
  <si>
    <t>Miscellaneous</t>
  </si>
  <si>
    <t>Rental (Warehouse and Office)</t>
  </si>
  <si>
    <t>Mirchi Boutique</t>
  </si>
  <si>
    <t>Beverage COGS</t>
  </si>
  <si>
    <t>Total Opex</t>
  </si>
  <si>
    <t>Other</t>
  </si>
  <si>
    <t>Rita Corporation</t>
  </si>
  <si>
    <t>Other Revenue:</t>
  </si>
  <si>
    <t>Total Cost</t>
  </si>
  <si>
    <t>Transport cost</t>
  </si>
  <si>
    <t>Rishi Fab</t>
  </si>
  <si>
    <t>Ancillary Revenue</t>
  </si>
  <si>
    <t>EBITDA</t>
  </si>
  <si>
    <t>Hasmukh Murji &amp; Co. (Manjri)</t>
  </si>
  <si>
    <t>Quarterly Bonus</t>
  </si>
  <si>
    <t>Try Men Clothing</t>
  </si>
  <si>
    <t>Lease Rental</t>
  </si>
  <si>
    <t xml:space="preserve">Cow Boys </t>
  </si>
  <si>
    <t>Gas</t>
  </si>
  <si>
    <t>Tanker Income</t>
  </si>
  <si>
    <t>X - Factor</t>
  </si>
  <si>
    <t>Total Revenue</t>
  </si>
  <si>
    <t>S. N Agencies</t>
  </si>
  <si>
    <t>EBIDTA</t>
  </si>
  <si>
    <t>Garam Masala Clothing Nx</t>
  </si>
  <si>
    <t>Cherry Berry</t>
  </si>
  <si>
    <t>Italian Design Bag'age Pvt Ltd</t>
  </si>
  <si>
    <t xml:space="preserve">Sale Estimate </t>
  </si>
  <si>
    <t>Siddhivinayak Collection</t>
  </si>
  <si>
    <t>Sale Estimate</t>
  </si>
  <si>
    <t>Sale Volume</t>
  </si>
  <si>
    <t>Sale Volume in Litres</t>
  </si>
  <si>
    <t>Yogeshwar Gift &amp; Book</t>
  </si>
  <si>
    <t xml:space="preserve">Daily Sale </t>
  </si>
  <si>
    <t>Service Ticket Size</t>
  </si>
  <si>
    <t>650 - 4865</t>
  </si>
  <si>
    <t>HSD (KL)</t>
  </si>
  <si>
    <t>No. of Exsisting Memberships</t>
  </si>
  <si>
    <t>Daily</t>
  </si>
  <si>
    <t>Wawa</t>
  </si>
  <si>
    <t>Weekend Sale</t>
  </si>
  <si>
    <t>Monhtly Sale</t>
  </si>
  <si>
    <t>Average Ticket Size</t>
  </si>
  <si>
    <t>MS (KL)</t>
  </si>
  <si>
    <t>Average membership tenure</t>
  </si>
  <si>
    <t>Monthly</t>
  </si>
  <si>
    <t>Roshani</t>
  </si>
  <si>
    <t>Sq Ft</t>
  </si>
  <si>
    <t>No. SKUs (if more than 3 than no SKU wise analysis)</t>
  </si>
  <si>
    <t>Weekday Car Volume</t>
  </si>
  <si>
    <t>Speed (KL)</t>
  </si>
  <si>
    <t>Monthly membership sale</t>
  </si>
  <si>
    <t>Commission Rates</t>
  </si>
  <si>
    <t xml:space="preserve"> Beautifull</t>
  </si>
  <si>
    <t>Location</t>
  </si>
  <si>
    <t xml:space="preserve">Item 1 sale in volume terms </t>
  </si>
  <si>
    <t>Weekend Car Volume</t>
  </si>
  <si>
    <t>Lubes (Rs.)</t>
  </si>
  <si>
    <t>Sq ft</t>
  </si>
  <si>
    <t>Per Litre</t>
  </si>
  <si>
    <t>Ritu Corporation</t>
  </si>
  <si>
    <t>No. of tables</t>
  </si>
  <si>
    <t>Black as % of Sale</t>
  </si>
  <si>
    <t xml:space="preserve">Item 2 sale in volume terms </t>
  </si>
  <si>
    <t>Average Daily Car Volume</t>
  </si>
  <si>
    <t>Other income</t>
  </si>
  <si>
    <t>That Look</t>
  </si>
  <si>
    <t>Seating capacity</t>
  </si>
  <si>
    <t>Item 1 sale (monthly/year) or % of total sale</t>
  </si>
  <si>
    <t xml:space="preserve">Item 3 sale in volume terms </t>
  </si>
  <si>
    <t>Montly TO on above basis</t>
  </si>
  <si>
    <t>HSD (Rs./L)</t>
  </si>
  <si>
    <t>Monthly sale</t>
  </si>
  <si>
    <t xml:space="preserve">Black as % of Sale </t>
  </si>
  <si>
    <t>Pannali</t>
  </si>
  <si>
    <t>Item 2 sale (monthly/year) or % of total sale</t>
  </si>
  <si>
    <t xml:space="preserve">Item 4 sale in volume terms </t>
  </si>
  <si>
    <t>Black as % of Sale (Services &amp; Accessories)</t>
  </si>
  <si>
    <t>MS (Rs./L)</t>
  </si>
  <si>
    <t xml:space="preserve">Average membership cost </t>
  </si>
  <si>
    <t>Kohinoor</t>
  </si>
  <si>
    <t>Item 3 sale (monthly/year) or % of total sale</t>
  </si>
  <si>
    <t xml:space="preserve">Item 5 sale in volume terms </t>
  </si>
  <si>
    <t>Speed (Rs./L)</t>
  </si>
  <si>
    <t>Bag Point</t>
  </si>
  <si>
    <t>Item 4 sale (monthly/year) or % of total sale</t>
  </si>
  <si>
    <t>Item 1 price &amp; margin %</t>
  </si>
  <si>
    <t>Lubes (%)</t>
  </si>
  <si>
    <t>Hanger</t>
  </si>
  <si>
    <t>Item 5 sale (monthly/year) or % of total sale</t>
  </si>
  <si>
    <t>Item 2 price &amp; margin %</t>
  </si>
  <si>
    <t>Commission Income</t>
  </si>
  <si>
    <t>Wery Well</t>
  </si>
  <si>
    <t>Item 1 margin %</t>
  </si>
  <si>
    <t>Item 3 price &amp; margin %</t>
  </si>
  <si>
    <t>HSD</t>
  </si>
  <si>
    <t>Super Research &amp; Marketing services</t>
  </si>
  <si>
    <t>Item 2 margin %</t>
  </si>
  <si>
    <t>Item 4 price &amp; margin %</t>
  </si>
  <si>
    <t>MS</t>
  </si>
  <si>
    <t>Kirtis Designers Boutique</t>
  </si>
  <si>
    <t>Item 3 margin %</t>
  </si>
  <si>
    <t>Item 5 price &amp; margin %</t>
  </si>
  <si>
    <t xml:space="preserve">Speed </t>
  </si>
  <si>
    <t>Gelleria Optyics</t>
  </si>
  <si>
    <t>Item 4 margin %</t>
  </si>
  <si>
    <t>Lubes</t>
  </si>
  <si>
    <t>Nysha Enterprise</t>
  </si>
  <si>
    <t>Item 5 margin %</t>
  </si>
  <si>
    <t>Other Income (Rewards)</t>
  </si>
  <si>
    <t>Shudh Khadi Bhandar</t>
  </si>
  <si>
    <t>Vinegar Exports Pvt Ltd - Renewal (R1)</t>
  </si>
  <si>
    <t>Om Luggage</t>
  </si>
  <si>
    <t>MOM</t>
  </si>
  <si>
    <t>3 Rd Eye Perception Pvt Ltd</t>
  </si>
  <si>
    <t>End Use</t>
  </si>
  <si>
    <t>Lagan</t>
  </si>
  <si>
    <t>Rennovation, New set up</t>
  </si>
  <si>
    <t>Volume based product</t>
  </si>
  <si>
    <t>Margin based product</t>
  </si>
  <si>
    <t>Harish Garments</t>
  </si>
  <si>
    <t>No MOM Look at exsisting DBR</t>
  </si>
  <si>
    <t>Working Capital Cycle (days)</t>
  </si>
  <si>
    <t>In Hot</t>
  </si>
  <si>
    <t>Cost per Unit Rs.</t>
  </si>
  <si>
    <t>Sales per month</t>
  </si>
  <si>
    <t>HM Megabrands Pvt Ltd</t>
  </si>
  <si>
    <t>Margin Per Unit Rs.</t>
  </si>
  <si>
    <t>Margin %</t>
  </si>
  <si>
    <t>Novelty Print Solution</t>
  </si>
  <si>
    <t>Units bought for 1 lakh</t>
  </si>
  <si>
    <t>Inventory Value for 1 cycle</t>
  </si>
  <si>
    <t>Yomoki</t>
  </si>
  <si>
    <t>Sales Value for 1 lakh of Inventory</t>
  </si>
  <si>
    <t>Sales Value for 1 lakh of WC per cycle</t>
  </si>
  <si>
    <t>Western Agencies</t>
  </si>
  <si>
    <t>Sales for 1 lakh of WC investment in month</t>
  </si>
  <si>
    <t>Sales Value for 1 lakh of WC in month</t>
  </si>
  <si>
    <t>Swadeshi Marketing Retail Trading Co. Pvt Ltd</t>
  </si>
  <si>
    <t>Units sold for 1 lakh of WC in 8 months</t>
  </si>
  <si>
    <t>Sales for 1 lakh of WC in 8 months</t>
  </si>
  <si>
    <t>New Sagar Collection</t>
  </si>
  <si>
    <t>Bags and Luggage</t>
  </si>
  <si>
    <t>Profit in 8 months per lakh</t>
  </si>
  <si>
    <t>Upfront Discount for Raw Material</t>
  </si>
  <si>
    <t>Beauty Fair</t>
  </si>
  <si>
    <t>Beauty Products</t>
  </si>
  <si>
    <t>Fixed Cost increase to increase sale</t>
  </si>
  <si>
    <t>Borude Motor Cars Pvt Ltd</t>
  </si>
  <si>
    <t>Interest cost in 8 months per lakh</t>
  </si>
  <si>
    <t>Kings Electronics Pvt Ltd</t>
  </si>
  <si>
    <t>CDIT</t>
  </si>
  <si>
    <t>MOM in 8 months</t>
  </si>
  <si>
    <t>Town Collection</t>
  </si>
  <si>
    <t>RSG Infotech</t>
  </si>
  <si>
    <t>Jay Maharashtra</t>
  </si>
  <si>
    <t>Le Fitness</t>
  </si>
  <si>
    <t>Techvin</t>
  </si>
  <si>
    <t>Deep Computers</t>
  </si>
  <si>
    <t>Nirmal Aircon</t>
  </si>
  <si>
    <t>Laxmi Retails</t>
  </si>
  <si>
    <t>Shree Telecom</t>
  </si>
  <si>
    <t>Magic Collection</t>
  </si>
  <si>
    <t>Dev Solutions</t>
  </si>
  <si>
    <t>Absolute IT Solution Pvt Ltd</t>
  </si>
  <si>
    <t>Canon Tv Center</t>
  </si>
  <si>
    <t>Krishna Collection</t>
  </si>
  <si>
    <t>Blueberry Global</t>
  </si>
  <si>
    <t>CNS Infotech</t>
  </si>
  <si>
    <t>DPS Ultra Collection</t>
  </si>
  <si>
    <t>JSK Pvt Ltd</t>
  </si>
  <si>
    <t>Sadguru</t>
  </si>
  <si>
    <t>Ocean Gravity</t>
  </si>
  <si>
    <t>Dimsum</t>
  </si>
  <si>
    <t>CIBO</t>
  </si>
  <si>
    <t>Danish Cake</t>
  </si>
  <si>
    <t>Flexituff</t>
  </si>
  <si>
    <t>Amar Punjab</t>
  </si>
  <si>
    <t>On Flame</t>
  </si>
  <si>
    <t>Munjral Brothers Pvt Ltd</t>
  </si>
  <si>
    <t>Celestial Hotels</t>
  </si>
  <si>
    <t>Shree Krishna Bar &amp; Restaurant</t>
  </si>
  <si>
    <t>Indian Tadka</t>
  </si>
  <si>
    <t>Mix Masala Restaurant</t>
  </si>
  <si>
    <t xml:space="preserve">Hotel Shriram </t>
  </si>
  <si>
    <t>Busabong And Com. Pvt Ltd</t>
  </si>
  <si>
    <t>Hotel Mallika Resturant &amp; Bar</t>
  </si>
  <si>
    <t>China Gate Restaurant &amp; Bar</t>
  </si>
  <si>
    <t>Hotel R J</t>
  </si>
  <si>
    <t>Grand Maratha</t>
  </si>
  <si>
    <t>Kash &amp; Karry Super Market</t>
  </si>
  <si>
    <t>II Walls 1</t>
  </si>
  <si>
    <t>Lake View Hospitality</t>
  </si>
  <si>
    <t>AM PM Eye Center Clinics</t>
  </si>
  <si>
    <t>Calypso Restaurant Bar</t>
  </si>
  <si>
    <t>Turning Point</t>
  </si>
  <si>
    <t>Attract</t>
  </si>
  <si>
    <t>Fashion Orbit Aperels India Pvt Ltd</t>
  </si>
  <si>
    <t>Parijat</t>
  </si>
  <si>
    <t>FMCG Distributor</t>
  </si>
  <si>
    <t>SKRK</t>
  </si>
  <si>
    <t>Mangala &amp; Sons</t>
  </si>
  <si>
    <t>R. R. Enterprises</t>
  </si>
  <si>
    <t>Shree Ganesh Enterprises</t>
  </si>
  <si>
    <t>Sai Egg Centre</t>
  </si>
  <si>
    <t>Sarvoday Stores</t>
  </si>
  <si>
    <t>I A Enterprises</t>
  </si>
  <si>
    <t xml:space="preserve">Devang Engineering Services </t>
  </si>
  <si>
    <t>Nitai Flourosil Corporation</t>
  </si>
  <si>
    <t>Prathamesh Enterprises</t>
  </si>
  <si>
    <t>Ajay Dairy</t>
  </si>
  <si>
    <t>Kumkum</t>
  </si>
  <si>
    <t>Vikrant Store</t>
  </si>
  <si>
    <t>Gupta Brother &amp; Pharsan Mart</t>
  </si>
  <si>
    <t>S &amp; J Granulates Solutions Pvt Ltd</t>
  </si>
  <si>
    <t>Srinath Jewellery</t>
  </si>
  <si>
    <t>Imitation Jewellery</t>
  </si>
  <si>
    <t>PIPA Bella Accessories Pvt Ltd</t>
  </si>
  <si>
    <t xml:space="preserve"> Radhika Jewellers</t>
  </si>
  <si>
    <t>Imitation jewellery</t>
  </si>
  <si>
    <t>Kaushal Equipment  Manufacturers</t>
  </si>
  <si>
    <t>Manufacturers</t>
  </si>
  <si>
    <t>Dreamex Wear Pvt Ltd</t>
  </si>
  <si>
    <t>Anuj Enterprises</t>
  </si>
  <si>
    <t>Milk Distributor</t>
  </si>
  <si>
    <t>Caramello</t>
  </si>
  <si>
    <t>Novelty &amp; Convenience Store</t>
  </si>
  <si>
    <t>Khadi Gram Udyog</t>
  </si>
  <si>
    <t>1st Beauty Fair</t>
  </si>
  <si>
    <t>Abracadabra Plus</t>
  </si>
  <si>
    <t>Gift O Gift</t>
  </si>
  <si>
    <t>Sky Book &amp; Stationery Pvt Ltd</t>
  </si>
  <si>
    <t>Elite Empyrean</t>
  </si>
  <si>
    <t>Hotel Ripon Palace</t>
  </si>
  <si>
    <t>Fort Point Automotive (Cars) Pvt Ltd.</t>
  </si>
  <si>
    <t>other</t>
  </si>
  <si>
    <t>Aadya Motor Co. Pvt Ltd</t>
  </si>
  <si>
    <t>Ayra Autopark</t>
  </si>
  <si>
    <t>Raj Corporation</t>
  </si>
  <si>
    <t>Victory Automobiles</t>
  </si>
  <si>
    <t xml:space="preserve">Shahid Yogesh Patil Automobiles </t>
  </si>
  <si>
    <t>Raj Fleet Centre</t>
  </si>
  <si>
    <t>Sagar Auto Dealer</t>
  </si>
  <si>
    <t>Bahrat Petrol Supply Company</t>
  </si>
  <si>
    <t>Rohini Petroleum</t>
  </si>
  <si>
    <t>Jai Dhalakshmi</t>
  </si>
  <si>
    <t>Pharma &amp; Healthcare</t>
  </si>
  <si>
    <t>V Care Medical</t>
  </si>
  <si>
    <t>Yash Medical &amp; General Store</t>
  </si>
  <si>
    <t>Neurogen Brain &amp; Spine Institute Pvt Ltd</t>
  </si>
  <si>
    <t>Nazia Medical &amp; Gen Store</t>
  </si>
  <si>
    <t>Roma Enterprises National Chemist</t>
  </si>
  <si>
    <t>Vineyard</t>
  </si>
  <si>
    <t>Restaurant &amp; Permit room</t>
  </si>
  <si>
    <t>Plada</t>
  </si>
  <si>
    <t>Yes Logistics Services</t>
  </si>
  <si>
    <t>USA Enterprises / Shuttle Express</t>
  </si>
  <si>
    <t>Danco Enterprises India Pvt Ltd</t>
  </si>
  <si>
    <t>Plada Infotech Services Pvt. Ltd.</t>
  </si>
  <si>
    <t>Manoj Shankar Sahu</t>
  </si>
  <si>
    <t>Gurukrupa Traders</t>
  </si>
  <si>
    <t>RSG</t>
  </si>
  <si>
    <t>Kinis Causeways</t>
  </si>
  <si>
    <t>G N Automotive</t>
  </si>
  <si>
    <t>MG Consulting PVT LTD</t>
  </si>
  <si>
    <t>Bipin Facilities Management Pvt Ltd</t>
  </si>
  <si>
    <t xml:space="preserve"> John And Sons Service Centre</t>
  </si>
  <si>
    <t>Preciea Beauty Experts Pvt Ltd</t>
  </si>
  <si>
    <t>Spa &amp; Fitness</t>
  </si>
  <si>
    <t>Midas Touch</t>
  </si>
  <si>
    <t>Your Fitness Club Pvt Ltd</t>
  </si>
  <si>
    <t>Om Sai Boutique</t>
  </si>
  <si>
    <t>Black Burberry Salon &amp; SPA</t>
  </si>
  <si>
    <t>Mickey Keki Mehta</t>
  </si>
  <si>
    <t>Akbar Ali's Celever Curls</t>
  </si>
  <si>
    <t>S. Motors</t>
  </si>
  <si>
    <t>Sai Computer Institute</t>
  </si>
  <si>
    <t>Quick Tours - N - Travels</t>
  </si>
  <si>
    <t>Tripcrafters Travel Online LLP</t>
  </si>
  <si>
    <t>Arishaan Travels</t>
  </si>
  <si>
    <t>Cbm Automate</t>
  </si>
  <si>
    <t>AL - Fatima Tours And Travels</t>
  </si>
  <si>
    <t>Tours &amp; Travles</t>
  </si>
  <si>
    <t>PD Exports</t>
  </si>
  <si>
    <t>Moti Steel</t>
  </si>
  <si>
    <t>Rudrashaktii</t>
  </si>
  <si>
    <t>V K Enterprises</t>
  </si>
  <si>
    <t>Just Chilled Beer Shop</t>
  </si>
  <si>
    <t xml:space="preserve">8 to 10 </t>
  </si>
  <si>
    <t>Rented</t>
  </si>
  <si>
    <t>None</t>
  </si>
  <si>
    <t>NA</t>
  </si>
  <si>
    <t>Business Sector</t>
  </si>
  <si>
    <t>Apple Authorized Reseller</t>
  </si>
  <si>
    <t>Apple promoter upgrade</t>
  </si>
  <si>
    <t>50% B2C, 50% B2B</t>
  </si>
  <si>
    <t>50% Mobile Phone,</t>
  </si>
  <si>
    <t>12 - 15 pieces</t>
  </si>
  <si>
    <t>Mobile phone</t>
  </si>
  <si>
    <t>No. of family members</t>
  </si>
  <si>
    <t>Inventory</t>
  </si>
  <si>
    <t>Ac</t>
  </si>
  <si>
    <t>Parameter</t>
  </si>
  <si>
    <t>Source</t>
  </si>
  <si>
    <t>Times Hotel</t>
  </si>
  <si>
    <t>Swashakti Enterprises</t>
  </si>
  <si>
    <t>Touch of Class</t>
  </si>
  <si>
    <t>KBS Exports</t>
  </si>
  <si>
    <t>B.R. Rangari</t>
  </si>
  <si>
    <t>FHK Garments</t>
  </si>
  <si>
    <t>Boffers Boutique</t>
  </si>
  <si>
    <t xml:space="preserve"> Hotel Jaimalhar</t>
  </si>
  <si>
    <t>Nutan Restaurant</t>
  </si>
  <si>
    <t>Choice &amp;  Arihant</t>
  </si>
  <si>
    <t>Waheguru Garments</t>
  </si>
  <si>
    <t>Mateshwari Milk</t>
  </si>
  <si>
    <t>Gajanan Enterprises</t>
  </si>
  <si>
    <t xml:space="preserve">First choice </t>
  </si>
  <si>
    <t>Bawree Fashion Pvt Ltd</t>
  </si>
  <si>
    <t>Chef Talk Catering Services</t>
  </si>
  <si>
    <t>Kid Zone</t>
  </si>
  <si>
    <t>Match Box Acessories Pvt Ltd</t>
  </si>
  <si>
    <t>Shardha Udyog</t>
  </si>
  <si>
    <t>SK Wheels Pvt Ltd</t>
  </si>
  <si>
    <t>6 to 8</t>
  </si>
  <si>
    <t>Hotel Shriram</t>
  </si>
  <si>
    <t>Yes</t>
  </si>
  <si>
    <t>Owned</t>
  </si>
  <si>
    <t>5 to 7</t>
  </si>
  <si>
    <t>Hotel Shriram(Shani Palace)</t>
  </si>
  <si>
    <t>Hotel Shriram(Classic)</t>
  </si>
  <si>
    <t>Flat</t>
  </si>
  <si>
    <t>Mid Level Restaurant and Bar</t>
  </si>
  <si>
    <t>B2C</t>
  </si>
  <si>
    <t xml:space="preserve">Product Price Range </t>
  </si>
  <si>
    <t>15% to 20%</t>
  </si>
  <si>
    <t>Liquor License cost</t>
  </si>
  <si>
    <t>B2B,B2C</t>
  </si>
  <si>
    <t>16 to 18</t>
  </si>
  <si>
    <t>Laptop</t>
  </si>
  <si>
    <t>Desktp</t>
  </si>
  <si>
    <t>Ipad</t>
  </si>
  <si>
    <t>4 to 5</t>
  </si>
  <si>
    <t>Visa Procesing to consumer</t>
  </si>
  <si>
    <t>12 to 14</t>
  </si>
  <si>
    <t>B2B, B2C</t>
  </si>
  <si>
    <t>he have Restaurant Business</t>
  </si>
  <si>
    <t xml:space="preserve">        </t>
  </si>
  <si>
    <t>3 to 5</t>
  </si>
  <si>
    <t>Cloth &amp; Footwear Shop</t>
  </si>
  <si>
    <t>60% Ladies Bags</t>
  </si>
  <si>
    <t>21 to 23</t>
  </si>
  <si>
    <t xml:space="preserve"> Motors Authorised Dealer</t>
  </si>
  <si>
    <t>35 % Spare Parts</t>
  </si>
  <si>
    <t>Garments Retailers</t>
  </si>
  <si>
    <t>Opening New Shop</t>
  </si>
  <si>
    <t>90% Funky Item</t>
  </si>
  <si>
    <t>Cowboys</t>
  </si>
  <si>
    <t xml:space="preserve">30 to 35 % </t>
  </si>
  <si>
    <t>X-Factor</t>
  </si>
  <si>
    <t>35 to 50%</t>
  </si>
  <si>
    <t>Small Kids Clothing Shop</t>
  </si>
  <si>
    <t>`</t>
  </si>
  <si>
    <t>Mid Level Train Ticket  Booking Agency</t>
  </si>
  <si>
    <t xml:space="preserve">  Take  New Savdi License &amp; Haj Licencse </t>
  </si>
  <si>
    <t>Mens Garments Retailers</t>
  </si>
  <si>
    <t>Nona</t>
  </si>
  <si>
    <t xml:space="preserve">Mid level Garment Shop </t>
  </si>
  <si>
    <t>Mans Ware Garment</t>
  </si>
  <si>
    <t>2 to 4</t>
  </si>
  <si>
    <t>Purchase New Compound</t>
  </si>
  <si>
    <t>B2B</t>
  </si>
  <si>
    <t>Importer of Rubber &amp; Rubber Chemical</t>
  </si>
  <si>
    <t>Atul</t>
  </si>
  <si>
    <t>Hunstman</t>
  </si>
  <si>
    <t>Waker</t>
  </si>
  <si>
    <t>Sgobin</t>
  </si>
  <si>
    <t>Pidilite</t>
  </si>
  <si>
    <t>Jubiliant</t>
  </si>
  <si>
    <t>Chinese Brand</t>
  </si>
  <si>
    <t>Rubber Comp.</t>
  </si>
  <si>
    <t>1 to 2</t>
  </si>
  <si>
    <t>18 to 20</t>
  </si>
  <si>
    <t>Thane</t>
  </si>
  <si>
    <t xml:space="preserve">Notebook </t>
  </si>
  <si>
    <t>Desktops</t>
  </si>
  <si>
    <t>Smartphone</t>
  </si>
  <si>
    <t>Electricals Accessories Dealer</t>
  </si>
  <si>
    <t>60% SMB</t>
  </si>
  <si>
    <t>4 to 6</t>
  </si>
  <si>
    <t>Mid Level Gift &amp; Book Store</t>
  </si>
  <si>
    <t>14 to 16</t>
  </si>
  <si>
    <t>Mid Level Garment Shops</t>
  </si>
  <si>
    <t>15 to 17</t>
  </si>
  <si>
    <t>Mid Level Mobile Recharge Dealer</t>
  </si>
  <si>
    <t>1.75% Mobile Recharge</t>
  </si>
  <si>
    <t>Trying for kalyan east utilization of loan described</t>
  </si>
  <si>
    <t>2 to 5</t>
  </si>
  <si>
    <t>32 to 34</t>
  </si>
  <si>
    <t xml:space="preserve">MBA </t>
  </si>
  <si>
    <t>A/C Cooler Stock Buy Loan Purpose</t>
  </si>
  <si>
    <t>Authorised Electronics Accessories Distributor</t>
  </si>
  <si>
    <t>12% To  15%</t>
  </si>
  <si>
    <t>LED</t>
  </si>
  <si>
    <t>LCD</t>
  </si>
  <si>
    <t>Fridge</t>
  </si>
  <si>
    <t>Washing Machine</t>
  </si>
  <si>
    <t>DVD</t>
  </si>
  <si>
    <t>12% to 15%</t>
  </si>
  <si>
    <t>28 to 30</t>
  </si>
  <si>
    <t>Family Owned</t>
  </si>
  <si>
    <t>Mid Level Milk Distributors</t>
  </si>
  <si>
    <t xml:space="preserve">95% Amul Milk </t>
  </si>
  <si>
    <t xml:space="preserve">hi tachi </t>
  </si>
  <si>
    <t>A\C Installation Services</t>
  </si>
  <si>
    <t>Mid Level A/C service Centre</t>
  </si>
  <si>
    <t>Chawl</t>
  </si>
  <si>
    <t>10 th Passed</t>
  </si>
  <si>
    <t>50% Sharing with Bluestar shop</t>
  </si>
  <si>
    <t>10unit</t>
  </si>
  <si>
    <t>Bluestar Mashines</t>
  </si>
  <si>
    <t>120/300</t>
  </si>
  <si>
    <t>7 to 9</t>
  </si>
  <si>
    <t>6 to 9</t>
  </si>
  <si>
    <t>Daily Income</t>
  </si>
  <si>
    <t xml:space="preserve">No. of bed For Opration </t>
  </si>
  <si>
    <t>No. of bed For Theateres</t>
  </si>
  <si>
    <t>Mid Level Jeweller Shop</t>
  </si>
  <si>
    <t xml:space="preserve">2nd </t>
  </si>
  <si>
    <t>8000+6000</t>
  </si>
  <si>
    <t xml:space="preserve">60% Alcahol </t>
  </si>
  <si>
    <t xml:space="preserve">Mid Level Fitness Club </t>
  </si>
  <si>
    <t>Chwal</t>
  </si>
  <si>
    <t>Apparel Footwear &amp; Accessories Wholesaler</t>
  </si>
  <si>
    <t xml:space="preserve">70% online seal </t>
  </si>
  <si>
    <t>11 to 13</t>
  </si>
  <si>
    <t>Mid Level Manufacturer &amp; Seals</t>
  </si>
  <si>
    <t>8% Cotton Fabric</t>
  </si>
  <si>
    <t xml:space="preserve">None </t>
  </si>
  <si>
    <t>Mid Level Garment Shop</t>
  </si>
  <si>
    <t xml:space="preserve">15% Denim Brand </t>
  </si>
  <si>
    <t>Campany Provided</t>
  </si>
  <si>
    <t>Apparels Led Distributor Seles</t>
  </si>
  <si>
    <t>Planning for an lc which can be discounted</t>
  </si>
  <si>
    <t>25% own brand</t>
  </si>
  <si>
    <t>Mid Level Mobile Shop</t>
  </si>
  <si>
    <t>40% Mobile Accessories</t>
  </si>
  <si>
    <t>100 Phone</t>
  </si>
  <si>
    <t>100 to 1000</t>
  </si>
  <si>
    <t>Phone</t>
  </si>
  <si>
    <t>Dealar of indiab Oil Co.</t>
  </si>
  <si>
    <t>25% Lubes</t>
  </si>
  <si>
    <t xml:space="preserve">                             </t>
  </si>
  <si>
    <t>Mid level Ladies Garments Shop</t>
  </si>
  <si>
    <t>Manufacturing &amp; Retail store</t>
  </si>
  <si>
    <t>8 to 10</t>
  </si>
  <si>
    <t>Mid Level Bag  Shop</t>
  </si>
  <si>
    <t>50%  Ladies Bag</t>
  </si>
  <si>
    <t>03 to 5</t>
  </si>
  <si>
    <t>Lowyer</t>
  </si>
  <si>
    <t>Mid Level Car service Centre</t>
  </si>
  <si>
    <t>10 to 12</t>
  </si>
  <si>
    <t xml:space="preserve">60% Liquor </t>
  </si>
  <si>
    <t>Mid Level Man Ware Shop</t>
  </si>
  <si>
    <t xml:space="preserve">Home Appliance Shop </t>
  </si>
  <si>
    <t>35% kitchenware Cosmetics</t>
  </si>
  <si>
    <t>30% To 35%</t>
  </si>
  <si>
    <t>42 to 44</t>
  </si>
  <si>
    <t>42 to 4</t>
  </si>
  <si>
    <t>Transport</t>
  </si>
  <si>
    <t>Diesel &amp; Petrol Distributors</t>
  </si>
  <si>
    <t>2nd</t>
  </si>
  <si>
    <t>pharma &amp; Ayruvedic wholesaler</t>
  </si>
  <si>
    <t>owned</t>
  </si>
  <si>
    <t>chemist and druggist general store</t>
  </si>
  <si>
    <t xml:space="preserve">Mid level Chemist &amp; Durrgist Distributor </t>
  </si>
  <si>
    <t>30% institution Sale</t>
  </si>
  <si>
    <t>Institution Sale</t>
  </si>
  <si>
    <t>Ramaninig Ratail Sales</t>
  </si>
  <si>
    <t>Rubber Manufacturers &amp; Traders</t>
  </si>
</sst>
</file>

<file path=xl/styles.xml><?xml version="1.0" encoding="utf-8"?>
<styleSheet xmlns="http://schemas.openxmlformats.org/spreadsheetml/2006/main">
  <numFmts count="3">
    <numFmt numFmtId="164" formatCode="_(* #,##0_);_(* \(#,##0\);_(* &quot;-&quot;_);_(@_)"/>
    <numFmt numFmtId="165" formatCode="_(* #,##0.00_);_(* \(#,##0.00\);_(* &quot;-&quot;??_);_(@_)"/>
    <numFmt numFmtId="166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Georgi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u/>
      <sz val="11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3"/>
      <color theme="3"/>
      <name val="Georgi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3" fillId="0" borderId="0"/>
    <xf numFmtId="0" fontId="17" fillId="0" borderId="1" applyNumberFormat="0" applyFill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3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20">
    <xf numFmtId="0" fontId="0" fillId="0" borderId="0" xfId="0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6" fillId="3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left" indent="1"/>
    </xf>
    <xf numFmtId="0" fontId="7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/>
    <xf numFmtId="0" fontId="10" fillId="3" borderId="0" xfId="3" applyFont="1" applyFill="1" applyBorder="1" applyAlignment="1" applyProtection="1">
      <alignment vertical="center"/>
      <protection hidden="1"/>
    </xf>
    <xf numFmtId="0" fontId="2" fillId="4" borderId="0" xfId="0" applyFont="1" applyFill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3" borderId="2" xfId="0" applyFont="1" applyFill="1" applyBorder="1" applyAlignment="1"/>
    <xf numFmtId="0" fontId="11" fillId="3" borderId="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9" fillId="3" borderId="0" xfId="4" applyFont="1" applyFill="1" applyAlignment="1">
      <alignment horizontal="left" wrapText="1"/>
    </xf>
    <xf numFmtId="0" fontId="9" fillId="3" borderId="5" xfId="3" applyFont="1" applyFill="1" applyBorder="1" applyAlignment="1" applyProtection="1">
      <alignment horizontal="left" vertical="center" wrapText="1"/>
      <protection hidden="1"/>
    </xf>
    <xf numFmtId="0" fontId="10" fillId="0" borderId="2" xfId="0" applyFont="1" applyBorder="1"/>
    <xf numFmtId="0" fontId="9" fillId="3" borderId="2" xfId="3" applyFont="1" applyFill="1" applyBorder="1" applyAlignment="1" applyProtection="1">
      <alignment horizontal="left" vertical="center" wrapText="1"/>
      <protection hidden="1"/>
    </xf>
    <xf numFmtId="0" fontId="10" fillId="0" borderId="2" xfId="0" applyFont="1" applyBorder="1" applyAlignment="1">
      <alignment horizontal="left"/>
    </xf>
    <xf numFmtId="0" fontId="0" fillId="0" borderId="2" xfId="0" applyBorder="1"/>
    <xf numFmtId="0" fontId="9" fillId="3" borderId="6" xfId="3" applyFont="1" applyFill="1" applyBorder="1" applyAlignment="1" applyProtection="1">
      <alignment horizontal="left" vertical="center" wrapText="1"/>
      <protection hidden="1"/>
    </xf>
    <xf numFmtId="0" fontId="6" fillId="0" borderId="2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10" fillId="0" borderId="2" xfId="0" applyFont="1" applyFill="1" applyBorder="1" applyAlignment="1">
      <alignment horizontal="left"/>
    </xf>
    <xf numFmtId="0" fontId="10" fillId="3" borderId="2" xfId="0" applyFont="1" applyFill="1" applyBorder="1"/>
    <xf numFmtId="0" fontId="2" fillId="0" borderId="0" xfId="0" applyFont="1" applyFill="1" applyBorder="1" applyAlignment="1">
      <alignment horizontal="left"/>
    </xf>
    <xf numFmtId="0" fontId="2" fillId="2" borderId="0" xfId="0" applyFont="1" applyFill="1"/>
    <xf numFmtId="0" fontId="0" fillId="2" borderId="0" xfId="0" applyFill="1"/>
    <xf numFmtId="0" fontId="10" fillId="2" borderId="0" xfId="0" applyFont="1" applyFill="1" applyBorder="1"/>
    <xf numFmtId="0" fontId="0" fillId="0" borderId="0" xfId="0" applyFont="1"/>
    <xf numFmtId="0" fontId="3" fillId="0" borderId="0" xfId="0" applyFont="1" applyBorder="1" applyAlignment="1">
      <alignment horizontal="left"/>
    </xf>
    <xf numFmtId="166" fontId="0" fillId="0" borderId="0" xfId="0" applyNumberFormat="1"/>
    <xf numFmtId="0" fontId="9" fillId="3" borderId="0" xfId="4" applyFont="1" applyFill="1" applyBorder="1" applyAlignment="1">
      <alignment horizontal="left" wrapText="1"/>
    </xf>
    <xf numFmtId="166" fontId="0" fillId="0" borderId="0" xfId="1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166" fontId="0" fillId="0" borderId="0" xfId="1" applyNumberFormat="1" applyFont="1" applyAlignment="1">
      <alignment horizontal="right" indent="1"/>
    </xf>
    <xf numFmtId="165" fontId="0" fillId="0" borderId="0" xfId="1" applyFont="1" applyAlignment="1">
      <alignment horizontal="right" indent="1"/>
    </xf>
    <xf numFmtId="166" fontId="0" fillId="0" borderId="7" xfId="1" applyNumberFormat="1" applyFont="1" applyBorder="1" applyAlignment="1">
      <alignment horizontal="right" indent="1"/>
    </xf>
    <xf numFmtId="165" fontId="0" fillId="0" borderId="0" xfId="1" applyFont="1" applyAlignment="1">
      <alignment horizontal="right"/>
    </xf>
    <xf numFmtId="165" fontId="0" fillId="0" borderId="7" xfId="1" applyFont="1" applyBorder="1" applyAlignment="1">
      <alignment horizontal="right" indent="1"/>
    </xf>
    <xf numFmtId="0" fontId="3" fillId="0" borderId="8" xfId="0" applyFont="1" applyBorder="1" applyAlignment="1">
      <alignment horizontal="left" indent="1"/>
    </xf>
    <xf numFmtId="165" fontId="3" fillId="0" borderId="8" xfId="0" applyNumberFormat="1" applyFont="1" applyBorder="1"/>
    <xf numFmtId="164" fontId="0" fillId="0" borderId="0" xfId="0" applyNumberFormat="1" applyAlignment="1">
      <alignment horizontal="right"/>
    </xf>
    <xf numFmtId="0" fontId="0" fillId="0" borderId="0" xfId="0" applyAlignment="1"/>
    <xf numFmtId="164" fontId="0" fillId="0" borderId="0" xfId="0" applyNumberFormat="1"/>
    <xf numFmtId="0" fontId="0" fillId="0" borderId="0" xfId="0" applyFont="1" applyAlignment="1">
      <alignment wrapText="1"/>
    </xf>
    <xf numFmtId="0" fontId="14" fillId="0" borderId="0" xfId="0" applyFont="1"/>
    <xf numFmtId="0" fontId="3" fillId="0" borderId="9" xfId="0" applyFont="1" applyBorder="1" applyAlignment="1">
      <alignment horizontal="left"/>
    </xf>
    <xf numFmtId="164" fontId="3" fillId="0" borderId="9" xfId="0" applyNumberFormat="1" applyFont="1" applyBorder="1"/>
    <xf numFmtId="165" fontId="0" fillId="0" borderId="7" xfId="1" applyFont="1" applyBorder="1" applyAlignment="1">
      <alignment horizontal="right"/>
    </xf>
    <xf numFmtId="0" fontId="6" fillId="0" borderId="0" xfId="0" applyFont="1" applyBorder="1"/>
    <xf numFmtId="0" fontId="2" fillId="5" borderId="0" xfId="0" applyFont="1" applyFill="1"/>
    <xf numFmtId="0" fontId="4" fillId="5" borderId="0" xfId="0" applyFont="1" applyFill="1"/>
    <xf numFmtId="0" fontId="15" fillId="0" borderId="0" xfId="0" applyFont="1" applyBorder="1"/>
    <xf numFmtId="166" fontId="16" fillId="0" borderId="0" xfId="1" applyNumberFormat="1" applyFont="1"/>
    <xf numFmtId="0" fontId="16" fillId="0" borderId="0" xfId="0" applyFont="1"/>
    <xf numFmtId="9" fontId="16" fillId="0" borderId="0" xfId="2" applyFont="1"/>
    <xf numFmtId="166" fontId="1" fillId="0" borderId="0" xfId="1" applyNumberFormat="1" applyFont="1"/>
    <xf numFmtId="165" fontId="0" fillId="0" borderId="0" xfId="0" applyNumberFormat="1"/>
    <xf numFmtId="0" fontId="9" fillId="3" borderId="6" xfId="5" applyFont="1" applyFill="1" applyBorder="1" applyAlignment="1" applyProtection="1">
      <alignment horizontal="left" vertical="center" wrapText="1"/>
      <protection hidden="1"/>
    </xf>
    <xf numFmtId="166" fontId="3" fillId="0" borderId="0" xfId="1" applyNumberFormat="1" applyFont="1"/>
    <xf numFmtId="14" fontId="9" fillId="3" borderId="6" xfId="3" applyNumberFormat="1" applyFont="1" applyFill="1" applyBorder="1" applyAlignment="1" applyProtection="1">
      <alignment horizontal="left" vertical="center" wrapText="1"/>
      <protection hidden="1"/>
    </xf>
    <xf numFmtId="166" fontId="0" fillId="0" borderId="0" xfId="1" applyNumberFormat="1" applyFont="1"/>
    <xf numFmtId="9" fontId="0" fillId="0" borderId="0" xfId="0" applyNumberFormat="1"/>
    <xf numFmtId="0" fontId="0" fillId="0" borderId="0" xfId="1" applyNumberFormat="1" applyFont="1"/>
    <xf numFmtId="166" fontId="3" fillId="0" borderId="9" xfId="1" applyNumberFormat="1" applyFont="1" applyBorder="1"/>
    <xf numFmtId="1" fontId="0" fillId="0" borderId="0" xfId="0" applyNumberFormat="1"/>
    <xf numFmtId="0" fontId="11" fillId="3" borderId="0" xfId="5" applyFont="1" applyFill="1" applyBorder="1" applyAlignment="1" applyProtection="1">
      <alignment horizontal="center" vertical="center" wrapText="1"/>
      <protection hidden="1"/>
    </xf>
    <xf numFmtId="10" fontId="0" fillId="0" borderId="0" xfId="0" applyNumberFormat="1"/>
    <xf numFmtId="0" fontId="2" fillId="4" borderId="0" xfId="0" applyFont="1" applyFill="1"/>
    <xf numFmtId="0" fontId="4" fillId="4" borderId="0" xfId="0" applyFont="1" applyFill="1"/>
    <xf numFmtId="0" fontId="7" fillId="3" borderId="0" xfId="0" applyFont="1" applyFill="1" applyAlignment="1">
      <alignment horizontal="right"/>
    </xf>
    <xf numFmtId="0" fontId="2" fillId="2" borderId="0" xfId="0" applyFont="1" applyFill="1" applyBorder="1"/>
    <xf numFmtId="0" fontId="2" fillId="2" borderId="0" xfId="4" applyFont="1" applyFill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4" applyFont="1" applyFill="1" applyBorder="1" applyAlignment="1">
      <alignment horizontal="center" wrapText="1"/>
    </xf>
    <xf numFmtId="0" fontId="2" fillId="2" borderId="0" xfId="4" applyFont="1" applyFill="1" applyAlignment="1">
      <alignment horizontal="center" vertical="center" wrapText="1"/>
    </xf>
    <xf numFmtId="166" fontId="3" fillId="0" borderId="0" xfId="1" applyNumberFormat="1" applyFont="1" applyBorder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/>
    <xf numFmtId="0" fontId="7" fillId="6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14" fontId="7" fillId="3" borderId="0" xfId="0" applyNumberFormat="1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9" fontId="7" fillId="3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3" borderId="0" xfId="3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</cellXfs>
  <cellStyles count="18">
    <cellStyle name="Comma" xfId="1" builtinId="3"/>
    <cellStyle name="Comma 2" xfId="6"/>
    <cellStyle name="Comma 3" xfId="7"/>
    <cellStyle name="Comma 5" xfId="8"/>
    <cellStyle name="Comma 6" xfId="9"/>
    <cellStyle name="Heading 2 2" xfId="5"/>
    <cellStyle name="Nor}al" xfId="10"/>
    <cellStyle name="Normal" xfId="0" builtinId="0"/>
    <cellStyle name="Normal 2" xfId="11"/>
    <cellStyle name="Normal 2 2" xfId="12"/>
    <cellStyle name="Normal 2 3" xfId="13"/>
    <cellStyle name="Normal 2 4" xfId="14"/>
    <cellStyle name="Normal 3" xfId="3"/>
    <cellStyle name="Normal 4" xfId="15"/>
    <cellStyle name="Normal 5" xfId="4"/>
    <cellStyle name="Percent" xfId="2" builtinId="5"/>
    <cellStyle name="Percent 2" xfId="16"/>
    <cellStyle name="Style 1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Q56"/>
  <sheetViews>
    <sheetView showGridLines="0" zoomScale="80" zoomScaleNormal="80" workbookViewId="0">
      <pane xSplit="2" ySplit="1" topLeftCell="E2" activePane="bottomRight" state="frozen"/>
      <selection activeCell="DS19" sqref="DS19"/>
      <selection pane="topRight" activeCell="DS19" sqref="DS19"/>
      <selection pane="bottomLeft" activeCell="DS19" sqref="DS19"/>
      <selection pane="bottomRight" activeCell="Q4" sqref="Q4"/>
    </sheetView>
  </sheetViews>
  <sheetFormatPr defaultRowHeight="15"/>
  <cols>
    <col min="1" max="1" width="9.140625" style="7"/>
    <col min="2" max="2" width="90.7109375" style="6" bestFit="1" customWidth="1"/>
    <col min="3" max="3" width="14.28515625" style="6" bestFit="1" customWidth="1"/>
    <col min="4" max="4" width="7" style="87" customWidth="1"/>
    <col min="5" max="5" width="10.140625" style="6" customWidth="1"/>
    <col min="6" max="6" width="8.42578125" style="6" customWidth="1"/>
    <col min="7" max="7" width="13.85546875" style="6" customWidth="1"/>
    <col min="8" max="8" width="11.42578125" style="6" customWidth="1"/>
    <col min="9" max="9" width="6" style="6" customWidth="1"/>
    <col min="10" max="10" width="9.140625" style="6" customWidth="1"/>
    <col min="11" max="11" width="15.42578125" style="6" customWidth="1"/>
    <col min="12" max="12" width="16.5703125" style="6" customWidth="1"/>
    <col min="13" max="13" width="8.7109375" style="6" customWidth="1"/>
    <col min="14" max="14" width="5.5703125" style="6" customWidth="1"/>
    <col min="15" max="15" width="7.85546875" style="6" customWidth="1"/>
    <col min="16" max="16" width="8" style="6" customWidth="1"/>
    <col min="17" max="17" width="12.7109375" style="7" customWidth="1"/>
    <col min="18" max="18" width="16" style="6" customWidth="1"/>
    <col min="19" max="19" width="10" style="6" customWidth="1"/>
    <col min="20" max="20" width="12.140625" style="6" customWidth="1"/>
    <col min="21" max="21" width="8.7109375" style="6" customWidth="1"/>
    <col min="22" max="22" width="6" style="6" customWidth="1"/>
    <col min="23" max="23" width="18.140625" style="6" customWidth="1"/>
    <col min="24" max="24" width="10.7109375" style="6" customWidth="1"/>
    <col min="25" max="25" width="14.85546875" style="6" customWidth="1"/>
    <col min="26" max="26" width="11.7109375" style="6" customWidth="1"/>
    <col min="27" max="27" width="13.85546875" style="6" customWidth="1"/>
    <col min="28" max="28" width="12.42578125" style="6" customWidth="1"/>
    <col min="29" max="29" width="8" style="6" customWidth="1"/>
    <col min="30" max="30" width="26.140625" style="6" customWidth="1"/>
    <col min="31" max="31" width="13" style="6" customWidth="1"/>
    <col min="32" max="32" width="12" style="6" customWidth="1"/>
    <col min="33" max="33" width="16" style="6" customWidth="1"/>
    <col min="34" max="34" width="16.5703125" style="6" customWidth="1"/>
    <col min="35" max="35" width="10.85546875" style="6" customWidth="1"/>
    <col min="36" max="36" width="15.7109375" style="6" customWidth="1"/>
    <col min="37" max="37" width="11.7109375" style="6" customWidth="1"/>
    <col min="38" max="38" width="21" style="6" customWidth="1"/>
    <col min="39" max="39" width="28.85546875" style="6" customWidth="1"/>
    <col min="40" max="40" width="10.28515625" style="6" customWidth="1"/>
    <col min="41" max="41" width="14.85546875" style="6" customWidth="1"/>
    <col min="42" max="42" width="10.140625" style="6" customWidth="1"/>
    <col min="43" max="43" width="11.42578125" style="6" customWidth="1"/>
    <col min="44" max="44" width="9.85546875" style="6" customWidth="1"/>
    <col min="45" max="45" width="9.5703125" style="6" customWidth="1"/>
    <col min="46" max="46" width="23.140625" style="6" customWidth="1"/>
    <col min="47" max="47" width="32.140625" style="6" customWidth="1"/>
    <col min="48" max="48" width="15.140625" style="6" customWidth="1"/>
    <col min="49" max="49" width="29.85546875" style="6" customWidth="1"/>
    <col min="50" max="50" width="15" style="6" customWidth="1"/>
    <col min="51" max="51" width="7.85546875" style="6" customWidth="1"/>
    <col min="52" max="52" width="19.42578125" style="6" customWidth="1"/>
    <col min="53" max="53" width="12.28515625" style="6" customWidth="1"/>
    <col min="54" max="54" width="15.5703125" style="6" customWidth="1"/>
    <col min="55" max="55" width="22.28515625" style="6" customWidth="1"/>
    <col min="56" max="56" width="24.28515625" style="6" customWidth="1"/>
    <col min="57" max="57" width="13.42578125" style="6" customWidth="1"/>
    <col min="58" max="58" width="12.28515625" style="6" customWidth="1"/>
    <col min="59" max="59" width="22.28515625" style="6" customWidth="1"/>
    <col min="60" max="60" width="13.7109375" style="6" customWidth="1"/>
    <col min="61" max="61" width="23.42578125" style="6" customWidth="1"/>
    <col min="62" max="62" width="13.140625" style="6" customWidth="1"/>
    <col min="63" max="63" width="15.85546875" style="6" customWidth="1"/>
    <col min="64" max="64" width="14.42578125" style="6" customWidth="1"/>
    <col min="65" max="65" width="12.42578125" style="6" customWidth="1"/>
    <col min="66" max="66" width="14.5703125" style="6" customWidth="1"/>
    <col min="67" max="67" width="28.140625" style="6" customWidth="1"/>
    <col min="68" max="68" width="16.28515625" style="6" customWidth="1"/>
    <col min="69" max="69" width="15.28515625" style="6" customWidth="1"/>
    <col min="70" max="70" width="24.28515625" style="6" customWidth="1"/>
    <col min="71" max="71" width="13.85546875" style="6" customWidth="1"/>
    <col min="72" max="72" width="21.28515625" style="6" customWidth="1"/>
    <col min="73" max="73" width="20.5703125" style="6" customWidth="1"/>
    <col min="74" max="74" width="12.7109375" style="6" customWidth="1"/>
    <col min="75" max="75" width="23.5703125" style="6" customWidth="1"/>
    <col min="76" max="76" width="28.140625" style="6" customWidth="1"/>
    <col min="77" max="77" width="27.85546875" style="6" customWidth="1"/>
    <col min="78" max="78" width="30.85546875" style="6" customWidth="1"/>
    <col min="79" max="79" width="15.42578125" style="6" customWidth="1"/>
    <col min="80" max="80" width="32.5703125" style="6" bestFit="1" customWidth="1"/>
    <col min="81" max="81" width="25.7109375" style="7" bestFit="1" customWidth="1"/>
    <col min="82" max="82" width="22.140625" style="6" customWidth="1"/>
    <col min="83" max="83" width="14.85546875" style="6" customWidth="1"/>
    <col min="84" max="84" width="10.5703125" style="6" customWidth="1"/>
    <col min="85" max="85" width="15.85546875" style="6" customWidth="1"/>
    <col min="86" max="86" width="15.7109375" style="6" customWidth="1"/>
    <col min="87" max="87" width="9.28515625" style="6" customWidth="1"/>
    <col min="88" max="88" width="31.5703125" style="6" customWidth="1"/>
    <col min="89" max="89" width="18" style="6" customWidth="1"/>
    <col min="90" max="90" width="14.85546875" style="6" customWidth="1"/>
    <col min="91" max="91" width="26" style="6" customWidth="1"/>
    <col min="92" max="92" width="27.28515625" style="7" customWidth="1"/>
    <col min="93" max="93" width="23.140625" style="6" customWidth="1"/>
    <col min="94" max="94" width="15.5703125" style="6" customWidth="1"/>
    <col min="95" max="95" width="28.42578125" style="6" customWidth="1"/>
    <col min="96" max="96" width="15.7109375" style="6" customWidth="1"/>
    <col min="97" max="97" width="29.28515625" style="6" customWidth="1"/>
    <col min="98" max="98" width="30.5703125" style="7" bestFit="1" customWidth="1"/>
    <col min="99" max="99" width="21.7109375" style="7" bestFit="1" customWidth="1"/>
    <col min="100" max="100" width="26.5703125" style="7" bestFit="1" customWidth="1"/>
    <col min="101" max="101" width="20.5703125" style="7" bestFit="1" customWidth="1"/>
    <col min="102" max="102" width="25.85546875" style="7" bestFit="1" customWidth="1"/>
    <col min="103" max="103" width="42.140625" style="7" bestFit="1" customWidth="1"/>
    <col min="104" max="104" width="23.140625" style="7" bestFit="1" customWidth="1"/>
    <col min="105" max="105" width="34.140625" style="7" bestFit="1" customWidth="1"/>
    <col min="106" max="106" width="13.85546875" style="6" bestFit="1" customWidth="1"/>
    <col min="107" max="107" width="35.5703125" style="7" bestFit="1" customWidth="1"/>
    <col min="108" max="108" width="25.5703125" style="6" bestFit="1" customWidth="1"/>
    <col min="109" max="109" width="12.28515625" style="6" bestFit="1" customWidth="1"/>
    <col min="110" max="110" width="12" style="6" bestFit="1" customWidth="1"/>
    <col min="111" max="111" width="39.5703125" style="7" bestFit="1" customWidth="1"/>
    <col min="112" max="112" width="24.85546875" style="6" bestFit="1" customWidth="1"/>
    <col min="113" max="113" width="28.42578125" style="6" bestFit="1" customWidth="1"/>
    <col min="114" max="114" width="30" style="6" bestFit="1" customWidth="1"/>
    <col min="115" max="115" width="32.42578125" style="6" bestFit="1" customWidth="1"/>
    <col min="116" max="116" width="23.140625" style="7" customWidth="1"/>
    <col min="117" max="117" width="31" style="7" bestFit="1" customWidth="1"/>
    <col min="118" max="118" width="28.140625" style="7" customWidth="1"/>
    <col min="119" max="119" width="26.42578125" style="7" bestFit="1" customWidth="1"/>
    <col min="120" max="120" width="47.42578125" style="7" bestFit="1" customWidth="1"/>
    <col min="121" max="121" width="32.7109375" style="7" bestFit="1" customWidth="1"/>
    <col min="122" max="122" width="28.140625" style="7" bestFit="1" customWidth="1"/>
    <col min="123" max="123" width="25.140625" style="7" bestFit="1" customWidth="1"/>
    <col min="124" max="124" width="37.85546875" style="7" bestFit="1" customWidth="1"/>
    <col min="125" max="125" width="28.5703125" style="7" bestFit="1" customWidth="1"/>
    <col min="126" max="126" width="24.140625" style="7" bestFit="1" customWidth="1"/>
    <col min="127" max="127" width="8.140625" style="6" bestFit="1" customWidth="1"/>
    <col min="128" max="128" width="17.85546875" style="6" bestFit="1" customWidth="1"/>
    <col min="129" max="129" width="10.5703125" style="6" bestFit="1" customWidth="1"/>
    <col min="130" max="130" width="28.42578125" style="6" bestFit="1" customWidth="1"/>
    <col min="131" max="131" width="22.85546875" style="6" bestFit="1" customWidth="1"/>
    <col min="132" max="132" width="5" style="6" bestFit="1" customWidth="1"/>
    <col min="133" max="133" width="27.140625" style="6" bestFit="1" customWidth="1"/>
    <col min="134" max="134" width="22.85546875" style="7" bestFit="1" customWidth="1"/>
    <col min="135" max="135" width="20.85546875" style="6" bestFit="1" customWidth="1"/>
    <col min="136" max="136" width="10.28515625" style="6" bestFit="1" customWidth="1"/>
    <col min="137" max="137" width="24.5703125" style="7" bestFit="1" customWidth="1"/>
    <col min="138" max="138" width="25.28515625" style="7" customWidth="1"/>
    <col min="139" max="139" width="25" style="7" bestFit="1" customWidth="1"/>
    <col min="140" max="140" width="12.85546875" style="6" bestFit="1" customWidth="1"/>
    <col min="141" max="141" width="44.140625" style="7" bestFit="1" customWidth="1"/>
    <col min="142" max="142" width="33.5703125" style="7" bestFit="1" customWidth="1"/>
    <col min="143" max="143" width="28.7109375" style="6" bestFit="1" customWidth="1"/>
    <col min="144" max="144" width="24.5703125" style="7" bestFit="1" customWidth="1"/>
    <col min="145" max="145" width="30.5703125" style="7" bestFit="1" customWidth="1"/>
    <col min="146" max="146" width="17.28515625" style="7" bestFit="1" customWidth="1"/>
    <col min="147" max="147" width="7.7109375" style="6" bestFit="1" customWidth="1"/>
    <col min="148" max="148" width="9.140625" style="6"/>
    <col min="149" max="149" width="25.5703125" style="6" bestFit="1" customWidth="1"/>
    <col min="150" max="150" width="9.5703125" style="6" bestFit="1" customWidth="1"/>
    <col min="151" max="151" width="27" style="7" bestFit="1" customWidth="1"/>
    <col min="152" max="152" width="10.7109375" style="6" bestFit="1" customWidth="1"/>
    <col min="153" max="153" width="20.85546875" style="7" bestFit="1" customWidth="1"/>
    <col min="154" max="154" width="30" style="7" bestFit="1" customWidth="1"/>
    <col min="155" max="155" width="30.5703125" style="7" bestFit="1" customWidth="1"/>
    <col min="156" max="156" width="28.85546875" style="7" bestFit="1" customWidth="1"/>
    <col min="157" max="157" width="35" style="7" bestFit="1" customWidth="1"/>
    <col min="158" max="158" width="15.85546875" style="6" bestFit="1" customWidth="1"/>
    <col min="159" max="159" width="24.140625" style="6" bestFit="1" customWidth="1"/>
    <col min="160" max="160" width="15.5703125" style="6" bestFit="1" customWidth="1"/>
    <col min="161" max="161" width="23.140625" style="6" bestFit="1" customWidth="1"/>
    <col min="162" max="162" width="30.85546875" style="7" bestFit="1" customWidth="1"/>
    <col min="163" max="163" width="33.140625" style="7" bestFit="1" customWidth="1"/>
    <col min="164" max="164" width="22.28515625" style="6" bestFit="1" customWidth="1"/>
    <col min="165" max="165" width="16.42578125" style="6" bestFit="1" customWidth="1"/>
    <col min="166" max="166" width="20.28515625" style="6" bestFit="1" customWidth="1"/>
    <col min="167" max="167" width="16.28515625" style="6" bestFit="1" customWidth="1"/>
    <col min="168" max="168" width="36" style="7" bestFit="1" customWidth="1"/>
    <col min="169" max="169" width="36.5703125" style="6" bestFit="1" customWidth="1"/>
    <col min="170" max="170" width="12.5703125" style="6" bestFit="1" customWidth="1"/>
    <col min="171" max="171" width="31.5703125" style="7" bestFit="1" customWidth="1"/>
    <col min="172" max="172" width="12.28515625" style="6" bestFit="1" customWidth="1"/>
    <col min="173" max="173" width="14.5703125" style="6" bestFit="1" customWidth="1"/>
    <col min="174" max="174" width="25.85546875" style="6" bestFit="1" customWidth="1"/>
    <col min="175" max="175" width="33.85546875" style="6" bestFit="1" customWidth="1"/>
    <col min="176" max="176" width="25.85546875" style="6" bestFit="1" customWidth="1"/>
    <col min="177" max="177" width="9.42578125" style="6" bestFit="1" customWidth="1"/>
    <col min="178" max="178" width="20.85546875" style="6" bestFit="1" customWidth="1"/>
    <col min="179" max="179" width="24.28515625" style="6" bestFit="1" customWidth="1"/>
    <col min="180" max="180" width="28.140625" style="6" bestFit="1" customWidth="1"/>
    <col min="181" max="181" width="6.42578125" style="6" bestFit="1" customWidth="1"/>
    <col min="182" max="182" width="19.28515625" style="6" bestFit="1" customWidth="1"/>
    <col min="183" max="183" width="10.85546875" style="6" bestFit="1" customWidth="1"/>
    <col min="184" max="184" width="24.85546875" style="6" bestFit="1" customWidth="1"/>
    <col min="185" max="185" width="16.42578125" style="6" bestFit="1" customWidth="1"/>
    <col min="186" max="186" width="21" style="6" bestFit="1" customWidth="1"/>
    <col min="187" max="187" width="28.7109375" style="6" bestFit="1" customWidth="1"/>
    <col min="188" max="188" width="16.28515625" style="6" bestFit="1" customWidth="1"/>
    <col min="189" max="189" width="15.85546875" style="6" bestFit="1" customWidth="1"/>
    <col min="190" max="190" width="17" style="6" bestFit="1" customWidth="1"/>
    <col min="191" max="191" width="22.140625" style="6" bestFit="1" customWidth="1"/>
    <col min="192" max="192" width="16.7109375" style="6" bestFit="1" customWidth="1"/>
    <col min="193" max="193" width="6.5703125" style="6" bestFit="1" customWidth="1"/>
    <col min="194" max="194" width="16.85546875" style="6" bestFit="1" customWidth="1"/>
    <col min="195" max="195" width="13" style="6" bestFit="1" customWidth="1"/>
    <col min="196" max="196" width="43.140625" style="6" bestFit="1" customWidth="1"/>
    <col min="197" max="197" width="20" style="6" bestFit="1" customWidth="1"/>
    <col min="198" max="198" width="16.42578125" style="6" bestFit="1" customWidth="1"/>
    <col min="199" max="199" width="19.28515625" style="6" bestFit="1" customWidth="1"/>
    <col min="200" max="200" width="11.28515625" style="6" bestFit="1" customWidth="1"/>
    <col min="201" max="201" width="22.28515625" style="6" bestFit="1" customWidth="1"/>
    <col min="202" max="202" width="25.7109375" style="113" bestFit="1" customWidth="1"/>
    <col min="203" max="203" width="8.85546875" style="6" bestFit="1" customWidth="1"/>
    <col min="204" max="204" width="27.85546875" style="6" bestFit="1" customWidth="1"/>
    <col min="205" max="205" width="14.85546875" style="6" bestFit="1" customWidth="1"/>
    <col min="206" max="206" width="17.42578125" style="6" bestFit="1" customWidth="1"/>
    <col min="207" max="16384" width="9.140625" style="6"/>
  </cols>
  <sheetData>
    <row r="1" spans="1:225" s="10" customFormat="1" ht="21.75" customHeight="1">
      <c r="A1" s="88" t="s">
        <v>75</v>
      </c>
      <c r="B1" s="88" t="s">
        <v>463</v>
      </c>
      <c r="C1" s="88" t="s">
        <v>464</v>
      </c>
      <c r="D1" s="89" t="s">
        <v>359</v>
      </c>
      <c r="E1" s="89" t="s">
        <v>386</v>
      </c>
      <c r="F1" s="89" t="s">
        <v>332</v>
      </c>
      <c r="G1" s="89" t="s">
        <v>333</v>
      </c>
      <c r="H1" s="89" t="s">
        <v>306</v>
      </c>
      <c r="I1" s="89" t="s">
        <v>415</v>
      </c>
      <c r="J1" s="89" t="s">
        <v>413</v>
      </c>
      <c r="K1" s="89" t="s">
        <v>314</v>
      </c>
      <c r="L1" s="89" t="s">
        <v>376</v>
      </c>
      <c r="M1" s="89" t="s">
        <v>334</v>
      </c>
      <c r="N1" s="89" t="s">
        <v>335</v>
      </c>
      <c r="O1" s="89" t="s">
        <v>293</v>
      </c>
      <c r="P1" s="89" t="s">
        <v>89</v>
      </c>
      <c r="Q1" s="90" t="s">
        <v>315</v>
      </c>
      <c r="R1" s="89" t="s">
        <v>316</v>
      </c>
      <c r="S1" s="89" t="s">
        <v>317</v>
      </c>
      <c r="T1" s="89" t="s">
        <v>336</v>
      </c>
      <c r="U1" s="89" t="s">
        <v>337</v>
      </c>
      <c r="V1" s="89" t="s">
        <v>361</v>
      </c>
      <c r="W1" s="90" t="s">
        <v>388</v>
      </c>
      <c r="X1" s="89" t="s">
        <v>100</v>
      </c>
      <c r="Y1" s="89" t="s">
        <v>389</v>
      </c>
      <c r="Z1" s="90" t="s">
        <v>110</v>
      </c>
      <c r="AA1" s="90" t="s">
        <v>398</v>
      </c>
      <c r="AB1" s="90" t="s">
        <v>338</v>
      </c>
      <c r="AC1" s="89" t="s">
        <v>318</v>
      </c>
      <c r="AD1" s="91" t="s">
        <v>119</v>
      </c>
      <c r="AE1" s="90" t="s">
        <v>126</v>
      </c>
      <c r="AF1" s="89" t="s">
        <v>465</v>
      </c>
      <c r="AG1" s="89" t="s">
        <v>319</v>
      </c>
      <c r="AH1" s="89" t="s">
        <v>390</v>
      </c>
      <c r="AI1" s="89" t="s">
        <v>444</v>
      </c>
      <c r="AJ1" s="90" t="s">
        <v>362</v>
      </c>
      <c r="AK1" s="89" t="s">
        <v>131</v>
      </c>
      <c r="AL1" s="89" t="s">
        <v>466</v>
      </c>
      <c r="AM1" s="91" t="s">
        <v>428</v>
      </c>
      <c r="AN1" s="89" t="s">
        <v>445</v>
      </c>
      <c r="AO1" s="90" t="s">
        <v>406</v>
      </c>
      <c r="AP1" s="89" t="s">
        <v>386</v>
      </c>
      <c r="AQ1" s="89" t="s">
        <v>306</v>
      </c>
      <c r="AR1" s="89" t="s">
        <v>339</v>
      </c>
      <c r="AS1" s="89" t="s">
        <v>436</v>
      </c>
      <c r="AT1" s="91" t="s">
        <v>340</v>
      </c>
      <c r="AU1" s="89" t="s">
        <v>134</v>
      </c>
      <c r="AV1" s="90" t="s">
        <v>341</v>
      </c>
      <c r="AW1" s="89" t="s">
        <v>342</v>
      </c>
      <c r="AX1" s="90" t="s">
        <v>399</v>
      </c>
      <c r="AY1" s="89" t="s">
        <v>136</v>
      </c>
      <c r="AZ1" s="89" t="s">
        <v>400</v>
      </c>
      <c r="BA1" s="89" t="s">
        <v>430</v>
      </c>
      <c r="BB1" s="89" t="s">
        <v>138</v>
      </c>
      <c r="BC1" s="89" t="s">
        <v>140</v>
      </c>
      <c r="BD1" s="89" t="s">
        <v>142</v>
      </c>
      <c r="BE1" s="90" t="s">
        <v>320</v>
      </c>
      <c r="BF1" s="89" t="s">
        <v>446</v>
      </c>
      <c r="BG1" s="92" t="s">
        <v>146</v>
      </c>
      <c r="BH1" s="89" t="s">
        <v>467</v>
      </c>
      <c r="BI1" s="89" t="s">
        <v>431</v>
      </c>
      <c r="BJ1" s="89" t="s">
        <v>321</v>
      </c>
      <c r="BK1" s="90" t="s">
        <v>363</v>
      </c>
      <c r="BL1" s="89" t="s">
        <v>322</v>
      </c>
      <c r="BM1" s="89" t="s">
        <v>343</v>
      </c>
      <c r="BN1" s="89" t="s">
        <v>408</v>
      </c>
      <c r="BO1" s="89" t="s">
        <v>409</v>
      </c>
      <c r="BP1" s="89" t="s">
        <v>432</v>
      </c>
      <c r="BQ1" s="89" t="s">
        <v>153</v>
      </c>
      <c r="BR1" s="89" t="s">
        <v>364</v>
      </c>
      <c r="BS1" s="89" t="s">
        <v>365</v>
      </c>
      <c r="BT1" s="89" t="s">
        <v>437</v>
      </c>
      <c r="BU1" s="89" t="s">
        <v>416</v>
      </c>
      <c r="BV1" s="89" t="s">
        <v>159</v>
      </c>
      <c r="BW1" s="91" t="s">
        <v>438</v>
      </c>
      <c r="BX1" s="89" t="s">
        <v>378</v>
      </c>
      <c r="BY1" s="89" t="s">
        <v>439</v>
      </c>
      <c r="BZ1" s="89" t="s">
        <v>401</v>
      </c>
      <c r="CA1" s="89" t="s">
        <v>163</v>
      </c>
      <c r="CB1" s="89" t="s">
        <v>381</v>
      </c>
      <c r="CC1" s="89" t="s">
        <v>440</v>
      </c>
      <c r="CD1" s="89" t="s">
        <v>344</v>
      </c>
      <c r="CE1" s="89" t="s">
        <v>393</v>
      </c>
      <c r="CF1" s="89" t="s">
        <v>391</v>
      </c>
      <c r="CG1" s="89" t="s">
        <v>323</v>
      </c>
      <c r="CH1" s="89" t="s">
        <v>167</v>
      </c>
      <c r="CI1" s="89" t="s">
        <v>171</v>
      </c>
      <c r="CJ1" s="90" t="s">
        <v>417</v>
      </c>
      <c r="CK1" s="89" t="s">
        <v>394</v>
      </c>
      <c r="CL1" s="89" t="s">
        <v>447</v>
      </c>
      <c r="CM1" s="89" t="s">
        <v>433</v>
      </c>
      <c r="CN1" s="89" t="s">
        <v>324</v>
      </c>
      <c r="CO1" s="89" t="s">
        <v>311</v>
      </c>
      <c r="CP1" s="89" t="s">
        <v>402</v>
      </c>
      <c r="CQ1" s="89" t="s">
        <v>174</v>
      </c>
      <c r="CR1" s="89" t="s">
        <v>366</v>
      </c>
      <c r="CS1" s="89" t="s">
        <v>418</v>
      </c>
      <c r="CT1" s="89" t="s">
        <v>345</v>
      </c>
      <c r="CU1" s="89" t="s">
        <v>357</v>
      </c>
      <c r="CV1" s="89" t="s">
        <v>176</v>
      </c>
      <c r="CW1" s="91" t="s">
        <v>178</v>
      </c>
      <c r="CX1" s="89" t="s">
        <v>346</v>
      </c>
      <c r="CY1" s="89" t="s">
        <v>442</v>
      </c>
      <c r="CZ1" s="89" t="s">
        <v>181</v>
      </c>
      <c r="DA1" s="89" t="s">
        <v>395</v>
      </c>
      <c r="DB1" s="89" t="s">
        <v>367</v>
      </c>
      <c r="DC1" s="89" t="s">
        <v>183</v>
      </c>
      <c r="DD1" s="89" t="s">
        <v>185</v>
      </c>
      <c r="DE1" s="89" t="s">
        <v>186</v>
      </c>
      <c r="DF1" s="89" t="s">
        <v>468</v>
      </c>
      <c r="DG1" s="90" t="s">
        <v>368</v>
      </c>
      <c r="DH1" s="90" t="s">
        <v>369</v>
      </c>
      <c r="DI1" s="90" t="s">
        <v>187</v>
      </c>
      <c r="DJ1" s="89" t="s">
        <v>419</v>
      </c>
      <c r="DK1" s="89" t="s">
        <v>358</v>
      </c>
      <c r="DL1" s="89" t="s">
        <v>189</v>
      </c>
      <c r="DM1" s="90" t="s">
        <v>325</v>
      </c>
      <c r="DN1" s="89" t="s">
        <v>193</v>
      </c>
      <c r="DO1" s="91" t="s">
        <v>200</v>
      </c>
      <c r="DP1" s="89" t="s">
        <v>326</v>
      </c>
      <c r="DQ1" s="89" t="s">
        <v>420</v>
      </c>
      <c r="DR1" s="90" t="s">
        <v>370</v>
      </c>
      <c r="DS1" s="89" t="s">
        <v>379</v>
      </c>
      <c r="DT1" s="90" t="s">
        <v>410</v>
      </c>
      <c r="DU1" s="90" t="s">
        <v>347</v>
      </c>
      <c r="DV1" s="89" t="s">
        <v>434</v>
      </c>
      <c r="DW1" s="89" t="s">
        <v>207</v>
      </c>
      <c r="DX1" s="89" t="s">
        <v>421</v>
      </c>
      <c r="DY1" s="89" t="s">
        <v>371</v>
      </c>
      <c r="DZ1" s="90" t="s">
        <v>392</v>
      </c>
      <c r="EA1" s="89" t="s">
        <v>397</v>
      </c>
      <c r="EB1" s="89" t="s">
        <v>422</v>
      </c>
      <c r="EC1" s="90" t="s">
        <v>348</v>
      </c>
      <c r="ED1" s="89" t="s">
        <v>287</v>
      </c>
      <c r="EE1" s="89" t="s">
        <v>290</v>
      </c>
      <c r="EF1" s="89" t="s">
        <v>214</v>
      </c>
      <c r="EG1" s="89" t="s">
        <v>469</v>
      </c>
      <c r="EH1" s="89" t="s">
        <v>221</v>
      </c>
      <c r="EI1" s="90" t="s">
        <v>372</v>
      </c>
      <c r="EJ1" s="89" t="s">
        <v>373</v>
      </c>
      <c r="EK1" s="89" t="s">
        <v>383</v>
      </c>
      <c r="EL1" s="89" t="s">
        <v>227</v>
      </c>
      <c r="EM1" s="89" t="s">
        <v>374</v>
      </c>
      <c r="EN1" s="90" t="s">
        <v>423</v>
      </c>
      <c r="EO1" s="89" t="s">
        <v>349</v>
      </c>
      <c r="EP1" s="89" t="s">
        <v>327</v>
      </c>
      <c r="EQ1" s="89" t="s">
        <v>235</v>
      </c>
      <c r="ER1" s="89" t="s">
        <v>241</v>
      </c>
      <c r="ES1" s="89" t="s">
        <v>411</v>
      </c>
      <c r="ET1" s="89" t="s">
        <v>245</v>
      </c>
      <c r="EU1" s="89" t="s">
        <v>249</v>
      </c>
      <c r="EV1" s="89" t="s">
        <v>253</v>
      </c>
      <c r="EW1" s="89" t="s">
        <v>302</v>
      </c>
      <c r="EX1" s="89" t="s">
        <v>470</v>
      </c>
      <c r="EY1" s="89" t="s">
        <v>350</v>
      </c>
      <c r="EZ1" s="89" t="s">
        <v>424</v>
      </c>
      <c r="FA1" s="89" t="s">
        <v>257</v>
      </c>
      <c r="FB1" s="89" t="s">
        <v>384</v>
      </c>
      <c r="FC1" s="89" t="s">
        <v>261</v>
      </c>
      <c r="FD1" s="89" t="s">
        <v>265</v>
      </c>
      <c r="FE1" s="89" t="s">
        <v>435</v>
      </c>
      <c r="FF1" s="89" t="s">
        <v>403</v>
      </c>
      <c r="FG1" s="89" t="s">
        <v>296</v>
      </c>
      <c r="FH1" s="89" t="s">
        <v>425</v>
      </c>
      <c r="FI1" s="89" t="s">
        <v>268</v>
      </c>
      <c r="FJ1" s="89" t="s">
        <v>271</v>
      </c>
      <c r="FK1" s="89" t="s">
        <v>328</v>
      </c>
      <c r="FL1" s="89" t="s">
        <v>412</v>
      </c>
      <c r="FM1" s="89" t="s">
        <v>272</v>
      </c>
      <c r="FN1" s="89" t="s">
        <v>329</v>
      </c>
      <c r="FO1" s="89" t="s">
        <v>375</v>
      </c>
      <c r="FP1" s="89" t="s">
        <v>273</v>
      </c>
      <c r="FQ1" s="89" t="s">
        <v>441</v>
      </c>
      <c r="FR1" s="90" t="s">
        <v>351</v>
      </c>
      <c r="FS1" s="90" t="s">
        <v>426</v>
      </c>
      <c r="FT1" s="89" t="s">
        <v>275</v>
      </c>
      <c r="FU1" s="89" t="s">
        <v>352</v>
      </c>
      <c r="FV1" s="89" t="s">
        <v>353</v>
      </c>
      <c r="FW1" s="89" t="s">
        <v>354</v>
      </c>
      <c r="FX1" s="90" t="s">
        <v>427</v>
      </c>
      <c r="FY1" s="89" t="s">
        <v>277</v>
      </c>
      <c r="FZ1" s="89" t="s">
        <v>330</v>
      </c>
      <c r="GA1" s="89" t="s">
        <v>331</v>
      </c>
      <c r="GB1" s="89" t="s">
        <v>309</v>
      </c>
      <c r="GC1" s="89" t="s">
        <v>281</v>
      </c>
      <c r="GD1" s="89" t="s">
        <v>448</v>
      </c>
      <c r="GE1" s="89" t="s">
        <v>404</v>
      </c>
      <c r="GF1" s="89" t="s">
        <v>471</v>
      </c>
      <c r="GG1" s="89" t="s">
        <v>472</v>
      </c>
      <c r="GH1" s="89" t="s">
        <v>473</v>
      </c>
      <c r="GI1" s="89" t="s">
        <v>355</v>
      </c>
      <c r="GJ1" s="89" t="s">
        <v>474</v>
      </c>
      <c r="GK1" s="89" t="s">
        <v>284</v>
      </c>
      <c r="GL1" s="89" t="s">
        <v>405</v>
      </c>
      <c r="GM1" s="89" t="s">
        <v>356</v>
      </c>
      <c r="GN1" s="89" t="s">
        <v>299</v>
      </c>
      <c r="GO1" s="89" t="s">
        <v>475</v>
      </c>
      <c r="GP1" s="89" t="s">
        <v>476</v>
      </c>
      <c r="GQ1" s="89" t="s">
        <v>477</v>
      </c>
      <c r="GR1" s="93" t="s">
        <v>478</v>
      </c>
      <c r="GS1" s="93" t="s">
        <v>479</v>
      </c>
      <c r="GT1" s="93" t="s">
        <v>480</v>
      </c>
      <c r="GU1" s="93" t="s">
        <v>481</v>
      </c>
      <c r="GV1" s="93" t="s">
        <v>482</v>
      </c>
      <c r="GW1" s="93" t="s">
        <v>483</v>
      </c>
      <c r="GX1" s="93" t="s">
        <v>484</v>
      </c>
    </row>
    <row r="2" spans="1:225">
      <c r="A2" s="1" t="s">
        <v>0</v>
      </c>
      <c r="B2" s="2" t="s">
        <v>1</v>
      </c>
      <c r="C2" s="88" t="s">
        <v>464</v>
      </c>
      <c r="D2" s="3"/>
      <c r="E2" s="4"/>
      <c r="F2" s="4"/>
      <c r="G2" s="3"/>
      <c r="H2" s="3"/>
      <c r="I2" s="5"/>
      <c r="J2" s="5"/>
      <c r="K2" s="5"/>
      <c r="L2" s="5"/>
      <c r="M2" s="5"/>
      <c r="N2" s="5"/>
      <c r="O2" s="99"/>
      <c r="P2" s="99"/>
      <c r="Q2" s="10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105"/>
      <c r="CD2" s="7"/>
      <c r="CE2" s="7"/>
      <c r="CF2" s="7"/>
      <c r="CG2" s="7"/>
      <c r="CH2" s="7"/>
      <c r="CI2" s="7"/>
      <c r="CJ2" s="7"/>
      <c r="CK2" s="7"/>
      <c r="CL2" s="7"/>
      <c r="CM2" s="7"/>
      <c r="CN2" s="105"/>
      <c r="CO2" s="7"/>
      <c r="CP2" s="7"/>
      <c r="CQ2" s="7"/>
      <c r="CR2" s="7"/>
      <c r="CS2" s="7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5"/>
      <c r="FJ2" s="105"/>
      <c r="FK2" s="105"/>
      <c r="FL2" s="105"/>
      <c r="FM2" s="105"/>
      <c r="FN2" s="105"/>
      <c r="FO2" s="105"/>
      <c r="FP2" s="105"/>
      <c r="FQ2" s="105"/>
      <c r="FR2" s="105"/>
      <c r="FS2" s="105"/>
      <c r="FT2" s="105"/>
      <c r="FU2" s="105"/>
      <c r="FV2" s="105"/>
      <c r="FW2" s="105"/>
      <c r="FX2" s="105"/>
      <c r="FY2" s="105"/>
      <c r="FZ2" s="105"/>
      <c r="GA2" s="105"/>
      <c r="GB2" s="105"/>
      <c r="GC2" s="105"/>
      <c r="GD2" s="105"/>
      <c r="GE2" s="105"/>
      <c r="GF2" s="105"/>
      <c r="GG2" s="105"/>
      <c r="GH2" s="105"/>
      <c r="GI2" s="105"/>
      <c r="GJ2" s="105"/>
      <c r="GK2" s="105"/>
      <c r="GL2" s="105"/>
      <c r="GM2" s="105"/>
      <c r="GN2" s="105"/>
      <c r="GO2" s="105"/>
      <c r="GP2" s="105"/>
      <c r="GQ2" s="105"/>
      <c r="GR2" s="105"/>
      <c r="GS2" s="105"/>
      <c r="GT2" s="112"/>
      <c r="GU2" s="105"/>
      <c r="GV2" s="105"/>
      <c r="GW2" s="105"/>
      <c r="GX2" s="105"/>
      <c r="GY2" s="105"/>
      <c r="GZ2" s="105"/>
      <c r="HA2" s="105"/>
      <c r="HB2" s="105"/>
      <c r="HC2" s="105"/>
      <c r="HD2" s="105"/>
      <c r="HE2" s="105"/>
      <c r="HF2" s="105"/>
      <c r="HG2" s="105"/>
      <c r="HH2" s="105"/>
      <c r="HI2" s="105"/>
      <c r="HJ2" s="105"/>
      <c r="HK2" s="105"/>
      <c r="HL2" s="105"/>
      <c r="HM2" s="105"/>
      <c r="HN2" s="105"/>
      <c r="HO2" s="105"/>
      <c r="HP2" s="105"/>
      <c r="HQ2" s="105"/>
    </row>
    <row r="3" spans="1:225">
      <c r="A3" s="7">
        <f>1</f>
        <v>1</v>
      </c>
      <c r="B3" s="6" t="s">
        <v>2</v>
      </c>
      <c r="C3" s="6" t="s">
        <v>3</v>
      </c>
      <c r="D3" s="7"/>
      <c r="E3" s="106"/>
      <c r="F3" s="106"/>
      <c r="G3" s="102"/>
      <c r="H3" s="102"/>
      <c r="I3" s="102"/>
      <c r="J3" s="102"/>
      <c r="K3" s="102"/>
      <c r="L3" s="102"/>
      <c r="M3" s="107"/>
      <c r="N3" s="108"/>
      <c r="O3" s="99"/>
      <c r="P3" s="99"/>
      <c r="Q3" s="99" t="s">
        <v>499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>
        <v>2011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101">
        <v>40817</v>
      </c>
      <c r="CO3" s="7"/>
      <c r="CP3" s="7"/>
      <c r="CQ3" s="7"/>
      <c r="CR3" s="7"/>
      <c r="CS3" s="7"/>
      <c r="CT3" s="100"/>
      <c r="CU3" s="100"/>
      <c r="CV3" s="100"/>
      <c r="CW3" s="7">
        <v>2011</v>
      </c>
      <c r="CX3" s="100"/>
      <c r="CY3" s="100" t="s">
        <v>523</v>
      </c>
      <c r="CZ3" s="7">
        <v>2007</v>
      </c>
      <c r="DA3" s="7">
        <v>1993</v>
      </c>
      <c r="DB3" s="7"/>
      <c r="DC3" s="7">
        <v>2014</v>
      </c>
      <c r="DD3" s="7"/>
      <c r="DE3" s="7"/>
      <c r="DF3" s="7"/>
      <c r="DG3" s="100"/>
      <c r="DH3" s="7"/>
      <c r="DI3" s="7"/>
      <c r="DJ3" s="7"/>
      <c r="DK3" s="7"/>
      <c r="DL3" s="100"/>
      <c r="DM3" s="100"/>
      <c r="DN3" s="100"/>
      <c r="DO3" s="7">
        <v>2000</v>
      </c>
      <c r="DP3" s="100"/>
      <c r="DQ3" s="100"/>
      <c r="DR3" s="100"/>
      <c r="DS3" s="7">
        <v>2005</v>
      </c>
      <c r="DT3" s="7">
        <v>2008</v>
      </c>
      <c r="DU3" s="100"/>
      <c r="DV3" s="7">
        <v>2007</v>
      </c>
      <c r="DW3" s="7"/>
      <c r="DX3" s="7"/>
      <c r="DY3" s="7"/>
      <c r="DZ3" s="7"/>
      <c r="EA3" s="7"/>
      <c r="EB3" s="7"/>
      <c r="EC3" s="7"/>
      <c r="ED3" s="7">
        <v>2011</v>
      </c>
      <c r="EE3" s="7"/>
      <c r="EF3" s="7"/>
      <c r="EG3" s="7">
        <v>2003</v>
      </c>
      <c r="EH3" s="7">
        <v>2001</v>
      </c>
      <c r="EI3" s="100"/>
      <c r="EJ3" s="7"/>
      <c r="EK3" s="100"/>
      <c r="EL3" s="7">
        <v>2015</v>
      </c>
      <c r="EM3" s="7"/>
      <c r="EN3" s="100"/>
      <c r="EO3" s="100"/>
      <c r="EP3" s="100"/>
      <c r="EQ3" s="7"/>
      <c r="ER3" s="7"/>
      <c r="ES3" s="7"/>
      <c r="ET3" s="7"/>
      <c r="EU3" s="7">
        <v>2001</v>
      </c>
      <c r="EV3" s="7"/>
      <c r="EW3" s="100"/>
      <c r="EX3" s="100"/>
      <c r="EY3" s="7">
        <v>2007</v>
      </c>
      <c r="EZ3" s="7">
        <v>2010</v>
      </c>
      <c r="FA3" s="7">
        <v>2011</v>
      </c>
      <c r="FB3" s="7"/>
      <c r="FC3" s="7"/>
      <c r="FD3" s="7"/>
      <c r="FE3" s="7"/>
      <c r="FF3" s="7">
        <v>1971</v>
      </c>
      <c r="FG3" s="7">
        <v>1992</v>
      </c>
      <c r="FH3" s="7"/>
      <c r="FI3" s="7"/>
      <c r="FJ3" s="7"/>
      <c r="FK3" s="7"/>
      <c r="FL3" s="7">
        <v>1965</v>
      </c>
      <c r="FM3" s="7"/>
      <c r="FN3" s="7"/>
      <c r="FO3" s="7">
        <v>2012</v>
      </c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U3" s="7"/>
      <c r="GV3" s="7"/>
      <c r="GW3" s="7"/>
      <c r="GX3" s="7"/>
    </row>
    <row r="4" spans="1:225">
      <c r="A4" s="7">
        <f>A3+1</f>
        <v>2</v>
      </c>
      <c r="B4" s="6" t="s">
        <v>4</v>
      </c>
      <c r="C4" s="6" t="s">
        <v>3</v>
      </c>
      <c r="D4" s="7"/>
      <c r="E4" s="106"/>
      <c r="F4" s="102"/>
      <c r="G4" s="102"/>
      <c r="H4" s="102"/>
      <c r="I4" s="102"/>
      <c r="J4" s="102"/>
      <c r="K4" s="102"/>
      <c r="L4" s="102"/>
      <c r="M4" s="107"/>
      <c r="N4" s="108"/>
      <c r="O4" s="99"/>
      <c r="P4" s="99"/>
      <c r="Q4" s="9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 t="s">
        <v>503</v>
      </c>
      <c r="CD4" s="7"/>
      <c r="CE4" s="7"/>
      <c r="CF4" s="7"/>
      <c r="CG4" s="7"/>
      <c r="CH4" s="7"/>
      <c r="CI4" s="7"/>
      <c r="CJ4" s="7"/>
      <c r="CK4" s="7"/>
      <c r="CL4" s="7"/>
      <c r="CM4" s="7"/>
      <c r="CN4" s="7" t="s">
        <v>449</v>
      </c>
      <c r="CO4" s="7"/>
      <c r="CP4" s="7"/>
      <c r="CQ4" s="7"/>
      <c r="CR4" s="7"/>
      <c r="CS4" s="7"/>
      <c r="CT4" s="7" t="s">
        <v>485</v>
      </c>
      <c r="CU4" s="7" t="s">
        <v>509</v>
      </c>
      <c r="CV4" s="7" t="s">
        <v>530</v>
      </c>
      <c r="CW4" s="7" t="s">
        <v>509</v>
      </c>
      <c r="CX4" s="7" t="s">
        <v>505</v>
      </c>
      <c r="CY4" s="100"/>
      <c r="CZ4" s="7" t="s">
        <v>503</v>
      </c>
      <c r="DA4" s="7" t="s">
        <v>512</v>
      </c>
      <c r="DB4" s="7"/>
      <c r="DC4" s="7" t="s">
        <v>542</v>
      </c>
      <c r="DD4" s="7"/>
      <c r="DE4" s="7"/>
      <c r="DF4" s="7"/>
      <c r="DG4" s="7" t="s">
        <v>485</v>
      </c>
      <c r="DH4" s="7"/>
      <c r="DI4" s="7"/>
      <c r="DJ4" s="7"/>
      <c r="DK4" s="7"/>
      <c r="DL4" s="7" t="s">
        <v>550</v>
      </c>
      <c r="DM4" s="7" t="s">
        <v>542</v>
      </c>
      <c r="DN4" s="7" t="s">
        <v>550</v>
      </c>
      <c r="DO4" s="7" t="s">
        <v>552</v>
      </c>
      <c r="DP4" s="7" t="s">
        <v>558</v>
      </c>
      <c r="DQ4" s="100"/>
      <c r="DR4" s="7" t="s">
        <v>570</v>
      </c>
      <c r="DS4" s="7" t="s">
        <v>552</v>
      </c>
      <c r="DT4" s="7" t="s">
        <v>584</v>
      </c>
      <c r="DU4" s="100"/>
      <c r="DV4" s="7" t="s">
        <v>583</v>
      </c>
      <c r="DW4" s="7"/>
      <c r="DX4" s="7"/>
      <c r="DY4" s="7"/>
      <c r="DZ4" s="7"/>
      <c r="EA4" s="7"/>
      <c r="EB4" s="7"/>
      <c r="EC4" s="7"/>
      <c r="ED4" s="7" t="s">
        <v>509</v>
      </c>
      <c r="EE4" s="7"/>
      <c r="EF4" s="7"/>
      <c r="EG4" s="7" t="s">
        <v>596</v>
      </c>
      <c r="EH4" s="7" t="s">
        <v>552</v>
      </c>
      <c r="EI4" s="7" t="s">
        <v>485</v>
      </c>
      <c r="EJ4" s="7"/>
      <c r="EK4" s="7" t="s">
        <v>583</v>
      </c>
      <c r="EL4" s="7" t="s">
        <v>550</v>
      </c>
      <c r="EM4" s="7"/>
      <c r="EN4" s="7" t="s">
        <v>530</v>
      </c>
      <c r="EO4" s="7" t="s">
        <v>570</v>
      </c>
      <c r="EP4" s="7" t="s">
        <v>550</v>
      </c>
      <c r="EQ4" s="7"/>
      <c r="ER4" s="7"/>
      <c r="ES4" s="7"/>
      <c r="ET4" s="7"/>
      <c r="EU4" s="7" t="s">
        <v>489</v>
      </c>
      <c r="EV4" s="7"/>
      <c r="EW4" s="7" t="s">
        <v>616</v>
      </c>
      <c r="EX4" s="100"/>
      <c r="EY4" s="7" t="s">
        <v>622</v>
      </c>
      <c r="EZ4" s="7" t="s">
        <v>509</v>
      </c>
      <c r="FA4" s="7" t="s">
        <v>509</v>
      </c>
      <c r="FB4" s="7"/>
      <c r="FC4" s="7"/>
      <c r="FD4" s="7"/>
      <c r="FE4" s="7"/>
      <c r="FF4" s="7" t="s">
        <v>628</v>
      </c>
      <c r="FG4" s="7" t="s">
        <v>622</v>
      </c>
      <c r="FH4" s="7"/>
      <c r="FI4" s="7"/>
      <c r="FJ4" s="7"/>
      <c r="FK4" s="7"/>
      <c r="FL4" s="100"/>
      <c r="FM4" s="7"/>
      <c r="FN4" s="7"/>
      <c r="FO4" s="100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U4" s="7"/>
      <c r="GV4" s="7"/>
      <c r="GW4" s="7"/>
      <c r="GX4" s="7"/>
    </row>
    <row r="5" spans="1:225">
      <c r="A5" s="7">
        <f t="shared" ref="A5:A12" si="0">A4+1</f>
        <v>3</v>
      </c>
      <c r="B5" s="6" t="s">
        <v>5</v>
      </c>
      <c r="C5" s="6" t="s">
        <v>3</v>
      </c>
      <c r="D5" s="7"/>
      <c r="E5" s="106"/>
      <c r="F5" s="102"/>
      <c r="G5" s="102"/>
      <c r="H5" s="102"/>
      <c r="I5" s="102"/>
      <c r="J5" s="102"/>
      <c r="K5" s="102"/>
      <c r="L5" s="102"/>
      <c r="M5" s="107"/>
      <c r="N5" s="108"/>
      <c r="O5" s="99"/>
      <c r="P5" s="99"/>
      <c r="Q5" s="9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100"/>
      <c r="CD5" s="7"/>
      <c r="CE5" s="7"/>
      <c r="CF5" s="7"/>
      <c r="CG5" s="7"/>
      <c r="CH5" s="7"/>
      <c r="CI5" s="7"/>
      <c r="CJ5" s="7"/>
      <c r="CK5" s="7"/>
      <c r="CL5" s="7"/>
      <c r="CM5" s="7"/>
      <c r="CN5" s="102" t="s">
        <v>450</v>
      </c>
      <c r="CO5" s="7"/>
      <c r="CP5" s="7"/>
      <c r="CQ5" s="7"/>
      <c r="CR5" s="7"/>
      <c r="CS5" s="7"/>
      <c r="CT5" s="7" t="s">
        <v>450</v>
      </c>
      <c r="CU5" s="7" t="s">
        <v>450</v>
      </c>
      <c r="CV5" s="7" t="s">
        <v>450</v>
      </c>
      <c r="CW5" s="7" t="s">
        <v>450</v>
      </c>
      <c r="CX5" s="7" t="s">
        <v>450</v>
      </c>
      <c r="CY5" s="100"/>
      <c r="CZ5" s="7" t="s">
        <v>450</v>
      </c>
      <c r="DA5" s="7" t="s">
        <v>488</v>
      </c>
      <c r="DB5" s="7"/>
      <c r="DC5" s="7" t="s">
        <v>450</v>
      </c>
      <c r="DD5" s="7"/>
      <c r="DE5" s="7"/>
      <c r="DF5" s="7"/>
      <c r="DG5" s="7" t="s">
        <v>450</v>
      </c>
      <c r="DH5" s="7"/>
      <c r="DI5" s="7"/>
      <c r="DJ5" s="7"/>
      <c r="DK5" s="7"/>
      <c r="DL5" s="7" t="s">
        <v>450</v>
      </c>
      <c r="DM5" s="7" t="s">
        <v>450</v>
      </c>
      <c r="DN5" s="7" t="s">
        <v>450</v>
      </c>
      <c r="DO5" s="7" t="s">
        <v>450</v>
      </c>
      <c r="DP5" s="7" t="s">
        <v>450</v>
      </c>
      <c r="DQ5" s="7" t="s">
        <v>450</v>
      </c>
      <c r="DR5" s="7" t="s">
        <v>571</v>
      </c>
      <c r="DS5" s="7" t="s">
        <v>488</v>
      </c>
      <c r="DT5" s="7" t="s">
        <v>488</v>
      </c>
      <c r="DU5" s="100"/>
      <c r="DV5" s="7" t="s">
        <v>450</v>
      </c>
      <c r="DW5" s="7"/>
      <c r="DX5" s="7"/>
      <c r="DY5" s="7"/>
      <c r="DZ5" s="7"/>
      <c r="EA5" s="7"/>
      <c r="EB5" s="7"/>
      <c r="EC5" s="7"/>
      <c r="ED5" s="7" t="s">
        <v>450</v>
      </c>
      <c r="EE5" s="7"/>
      <c r="EF5" s="7"/>
      <c r="EG5" s="7" t="s">
        <v>488</v>
      </c>
      <c r="EH5" s="7" t="s">
        <v>450</v>
      </c>
      <c r="EI5" s="7" t="s">
        <v>450</v>
      </c>
      <c r="EJ5" s="7"/>
      <c r="EK5" s="7" t="s">
        <v>450</v>
      </c>
      <c r="EL5" s="7" t="s">
        <v>450</v>
      </c>
      <c r="EM5" s="7"/>
      <c r="EN5" s="100"/>
      <c r="EO5" s="7" t="s">
        <v>450</v>
      </c>
      <c r="EP5" s="7" t="s">
        <v>450</v>
      </c>
      <c r="EQ5" s="7"/>
      <c r="ER5" s="7"/>
      <c r="ES5" s="7"/>
      <c r="ET5" s="7"/>
      <c r="EU5" s="7" t="s">
        <v>450</v>
      </c>
      <c r="EV5" s="7"/>
      <c r="EW5" s="7" t="s">
        <v>450</v>
      </c>
      <c r="EX5" s="7" t="s">
        <v>450</v>
      </c>
      <c r="EY5" s="7" t="s">
        <v>488</v>
      </c>
      <c r="EZ5" s="7" t="s">
        <v>450</v>
      </c>
      <c r="FA5" s="7" t="s">
        <v>488</v>
      </c>
      <c r="FB5" s="7"/>
      <c r="FC5" s="7"/>
      <c r="FD5" s="7"/>
      <c r="FE5" s="7"/>
      <c r="FF5" s="7" t="s">
        <v>488</v>
      </c>
      <c r="FG5" s="7" t="s">
        <v>488</v>
      </c>
      <c r="FH5" s="7"/>
      <c r="FI5" s="7"/>
      <c r="FJ5" s="7"/>
      <c r="FK5" s="7"/>
      <c r="FL5" s="7" t="s">
        <v>488</v>
      </c>
      <c r="FM5" s="7"/>
      <c r="FN5" s="7"/>
      <c r="FO5" s="100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U5" s="7"/>
      <c r="GV5" s="7"/>
      <c r="GW5" s="7"/>
      <c r="GX5" s="7"/>
    </row>
    <row r="6" spans="1:225">
      <c r="A6" s="7">
        <f t="shared" si="0"/>
        <v>4</v>
      </c>
      <c r="B6" s="6" t="s">
        <v>6</v>
      </c>
      <c r="C6" s="6" t="s">
        <v>3</v>
      </c>
      <c r="D6" s="7"/>
      <c r="E6" s="106"/>
      <c r="F6" s="102"/>
      <c r="G6" s="102"/>
      <c r="H6" s="102"/>
      <c r="I6" s="102"/>
      <c r="J6" s="102"/>
      <c r="K6" s="102"/>
      <c r="L6" s="102"/>
      <c r="M6" s="102"/>
      <c r="N6" s="108"/>
      <c r="O6" s="99"/>
      <c r="P6" s="99"/>
      <c r="Q6" s="98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100"/>
      <c r="CD6" s="7"/>
      <c r="CE6" s="7"/>
      <c r="CF6" s="7"/>
      <c r="CG6" s="7"/>
      <c r="CH6" s="7"/>
      <c r="CI6" s="7"/>
      <c r="CJ6" s="7"/>
      <c r="CK6" s="7"/>
      <c r="CL6" s="7"/>
      <c r="CM6" s="7"/>
      <c r="CN6" s="103"/>
      <c r="CO6" s="7"/>
      <c r="CP6" s="7"/>
      <c r="CQ6" s="7"/>
      <c r="CR6" s="7"/>
      <c r="CS6" s="7"/>
      <c r="CT6" s="7" t="str">
        <f>CT4</f>
        <v>6 to 8</v>
      </c>
      <c r="CU6" s="7" t="str">
        <f>CU4</f>
        <v>3 to 5</v>
      </c>
      <c r="CV6" s="7" t="s">
        <v>530</v>
      </c>
      <c r="CW6" s="100"/>
      <c r="CX6" s="7" t="str">
        <f>CX4</f>
        <v>12 to 14</v>
      </c>
      <c r="CY6" s="100"/>
      <c r="CZ6" s="7">
        <v>5</v>
      </c>
      <c r="DA6" s="100"/>
      <c r="DB6" s="7"/>
      <c r="DC6" s="100"/>
      <c r="DD6" s="7"/>
      <c r="DE6" s="7"/>
      <c r="DF6" s="7"/>
      <c r="DG6" s="100"/>
      <c r="DH6" s="7"/>
      <c r="DI6" s="7"/>
      <c r="DJ6" s="7"/>
      <c r="DK6" s="7"/>
      <c r="DL6" s="100"/>
      <c r="DM6" s="100"/>
      <c r="DN6" s="100"/>
      <c r="DO6" s="7" t="s">
        <v>485</v>
      </c>
      <c r="DP6" s="7" t="str">
        <f>DP4</f>
        <v>2 to 5</v>
      </c>
      <c r="DQ6" s="100"/>
      <c r="DR6" s="100"/>
      <c r="DS6" s="100"/>
      <c r="DT6" s="100"/>
      <c r="DU6" s="100"/>
      <c r="DV6" s="100"/>
      <c r="DW6" s="7"/>
      <c r="DX6" s="7"/>
      <c r="DY6" s="7"/>
      <c r="DZ6" s="7"/>
      <c r="EA6" s="7"/>
      <c r="EB6" s="7"/>
      <c r="EC6" s="7"/>
      <c r="ED6" s="100"/>
      <c r="EE6" s="7"/>
      <c r="EF6" s="7"/>
      <c r="EG6" s="100"/>
      <c r="EH6" s="100"/>
      <c r="EI6" s="100"/>
      <c r="EJ6" s="7"/>
      <c r="EK6" s="100"/>
      <c r="EL6" s="100"/>
      <c r="EM6" s="7"/>
      <c r="EN6" s="100"/>
      <c r="EO6" s="100"/>
      <c r="EP6" s="100"/>
      <c r="EQ6" s="7"/>
      <c r="ER6" s="7"/>
      <c r="ES6" s="7"/>
      <c r="ET6" s="7"/>
      <c r="EU6" s="100"/>
      <c r="EV6" s="7"/>
      <c r="EW6" s="100"/>
      <c r="EX6" s="7">
        <v>2</v>
      </c>
      <c r="EY6" s="100"/>
      <c r="EZ6" s="100"/>
      <c r="FA6" s="100"/>
      <c r="FB6" s="7"/>
      <c r="FC6" s="7"/>
      <c r="FD6" s="7"/>
      <c r="FE6" s="7"/>
      <c r="FF6" s="100"/>
      <c r="FG6" s="100"/>
      <c r="FH6" s="7"/>
      <c r="FI6" s="7"/>
      <c r="FJ6" s="7"/>
      <c r="FK6" s="7"/>
      <c r="FL6" s="100"/>
      <c r="FM6" s="7"/>
      <c r="FN6" s="7"/>
      <c r="FO6" s="100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U6" s="7"/>
      <c r="GV6" s="7"/>
      <c r="GW6" s="7"/>
      <c r="GX6" s="7"/>
    </row>
    <row r="7" spans="1:225">
      <c r="A7" s="7">
        <f t="shared" si="0"/>
        <v>5</v>
      </c>
      <c r="B7" s="6" t="s">
        <v>7</v>
      </c>
      <c r="C7" s="6" t="s">
        <v>3</v>
      </c>
      <c r="D7" s="7"/>
      <c r="E7" s="106"/>
      <c r="F7" s="102"/>
      <c r="G7" s="102"/>
      <c r="H7" s="102"/>
      <c r="I7" s="102"/>
      <c r="J7" s="102"/>
      <c r="K7" s="102"/>
      <c r="L7" s="102"/>
      <c r="M7" s="102"/>
      <c r="N7" s="108"/>
      <c r="O7" s="99"/>
      <c r="P7" s="99"/>
      <c r="Q7" s="99">
        <v>5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100"/>
      <c r="CD7" s="7"/>
      <c r="CE7" s="7"/>
      <c r="CF7" s="7"/>
      <c r="CG7" s="7"/>
      <c r="CH7" s="7"/>
      <c r="CI7" s="7"/>
      <c r="CJ7" s="7"/>
      <c r="CK7" s="7"/>
      <c r="CL7" s="7"/>
      <c r="CM7" s="7"/>
      <c r="CN7" s="103"/>
      <c r="CO7" s="7"/>
      <c r="CP7" s="7"/>
      <c r="CQ7" s="7"/>
      <c r="CR7" s="7"/>
      <c r="CS7" s="7"/>
      <c r="CT7" s="7">
        <v>3</v>
      </c>
      <c r="CU7" s="100"/>
      <c r="CV7" s="100"/>
      <c r="CW7" s="100"/>
      <c r="CX7" s="7">
        <v>4</v>
      </c>
      <c r="CY7" s="100"/>
      <c r="CZ7" s="100"/>
      <c r="DA7" s="7">
        <v>7</v>
      </c>
      <c r="DB7" s="7"/>
      <c r="DC7" s="100"/>
      <c r="DD7" s="7"/>
      <c r="DE7" s="7"/>
      <c r="DF7" s="7"/>
      <c r="DG7" s="100"/>
      <c r="DH7" s="7"/>
      <c r="DI7" s="7"/>
      <c r="DJ7" s="7"/>
      <c r="DK7" s="7"/>
      <c r="DL7" s="100"/>
      <c r="DM7" s="7">
        <v>7</v>
      </c>
      <c r="DN7" s="100"/>
      <c r="DO7" s="7">
        <v>2</v>
      </c>
      <c r="DP7" s="7">
        <v>2</v>
      </c>
      <c r="DQ7" s="7">
        <v>6</v>
      </c>
      <c r="DR7" s="7">
        <v>3</v>
      </c>
      <c r="DS7" s="7">
        <v>2</v>
      </c>
      <c r="DT7" s="100"/>
      <c r="DU7" s="100"/>
      <c r="DV7" s="7">
        <v>14</v>
      </c>
      <c r="DW7" s="7"/>
      <c r="DX7" s="7"/>
      <c r="DY7" s="7"/>
      <c r="DZ7" s="7"/>
      <c r="EA7" s="7"/>
      <c r="EB7" s="7"/>
      <c r="EC7" s="7"/>
      <c r="ED7" s="7">
        <v>3</v>
      </c>
      <c r="EE7" s="7"/>
      <c r="EF7" s="7"/>
      <c r="EG7" s="100"/>
      <c r="EH7" s="7">
        <v>2</v>
      </c>
      <c r="EI7" s="100"/>
      <c r="EJ7" s="7"/>
      <c r="EK7" s="7">
        <v>4</v>
      </c>
      <c r="EL7" s="100"/>
      <c r="EM7" s="7"/>
      <c r="EN7" s="100"/>
      <c r="EO7" s="100"/>
      <c r="EP7" s="100"/>
      <c r="EQ7" s="7"/>
      <c r="ER7" s="7"/>
      <c r="ES7" s="7"/>
      <c r="ET7" s="7"/>
      <c r="EU7" s="100"/>
      <c r="EV7" s="7"/>
      <c r="EW7" s="100"/>
      <c r="EX7" s="7">
        <v>2</v>
      </c>
      <c r="EY7" s="100"/>
      <c r="EZ7" s="100"/>
      <c r="FA7" s="7">
        <v>4</v>
      </c>
      <c r="FB7" s="7"/>
      <c r="FC7" s="7"/>
      <c r="FD7" s="7"/>
      <c r="FE7" s="7"/>
      <c r="FF7" s="100"/>
      <c r="FG7" s="100"/>
      <c r="FH7" s="7"/>
      <c r="FI7" s="7"/>
      <c r="FJ7" s="7"/>
      <c r="FK7" s="7"/>
      <c r="FL7" s="100"/>
      <c r="FM7" s="7"/>
      <c r="FN7" s="7"/>
      <c r="FO7" s="100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U7" s="7"/>
      <c r="GV7" s="7"/>
      <c r="GW7" s="7"/>
      <c r="GX7" s="7"/>
    </row>
    <row r="8" spans="1:225">
      <c r="A8" s="7">
        <f t="shared" si="0"/>
        <v>6</v>
      </c>
      <c r="B8" s="6" t="s">
        <v>8</v>
      </c>
      <c r="C8" s="6" t="s">
        <v>9</v>
      </c>
      <c r="D8" s="7"/>
      <c r="E8" s="106"/>
      <c r="F8" s="102"/>
      <c r="G8" s="102"/>
      <c r="H8" s="106"/>
      <c r="I8" s="108"/>
      <c r="J8" s="102"/>
      <c r="K8" s="108"/>
      <c r="L8" s="108"/>
      <c r="M8" s="102"/>
      <c r="N8" s="108"/>
      <c r="O8" s="99"/>
      <c r="P8" s="99"/>
      <c r="Q8" s="98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100"/>
      <c r="CD8" s="7"/>
      <c r="CE8" s="7"/>
      <c r="CF8" s="7"/>
      <c r="CG8" s="7"/>
      <c r="CH8" s="7"/>
      <c r="CI8" s="7"/>
      <c r="CJ8" s="7"/>
      <c r="CK8" s="7"/>
      <c r="CL8" s="7"/>
      <c r="CM8" s="7"/>
      <c r="CN8" s="103"/>
      <c r="CO8" s="7"/>
      <c r="CP8" s="7"/>
      <c r="CQ8" s="7"/>
      <c r="CR8" s="7"/>
      <c r="CS8" s="7"/>
      <c r="CT8" s="100"/>
      <c r="CU8" s="100"/>
      <c r="CV8" s="100"/>
      <c r="CW8" s="100"/>
      <c r="CX8" s="100"/>
      <c r="CY8" s="100"/>
      <c r="CZ8" s="100"/>
      <c r="DA8" s="100"/>
      <c r="DB8" s="7"/>
      <c r="DC8" s="100"/>
      <c r="DD8" s="7"/>
      <c r="DE8" s="7"/>
      <c r="DF8" s="7"/>
      <c r="DG8" s="100"/>
      <c r="DH8" s="7"/>
      <c r="DI8" s="7"/>
      <c r="DJ8" s="7"/>
      <c r="DK8" s="7"/>
      <c r="DL8" s="100"/>
      <c r="DM8" s="100"/>
      <c r="DN8" s="100"/>
      <c r="DO8" s="100"/>
      <c r="DP8" s="100"/>
      <c r="DQ8" s="100"/>
      <c r="DR8" s="100"/>
      <c r="DS8" s="100"/>
      <c r="DT8" s="100"/>
      <c r="DU8" s="100"/>
      <c r="DV8" s="100"/>
      <c r="DW8" s="7"/>
      <c r="DX8" s="7"/>
      <c r="DY8" s="7"/>
      <c r="DZ8" s="7"/>
      <c r="EA8" s="7"/>
      <c r="EB8" s="7"/>
      <c r="EC8" s="7"/>
      <c r="ED8" s="100"/>
      <c r="EE8" s="7"/>
      <c r="EF8" s="7"/>
      <c r="EG8" s="100"/>
      <c r="EH8" s="100"/>
      <c r="EI8" s="100"/>
      <c r="EJ8" s="7"/>
      <c r="EK8" s="100"/>
      <c r="EL8" s="100"/>
      <c r="EM8" s="7"/>
      <c r="EN8" s="100"/>
      <c r="EO8" s="100"/>
      <c r="EP8" s="100"/>
      <c r="EQ8" s="7"/>
      <c r="ER8" s="7"/>
      <c r="ES8" s="7"/>
      <c r="ET8" s="7"/>
      <c r="EU8" s="100"/>
      <c r="EV8" s="7"/>
      <c r="EW8" s="100"/>
      <c r="EX8" s="100"/>
      <c r="EY8" s="100"/>
      <c r="EZ8" s="100"/>
      <c r="FA8" s="100"/>
      <c r="FB8" s="7"/>
      <c r="FC8" s="7"/>
      <c r="FD8" s="7"/>
      <c r="FE8" s="7"/>
      <c r="FF8" s="100"/>
      <c r="FG8" s="7">
        <v>6</v>
      </c>
      <c r="FH8" s="7"/>
      <c r="FI8" s="7"/>
      <c r="FJ8" s="7"/>
      <c r="FK8" s="7"/>
      <c r="FL8" s="100"/>
      <c r="FM8" s="7"/>
      <c r="FN8" s="7"/>
      <c r="FO8" s="100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U8" s="7"/>
      <c r="GV8" s="7"/>
      <c r="GW8" s="7"/>
      <c r="GX8" s="7"/>
    </row>
    <row r="9" spans="1:225">
      <c r="A9" s="7">
        <f t="shared" si="0"/>
        <v>7</v>
      </c>
      <c r="B9" s="6" t="s">
        <v>10</v>
      </c>
      <c r="C9" s="6" t="s">
        <v>9</v>
      </c>
      <c r="D9" s="7"/>
      <c r="E9" s="102"/>
      <c r="F9" s="102"/>
      <c r="G9" s="102"/>
      <c r="H9" s="107"/>
      <c r="I9" s="108"/>
      <c r="J9" s="108"/>
      <c r="K9" s="108"/>
      <c r="L9" s="108"/>
      <c r="M9" s="108"/>
      <c r="N9" s="108"/>
      <c r="O9" s="99"/>
      <c r="P9" s="99"/>
      <c r="Q9" s="98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100"/>
      <c r="CD9" s="7"/>
      <c r="CE9" s="7"/>
      <c r="CF9" s="7"/>
      <c r="CG9" s="7"/>
      <c r="CH9" s="7"/>
      <c r="CI9" s="7"/>
      <c r="CJ9" s="7"/>
      <c r="CK9" s="7"/>
      <c r="CL9" s="7"/>
      <c r="CM9" s="7"/>
      <c r="CN9" s="103"/>
      <c r="CO9" s="7"/>
      <c r="CP9" s="7"/>
      <c r="CQ9" s="7"/>
      <c r="CR9" s="7"/>
      <c r="CS9" s="7"/>
      <c r="CT9" s="100"/>
      <c r="CU9" s="100"/>
      <c r="CV9" s="100"/>
      <c r="CW9" s="100"/>
      <c r="CX9" s="100"/>
      <c r="CY9" s="100"/>
      <c r="CZ9" s="100"/>
      <c r="DA9" s="100"/>
      <c r="DB9" s="7"/>
      <c r="DC9" s="100"/>
      <c r="DD9" s="7"/>
      <c r="DE9" s="7"/>
      <c r="DF9" s="7"/>
      <c r="DG9" s="100"/>
      <c r="DH9" s="7"/>
      <c r="DI9" s="7"/>
      <c r="DJ9" s="7"/>
      <c r="DK9" s="7"/>
      <c r="DL9" s="100"/>
      <c r="DM9" s="100"/>
      <c r="DN9" s="100"/>
      <c r="DO9" s="100"/>
      <c r="DP9" s="100"/>
      <c r="DQ9" s="100"/>
      <c r="DR9" s="100"/>
      <c r="DS9" s="100"/>
      <c r="DT9" s="100"/>
      <c r="DU9" s="100"/>
      <c r="DV9" s="100"/>
      <c r="DW9" s="7"/>
      <c r="DX9" s="7"/>
      <c r="DY9" s="7"/>
      <c r="DZ9" s="7"/>
      <c r="EA9" s="7"/>
      <c r="EB9" s="7"/>
      <c r="EC9" s="7"/>
      <c r="ED9" s="100"/>
      <c r="EE9" s="7"/>
      <c r="EF9" s="7"/>
      <c r="EG9" s="100"/>
      <c r="EH9" s="100"/>
      <c r="EI9" s="100"/>
      <c r="EJ9" s="7"/>
      <c r="EK9" s="100"/>
      <c r="EL9" s="100"/>
      <c r="EM9" s="7"/>
      <c r="EN9" s="100"/>
      <c r="EO9" s="100"/>
      <c r="EP9" s="100"/>
      <c r="EQ9" s="7"/>
      <c r="ER9" s="7"/>
      <c r="ES9" s="7"/>
      <c r="ET9" s="7"/>
      <c r="EU9" s="100"/>
      <c r="EV9" s="7"/>
      <c r="EW9" s="100"/>
      <c r="EX9" s="100"/>
      <c r="EY9" s="100"/>
      <c r="EZ9" s="100"/>
      <c r="FA9" s="100"/>
      <c r="FB9" s="7"/>
      <c r="FC9" s="7"/>
      <c r="FD9" s="7"/>
      <c r="FE9" s="7"/>
      <c r="FF9" s="100"/>
      <c r="FG9" s="100"/>
      <c r="FH9" s="7"/>
      <c r="FI9" s="7"/>
      <c r="FJ9" s="7"/>
      <c r="FK9" s="7"/>
      <c r="FL9" s="100"/>
      <c r="FM9" s="7"/>
      <c r="FN9" s="7"/>
      <c r="FO9" s="100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U9" s="7"/>
      <c r="GV9" s="7"/>
      <c r="GW9" s="7"/>
      <c r="GX9" s="7"/>
    </row>
    <row r="10" spans="1:225">
      <c r="A10" s="7">
        <f t="shared" si="0"/>
        <v>8</v>
      </c>
      <c r="B10" s="6" t="s">
        <v>11</v>
      </c>
      <c r="C10" s="6" t="s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00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100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100"/>
      <c r="CO10" s="7"/>
      <c r="CP10" s="7"/>
      <c r="CQ10" s="7"/>
      <c r="CR10" s="7"/>
      <c r="CS10" s="7"/>
      <c r="CT10" s="100"/>
      <c r="CU10" s="100"/>
      <c r="CV10" s="100"/>
      <c r="CW10" s="100"/>
      <c r="CX10" s="100"/>
      <c r="CY10" s="100"/>
      <c r="CZ10" s="100"/>
      <c r="DA10" s="100"/>
      <c r="DB10" s="7"/>
      <c r="DC10" s="100"/>
      <c r="DD10" s="7"/>
      <c r="DE10" s="109"/>
      <c r="DF10" s="7"/>
      <c r="DG10" s="100"/>
      <c r="DH10" s="7"/>
      <c r="DI10" s="7"/>
      <c r="DJ10" s="7"/>
      <c r="DK10" s="7"/>
      <c r="DL10" s="100"/>
      <c r="DM10" s="100"/>
      <c r="DN10" s="100"/>
      <c r="DO10" s="100"/>
      <c r="DP10" s="100"/>
      <c r="DQ10" s="100"/>
      <c r="DR10" s="100"/>
      <c r="DS10" s="100"/>
      <c r="DT10" s="100"/>
      <c r="DU10" s="7" t="s">
        <v>589</v>
      </c>
      <c r="DV10" s="100"/>
      <c r="DW10" s="7"/>
      <c r="DX10" s="7"/>
      <c r="DY10" s="7"/>
      <c r="DZ10" s="7"/>
      <c r="EA10" s="7"/>
      <c r="EB10" s="7"/>
      <c r="EC10" s="7"/>
      <c r="ED10" s="100"/>
      <c r="EE10" s="7"/>
      <c r="EF10" s="7"/>
      <c r="EG10" s="100"/>
      <c r="EH10" s="100"/>
      <c r="EI10" s="100"/>
      <c r="EJ10" s="7"/>
      <c r="EK10" s="100"/>
      <c r="EL10" s="100"/>
      <c r="EM10" s="7"/>
      <c r="EN10" s="100"/>
      <c r="EO10" s="100"/>
      <c r="EP10" s="100"/>
      <c r="EQ10" s="7"/>
      <c r="ER10" s="7"/>
      <c r="ES10" s="7"/>
      <c r="ET10" s="7"/>
      <c r="EU10" s="100"/>
      <c r="EV10" s="7"/>
      <c r="EW10" s="100"/>
      <c r="EX10" s="100"/>
      <c r="EY10" s="100"/>
      <c r="EZ10" s="100"/>
      <c r="FA10" s="100"/>
      <c r="FB10" s="7"/>
      <c r="FC10" s="7"/>
      <c r="FD10" s="7"/>
      <c r="FE10" s="7"/>
      <c r="FF10" s="100"/>
      <c r="FG10" s="100"/>
      <c r="FH10" s="7"/>
      <c r="FI10" s="7"/>
      <c r="FJ10" s="7"/>
      <c r="FK10" s="7"/>
      <c r="FL10" s="7" t="s">
        <v>632</v>
      </c>
      <c r="FM10" s="7"/>
      <c r="FN10" s="7"/>
      <c r="FO10" s="100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U10" s="7"/>
      <c r="GV10" s="7"/>
      <c r="GW10" s="7"/>
      <c r="GX10" s="7"/>
    </row>
    <row r="11" spans="1:225">
      <c r="A11" s="7">
        <f t="shared" si="0"/>
        <v>9</v>
      </c>
      <c r="B11" s="6" t="s">
        <v>12</v>
      </c>
      <c r="C11" s="6" t="s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110"/>
      <c r="O11" s="7"/>
      <c r="P11" s="7"/>
      <c r="Q11" s="100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100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100"/>
      <c r="CO11" s="7"/>
      <c r="CP11" s="7"/>
      <c r="CQ11" s="7"/>
      <c r="CR11" s="7"/>
      <c r="CS11" s="7"/>
      <c r="CT11" s="100"/>
      <c r="CU11" s="100"/>
      <c r="CV11" s="100"/>
      <c r="CW11" s="100"/>
      <c r="CX11" s="100"/>
      <c r="CY11" s="100"/>
      <c r="CZ11" s="100"/>
      <c r="DA11" s="100"/>
      <c r="DB11" s="7"/>
      <c r="DC11" s="100"/>
      <c r="DD11" s="7"/>
      <c r="DE11" s="7"/>
      <c r="DF11" s="7"/>
      <c r="DG11" s="100"/>
      <c r="DH11" s="7"/>
      <c r="DI11" s="7"/>
      <c r="DJ11" s="7"/>
      <c r="DK11" s="7"/>
      <c r="DL11" s="100"/>
      <c r="DM11" s="100"/>
      <c r="DN11" s="100"/>
      <c r="DO11" s="100"/>
      <c r="DP11" s="100"/>
      <c r="DQ11" s="104">
        <v>0.08</v>
      </c>
      <c r="DR11" s="100"/>
      <c r="DS11" s="100"/>
      <c r="DT11" s="100"/>
      <c r="DU11" s="100"/>
      <c r="DV11" s="100"/>
      <c r="DW11" s="7"/>
      <c r="DX11" s="7"/>
      <c r="DY11" s="7"/>
      <c r="DZ11" s="7"/>
      <c r="EA11" s="7"/>
      <c r="EB11" s="7"/>
      <c r="EC11" s="7"/>
      <c r="ED11" s="100"/>
      <c r="EE11" s="7"/>
      <c r="EF11" s="7"/>
      <c r="EG11" s="100"/>
      <c r="EH11" s="100"/>
      <c r="EI11" s="100"/>
      <c r="EJ11" s="7"/>
      <c r="EK11" s="100"/>
      <c r="EL11" s="100"/>
      <c r="EM11" s="7"/>
      <c r="EN11" s="100"/>
      <c r="EO11" s="100"/>
      <c r="EP11" s="100"/>
      <c r="EQ11" s="7"/>
      <c r="ER11" s="7"/>
      <c r="ES11" s="7"/>
      <c r="ET11" s="7"/>
      <c r="EU11" s="100"/>
      <c r="EV11" s="7"/>
      <c r="EW11" s="100"/>
      <c r="EX11" s="100"/>
      <c r="EY11" s="100"/>
      <c r="EZ11" s="100"/>
      <c r="FA11" s="100"/>
      <c r="FB11" s="7"/>
      <c r="FC11" s="7"/>
      <c r="FD11" s="7"/>
      <c r="FE11" s="7"/>
      <c r="FF11" s="100"/>
      <c r="FG11" s="100"/>
      <c r="FH11" s="7"/>
      <c r="FI11" s="7"/>
      <c r="FJ11" s="7"/>
      <c r="FK11" s="7"/>
      <c r="FL11" s="100"/>
      <c r="FM11" s="7"/>
      <c r="FN11" s="7"/>
      <c r="FO11" s="100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U11" s="7"/>
      <c r="GV11" s="7"/>
      <c r="GW11" s="7"/>
      <c r="GX11" s="7"/>
    </row>
    <row r="12" spans="1:225">
      <c r="A12" s="7">
        <f t="shared" si="0"/>
        <v>10</v>
      </c>
      <c r="B12" s="6" t="s">
        <v>13</v>
      </c>
      <c r="C12" s="6" t="s">
        <v>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111"/>
      <c r="O12" s="7"/>
      <c r="P12" s="7"/>
      <c r="Q12" s="100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100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100"/>
      <c r="CO12" s="7"/>
      <c r="CP12" s="7"/>
      <c r="CQ12" s="7"/>
      <c r="CR12" s="7"/>
      <c r="CS12" s="7"/>
      <c r="CT12" s="100"/>
      <c r="CU12" s="100"/>
      <c r="CV12" s="100"/>
      <c r="CW12" s="100"/>
      <c r="CX12" s="100"/>
      <c r="CY12" s="100"/>
      <c r="CZ12" s="100"/>
      <c r="DA12" s="100"/>
      <c r="DB12" s="7"/>
      <c r="DC12" s="100"/>
      <c r="DD12" s="7"/>
      <c r="DE12" s="7"/>
      <c r="DF12" s="7"/>
      <c r="DG12" s="100"/>
      <c r="DH12" s="7"/>
      <c r="DI12" s="7"/>
      <c r="DJ12" s="7"/>
      <c r="DK12" s="7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7"/>
      <c r="DX12" s="7"/>
      <c r="DY12" s="7"/>
      <c r="DZ12" s="7"/>
      <c r="EA12" s="7"/>
      <c r="EB12" s="7"/>
      <c r="EC12" s="7"/>
      <c r="ED12" s="100"/>
      <c r="EE12" s="7"/>
      <c r="EF12" s="7"/>
      <c r="EG12" s="100"/>
      <c r="EH12" s="100"/>
      <c r="EI12" s="100"/>
      <c r="EJ12" s="7"/>
      <c r="EK12" s="100"/>
      <c r="EL12" s="100"/>
      <c r="EM12" s="7"/>
      <c r="EN12" s="100"/>
      <c r="EO12" s="100"/>
      <c r="EP12" s="100"/>
      <c r="EQ12" s="7"/>
      <c r="ER12" s="7"/>
      <c r="ES12" s="7"/>
      <c r="ET12" s="7"/>
      <c r="EU12" s="100"/>
      <c r="EV12" s="7"/>
      <c r="EW12" s="100"/>
      <c r="EX12" s="100"/>
      <c r="EY12" s="100"/>
      <c r="EZ12" s="100"/>
      <c r="FA12" s="100"/>
      <c r="FB12" s="7"/>
      <c r="FC12" s="7"/>
      <c r="FD12" s="7"/>
      <c r="FE12" s="7"/>
      <c r="FF12" s="100"/>
      <c r="FG12" s="100"/>
      <c r="FH12" s="7"/>
      <c r="FI12" s="7"/>
      <c r="FJ12" s="7"/>
      <c r="FK12" s="7"/>
      <c r="FL12" s="100"/>
      <c r="FM12" s="7"/>
      <c r="FN12" s="7"/>
      <c r="FO12" s="100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U12" s="7"/>
      <c r="GV12" s="7"/>
      <c r="GW12" s="7"/>
      <c r="GX12" s="7"/>
    </row>
    <row r="13" spans="1:225">
      <c r="A13" s="2"/>
      <c r="B13" s="2" t="s">
        <v>14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11"/>
      <c r="O13" s="7"/>
      <c r="P13" s="7"/>
      <c r="Q13" s="100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100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100"/>
      <c r="CO13" s="7"/>
      <c r="CP13" s="7"/>
      <c r="CQ13" s="7"/>
      <c r="CR13" s="7"/>
      <c r="CS13" s="7"/>
      <c r="CT13" s="100"/>
      <c r="CU13" s="100"/>
      <c r="CV13" s="100"/>
      <c r="CW13" s="100"/>
      <c r="CX13" s="100"/>
      <c r="CY13" s="100"/>
      <c r="CZ13" s="100"/>
      <c r="DA13" s="100"/>
      <c r="DB13" s="7"/>
      <c r="DC13" s="100"/>
      <c r="DD13" s="7"/>
      <c r="DE13" s="7"/>
      <c r="DF13" s="7"/>
      <c r="DG13" s="100"/>
      <c r="DH13" s="7"/>
      <c r="DI13" s="7"/>
      <c r="DJ13" s="7"/>
      <c r="DK13" s="7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7"/>
      <c r="DX13" s="7"/>
      <c r="DY13" s="7"/>
      <c r="DZ13" s="7"/>
      <c r="EA13" s="7"/>
      <c r="EB13" s="7"/>
      <c r="EC13" s="7"/>
      <c r="ED13" s="100"/>
      <c r="EE13" s="7"/>
      <c r="EF13" s="7"/>
      <c r="EG13" s="100"/>
      <c r="EH13" s="100"/>
      <c r="EI13" s="100"/>
      <c r="EJ13" s="7"/>
      <c r="EK13" s="100"/>
      <c r="EL13" s="100"/>
      <c r="EM13" s="7"/>
      <c r="EN13" s="100"/>
      <c r="EO13" s="100"/>
      <c r="EP13" s="100"/>
      <c r="EQ13" s="7"/>
      <c r="ER13" s="7"/>
      <c r="ES13" s="7"/>
      <c r="ET13" s="7"/>
      <c r="EU13" s="100"/>
      <c r="EV13" s="7"/>
      <c r="EW13" s="100"/>
      <c r="EX13" s="100"/>
      <c r="EY13" s="100"/>
      <c r="EZ13" s="100"/>
      <c r="FA13" s="100"/>
      <c r="FB13" s="7"/>
      <c r="FC13" s="7"/>
      <c r="FD13" s="7"/>
      <c r="FE13" s="7"/>
      <c r="FF13" s="100"/>
      <c r="FG13" s="100"/>
      <c r="FH13" s="7"/>
      <c r="FI13" s="7"/>
      <c r="FJ13" s="7"/>
      <c r="FK13" s="7"/>
      <c r="FL13" s="100"/>
      <c r="FM13" s="7"/>
      <c r="FN13" s="7"/>
      <c r="FO13" s="100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U13" s="7"/>
      <c r="GV13" s="7"/>
      <c r="GW13" s="7"/>
      <c r="GX13" s="7"/>
    </row>
    <row r="14" spans="1:225">
      <c r="A14" s="7">
        <f>A12+1</f>
        <v>11</v>
      </c>
      <c r="B14" s="13" t="s">
        <v>15</v>
      </c>
      <c r="C14" s="6" t="s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111"/>
      <c r="O14" s="7"/>
      <c r="P14" s="7"/>
      <c r="Q14" s="100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>
        <v>5</v>
      </c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 t="str">
        <f>CN4</f>
        <v xml:space="preserve">8 to 10 </v>
      </c>
      <c r="CO14" s="7"/>
      <c r="CP14" s="7"/>
      <c r="CQ14" s="7"/>
      <c r="CR14" s="7"/>
      <c r="CS14" s="7"/>
      <c r="CT14" s="7" t="str">
        <f>CT4</f>
        <v>6 to 8</v>
      </c>
      <c r="CU14" s="7" t="str">
        <f>CU6</f>
        <v>3 to 5</v>
      </c>
      <c r="CV14" s="7" t="s">
        <v>530</v>
      </c>
      <c r="CW14" s="7" t="s">
        <v>509</v>
      </c>
      <c r="CX14" s="7" t="str">
        <f>CX6</f>
        <v>12 to 14</v>
      </c>
      <c r="CY14" s="100"/>
      <c r="CZ14" s="7" t="s">
        <v>503</v>
      </c>
      <c r="DA14" s="7" t="s">
        <v>512</v>
      </c>
      <c r="DB14" s="7"/>
      <c r="DC14" s="7" t="s">
        <v>530</v>
      </c>
      <c r="DD14" s="7"/>
      <c r="DE14" s="7"/>
      <c r="DF14" s="7"/>
      <c r="DG14" s="7" t="s">
        <v>485</v>
      </c>
      <c r="DH14" s="7"/>
      <c r="DI14" s="7"/>
      <c r="DJ14" s="7"/>
      <c r="DK14" s="7"/>
      <c r="DL14" s="7" t="s">
        <v>554</v>
      </c>
      <c r="DM14" s="7" t="s">
        <v>543</v>
      </c>
      <c r="DN14" s="7" t="s">
        <v>550</v>
      </c>
      <c r="DO14" s="7" t="s">
        <v>552</v>
      </c>
      <c r="DP14" s="7" t="s">
        <v>559</v>
      </c>
      <c r="DQ14" s="7" t="s">
        <v>543</v>
      </c>
      <c r="DR14" s="7" t="s">
        <v>570</v>
      </c>
      <c r="DS14" s="7" t="s">
        <v>552</v>
      </c>
      <c r="DT14" s="7" t="s">
        <v>584</v>
      </c>
      <c r="DU14" s="100"/>
      <c r="DV14" s="7" t="s">
        <v>583</v>
      </c>
      <c r="DW14" s="7"/>
      <c r="DX14" s="7"/>
      <c r="DY14" s="7"/>
      <c r="DZ14" s="7"/>
      <c r="EA14" s="7"/>
      <c r="EB14" s="7"/>
      <c r="EC14" s="7"/>
      <c r="ED14" s="7" t="s">
        <v>509</v>
      </c>
      <c r="EE14" s="7"/>
      <c r="EF14" s="7"/>
      <c r="EG14" s="7" t="s">
        <v>596</v>
      </c>
      <c r="EH14" s="7" t="s">
        <v>552</v>
      </c>
      <c r="EI14" s="7" t="s">
        <v>485</v>
      </c>
      <c r="EJ14" s="7"/>
      <c r="EK14" s="7" t="s">
        <v>583</v>
      </c>
      <c r="EL14" s="7" t="s">
        <v>550</v>
      </c>
      <c r="EM14" s="7"/>
      <c r="EN14" s="7" t="s">
        <v>550</v>
      </c>
      <c r="EO14" s="7" t="s">
        <v>570</v>
      </c>
      <c r="EP14" s="7" t="s">
        <v>550</v>
      </c>
      <c r="EQ14" s="7"/>
      <c r="ER14" s="7"/>
      <c r="ES14" s="7"/>
      <c r="ET14" s="7"/>
      <c r="EU14" s="7" t="s">
        <v>489</v>
      </c>
      <c r="EV14" s="7"/>
      <c r="EW14" s="7" t="s">
        <v>616</v>
      </c>
      <c r="EX14" s="100"/>
      <c r="EY14" s="7" t="s">
        <v>622</v>
      </c>
      <c r="EZ14" s="7" t="s">
        <v>619</v>
      </c>
      <c r="FA14" s="7" t="s">
        <v>509</v>
      </c>
      <c r="FB14" s="7"/>
      <c r="FC14" s="7"/>
      <c r="FD14" s="7"/>
      <c r="FE14" s="7"/>
      <c r="FF14" s="7" t="s">
        <v>629</v>
      </c>
      <c r="FG14" s="7" t="s">
        <v>622</v>
      </c>
      <c r="FH14" s="7"/>
      <c r="FI14" s="7"/>
      <c r="FJ14" s="7"/>
      <c r="FK14" s="7"/>
      <c r="FL14" s="100"/>
      <c r="FM14" s="7"/>
      <c r="FN14" s="7"/>
      <c r="FO14" s="100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U14" s="7"/>
      <c r="GV14" s="7"/>
      <c r="GW14" s="7"/>
      <c r="GX14" s="7"/>
    </row>
    <row r="15" spans="1:225">
      <c r="A15" s="7">
        <f>A14+1</f>
        <v>12</v>
      </c>
      <c r="B15" s="6" t="s">
        <v>16</v>
      </c>
      <c r="C15" s="6" t="s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11"/>
      <c r="O15" s="7"/>
      <c r="P15" s="7"/>
      <c r="Q15" s="100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100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 t="str">
        <f>CN14</f>
        <v xml:space="preserve">8 to 10 </v>
      </c>
      <c r="CO15" s="7"/>
      <c r="CP15" s="7"/>
      <c r="CQ15" s="7"/>
      <c r="CR15" s="7"/>
      <c r="CS15" s="7"/>
      <c r="CT15" s="7" t="str">
        <f>CT14</f>
        <v>6 to 8</v>
      </c>
      <c r="CU15" s="7" t="str">
        <f>CU14</f>
        <v>3 to 5</v>
      </c>
      <c r="CV15" s="7" t="str">
        <f>CV14</f>
        <v>2 to 4</v>
      </c>
      <c r="CW15" s="7" t="str">
        <f>CW14</f>
        <v>3 to 5</v>
      </c>
      <c r="CX15" s="7" t="str">
        <f>CX14</f>
        <v>12 to 14</v>
      </c>
      <c r="CY15" s="100"/>
      <c r="CZ15" s="7" t="str">
        <f>CZ14</f>
        <v>4 to 5</v>
      </c>
      <c r="DA15" s="7" t="str">
        <f>DA14</f>
        <v>21 to 23</v>
      </c>
      <c r="DB15" s="7"/>
      <c r="DC15" s="7" t="s">
        <v>530</v>
      </c>
      <c r="DD15" s="7"/>
      <c r="DE15" s="7"/>
      <c r="DF15" s="7"/>
      <c r="DG15" s="7" t="str">
        <f>DG14</f>
        <v>6 to 8</v>
      </c>
      <c r="DH15" s="7"/>
      <c r="DI15" s="7"/>
      <c r="DJ15" s="7"/>
      <c r="DK15" s="7"/>
      <c r="DL15" s="7" t="str">
        <f t="shared" ref="DL15:DR15" si="1">DL14</f>
        <v>15 to 17</v>
      </c>
      <c r="DM15" s="7" t="str">
        <f t="shared" si="1"/>
        <v>18 to 20</v>
      </c>
      <c r="DN15" s="7" t="str">
        <f t="shared" si="1"/>
        <v>4 to 6</v>
      </c>
      <c r="DO15" s="7" t="str">
        <f t="shared" si="1"/>
        <v>14 to 16</v>
      </c>
      <c r="DP15" s="7" t="str">
        <f t="shared" si="1"/>
        <v>32 to 34</v>
      </c>
      <c r="DQ15" s="7" t="str">
        <f t="shared" si="1"/>
        <v>18 to 20</v>
      </c>
      <c r="DR15" s="7" t="str">
        <f t="shared" si="1"/>
        <v>28 to 30</v>
      </c>
      <c r="DS15" s="7" t="str">
        <f>DS14</f>
        <v>14 to 16</v>
      </c>
      <c r="DT15" s="7" t="str">
        <f>DT14</f>
        <v>6 to 9</v>
      </c>
      <c r="DU15" s="100"/>
      <c r="DV15" s="7" t="str">
        <f>DV14</f>
        <v>7 to 9</v>
      </c>
      <c r="DW15" s="7"/>
      <c r="DX15" s="7"/>
      <c r="DY15" s="7"/>
      <c r="DZ15" s="7"/>
      <c r="EA15" s="7"/>
      <c r="EB15" s="7"/>
      <c r="EC15" s="7"/>
      <c r="ED15" s="7" t="str">
        <f>ED14</f>
        <v>3 to 5</v>
      </c>
      <c r="EE15" s="7"/>
      <c r="EF15" s="7"/>
      <c r="EG15" s="7" t="str">
        <f>EG14</f>
        <v>11 to 13</v>
      </c>
      <c r="EH15" s="7" t="str">
        <f>EH14</f>
        <v>14 to 16</v>
      </c>
      <c r="EI15" s="7" t="str">
        <f>EI14</f>
        <v>6 to 8</v>
      </c>
      <c r="EJ15" s="7"/>
      <c r="EK15" s="7" t="str">
        <f>EK14</f>
        <v>7 to 9</v>
      </c>
      <c r="EL15" s="7" t="str">
        <f>EL14</f>
        <v>4 to 6</v>
      </c>
      <c r="EM15" s="7"/>
      <c r="EN15" s="7" t="str">
        <f>EN14</f>
        <v>4 to 6</v>
      </c>
      <c r="EO15" s="7" t="str">
        <f>EO14</f>
        <v>28 to 30</v>
      </c>
      <c r="EP15" s="7" t="str">
        <f>EP14</f>
        <v>4 to 6</v>
      </c>
      <c r="EQ15" s="7"/>
      <c r="ER15" s="7"/>
      <c r="ES15" s="7"/>
      <c r="ET15" s="7"/>
      <c r="EU15" s="7" t="str">
        <f>EU14</f>
        <v>5 to 7</v>
      </c>
      <c r="EV15" s="7"/>
      <c r="EW15" s="7" t="str">
        <f>EW14</f>
        <v>8 to 10</v>
      </c>
      <c r="EX15" s="100"/>
      <c r="EY15" s="7" t="str">
        <f>EY14</f>
        <v>10 to 12</v>
      </c>
      <c r="EZ15" s="7" t="str">
        <f>EZ14</f>
        <v>03 to 5</v>
      </c>
      <c r="FA15" s="7" t="str">
        <f>FA14</f>
        <v>3 to 5</v>
      </c>
      <c r="FB15" s="7"/>
      <c r="FC15" s="7"/>
      <c r="FD15" s="7"/>
      <c r="FE15" s="7"/>
      <c r="FF15" s="7" t="str">
        <f>FF14</f>
        <v>42 to 4</v>
      </c>
      <c r="FG15" s="7" t="str">
        <f>FG14</f>
        <v>10 to 12</v>
      </c>
      <c r="FH15" s="7"/>
      <c r="FI15" s="7"/>
      <c r="FJ15" s="7"/>
      <c r="FK15" s="7"/>
      <c r="FL15" s="100"/>
      <c r="FM15" s="7"/>
      <c r="FN15" s="7"/>
      <c r="FO15" s="100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U15" s="7"/>
      <c r="GV15" s="7"/>
      <c r="GW15" s="7"/>
      <c r="GX15" s="7"/>
    </row>
    <row r="16" spans="1:225">
      <c r="A16" s="7">
        <f t="shared" ref="A16:A31" si="2">A15+1</f>
        <v>13</v>
      </c>
      <c r="B16" s="6" t="s">
        <v>17</v>
      </c>
      <c r="C16" s="6" t="s">
        <v>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110"/>
      <c r="O16" s="7"/>
      <c r="P16" s="7"/>
      <c r="Q16" s="100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100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100"/>
      <c r="CO16" s="7"/>
      <c r="CP16" s="7"/>
      <c r="CQ16" s="7"/>
      <c r="CR16" s="7"/>
      <c r="CS16" s="7"/>
      <c r="CT16" s="7" t="s">
        <v>493</v>
      </c>
      <c r="CU16" s="7" t="s">
        <v>510</v>
      </c>
      <c r="CV16" s="7" t="s">
        <v>526</v>
      </c>
      <c r="CW16" s="7" t="s">
        <v>515</v>
      </c>
      <c r="CX16" s="100"/>
      <c r="CY16" s="100"/>
      <c r="CZ16" s="7" t="s">
        <v>522</v>
      </c>
      <c r="DA16" s="100"/>
      <c r="DB16" s="7"/>
      <c r="DC16" s="7" t="s">
        <v>530</v>
      </c>
      <c r="DD16" s="7"/>
      <c r="DE16" s="7"/>
      <c r="DF16" s="7"/>
      <c r="DG16" s="100"/>
      <c r="DH16" s="7"/>
      <c r="DI16" s="7"/>
      <c r="DJ16" s="7"/>
      <c r="DK16" s="7"/>
      <c r="DL16" s="100"/>
      <c r="DM16" s="100"/>
      <c r="DN16" s="100"/>
      <c r="DO16" s="100"/>
      <c r="DP16" s="100"/>
      <c r="DQ16" s="7" t="s">
        <v>574</v>
      </c>
      <c r="DR16" s="100"/>
      <c r="DS16" s="100"/>
      <c r="DT16" s="7" t="s">
        <v>487</v>
      </c>
      <c r="DU16" s="100"/>
      <c r="DV16" s="100"/>
      <c r="DW16" s="7"/>
      <c r="DX16" s="7"/>
      <c r="DY16" s="7"/>
      <c r="DZ16" s="7"/>
      <c r="EA16" s="7"/>
      <c r="EB16" s="7"/>
      <c r="EC16" s="7"/>
      <c r="ED16" s="100"/>
      <c r="EE16" s="7"/>
      <c r="EF16" s="7"/>
      <c r="EG16" s="7" t="s">
        <v>451</v>
      </c>
      <c r="EH16" s="7" t="s">
        <v>487</v>
      </c>
      <c r="EI16" s="100"/>
      <c r="EJ16" s="7"/>
      <c r="EK16" s="100"/>
      <c r="EL16" s="7" t="s">
        <v>451</v>
      </c>
      <c r="EM16" s="7"/>
      <c r="EN16" s="100"/>
      <c r="EO16" s="100"/>
      <c r="EP16" s="100"/>
      <c r="EQ16" s="7"/>
      <c r="ER16" s="7"/>
      <c r="ES16" s="7"/>
      <c r="ET16" s="7"/>
      <c r="EU16" s="100"/>
      <c r="EV16" s="7"/>
      <c r="EW16" s="100"/>
      <c r="EX16" s="100"/>
      <c r="EY16" s="100"/>
      <c r="EZ16" s="100"/>
      <c r="FA16" s="7" t="s">
        <v>487</v>
      </c>
      <c r="FB16" s="7"/>
      <c r="FC16" s="7"/>
      <c r="FD16" s="7"/>
      <c r="FE16" s="7"/>
      <c r="FF16" s="7" t="s">
        <v>487</v>
      </c>
      <c r="FG16" s="100"/>
      <c r="FH16" s="7"/>
      <c r="FI16" s="7"/>
      <c r="FJ16" s="7"/>
      <c r="FK16" s="7"/>
      <c r="FL16" s="100"/>
      <c r="FM16" s="7"/>
      <c r="FN16" s="7"/>
      <c r="FO16" s="100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U16" s="7"/>
      <c r="GV16" s="7"/>
      <c r="GW16" s="7"/>
      <c r="GX16" s="7"/>
    </row>
    <row r="17" spans="1:206">
      <c r="A17" s="7">
        <f t="shared" si="2"/>
        <v>14</v>
      </c>
      <c r="B17" s="6" t="s">
        <v>18</v>
      </c>
      <c r="C17" s="6" t="s">
        <v>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111"/>
      <c r="O17" s="7"/>
      <c r="P17" s="7"/>
      <c r="Q17" s="100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100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 t="s">
        <v>451</v>
      </c>
      <c r="CO17" s="7"/>
      <c r="CP17" s="7"/>
      <c r="CQ17" s="7"/>
      <c r="CR17" s="7"/>
      <c r="CS17" s="7"/>
      <c r="CT17" s="100"/>
      <c r="CU17" s="100"/>
      <c r="CV17" s="7" t="s">
        <v>527</v>
      </c>
      <c r="CW17" s="7" t="s">
        <v>451</v>
      </c>
      <c r="CX17" s="100"/>
      <c r="CY17" s="100"/>
      <c r="CZ17" s="7" t="s">
        <v>451</v>
      </c>
      <c r="DA17" s="7" t="s">
        <v>451</v>
      </c>
      <c r="DB17" s="7"/>
      <c r="DC17" s="7" t="s">
        <v>451</v>
      </c>
      <c r="DD17" s="7"/>
      <c r="DE17" s="7"/>
      <c r="DF17" s="7"/>
      <c r="DG17" s="7" t="s">
        <v>451</v>
      </c>
      <c r="DH17" s="7"/>
      <c r="DI17" s="7"/>
      <c r="DJ17" s="7"/>
      <c r="DK17" s="7"/>
      <c r="DL17" s="7" t="s">
        <v>451</v>
      </c>
      <c r="DM17" s="7" t="s">
        <v>451</v>
      </c>
      <c r="DN17" s="7" t="s">
        <v>451</v>
      </c>
      <c r="DO17" s="7" t="s">
        <v>451</v>
      </c>
      <c r="DP17" s="7" t="s">
        <v>560</v>
      </c>
      <c r="DQ17" s="7" t="s">
        <v>578</v>
      </c>
      <c r="DR17" s="7" t="s">
        <v>451</v>
      </c>
      <c r="DS17" s="7" t="s">
        <v>451</v>
      </c>
      <c r="DT17" s="100"/>
      <c r="DU17" s="100"/>
      <c r="DV17" s="100"/>
      <c r="DW17" s="7"/>
      <c r="DX17" s="7"/>
      <c r="DY17" s="7"/>
      <c r="DZ17" s="7"/>
      <c r="EA17" s="7"/>
      <c r="EB17" s="7"/>
      <c r="EC17" s="7"/>
      <c r="ED17" s="100"/>
      <c r="EE17" s="7"/>
      <c r="EF17" s="7"/>
      <c r="EG17" s="7" t="s">
        <v>452</v>
      </c>
      <c r="EH17" s="7" t="s">
        <v>599</v>
      </c>
      <c r="EI17" s="7" t="s">
        <v>599</v>
      </c>
      <c r="EJ17" s="7"/>
      <c r="EK17" s="7" t="s">
        <v>451</v>
      </c>
      <c r="EL17" s="7" t="s">
        <v>452</v>
      </c>
      <c r="EM17" s="7"/>
      <c r="EN17" s="7" t="s">
        <v>451</v>
      </c>
      <c r="EO17" s="7" t="s">
        <v>451</v>
      </c>
      <c r="EP17" s="7" t="s">
        <v>451</v>
      </c>
      <c r="EQ17" s="7"/>
      <c r="ER17" s="7"/>
      <c r="ES17" s="7"/>
      <c r="ET17" s="7"/>
      <c r="EU17" s="7" t="s">
        <v>451</v>
      </c>
      <c r="EV17" s="7"/>
      <c r="EW17" s="100"/>
      <c r="EX17" s="100"/>
      <c r="EY17" s="100"/>
      <c r="EZ17" s="100"/>
      <c r="FA17" s="100"/>
      <c r="FB17" s="7"/>
      <c r="FC17" s="7"/>
      <c r="FD17" s="7"/>
      <c r="FE17" s="7"/>
      <c r="FF17" s="100"/>
      <c r="FG17" s="100"/>
      <c r="FH17" s="7"/>
      <c r="FI17" s="7"/>
      <c r="FJ17" s="7"/>
      <c r="FK17" s="7"/>
      <c r="FL17" s="100"/>
      <c r="FM17" s="7"/>
      <c r="FN17" s="7"/>
      <c r="FO17" s="100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U17" s="7"/>
      <c r="GV17" s="7"/>
      <c r="GW17" s="7"/>
      <c r="GX17" s="7"/>
    </row>
    <row r="18" spans="1:206">
      <c r="A18" s="7">
        <f t="shared" si="2"/>
        <v>15</v>
      </c>
      <c r="B18" s="6" t="s">
        <v>19</v>
      </c>
      <c r="C18" s="6" t="s">
        <v>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111"/>
      <c r="O18" s="7"/>
      <c r="P18" s="7"/>
      <c r="Q18" s="100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100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 t="s">
        <v>452</v>
      </c>
      <c r="CO18" s="7"/>
      <c r="CP18" s="7"/>
      <c r="CQ18" s="7"/>
      <c r="CR18" s="7"/>
      <c r="CS18" s="7"/>
      <c r="CT18" s="100"/>
      <c r="CU18" s="100"/>
      <c r="CV18" s="7" t="s">
        <v>452</v>
      </c>
      <c r="CW18" s="7" t="s">
        <v>452</v>
      </c>
      <c r="CX18" s="100"/>
      <c r="CY18" s="100"/>
      <c r="CZ18" s="7" t="s">
        <v>452</v>
      </c>
      <c r="DA18" s="7" t="s">
        <v>452</v>
      </c>
      <c r="DB18" s="7"/>
      <c r="DC18" s="7" t="s">
        <v>452</v>
      </c>
      <c r="DD18" s="7"/>
      <c r="DE18" s="7"/>
      <c r="DF18" s="7"/>
      <c r="DG18" s="7" t="s">
        <v>452</v>
      </c>
      <c r="DH18" s="7"/>
      <c r="DI18" s="7"/>
      <c r="DJ18" s="7"/>
      <c r="DK18" s="7"/>
      <c r="DL18" s="7" t="s">
        <v>452</v>
      </c>
      <c r="DM18" s="7" t="s">
        <v>452</v>
      </c>
      <c r="DN18" s="7" t="s">
        <v>452</v>
      </c>
      <c r="DO18" s="7" t="s">
        <v>452</v>
      </c>
      <c r="DP18" s="7" t="s">
        <v>452</v>
      </c>
      <c r="DQ18" s="7" t="s">
        <v>452</v>
      </c>
      <c r="DR18" s="7" t="s">
        <v>452</v>
      </c>
      <c r="DS18" s="7" t="s">
        <v>452</v>
      </c>
      <c r="DT18" s="100"/>
      <c r="DU18" s="100"/>
      <c r="DV18" s="100"/>
      <c r="DW18" s="7"/>
      <c r="DX18" s="7"/>
      <c r="DY18" s="7"/>
      <c r="DZ18" s="7"/>
      <c r="EA18" s="7"/>
      <c r="EB18" s="7"/>
      <c r="EC18" s="7"/>
      <c r="ED18" s="100"/>
      <c r="EE18" s="7"/>
      <c r="EF18" s="7"/>
      <c r="EG18" s="7" t="s">
        <v>452</v>
      </c>
      <c r="EH18" s="7" t="s">
        <v>452</v>
      </c>
      <c r="EI18" s="7" t="s">
        <v>452</v>
      </c>
      <c r="EJ18" s="7"/>
      <c r="EK18" s="7" t="s">
        <v>452</v>
      </c>
      <c r="EL18" s="7" t="s">
        <v>452</v>
      </c>
      <c r="EM18" s="7"/>
      <c r="EN18" s="7" t="s">
        <v>452</v>
      </c>
      <c r="EO18" s="7" t="s">
        <v>452</v>
      </c>
      <c r="EP18" s="7" t="s">
        <v>452</v>
      </c>
      <c r="EQ18" s="7"/>
      <c r="ER18" s="7"/>
      <c r="ES18" s="7"/>
      <c r="ET18" s="7"/>
      <c r="EU18" s="7" t="s">
        <v>452</v>
      </c>
      <c r="EV18" s="7"/>
      <c r="EW18" s="100"/>
      <c r="EX18" s="100"/>
      <c r="EY18" s="100"/>
      <c r="EZ18" s="7" t="s">
        <v>620</v>
      </c>
      <c r="FA18" s="100"/>
      <c r="FB18" s="7"/>
      <c r="FC18" s="7"/>
      <c r="FD18" s="7"/>
      <c r="FE18" s="7"/>
      <c r="FF18" s="7" t="s">
        <v>630</v>
      </c>
      <c r="FG18" s="100"/>
      <c r="FH18" s="7"/>
      <c r="FI18" s="7"/>
      <c r="FJ18" s="7"/>
      <c r="FK18" s="7"/>
      <c r="FL18" s="100"/>
      <c r="FM18" s="7"/>
      <c r="FN18" s="7"/>
      <c r="FO18" s="100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U18" s="7"/>
      <c r="GV18" s="7"/>
      <c r="GW18" s="7"/>
      <c r="GX18" s="7"/>
    </row>
    <row r="19" spans="1:206">
      <c r="A19" s="7">
        <f t="shared" si="2"/>
        <v>16</v>
      </c>
      <c r="B19" s="6" t="s">
        <v>20</v>
      </c>
      <c r="C19" s="6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111"/>
      <c r="O19" s="7"/>
      <c r="P19" s="7"/>
      <c r="Q19" s="100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100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 t="s">
        <v>452</v>
      </c>
      <c r="CO19" s="7"/>
      <c r="CP19" s="7"/>
      <c r="CQ19" s="7"/>
      <c r="CR19" s="7"/>
      <c r="CS19" s="7"/>
      <c r="CT19" s="100"/>
      <c r="CU19" s="100"/>
      <c r="CV19" s="7" t="s">
        <v>452</v>
      </c>
      <c r="CW19" s="7" t="s">
        <v>452</v>
      </c>
      <c r="CX19" s="100"/>
      <c r="CY19" s="100"/>
      <c r="CZ19" s="7" t="s">
        <v>452</v>
      </c>
      <c r="DA19" s="7" t="s">
        <v>452</v>
      </c>
      <c r="DB19" s="7"/>
      <c r="DC19" s="7" t="s">
        <v>452</v>
      </c>
      <c r="DD19" s="7"/>
      <c r="DE19" s="7"/>
      <c r="DF19" s="7"/>
      <c r="DG19" s="7" t="s">
        <v>452</v>
      </c>
      <c r="DH19" s="7"/>
      <c r="DI19" s="7"/>
      <c r="DJ19" s="7"/>
      <c r="DK19" s="7"/>
      <c r="DL19" s="7" t="s">
        <v>452</v>
      </c>
      <c r="DM19" s="7" t="s">
        <v>452</v>
      </c>
      <c r="DN19" s="7" t="s">
        <v>452</v>
      </c>
      <c r="DO19" s="7" t="s">
        <v>452</v>
      </c>
      <c r="DP19" s="7" t="s">
        <v>452</v>
      </c>
      <c r="DQ19" s="7" t="s">
        <v>452</v>
      </c>
      <c r="DR19" s="7" t="s">
        <v>452</v>
      </c>
      <c r="DS19" s="7" t="s">
        <v>452</v>
      </c>
      <c r="DT19" s="100"/>
      <c r="DU19" s="100"/>
      <c r="DV19" s="100"/>
      <c r="DW19" s="7"/>
      <c r="DX19" s="7"/>
      <c r="DY19" s="7"/>
      <c r="DZ19" s="7"/>
      <c r="EA19" s="7"/>
      <c r="EB19" s="7"/>
      <c r="EC19" s="7"/>
      <c r="ED19" s="100"/>
      <c r="EE19" s="7"/>
      <c r="EF19" s="7"/>
      <c r="EG19" s="7" t="s">
        <v>452</v>
      </c>
      <c r="EH19" s="7" t="s">
        <v>452</v>
      </c>
      <c r="EI19" s="7" t="s">
        <v>452</v>
      </c>
      <c r="EJ19" s="7"/>
      <c r="EK19" s="7" t="s">
        <v>452</v>
      </c>
      <c r="EL19" s="7" t="s">
        <v>452</v>
      </c>
      <c r="EM19" s="7"/>
      <c r="EN19" s="7" t="s">
        <v>452</v>
      </c>
      <c r="EO19" s="7" t="s">
        <v>452</v>
      </c>
      <c r="EP19" s="7" t="s">
        <v>452</v>
      </c>
      <c r="EQ19" s="7"/>
      <c r="ER19" s="7"/>
      <c r="ES19" s="7"/>
      <c r="ET19" s="7"/>
      <c r="EU19" s="7" t="s">
        <v>452</v>
      </c>
      <c r="EV19" s="7"/>
      <c r="EW19" s="100"/>
      <c r="EX19" s="100"/>
      <c r="EY19" s="100"/>
      <c r="EZ19" s="100"/>
      <c r="FA19" s="100"/>
      <c r="FB19" s="7"/>
      <c r="FC19" s="7"/>
      <c r="FD19" s="7"/>
      <c r="FE19" s="7"/>
      <c r="FF19" s="100"/>
      <c r="FG19" s="100"/>
      <c r="FH19" s="7"/>
      <c r="FI19" s="7"/>
      <c r="FJ19" s="7"/>
      <c r="FK19" s="7"/>
      <c r="FL19" s="100"/>
      <c r="FM19" s="7"/>
      <c r="FN19" s="7"/>
      <c r="FO19" s="100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U19" s="7"/>
      <c r="GV19" s="7"/>
      <c r="GW19" s="7"/>
      <c r="GX19" s="7"/>
    </row>
    <row r="20" spans="1:206">
      <c r="A20" s="7">
        <f t="shared" si="2"/>
        <v>17</v>
      </c>
      <c r="B20" s="6" t="s">
        <v>21</v>
      </c>
      <c r="C20" s="6" t="s">
        <v>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111"/>
      <c r="O20" s="7"/>
      <c r="P20" s="7"/>
      <c r="Q20" s="100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100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 t="s">
        <v>452</v>
      </c>
      <c r="CO20" s="7"/>
      <c r="CP20" s="7"/>
      <c r="CQ20" s="7"/>
      <c r="CR20" s="7"/>
      <c r="CS20" s="7"/>
      <c r="CT20" s="100"/>
      <c r="CU20" s="100"/>
      <c r="CV20" s="7" t="s">
        <v>452</v>
      </c>
      <c r="CW20" s="7" t="s">
        <v>452</v>
      </c>
      <c r="CX20" s="100"/>
      <c r="CY20" s="100"/>
      <c r="CZ20" s="7" t="s">
        <v>452</v>
      </c>
      <c r="DA20" s="7" t="s">
        <v>452</v>
      </c>
      <c r="DB20" s="7"/>
      <c r="DC20" s="7" t="s">
        <v>452</v>
      </c>
      <c r="DD20" s="7"/>
      <c r="DE20" s="7"/>
      <c r="DF20" s="7"/>
      <c r="DG20" s="7" t="s">
        <v>452</v>
      </c>
      <c r="DH20" s="7"/>
      <c r="DI20" s="7"/>
      <c r="DJ20" s="7"/>
      <c r="DK20" s="7"/>
      <c r="DL20" s="7" t="s">
        <v>452</v>
      </c>
      <c r="DM20" s="7" t="s">
        <v>452</v>
      </c>
      <c r="DN20" s="7" t="s">
        <v>452</v>
      </c>
      <c r="DO20" s="7" t="s">
        <v>452</v>
      </c>
      <c r="DP20" s="7" t="s">
        <v>452</v>
      </c>
      <c r="DQ20" s="7" t="s">
        <v>452</v>
      </c>
      <c r="DR20" s="7" t="s">
        <v>452</v>
      </c>
      <c r="DS20" s="7" t="s">
        <v>452</v>
      </c>
      <c r="DT20" s="100"/>
      <c r="DU20" s="100"/>
      <c r="DV20" s="100"/>
      <c r="DW20" s="7"/>
      <c r="DX20" s="7"/>
      <c r="DY20" s="7"/>
      <c r="DZ20" s="7"/>
      <c r="EA20" s="7"/>
      <c r="EB20" s="7"/>
      <c r="EC20" s="7"/>
      <c r="ED20" s="100"/>
      <c r="EE20" s="7"/>
      <c r="EF20" s="7"/>
      <c r="EG20" s="7" t="s">
        <v>452</v>
      </c>
      <c r="EH20" s="7" t="s">
        <v>452</v>
      </c>
      <c r="EI20" s="7" t="s">
        <v>452</v>
      </c>
      <c r="EJ20" s="7"/>
      <c r="EK20" s="7" t="s">
        <v>452</v>
      </c>
      <c r="EL20" s="7" t="s">
        <v>452</v>
      </c>
      <c r="EM20" s="7"/>
      <c r="EN20" s="7" t="s">
        <v>452</v>
      </c>
      <c r="EO20" s="7" t="s">
        <v>452</v>
      </c>
      <c r="EP20" s="7" t="s">
        <v>452</v>
      </c>
      <c r="EQ20" s="7"/>
      <c r="ER20" s="7"/>
      <c r="ES20" s="7"/>
      <c r="ET20" s="7"/>
      <c r="EU20" s="7" t="s">
        <v>452</v>
      </c>
      <c r="EV20" s="7"/>
      <c r="EW20" s="100"/>
      <c r="EX20" s="100"/>
      <c r="EY20" s="100"/>
      <c r="EZ20" s="100"/>
      <c r="FA20" s="100"/>
      <c r="FB20" s="7"/>
      <c r="FC20" s="7"/>
      <c r="FD20" s="7"/>
      <c r="FE20" s="7"/>
      <c r="FF20" s="100"/>
      <c r="FG20" s="100"/>
      <c r="FH20" s="7"/>
      <c r="FI20" s="7"/>
      <c r="FJ20" s="7"/>
      <c r="FK20" s="7"/>
      <c r="FL20" s="100"/>
      <c r="FM20" s="7"/>
      <c r="FN20" s="7"/>
      <c r="FO20" s="100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U20" s="7"/>
      <c r="GV20" s="7"/>
      <c r="GW20" s="7"/>
      <c r="GX20" s="7"/>
    </row>
    <row r="21" spans="1:206">
      <c r="A21" s="7">
        <f t="shared" si="2"/>
        <v>18</v>
      </c>
      <c r="B21" s="6" t="s">
        <v>22</v>
      </c>
      <c r="C21" s="6" t="s">
        <v>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110"/>
      <c r="O21" s="7"/>
      <c r="P21" s="7"/>
      <c r="Q21" s="100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 t="s">
        <v>487</v>
      </c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100"/>
      <c r="CO21" s="7"/>
      <c r="CP21" s="7"/>
      <c r="CQ21" s="7"/>
      <c r="CR21" s="7"/>
      <c r="CS21" s="7"/>
      <c r="CT21" s="7" t="s">
        <v>487</v>
      </c>
      <c r="CU21" s="100"/>
      <c r="CV21" s="100"/>
      <c r="CW21" s="7" t="s">
        <v>487</v>
      </c>
      <c r="CX21" s="100"/>
      <c r="CY21" s="100"/>
      <c r="CZ21" s="7" t="s">
        <v>487</v>
      </c>
      <c r="DA21" s="100"/>
      <c r="DB21" s="7"/>
      <c r="DC21" s="7" t="s">
        <v>487</v>
      </c>
      <c r="DD21" s="7"/>
      <c r="DE21" s="7"/>
      <c r="DF21" s="7"/>
      <c r="DG21" s="100"/>
      <c r="DH21" s="7"/>
      <c r="DI21" s="7"/>
      <c r="DJ21" s="7"/>
      <c r="DK21" s="7"/>
      <c r="DL21" s="7" t="s">
        <v>487</v>
      </c>
      <c r="DM21" s="100"/>
      <c r="DN21" s="7" t="s">
        <v>487</v>
      </c>
      <c r="DO21" s="7" t="s">
        <v>487</v>
      </c>
      <c r="DP21" s="7" t="s">
        <v>487</v>
      </c>
      <c r="DQ21" s="7" t="s">
        <v>487</v>
      </c>
      <c r="DR21" s="7" t="s">
        <v>452</v>
      </c>
      <c r="DS21" s="7" t="s">
        <v>452</v>
      </c>
      <c r="DT21" s="100"/>
      <c r="DU21" s="100"/>
      <c r="DV21" s="7" t="s">
        <v>487</v>
      </c>
      <c r="DW21" s="7"/>
      <c r="DX21" s="7"/>
      <c r="DY21" s="7"/>
      <c r="DZ21" s="7"/>
      <c r="EA21" s="7"/>
      <c r="EB21" s="7"/>
      <c r="EC21" s="7"/>
      <c r="ED21" s="7" t="s">
        <v>487</v>
      </c>
      <c r="EE21" s="7"/>
      <c r="EF21" s="7"/>
      <c r="EG21" s="100"/>
      <c r="EH21" s="7" t="s">
        <v>487</v>
      </c>
      <c r="EI21" s="100"/>
      <c r="EJ21" s="7"/>
      <c r="EK21" s="7" t="s">
        <v>487</v>
      </c>
      <c r="EL21" s="7" t="s">
        <v>452</v>
      </c>
      <c r="EM21" s="7"/>
      <c r="EN21" s="7" t="s">
        <v>452</v>
      </c>
      <c r="EO21" s="7" t="s">
        <v>452</v>
      </c>
      <c r="EP21" s="7" t="s">
        <v>452</v>
      </c>
      <c r="EQ21" s="7"/>
      <c r="ER21" s="7"/>
      <c r="ES21" s="7"/>
      <c r="ET21" s="7"/>
      <c r="EU21" s="7" t="s">
        <v>452</v>
      </c>
      <c r="EV21" s="7"/>
      <c r="EW21" s="7" t="s">
        <v>487</v>
      </c>
      <c r="EX21" s="100"/>
      <c r="EY21" s="7" t="s">
        <v>487</v>
      </c>
      <c r="EZ21" s="100"/>
      <c r="FA21" s="7" t="s">
        <v>487</v>
      </c>
      <c r="FB21" s="7"/>
      <c r="FC21" s="7"/>
      <c r="FD21" s="7"/>
      <c r="FE21" s="7"/>
      <c r="FF21" s="7" t="s">
        <v>487</v>
      </c>
      <c r="FG21" s="7" t="s">
        <v>487</v>
      </c>
      <c r="FH21" s="7"/>
      <c r="FI21" s="7"/>
      <c r="FJ21" s="7"/>
      <c r="FK21" s="7"/>
      <c r="FL21" s="100"/>
      <c r="FM21" s="7"/>
      <c r="FN21" s="7"/>
      <c r="FO21" s="100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U21" s="7"/>
      <c r="GV21" s="7"/>
      <c r="GW21" s="7"/>
      <c r="GX21" s="7"/>
    </row>
    <row r="22" spans="1:206">
      <c r="A22" s="7">
        <f t="shared" si="2"/>
        <v>19</v>
      </c>
      <c r="B22" s="6" t="s">
        <v>23</v>
      </c>
      <c r="C22" s="6" t="s">
        <v>9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111"/>
      <c r="O22" s="7"/>
      <c r="P22" s="7"/>
      <c r="Q22" s="100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 t="s">
        <v>0</v>
      </c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100"/>
      <c r="CO22" s="7"/>
      <c r="CP22" s="7"/>
      <c r="CQ22" s="7"/>
      <c r="CR22" s="7"/>
      <c r="CS22" s="7"/>
      <c r="CT22" s="100"/>
      <c r="CU22" s="100"/>
      <c r="CV22" s="100"/>
      <c r="CW22" s="7" t="s">
        <v>487</v>
      </c>
      <c r="CX22" s="100"/>
      <c r="CY22" s="100"/>
      <c r="CZ22" s="7" t="s">
        <v>487</v>
      </c>
      <c r="DA22" s="100"/>
      <c r="DB22" s="7"/>
      <c r="DC22" s="7" t="s">
        <v>0</v>
      </c>
      <c r="DD22" s="7"/>
      <c r="DE22" s="7"/>
      <c r="DF22" s="7"/>
      <c r="DG22" s="100"/>
      <c r="DH22" s="7"/>
      <c r="DI22" s="7"/>
      <c r="DJ22" s="7"/>
      <c r="DK22" s="7"/>
      <c r="DL22" s="7" t="s">
        <v>452</v>
      </c>
      <c r="DM22" s="100"/>
      <c r="DN22" s="7" t="s">
        <v>0</v>
      </c>
      <c r="DO22" s="7" t="s">
        <v>452</v>
      </c>
      <c r="DP22" s="7" t="s">
        <v>0</v>
      </c>
      <c r="DQ22" s="7" t="s">
        <v>0</v>
      </c>
      <c r="DR22" s="100"/>
      <c r="DS22" s="100"/>
      <c r="DT22" s="100"/>
      <c r="DU22" s="7">
        <v>3</v>
      </c>
      <c r="DV22" s="7" t="s">
        <v>487</v>
      </c>
      <c r="DW22" s="7"/>
      <c r="DX22" s="7"/>
      <c r="DY22" s="7"/>
      <c r="DZ22" s="7"/>
      <c r="EA22" s="7"/>
      <c r="EB22" s="7"/>
      <c r="EC22" s="7"/>
      <c r="ED22" s="100"/>
      <c r="EE22" s="7"/>
      <c r="EF22" s="7"/>
      <c r="EG22" s="100"/>
      <c r="EH22" s="7" t="s">
        <v>452</v>
      </c>
      <c r="EI22" s="100"/>
      <c r="EJ22" s="7"/>
      <c r="EK22" s="7" t="s">
        <v>0</v>
      </c>
      <c r="EL22" s="100"/>
      <c r="EM22" s="7"/>
      <c r="EN22" s="100"/>
      <c r="EO22" s="100"/>
      <c r="EP22" s="100"/>
      <c r="EQ22" s="7"/>
      <c r="ER22" s="7"/>
      <c r="ES22" s="7"/>
      <c r="ET22" s="7"/>
      <c r="EU22" s="7" t="s">
        <v>452</v>
      </c>
      <c r="EV22" s="7"/>
      <c r="EW22" s="7" t="s">
        <v>487</v>
      </c>
      <c r="EX22" s="100"/>
      <c r="EY22" s="7" t="s">
        <v>487</v>
      </c>
      <c r="EZ22" s="100"/>
      <c r="FA22" s="7" t="s">
        <v>452</v>
      </c>
      <c r="FB22" s="7"/>
      <c r="FC22" s="7"/>
      <c r="FD22" s="7"/>
      <c r="FE22" s="7"/>
      <c r="FF22" s="7" t="s">
        <v>452</v>
      </c>
      <c r="FG22" s="7" t="s">
        <v>487</v>
      </c>
      <c r="FH22" s="7"/>
      <c r="FI22" s="7"/>
      <c r="FJ22" s="7"/>
      <c r="FK22" s="7"/>
      <c r="FL22" s="100"/>
      <c r="FM22" s="7"/>
      <c r="FN22" s="7"/>
      <c r="FO22" s="100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U22" s="7"/>
      <c r="GV22" s="7"/>
      <c r="GW22" s="7"/>
      <c r="GX22" s="7"/>
    </row>
    <row r="23" spans="1:206">
      <c r="A23" s="7">
        <f t="shared" si="2"/>
        <v>20</v>
      </c>
      <c r="B23" s="6" t="s">
        <v>24</v>
      </c>
      <c r="C23" s="6" t="s">
        <v>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111"/>
      <c r="O23" s="7"/>
      <c r="P23" s="7"/>
      <c r="Q23" s="100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100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>
        <v>2</v>
      </c>
      <c r="CO23" s="7"/>
      <c r="CP23" s="7"/>
      <c r="CQ23" s="7"/>
      <c r="CR23" s="7"/>
      <c r="CS23" s="7"/>
      <c r="CT23" s="7">
        <v>1</v>
      </c>
      <c r="CU23" s="100"/>
      <c r="CV23" s="7">
        <v>1</v>
      </c>
      <c r="CW23" s="100"/>
      <c r="CX23" s="100"/>
      <c r="CY23" s="100"/>
      <c r="CZ23" s="100"/>
      <c r="DA23" s="100"/>
      <c r="DB23" s="7"/>
      <c r="DC23" s="7">
        <v>3</v>
      </c>
      <c r="DD23" s="7"/>
      <c r="DE23" s="7"/>
      <c r="DF23" s="7"/>
      <c r="DG23" s="100"/>
      <c r="DH23" s="7"/>
      <c r="DI23" s="7"/>
      <c r="DJ23" s="7"/>
      <c r="DK23" s="7"/>
      <c r="DL23" s="7">
        <v>4</v>
      </c>
      <c r="DM23" s="100"/>
      <c r="DN23" s="100"/>
      <c r="DO23" s="7">
        <v>4</v>
      </c>
      <c r="DP23" s="7">
        <v>4</v>
      </c>
      <c r="DQ23" s="7">
        <v>4</v>
      </c>
      <c r="DR23" s="100"/>
      <c r="DS23" s="100"/>
      <c r="DT23" s="100"/>
      <c r="DU23" s="100"/>
      <c r="DV23" s="100"/>
      <c r="DW23" s="7"/>
      <c r="DX23" s="7"/>
      <c r="DY23" s="7"/>
      <c r="DZ23" s="7"/>
      <c r="EA23" s="7"/>
      <c r="EB23" s="7"/>
      <c r="EC23" s="7"/>
      <c r="ED23" s="100"/>
      <c r="EE23" s="7"/>
      <c r="EF23" s="7"/>
      <c r="EG23" s="100"/>
      <c r="EH23" s="7">
        <v>2</v>
      </c>
      <c r="EI23" s="100"/>
      <c r="EJ23" s="7"/>
      <c r="EK23" s="7">
        <v>2</v>
      </c>
      <c r="EL23" s="100"/>
      <c r="EM23" s="7"/>
      <c r="EN23" s="100"/>
      <c r="EO23" s="100"/>
      <c r="EP23" s="100"/>
      <c r="EQ23" s="7"/>
      <c r="ER23" s="7"/>
      <c r="ES23" s="7"/>
      <c r="ET23" s="7"/>
      <c r="EU23" s="100"/>
      <c r="EV23" s="7"/>
      <c r="EW23" s="7">
        <v>2</v>
      </c>
      <c r="EX23" s="100"/>
      <c r="EY23" s="7">
        <v>2</v>
      </c>
      <c r="EZ23" s="100"/>
      <c r="FA23" s="7">
        <v>4</v>
      </c>
      <c r="FB23" s="7"/>
      <c r="FC23" s="7"/>
      <c r="FD23" s="7"/>
      <c r="FE23" s="7"/>
      <c r="FF23" s="7">
        <v>4</v>
      </c>
      <c r="FG23" s="100"/>
      <c r="FH23" s="7"/>
      <c r="FI23" s="7"/>
      <c r="FJ23" s="7"/>
      <c r="FK23" s="7"/>
      <c r="FL23" s="100"/>
      <c r="FM23" s="7"/>
      <c r="FN23" s="7"/>
      <c r="FO23" s="100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U23" s="7"/>
      <c r="GV23" s="7"/>
      <c r="GW23" s="7"/>
      <c r="GX23" s="7"/>
    </row>
    <row r="24" spans="1:206">
      <c r="B24" s="6" t="s">
        <v>460</v>
      </c>
      <c r="C24" s="6" t="s">
        <v>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111"/>
      <c r="O24" s="7"/>
      <c r="P24" s="7"/>
      <c r="Q24" s="100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100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>
        <f>2+2</f>
        <v>4</v>
      </c>
      <c r="CO24" s="7"/>
      <c r="CP24" s="7"/>
      <c r="CQ24" s="7"/>
      <c r="CR24" s="7"/>
      <c r="CS24" s="7"/>
      <c r="CT24" s="100">
        <v>4</v>
      </c>
      <c r="CU24" s="100"/>
      <c r="CV24" s="7">
        <v>3</v>
      </c>
      <c r="CW24" s="100"/>
      <c r="CX24" s="100"/>
      <c r="CY24" s="100"/>
      <c r="CZ24" s="100"/>
      <c r="DA24" s="100"/>
      <c r="DB24" s="7"/>
      <c r="DC24" s="7">
        <v>3</v>
      </c>
      <c r="DD24" s="7"/>
      <c r="DE24" s="7"/>
      <c r="DF24" s="7"/>
      <c r="DG24" s="100"/>
      <c r="DH24" s="7"/>
      <c r="DI24" s="7"/>
      <c r="DJ24" s="7"/>
      <c r="DK24" s="7"/>
      <c r="DL24" s="7">
        <v>4</v>
      </c>
      <c r="DM24" s="100"/>
      <c r="DN24" s="7">
        <v>12</v>
      </c>
      <c r="DO24" s="7">
        <v>4</v>
      </c>
      <c r="DP24" s="7">
        <v>4</v>
      </c>
      <c r="DQ24" s="7">
        <v>4</v>
      </c>
      <c r="DR24" s="100"/>
      <c r="DS24" s="100"/>
      <c r="DT24" s="100"/>
      <c r="DU24" s="100"/>
      <c r="DV24" s="100"/>
      <c r="DW24" s="7"/>
      <c r="DX24" s="7"/>
      <c r="DY24" s="7"/>
      <c r="DZ24" s="7"/>
      <c r="EA24" s="7"/>
      <c r="EB24" s="7"/>
      <c r="EC24" s="7"/>
      <c r="ED24" s="100"/>
      <c r="EE24" s="7"/>
      <c r="EF24" s="7"/>
      <c r="EG24" s="100"/>
      <c r="EH24" s="7">
        <v>2</v>
      </c>
      <c r="EI24" s="100"/>
      <c r="EJ24" s="7"/>
      <c r="EK24" s="7">
        <v>2</v>
      </c>
      <c r="EL24" s="100"/>
      <c r="EM24" s="7"/>
      <c r="EN24" s="100"/>
      <c r="EO24" s="100"/>
      <c r="EP24" s="7">
        <v>1</v>
      </c>
      <c r="EQ24" s="7"/>
      <c r="ER24" s="7"/>
      <c r="ES24" s="7"/>
      <c r="ET24" s="7"/>
      <c r="EU24" s="100"/>
      <c r="EV24" s="7"/>
      <c r="EW24" s="7">
        <v>3</v>
      </c>
      <c r="EX24" s="100"/>
      <c r="EY24" s="7">
        <v>3</v>
      </c>
      <c r="EZ24" s="100"/>
      <c r="FA24" s="7">
        <v>4</v>
      </c>
      <c r="FB24" s="7"/>
      <c r="FC24" s="7"/>
      <c r="FD24" s="7"/>
      <c r="FE24" s="7"/>
      <c r="FF24" s="7">
        <v>4</v>
      </c>
      <c r="FG24" s="100"/>
      <c r="FH24" s="7"/>
      <c r="FI24" s="7"/>
      <c r="FJ24" s="7"/>
      <c r="FK24" s="7"/>
      <c r="FL24" s="100"/>
      <c r="FM24" s="7"/>
      <c r="FN24" s="7"/>
      <c r="FO24" s="100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U24" s="7"/>
      <c r="GV24" s="7"/>
      <c r="GW24" s="7"/>
      <c r="GX24" s="7"/>
    </row>
    <row r="25" spans="1:206">
      <c r="A25" s="7">
        <f>A23+1</f>
        <v>21</v>
      </c>
      <c r="B25" s="6" t="s">
        <v>25</v>
      </c>
      <c r="C25" s="6" t="s">
        <v>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111"/>
      <c r="O25" s="7"/>
      <c r="P25" s="7"/>
      <c r="Q25" s="100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100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100"/>
      <c r="CO25" s="7"/>
      <c r="CP25" s="7"/>
      <c r="CQ25" s="7"/>
      <c r="CR25" s="7"/>
      <c r="CS25" s="7"/>
      <c r="CT25" s="100"/>
      <c r="CU25" s="100"/>
      <c r="CV25" s="100"/>
      <c r="CW25" s="100"/>
      <c r="CX25" s="100"/>
      <c r="CY25" s="100"/>
      <c r="CZ25" s="100"/>
      <c r="DA25" s="100"/>
      <c r="DB25" s="7"/>
      <c r="DC25" s="7" t="s">
        <v>0</v>
      </c>
      <c r="DD25" s="7"/>
      <c r="DE25" s="7"/>
      <c r="DF25" s="7"/>
      <c r="DG25" s="100"/>
      <c r="DH25" s="7"/>
      <c r="DI25" s="7"/>
      <c r="DJ25" s="7"/>
      <c r="DK25" s="7"/>
      <c r="DL25" s="7" t="s">
        <v>452</v>
      </c>
      <c r="DM25" s="100"/>
      <c r="DN25" s="100"/>
      <c r="DO25" s="100"/>
      <c r="DP25" s="100"/>
      <c r="DQ25" s="100"/>
      <c r="DR25" s="100"/>
      <c r="DS25" s="100"/>
      <c r="DT25" s="100"/>
      <c r="DU25" s="100"/>
      <c r="DV25" s="100"/>
      <c r="DW25" s="7"/>
      <c r="DX25" s="7"/>
      <c r="DY25" s="7"/>
      <c r="DZ25" s="7"/>
      <c r="EA25" s="7"/>
      <c r="EB25" s="7"/>
      <c r="EC25" s="7"/>
      <c r="ED25" s="100"/>
      <c r="EE25" s="7"/>
      <c r="EF25" s="7"/>
      <c r="EG25" s="100"/>
      <c r="EH25" s="100"/>
      <c r="EI25" s="100"/>
      <c r="EJ25" s="7"/>
      <c r="EK25" s="100"/>
      <c r="EL25" s="100"/>
      <c r="EM25" s="7"/>
      <c r="EN25" s="100"/>
      <c r="EO25" s="100"/>
      <c r="EP25" s="100"/>
      <c r="EQ25" s="7"/>
      <c r="ER25" s="7"/>
      <c r="ES25" s="7"/>
      <c r="ET25" s="7"/>
      <c r="EU25" s="100"/>
      <c r="EV25" s="7"/>
      <c r="EW25" s="100"/>
      <c r="EX25" s="100"/>
      <c r="EY25" s="7" t="s">
        <v>452</v>
      </c>
      <c r="EZ25" s="100"/>
      <c r="FA25" s="100"/>
      <c r="FB25" s="7"/>
      <c r="FC25" s="7"/>
      <c r="FD25" s="7"/>
      <c r="FE25" s="7"/>
      <c r="FF25" s="100"/>
      <c r="FG25" s="100"/>
      <c r="FH25" s="7"/>
      <c r="FI25" s="7"/>
      <c r="FJ25" s="7"/>
      <c r="FK25" s="7"/>
      <c r="FL25" s="100"/>
      <c r="FM25" s="7"/>
      <c r="FN25" s="7"/>
      <c r="FO25" s="100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U25" s="7"/>
      <c r="GV25" s="7"/>
      <c r="GW25" s="7"/>
      <c r="GX25" s="7"/>
    </row>
    <row r="26" spans="1:206">
      <c r="A26" s="7">
        <f t="shared" si="2"/>
        <v>22</v>
      </c>
      <c r="B26" s="6" t="s">
        <v>26</v>
      </c>
      <c r="C26" s="6" t="s">
        <v>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111"/>
      <c r="O26" s="7"/>
      <c r="P26" s="7"/>
      <c r="Q26" s="100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 t="s">
        <v>450</v>
      </c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100"/>
      <c r="CO26" s="7"/>
      <c r="CP26" s="7"/>
      <c r="CQ26" s="7"/>
      <c r="CR26" s="7"/>
      <c r="CS26" s="7"/>
      <c r="CT26" s="7" t="s">
        <v>488</v>
      </c>
      <c r="CU26" s="100"/>
      <c r="CV26" s="7" t="s">
        <v>488</v>
      </c>
      <c r="CW26" s="7" t="s">
        <v>488</v>
      </c>
      <c r="CX26" s="100"/>
      <c r="CY26" s="100"/>
      <c r="CZ26" s="7" t="s">
        <v>488</v>
      </c>
      <c r="DA26" s="100"/>
      <c r="DB26" s="7"/>
      <c r="DC26" s="7" t="s">
        <v>450</v>
      </c>
      <c r="DD26" s="7"/>
      <c r="DE26" s="7"/>
      <c r="DF26" s="7"/>
      <c r="DG26" s="100"/>
      <c r="DH26" s="7"/>
      <c r="DI26" s="7"/>
      <c r="DJ26" s="7"/>
      <c r="DK26" s="7"/>
      <c r="DL26" s="7" t="s">
        <v>450</v>
      </c>
      <c r="DM26" s="100"/>
      <c r="DN26" s="7" t="s">
        <v>488</v>
      </c>
      <c r="DO26" s="7" t="s">
        <v>450</v>
      </c>
      <c r="DP26" s="100"/>
      <c r="DQ26" s="7" t="s">
        <v>488</v>
      </c>
      <c r="DR26" s="7" t="s">
        <v>571</v>
      </c>
      <c r="DS26" s="7" t="s">
        <v>488</v>
      </c>
      <c r="DT26" s="100"/>
      <c r="DU26" s="7" t="s">
        <v>450</v>
      </c>
      <c r="DV26" s="100"/>
      <c r="DW26" s="7"/>
      <c r="DX26" s="7"/>
      <c r="DY26" s="7"/>
      <c r="DZ26" s="7"/>
      <c r="EA26" s="7"/>
      <c r="EB26" s="7"/>
      <c r="EC26" s="7"/>
      <c r="ED26" s="100"/>
      <c r="EE26" s="7"/>
      <c r="EF26" s="7"/>
      <c r="EG26" s="100"/>
      <c r="EH26" s="7" t="s">
        <v>488</v>
      </c>
      <c r="EI26" s="7" t="s">
        <v>571</v>
      </c>
      <c r="EJ26" s="7"/>
      <c r="EK26" s="7" t="s">
        <v>602</v>
      </c>
      <c r="EL26" s="7" t="s">
        <v>488</v>
      </c>
      <c r="EM26" s="7"/>
      <c r="EN26" s="100"/>
      <c r="EO26" s="7" t="s">
        <v>488</v>
      </c>
      <c r="EP26" s="7" t="s">
        <v>571</v>
      </c>
      <c r="EQ26" s="7"/>
      <c r="ER26" s="7"/>
      <c r="ES26" s="7"/>
      <c r="ET26" s="7"/>
      <c r="EU26" s="7" t="s">
        <v>571</v>
      </c>
      <c r="EV26" s="7"/>
      <c r="EW26" s="7" t="s">
        <v>488</v>
      </c>
      <c r="EX26" s="100"/>
      <c r="EY26" s="7" t="s">
        <v>571</v>
      </c>
      <c r="EZ26" s="100"/>
      <c r="FA26" s="7" t="s">
        <v>488</v>
      </c>
      <c r="FB26" s="7"/>
      <c r="FC26" s="7"/>
      <c r="FD26" s="7"/>
      <c r="FE26" s="7"/>
      <c r="FF26" s="100"/>
      <c r="FG26" s="7" t="s">
        <v>488</v>
      </c>
      <c r="FH26" s="7"/>
      <c r="FI26" s="7"/>
      <c r="FJ26" s="7"/>
      <c r="FK26" s="7"/>
      <c r="FL26" s="7" t="s">
        <v>634</v>
      </c>
      <c r="FM26" s="7"/>
      <c r="FN26" s="7"/>
      <c r="FO26" s="100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U26" s="7"/>
      <c r="GV26" s="7"/>
      <c r="GW26" s="7"/>
      <c r="GX26" s="7"/>
    </row>
    <row r="27" spans="1:206">
      <c r="A27" s="7">
        <f t="shared" si="2"/>
        <v>23</v>
      </c>
      <c r="B27" s="6" t="s">
        <v>27</v>
      </c>
      <c r="C27" s="6" t="s">
        <v>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111"/>
      <c r="O27" s="7"/>
      <c r="P27" s="7"/>
      <c r="Q27" s="100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100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100"/>
      <c r="CO27" s="7"/>
      <c r="CP27" s="7"/>
      <c r="CQ27" s="7"/>
      <c r="CR27" s="7"/>
      <c r="CS27" s="7"/>
      <c r="CT27" s="7" t="s">
        <v>489</v>
      </c>
      <c r="CU27" s="100"/>
      <c r="CV27" s="100"/>
      <c r="CW27" s="100"/>
      <c r="CX27" s="100"/>
      <c r="CY27" s="100"/>
      <c r="CZ27" s="100"/>
      <c r="DA27" s="100"/>
      <c r="DB27" s="7"/>
      <c r="DC27" s="7" t="s">
        <v>530</v>
      </c>
      <c r="DD27" s="7"/>
      <c r="DE27" s="7"/>
      <c r="DF27" s="7"/>
      <c r="DG27" s="100"/>
      <c r="DH27" s="7"/>
      <c r="DI27" s="7"/>
      <c r="DJ27" s="7"/>
      <c r="DK27" s="7"/>
      <c r="DL27" s="7">
        <v>2</v>
      </c>
      <c r="DM27" s="100"/>
      <c r="DN27" s="7" t="s">
        <v>451</v>
      </c>
      <c r="DO27" s="7">
        <v>2</v>
      </c>
      <c r="DP27" s="100"/>
      <c r="DQ27" s="100"/>
      <c r="DR27" s="100"/>
      <c r="DS27" s="100"/>
      <c r="DT27" s="100"/>
      <c r="DU27" s="100"/>
      <c r="DV27" s="100"/>
      <c r="DW27" s="7"/>
      <c r="DX27" s="7"/>
      <c r="DY27" s="7"/>
      <c r="DZ27" s="7"/>
      <c r="EA27" s="7"/>
      <c r="EB27" s="7"/>
      <c r="EC27" s="7"/>
      <c r="ED27" s="7" t="s">
        <v>488</v>
      </c>
      <c r="EE27" s="7"/>
      <c r="EF27" s="7"/>
      <c r="EG27" s="100"/>
      <c r="EH27" s="100"/>
      <c r="EI27" s="100"/>
      <c r="EJ27" s="7"/>
      <c r="EK27" s="100"/>
      <c r="EL27" s="100"/>
      <c r="EM27" s="7"/>
      <c r="EN27" s="100"/>
      <c r="EO27" s="100"/>
      <c r="EP27" s="100"/>
      <c r="EQ27" s="7"/>
      <c r="ER27" s="7"/>
      <c r="ES27" s="7"/>
      <c r="ET27" s="7"/>
      <c r="EU27" s="100"/>
      <c r="EV27" s="7"/>
      <c r="EW27" s="7">
        <v>10</v>
      </c>
      <c r="EX27" s="100"/>
      <c r="EY27" s="7">
        <v>30</v>
      </c>
      <c r="EZ27" s="100"/>
      <c r="FA27" s="7">
        <v>15</v>
      </c>
      <c r="FB27" s="7"/>
      <c r="FC27" s="7"/>
      <c r="FD27" s="7"/>
      <c r="FE27" s="7"/>
      <c r="FF27" s="100"/>
      <c r="FG27" s="100"/>
      <c r="FH27" s="7"/>
      <c r="FI27" s="7"/>
      <c r="FJ27" s="7"/>
      <c r="FK27" s="7"/>
      <c r="FL27" s="100"/>
      <c r="FM27" s="7"/>
      <c r="FN27" s="7"/>
      <c r="FO27" s="100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U27" s="7"/>
      <c r="GV27" s="7"/>
      <c r="GW27" s="7"/>
      <c r="GX27" s="7"/>
    </row>
    <row r="28" spans="1:206">
      <c r="A28" s="7">
        <f t="shared" si="2"/>
        <v>24</v>
      </c>
      <c r="B28" s="6" t="s">
        <v>28</v>
      </c>
      <c r="C28" s="6" t="s">
        <v>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110"/>
      <c r="O28" s="7"/>
      <c r="P28" s="7"/>
      <c r="Q28" s="100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100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 t="s">
        <v>492</v>
      </c>
      <c r="CO28" s="7"/>
      <c r="CP28" s="7"/>
      <c r="CQ28" s="7"/>
      <c r="CR28" s="7"/>
      <c r="CS28" s="7"/>
      <c r="CT28" s="7" t="s">
        <v>492</v>
      </c>
      <c r="CU28" s="100"/>
      <c r="CV28" s="100"/>
      <c r="CW28" s="100"/>
      <c r="CX28" s="100"/>
      <c r="CY28" s="100"/>
      <c r="CZ28" s="100"/>
      <c r="DA28" s="100"/>
      <c r="DB28" s="7"/>
      <c r="DC28" s="100"/>
      <c r="DD28" s="7"/>
      <c r="DE28" s="7"/>
      <c r="DF28" s="7"/>
      <c r="DG28" s="100"/>
      <c r="DH28" s="7"/>
      <c r="DI28" s="7"/>
      <c r="DJ28" s="7"/>
      <c r="DK28" s="7"/>
      <c r="DL28" s="100"/>
      <c r="DM28" s="100"/>
      <c r="DN28" s="7" t="s">
        <v>452</v>
      </c>
      <c r="DO28" s="100"/>
      <c r="DP28" s="100"/>
      <c r="DQ28" s="7" t="s">
        <v>577</v>
      </c>
      <c r="DR28" s="7" t="s">
        <v>492</v>
      </c>
      <c r="DS28" s="100"/>
      <c r="DT28" s="100"/>
      <c r="DU28" s="100"/>
      <c r="DV28" s="100"/>
      <c r="DW28" s="7"/>
      <c r="DX28" s="7"/>
      <c r="DY28" s="7"/>
      <c r="DZ28" s="7"/>
      <c r="EA28" s="7"/>
      <c r="EB28" s="7"/>
      <c r="EC28" s="7"/>
      <c r="ED28" s="7" t="s">
        <v>593</v>
      </c>
      <c r="EE28" s="7"/>
      <c r="EF28" s="7"/>
      <c r="EG28" s="100"/>
      <c r="EH28" s="100"/>
      <c r="EI28" s="100"/>
      <c r="EJ28" s="7"/>
      <c r="EK28" s="7" t="s">
        <v>492</v>
      </c>
      <c r="EL28" s="100"/>
      <c r="EM28" s="7"/>
      <c r="EN28" s="100"/>
      <c r="EO28" s="7" t="s">
        <v>492</v>
      </c>
      <c r="EP28" s="100"/>
      <c r="EQ28" s="7"/>
      <c r="ER28" s="7"/>
      <c r="ES28" s="7"/>
      <c r="ET28" s="7"/>
      <c r="EU28" s="100"/>
      <c r="EV28" s="7"/>
      <c r="EW28" s="100"/>
      <c r="EX28" s="100"/>
      <c r="EY28" s="100"/>
      <c r="EZ28" s="100"/>
      <c r="FA28" s="100"/>
      <c r="FB28" s="7"/>
      <c r="FC28" s="7"/>
      <c r="FD28" s="7"/>
      <c r="FE28" s="7"/>
      <c r="FF28" s="100"/>
      <c r="FG28" s="100"/>
      <c r="FH28" s="7"/>
      <c r="FI28" s="7"/>
      <c r="FJ28" s="7"/>
      <c r="FK28" s="7"/>
      <c r="FL28" s="100"/>
      <c r="FM28" s="7"/>
      <c r="FN28" s="7"/>
      <c r="FO28" s="100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U28" s="7"/>
      <c r="GV28" s="7"/>
      <c r="GW28" s="7"/>
      <c r="GX28" s="7"/>
    </row>
    <row r="29" spans="1:206">
      <c r="A29" s="7">
        <f t="shared" si="2"/>
        <v>25</v>
      </c>
      <c r="B29" s="6" t="s">
        <v>29</v>
      </c>
      <c r="C29" s="6" t="s">
        <v>9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111"/>
      <c r="O29" s="7"/>
      <c r="P29" s="7"/>
      <c r="Q29" s="100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100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100"/>
      <c r="CO29" s="7"/>
      <c r="CP29" s="7"/>
      <c r="CQ29" s="7"/>
      <c r="CR29" s="7"/>
      <c r="CS29" s="7"/>
      <c r="CT29" s="100"/>
      <c r="CU29" s="100"/>
      <c r="CV29" s="100"/>
      <c r="CW29" s="100"/>
      <c r="CX29" s="100"/>
      <c r="CY29" s="100"/>
      <c r="CZ29" s="7">
        <v>621438</v>
      </c>
      <c r="DA29" s="7">
        <v>7</v>
      </c>
      <c r="DB29" s="7"/>
      <c r="DC29" s="100"/>
      <c r="DD29" s="7"/>
      <c r="DE29" s="7"/>
      <c r="DF29" s="7"/>
      <c r="DG29" s="100"/>
      <c r="DH29" s="7"/>
      <c r="DI29" s="7"/>
      <c r="DJ29" s="7"/>
      <c r="DK29" s="7"/>
      <c r="DL29" s="100"/>
      <c r="DM29" s="100"/>
      <c r="DN29" s="7" t="s">
        <v>452</v>
      </c>
      <c r="DO29" s="100"/>
      <c r="DP29" s="100"/>
      <c r="DQ29" s="100"/>
      <c r="DR29" s="100"/>
      <c r="DS29" s="100"/>
      <c r="DT29" s="100"/>
      <c r="DU29" s="100"/>
      <c r="DV29" s="100"/>
      <c r="DW29" s="7"/>
      <c r="DX29" s="7"/>
      <c r="DY29" s="7"/>
      <c r="DZ29" s="7"/>
      <c r="EA29" s="7"/>
      <c r="EB29" s="7"/>
      <c r="EC29" s="7"/>
      <c r="ED29" s="7">
        <v>2</v>
      </c>
      <c r="EE29" s="7"/>
      <c r="EF29" s="7"/>
      <c r="EG29" s="100"/>
      <c r="EH29" s="100"/>
      <c r="EI29" s="100"/>
      <c r="EJ29" s="7"/>
      <c r="EK29" s="100"/>
      <c r="EL29" s="100"/>
      <c r="EM29" s="7"/>
      <c r="EN29" s="100"/>
      <c r="EO29" s="100"/>
      <c r="EP29" s="100"/>
      <c r="EQ29" s="7"/>
      <c r="ER29" s="7"/>
      <c r="ES29" s="7"/>
      <c r="ET29" s="7"/>
      <c r="EU29" s="100"/>
      <c r="EV29" s="7"/>
      <c r="EW29" s="100"/>
      <c r="EX29" s="7">
        <v>1000000</v>
      </c>
      <c r="EY29" s="100"/>
      <c r="EZ29" s="100"/>
      <c r="FA29" s="100"/>
      <c r="FB29" s="7"/>
      <c r="FC29" s="7"/>
      <c r="FD29" s="7"/>
      <c r="FE29" s="7"/>
      <c r="FF29" s="100"/>
      <c r="FG29" s="100"/>
      <c r="FH29" s="7"/>
      <c r="FI29" s="7"/>
      <c r="FJ29" s="7"/>
      <c r="FK29" s="7"/>
      <c r="FL29" s="100"/>
      <c r="FM29" s="7"/>
      <c r="FN29" s="7"/>
      <c r="FO29" s="100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U29" s="7"/>
      <c r="GV29" s="7"/>
      <c r="GW29" s="7"/>
      <c r="GX29" s="7"/>
    </row>
    <row r="30" spans="1:206">
      <c r="A30" s="7">
        <f t="shared" si="2"/>
        <v>26</v>
      </c>
      <c r="B30" s="6" t="s">
        <v>30</v>
      </c>
      <c r="C30" s="6" t="s">
        <v>3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111"/>
      <c r="O30" s="7"/>
      <c r="P30" s="7"/>
      <c r="Q30" s="100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>
        <v>2</v>
      </c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100"/>
      <c r="CO30" s="7"/>
      <c r="CP30" s="7"/>
      <c r="CQ30" s="7"/>
      <c r="CR30" s="7"/>
      <c r="CS30" s="7"/>
      <c r="CT30" s="7">
        <v>2</v>
      </c>
      <c r="CU30" s="100"/>
      <c r="CV30" s="100"/>
      <c r="CW30" s="100"/>
      <c r="CX30" s="100"/>
      <c r="CY30" s="100"/>
      <c r="CZ30" s="7">
        <f>4*10^5</f>
        <v>400000</v>
      </c>
      <c r="DA30" s="100"/>
      <c r="DB30" s="7"/>
      <c r="DC30" s="100"/>
      <c r="DD30" s="7"/>
      <c r="DE30" s="7"/>
      <c r="DF30" s="7"/>
      <c r="DG30" s="7">
        <v>3</v>
      </c>
      <c r="DH30" s="7"/>
      <c r="DI30" s="7"/>
      <c r="DJ30" s="7"/>
      <c r="DK30" s="7"/>
      <c r="DL30" s="100"/>
      <c r="DM30" s="100"/>
      <c r="DN30" s="7" t="s">
        <v>452</v>
      </c>
      <c r="DO30" s="7">
        <v>2</v>
      </c>
      <c r="DP30" s="100"/>
      <c r="DQ30" s="7">
        <v>1</v>
      </c>
      <c r="DR30" s="7">
        <v>3</v>
      </c>
      <c r="DS30" s="100"/>
      <c r="DT30" s="100"/>
      <c r="DU30" s="7">
        <v>2</v>
      </c>
      <c r="DV30" s="100"/>
      <c r="DW30" s="7"/>
      <c r="DX30" s="7"/>
      <c r="DY30" s="7"/>
      <c r="DZ30" s="7"/>
      <c r="EA30" s="7"/>
      <c r="EB30" s="7"/>
      <c r="EC30" s="7"/>
      <c r="ED30" s="100"/>
      <c r="EE30" s="7"/>
      <c r="EF30" s="7"/>
      <c r="EG30" s="100"/>
      <c r="EH30" s="100"/>
      <c r="EI30" s="100"/>
      <c r="EJ30" s="7"/>
      <c r="EK30" s="100"/>
      <c r="EL30" s="100"/>
      <c r="EM30" s="7"/>
      <c r="EN30" s="7">
        <v>3</v>
      </c>
      <c r="EO30" s="7">
        <v>2</v>
      </c>
      <c r="EP30" s="100"/>
      <c r="EQ30" s="7"/>
      <c r="ER30" s="7"/>
      <c r="ES30" s="7"/>
      <c r="ET30" s="7"/>
      <c r="EU30" s="100"/>
      <c r="EV30" s="7"/>
      <c r="EW30" s="100"/>
      <c r="EX30" s="100"/>
      <c r="EY30" s="7">
        <v>4</v>
      </c>
      <c r="EZ30" s="100"/>
      <c r="FA30" s="100"/>
      <c r="FB30" s="7"/>
      <c r="FC30" s="7"/>
      <c r="FD30" s="7"/>
      <c r="FE30" s="7"/>
      <c r="FF30" s="100"/>
      <c r="FG30" s="100"/>
      <c r="FH30" s="7"/>
      <c r="FI30" s="7"/>
      <c r="FJ30" s="7"/>
      <c r="FK30" s="7"/>
      <c r="FL30" s="100"/>
      <c r="FM30" s="7"/>
      <c r="FN30" s="7"/>
      <c r="FO30" s="100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U30" s="7"/>
      <c r="GV30" s="7"/>
      <c r="GW30" s="7"/>
      <c r="GX30" s="7"/>
    </row>
    <row r="31" spans="1:206">
      <c r="A31" s="7">
        <f t="shared" si="2"/>
        <v>27</v>
      </c>
      <c r="B31" s="6" t="s">
        <v>31</v>
      </c>
      <c r="C31" s="6" t="s">
        <v>9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111"/>
      <c r="O31" s="7"/>
      <c r="P31" s="7"/>
      <c r="Q31" s="100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100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100"/>
      <c r="CO31" s="7"/>
      <c r="CP31" s="7"/>
      <c r="CQ31" s="7"/>
      <c r="CR31" s="7"/>
      <c r="CS31" s="7"/>
      <c r="CT31" s="7">
        <f>55*10^5</f>
        <v>5500000</v>
      </c>
      <c r="CU31" s="100"/>
      <c r="CV31" s="100"/>
      <c r="CW31" s="100"/>
      <c r="CX31" s="100"/>
      <c r="CY31" s="100">
        <f>11*10^5</f>
        <v>1100000</v>
      </c>
      <c r="CZ31" s="100"/>
      <c r="DA31" s="100"/>
      <c r="DB31" s="7"/>
      <c r="DC31" s="100"/>
      <c r="DD31" s="7"/>
      <c r="DE31" s="7"/>
      <c r="DF31" s="7"/>
      <c r="DG31" s="100"/>
      <c r="DH31" s="7"/>
      <c r="DI31" s="7"/>
      <c r="DJ31" s="7"/>
      <c r="DK31" s="7"/>
      <c r="DL31" s="100"/>
      <c r="DM31" s="100"/>
      <c r="DN31" s="7" t="s">
        <v>452</v>
      </c>
      <c r="DO31" s="7">
        <v>500000</v>
      </c>
      <c r="DP31" s="100"/>
      <c r="DQ31" s="100"/>
      <c r="DR31" s="100"/>
      <c r="DS31" s="100"/>
      <c r="DT31" s="100"/>
      <c r="DU31" s="100"/>
      <c r="DV31" s="100"/>
      <c r="DW31" s="7"/>
      <c r="DX31" s="7"/>
      <c r="DY31" s="7"/>
      <c r="DZ31" s="7"/>
      <c r="EA31" s="7"/>
      <c r="EB31" s="7"/>
      <c r="EC31" s="7"/>
      <c r="ED31" s="100"/>
      <c r="EE31" s="7"/>
      <c r="EF31" s="7"/>
      <c r="EG31" s="100"/>
      <c r="EH31" s="100"/>
      <c r="EI31" s="100"/>
      <c r="EJ31" s="7"/>
      <c r="EK31" s="100"/>
      <c r="EL31" s="100"/>
      <c r="EM31" s="7"/>
      <c r="EN31" s="100"/>
      <c r="EO31" s="100"/>
      <c r="EP31" s="100"/>
      <c r="EQ31" s="7"/>
      <c r="ER31" s="7"/>
      <c r="ES31" s="7"/>
      <c r="ET31" s="7"/>
      <c r="EU31" s="100"/>
      <c r="EV31" s="7"/>
      <c r="EW31" s="100"/>
      <c r="EX31" s="100"/>
      <c r="EY31" s="100"/>
      <c r="EZ31" s="100"/>
      <c r="FA31" s="100"/>
      <c r="FB31" s="7"/>
      <c r="FC31" s="7"/>
      <c r="FD31" s="7"/>
      <c r="FE31" s="7"/>
      <c r="FF31" s="100"/>
      <c r="FG31" s="7">
        <v>8000000</v>
      </c>
      <c r="FH31" s="7"/>
      <c r="FI31" s="7"/>
      <c r="FJ31" s="7"/>
      <c r="FK31" s="7"/>
      <c r="FL31" s="100"/>
      <c r="FM31" s="7"/>
      <c r="FN31" s="7"/>
      <c r="FO31" s="100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U31" s="7"/>
      <c r="GV31" s="7"/>
      <c r="GW31" s="7"/>
      <c r="GX31" s="7"/>
    </row>
    <row r="32" spans="1:206" hidden="1">
      <c r="A32" s="2"/>
      <c r="B32" s="2" t="s">
        <v>32</v>
      </c>
      <c r="C32" s="2"/>
      <c r="D32" s="7"/>
      <c r="E32" s="7"/>
      <c r="F32" s="7"/>
      <c r="G32" s="7"/>
      <c r="H32" s="7"/>
      <c r="I32" s="7"/>
      <c r="J32" s="7"/>
      <c r="K32" s="7"/>
      <c r="L32" s="7"/>
      <c r="M32" s="7"/>
      <c r="N32" s="110"/>
      <c r="O32" s="7"/>
      <c r="P32" s="7"/>
      <c r="Q32" s="100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100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100"/>
      <c r="CO32" s="7"/>
      <c r="CP32" s="7"/>
      <c r="CQ32" s="7"/>
      <c r="CR32" s="7"/>
      <c r="CS32" s="7"/>
      <c r="CU32" s="100"/>
      <c r="CV32" s="100"/>
      <c r="CW32" s="100"/>
      <c r="CX32" s="100"/>
      <c r="CY32" s="100"/>
      <c r="CZ32" s="100"/>
      <c r="DA32" s="100"/>
      <c r="DB32" s="7"/>
      <c r="DC32" s="100"/>
      <c r="DD32" s="7"/>
      <c r="DE32" s="7"/>
      <c r="DF32" s="7"/>
      <c r="DG32" s="100"/>
      <c r="DH32" s="7"/>
      <c r="DI32" s="7"/>
      <c r="DJ32" s="7"/>
      <c r="DK32" s="7"/>
      <c r="DL32" s="100"/>
      <c r="DM32" s="100"/>
      <c r="DP32" s="100"/>
      <c r="DQ32" s="100"/>
      <c r="DR32" s="100"/>
      <c r="DS32" s="100"/>
      <c r="DT32" s="100"/>
      <c r="DU32" s="100"/>
      <c r="DV32" s="100"/>
      <c r="DW32" s="7"/>
      <c r="DX32" s="7"/>
      <c r="DY32" s="7"/>
      <c r="DZ32" s="7"/>
      <c r="EA32" s="7"/>
      <c r="EB32" s="7"/>
      <c r="EC32" s="7"/>
      <c r="ED32" s="100"/>
      <c r="EE32" s="7"/>
      <c r="EF32" s="7"/>
      <c r="EG32" s="100"/>
      <c r="EH32" s="100"/>
      <c r="EI32" s="100"/>
      <c r="EJ32" s="7"/>
      <c r="EK32" s="100"/>
      <c r="EL32" s="100"/>
      <c r="EM32" s="7"/>
      <c r="EN32" s="100"/>
      <c r="EO32" s="100"/>
      <c r="EP32" s="100"/>
      <c r="EQ32" s="7"/>
      <c r="ER32" s="7"/>
      <c r="ES32" s="7"/>
      <c r="ET32" s="7"/>
      <c r="EU32" s="100"/>
      <c r="EV32" s="7"/>
      <c r="EW32" s="100"/>
      <c r="EX32" s="100"/>
      <c r="EY32" s="100"/>
      <c r="EZ32" s="100"/>
      <c r="FA32" s="100"/>
      <c r="FB32" s="7"/>
      <c r="FC32" s="7"/>
      <c r="FD32" s="7"/>
      <c r="FE32" s="7"/>
      <c r="FF32" s="100"/>
      <c r="FH32" s="7"/>
      <c r="FI32" s="7"/>
      <c r="FJ32" s="7"/>
      <c r="FK32" s="7"/>
      <c r="FL32" s="100"/>
      <c r="FM32" s="7"/>
      <c r="FN32" s="7"/>
      <c r="FO32" s="100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U32" s="7"/>
      <c r="GV32" s="7"/>
      <c r="GW32" s="7"/>
      <c r="GX32" s="7"/>
    </row>
    <row r="33" spans="1:206" hidden="1">
      <c r="A33" s="7">
        <f>A31+1</f>
        <v>28</v>
      </c>
      <c r="B33" s="16" t="s">
        <v>33</v>
      </c>
      <c r="C33" s="6" t="s">
        <v>34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110"/>
      <c r="O33" s="7"/>
      <c r="P33" s="7"/>
      <c r="Q33" s="100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100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100"/>
      <c r="CO33" s="7"/>
      <c r="CP33" s="7"/>
      <c r="CQ33" s="7"/>
      <c r="CR33" s="7"/>
      <c r="CS33" s="7"/>
      <c r="CU33" s="100"/>
      <c r="CV33" s="100"/>
      <c r="CW33" s="100"/>
      <c r="CX33" s="100"/>
      <c r="CY33" s="100"/>
      <c r="CZ33" s="100"/>
      <c r="DA33" s="100"/>
      <c r="DB33" s="7"/>
      <c r="DC33" s="100"/>
      <c r="DD33" s="7"/>
      <c r="DE33" s="7"/>
      <c r="DF33" s="7"/>
      <c r="DG33" s="100"/>
      <c r="DH33" s="7"/>
      <c r="DI33" s="7"/>
      <c r="DJ33" s="7"/>
      <c r="DK33" s="7"/>
      <c r="DL33" s="100"/>
      <c r="DM33" s="100"/>
      <c r="DP33" s="100"/>
      <c r="DQ33" s="100"/>
      <c r="DR33" s="100"/>
      <c r="DS33" s="100"/>
      <c r="DT33" s="100"/>
      <c r="DU33" s="100"/>
      <c r="DV33" s="100"/>
      <c r="DW33" s="7"/>
      <c r="DX33" s="7"/>
      <c r="DY33" s="7"/>
      <c r="DZ33" s="7"/>
      <c r="EA33" s="7"/>
      <c r="EB33" s="7"/>
      <c r="EC33" s="7"/>
      <c r="ED33" s="100"/>
      <c r="EE33" s="7"/>
      <c r="EF33" s="7"/>
      <c r="EG33" s="100"/>
      <c r="EH33" s="100"/>
      <c r="EI33" s="100"/>
      <c r="EJ33" s="7"/>
      <c r="EK33" s="100"/>
      <c r="EL33" s="100"/>
      <c r="EM33" s="7"/>
      <c r="EN33" s="100"/>
      <c r="EO33" s="100"/>
      <c r="EP33" s="100"/>
      <c r="EQ33" s="7"/>
      <c r="ER33" s="7"/>
      <c r="ES33" s="7"/>
      <c r="ET33" s="7"/>
      <c r="EU33" s="100"/>
      <c r="EV33" s="7"/>
      <c r="EW33" s="100"/>
      <c r="EX33" s="100"/>
      <c r="EY33" s="100"/>
      <c r="EZ33" s="100"/>
      <c r="FA33" s="100"/>
      <c r="FB33" s="7"/>
      <c r="FC33" s="7"/>
      <c r="FD33" s="7"/>
      <c r="FE33" s="7"/>
      <c r="FF33" s="100"/>
      <c r="FH33" s="7"/>
      <c r="FI33" s="7"/>
      <c r="FJ33" s="7"/>
      <c r="FK33" s="7"/>
      <c r="FL33" s="100"/>
      <c r="FM33" s="7"/>
      <c r="FN33" s="7"/>
      <c r="FO33" s="100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U33" s="7"/>
      <c r="GV33" s="7"/>
      <c r="GW33" s="7"/>
      <c r="GX33" s="7"/>
    </row>
    <row r="34" spans="1:206" hidden="1">
      <c r="A34" s="7">
        <f>A33+1</f>
        <v>29</v>
      </c>
      <c r="B34" s="16" t="s">
        <v>35</v>
      </c>
      <c r="C34" s="6" t="s">
        <v>34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00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100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100"/>
      <c r="CO34" s="7"/>
      <c r="CP34" s="7"/>
      <c r="CQ34" s="7"/>
      <c r="CR34" s="7"/>
      <c r="CS34" s="7"/>
      <c r="CU34" s="100"/>
      <c r="CV34" s="100"/>
      <c r="CW34" s="100"/>
      <c r="CX34" s="100"/>
      <c r="CY34" s="100"/>
      <c r="CZ34" s="100"/>
      <c r="DA34" s="100"/>
      <c r="DB34" s="7"/>
      <c r="DC34" s="100"/>
      <c r="DD34" s="7"/>
      <c r="DE34" s="7"/>
      <c r="DF34" s="7"/>
      <c r="DG34" s="100"/>
      <c r="DH34" s="7"/>
      <c r="DI34" s="7"/>
      <c r="DJ34" s="7"/>
      <c r="DK34" s="7"/>
      <c r="DL34" s="100"/>
      <c r="DM34" s="100"/>
      <c r="DP34" s="100"/>
      <c r="DQ34" s="100"/>
      <c r="DR34" s="100"/>
      <c r="DS34" s="100"/>
      <c r="DT34" s="100"/>
      <c r="DU34" s="100"/>
      <c r="DV34" s="100"/>
      <c r="DW34" s="7"/>
      <c r="DX34" s="7"/>
      <c r="DY34" s="7"/>
      <c r="DZ34" s="7"/>
      <c r="EA34" s="7"/>
      <c r="EB34" s="7"/>
      <c r="EC34" s="7"/>
      <c r="ED34" s="100"/>
      <c r="EE34" s="7"/>
      <c r="EF34" s="7"/>
      <c r="EG34" s="100"/>
      <c r="EH34" s="100"/>
      <c r="EI34" s="100"/>
      <c r="EJ34" s="7"/>
      <c r="EK34" s="100"/>
      <c r="EL34" s="100"/>
      <c r="EM34" s="7"/>
      <c r="EN34" s="100"/>
      <c r="EO34" s="100"/>
      <c r="EP34" s="100"/>
      <c r="EQ34" s="7"/>
      <c r="ER34" s="7"/>
      <c r="ES34" s="7"/>
      <c r="ET34" s="7"/>
      <c r="EU34" s="100"/>
      <c r="EV34" s="7"/>
      <c r="EW34" s="100"/>
      <c r="EX34" s="100"/>
      <c r="EY34" s="100"/>
      <c r="EZ34" s="100"/>
      <c r="FA34" s="100"/>
      <c r="FB34" s="7"/>
      <c r="FC34" s="7"/>
      <c r="FD34" s="7"/>
      <c r="FE34" s="7"/>
      <c r="FF34" s="100"/>
      <c r="FH34" s="7"/>
      <c r="FI34" s="7"/>
      <c r="FJ34" s="7"/>
      <c r="FK34" s="7"/>
      <c r="FL34" s="100"/>
      <c r="FM34" s="7"/>
      <c r="FN34" s="7"/>
      <c r="FO34" s="100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U34" s="7"/>
      <c r="GV34" s="7"/>
      <c r="GW34" s="7"/>
      <c r="GX34" s="7"/>
    </row>
    <row r="35" spans="1:206" hidden="1">
      <c r="A35" s="7">
        <f t="shared" ref="A35:A40" si="3">A34+1</f>
        <v>30</v>
      </c>
      <c r="B35" s="16" t="s">
        <v>36</v>
      </c>
      <c r="C35" s="6" t="s">
        <v>34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00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100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100"/>
      <c r="CO35" s="7"/>
      <c r="CP35" s="7"/>
      <c r="CQ35" s="7"/>
      <c r="CR35" s="7"/>
      <c r="CS35" s="7"/>
      <c r="CU35" s="100"/>
      <c r="CV35" s="100"/>
      <c r="CW35" s="100"/>
      <c r="CX35" s="100"/>
      <c r="CY35" s="100"/>
      <c r="CZ35" s="100"/>
      <c r="DA35" s="100"/>
      <c r="DB35" s="7"/>
      <c r="DC35" s="100"/>
      <c r="DD35" s="7"/>
      <c r="DE35" s="7"/>
      <c r="DF35" s="7"/>
      <c r="DG35" s="100"/>
      <c r="DH35" s="7"/>
      <c r="DI35" s="7"/>
      <c r="DJ35" s="7"/>
      <c r="DK35" s="7"/>
      <c r="DL35" s="100"/>
      <c r="DM35" s="100"/>
      <c r="DP35" s="100"/>
      <c r="DQ35" s="100"/>
      <c r="DR35" s="100"/>
      <c r="DS35" s="100"/>
      <c r="DT35" s="100"/>
      <c r="DU35" s="100"/>
      <c r="DV35" s="100"/>
      <c r="DW35" s="7"/>
      <c r="DX35" s="7"/>
      <c r="DY35" s="7"/>
      <c r="DZ35" s="7"/>
      <c r="EA35" s="7"/>
      <c r="EB35" s="7"/>
      <c r="EC35" s="7"/>
      <c r="ED35" s="100"/>
      <c r="EE35" s="7"/>
      <c r="EF35" s="7"/>
      <c r="EG35" s="100"/>
      <c r="EH35" s="100"/>
      <c r="EI35" s="100"/>
      <c r="EJ35" s="7"/>
      <c r="EK35" s="100"/>
      <c r="EL35" s="100"/>
      <c r="EM35" s="7"/>
      <c r="EN35" s="100"/>
      <c r="EO35" s="100"/>
      <c r="EP35" s="100"/>
      <c r="EQ35" s="7"/>
      <c r="ER35" s="7"/>
      <c r="ES35" s="7"/>
      <c r="ET35" s="7"/>
      <c r="EU35" s="100"/>
      <c r="EV35" s="7"/>
      <c r="EW35" s="100"/>
      <c r="EX35" s="100"/>
      <c r="EY35" s="100"/>
      <c r="EZ35" s="100"/>
      <c r="FA35" s="100"/>
      <c r="FB35" s="7"/>
      <c r="FC35" s="7"/>
      <c r="FD35" s="7"/>
      <c r="FE35" s="7"/>
      <c r="FF35" s="100"/>
      <c r="FH35" s="7"/>
      <c r="FI35" s="7"/>
      <c r="FJ35" s="7"/>
      <c r="FK35" s="7"/>
      <c r="FL35" s="100"/>
      <c r="FM35" s="7"/>
      <c r="FN35" s="7"/>
      <c r="FO35" s="100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U35" s="7"/>
      <c r="GV35" s="7"/>
      <c r="GW35" s="7"/>
      <c r="GX35" s="7"/>
    </row>
    <row r="36" spans="1:206" hidden="1">
      <c r="A36" s="7">
        <f t="shared" si="3"/>
        <v>31</v>
      </c>
      <c r="B36" s="16" t="s">
        <v>37</v>
      </c>
      <c r="C36" s="6" t="s">
        <v>34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00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100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100"/>
      <c r="CO36" s="7"/>
      <c r="CP36" s="7"/>
      <c r="CQ36" s="7"/>
      <c r="CR36" s="7"/>
      <c r="CS36" s="7"/>
      <c r="CU36" s="100"/>
      <c r="CV36" s="100"/>
      <c r="CW36" s="100"/>
      <c r="CX36" s="100"/>
      <c r="CY36" s="100"/>
      <c r="CZ36" s="100"/>
      <c r="DA36" s="100"/>
      <c r="DB36" s="7"/>
      <c r="DC36" s="100"/>
      <c r="DD36" s="7"/>
      <c r="DE36" s="7"/>
      <c r="DF36" s="7"/>
      <c r="DG36" s="100"/>
      <c r="DH36" s="7"/>
      <c r="DI36" s="7"/>
      <c r="DJ36" s="7"/>
      <c r="DK36" s="7"/>
      <c r="DL36" s="100"/>
      <c r="DM36" s="100"/>
      <c r="DP36" s="100"/>
      <c r="DQ36" s="100"/>
      <c r="DR36" s="100"/>
      <c r="DS36" s="100"/>
      <c r="DT36" s="100"/>
      <c r="DU36" s="100"/>
      <c r="DV36" s="100"/>
      <c r="DW36" s="7"/>
      <c r="DX36" s="7"/>
      <c r="DY36" s="7"/>
      <c r="DZ36" s="7"/>
      <c r="EA36" s="7"/>
      <c r="EB36" s="7"/>
      <c r="EC36" s="7"/>
      <c r="ED36" s="100"/>
      <c r="EE36" s="7"/>
      <c r="EF36" s="7"/>
      <c r="EG36" s="100"/>
      <c r="EH36" s="100"/>
      <c r="EI36" s="100"/>
      <c r="EJ36" s="7"/>
      <c r="EK36" s="100"/>
      <c r="EL36" s="100"/>
      <c r="EM36" s="7"/>
      <c r="EN36" s="100"/>
      <c r="EO36" s="100"/>
      <c r="EP36" s="100"/>
      <c r="EQ36" s="7"/>
      <c r="ER36" s="7"/>
      <c r="ES36" s="7"/>
      <c r="ET36" s="7"/>
      <c r="EU36" s="100"/>
      <c r="EV36" s="7"/>
      <c r="EW36" s="100"/>
      <c r="EX36" s="100"/>
      <c r="EY36" s="100"/>
      <c r="EZ36" s="100"/>
      <c r="FA36" s="100"/>
      <c r="FB36" s="7"/>
      <c r="FC36" s="7"/>
      <c r="FD36" s="7"/>
      <c r="FE36" s="7"/>
      <c r="FF36" s="100"/>
      <c r="FH36" s="7"/>
      <c r="FI36" s="7"/>
      <c r="FJ36" s="7"/>
      <c r="FK36" s="7"/>
      <c r="FL36" s="100"/>
      <c r="FM36" s="7"/>
      <c r="FN36" s="7"/>
      <c r="FO36" s="100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U36" s="7"/>
      <c r="GV36" s="7"/>
      <c r="GW36" s="7"/>
      <c r="GX36" s="7"/>
    </row>
    <row r="37" spans="1:206" hidden="1">
      <c r="A37" s="7">
        <f t="shared" si="3"/>
        <v>32</v>
      </c>
      <c r="B37" s="16" t="s">
        <v>38</v>
      </c>
      <c r="C37" s="6" t="s">
        <v>34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00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100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100"/>
      <c r="CO37" s="7"/>
      <c r="CP37" s="7"/>
      <c r="CQ37" s="7"/>
      <c r="CR37" s="7"/>
      <c r="CS37" s="7"/>
      <c r="CU37" s="100"/>
      <c r="CV37" s="100"/>
      <c r="CW37" s="100"/>
      <c r="CX37" s="100"/>
      <c r="CY37" s="100"/>
      <c r="CZ37" s="100"/>
      <c r="DA37" s="100"/>
      <c r="DB37" s="7"/>
      <c r="DC37" s="100"/>
      <c r="DD37" s="7"/>
      <c r="DE37" s="7"/>
      <c r="DF37" s="7"/>
      <c r="DG37" s="100"/>
      <c r="DH37" s="7"/>
      <c r="DI37" s="7"/>
      <c r="DJ37" s="7"/>
      <c r="DK37" s="7"/>
      <c r="DL37" s="100"/>
      <c r="DM37" s="100"/>
      <c r="DP37" s="100"/>
      <c r="DQ37" s="100"/>
      <c r="DR37" s="100"/>
      <c r="DS37" s="100"/>
      <c r="DT37" s="100"/>
      <c r="DU37" s="100"/>
      <c r="DV37" s="100"/>
      <c r="DW37" s="7"/>
      <c r="DX37" s="7"/>
      <c r="DY37" s="7"/>
      <c r="DZ37" s="7"/>
      <c r="EA37" s="7"/>
      <c r="EB37" s="7"/>
      <c r="EC37" s="7"/>
      <c r="ED37" s="100"/>
      <c r="EE37" s="7"/>
      <c r="EF37" s="7"/>
      <c r="EG37" s="100"/>
      <c r="EH37" s="100"/>
      <c r="EI37" s="100"/>
      <c r="EJ37" s="7"/>
      <c r="EK37" s="100"/>
      <c r="EL37" s="100"/>
      <c r="EM37" s="7"/>
      <c r="EN37" s="100"/>
      <c r="EO37" s="100"/>
      <c r="EP37" s="100"/>
      <c r="EQ37" s="7"/>
      <c r="ER37" s="7"/>
      <c r="ES37" s="7"/>
      <c r="ET37" s="7"/>
      <c r="EU37" s="100"/>
      <c r="EV37" s="7"/>
      <c r="EW37" s="100"/>
      <c r="EX37" s="100"/>
      <c r="EY37" s="100"/>
      <c r="EZ37" s="100"/>
      <c r="FA37" s="100"/>
      <c r="FB37" s="7"/>
      <c r="FC37" s="7"/>
      <c r="FD37" s="7"/>
      <c r="FE37" s="7"/>
      <c r="FF37" s="100"/>
      <c r="FH37" s="7"/>
      <c r="FI37" s="7"/>
      <c r="FJ37" s="7"/>
      <c r="FK37" s="7"/>
      <c r="FL37" s="100"/>
      <c r="FM37" s="7"/>
      <c r="FN37" s="7"/>
      <c r="FO37" s="100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U37" s="7"/>
      <c r="GV37" s="7"/>
      <c r="GW37" s="7"/>
      <c r="GX37" s="7"/>
    </row>
    <row r="38" spans="1:206" hidden="1">
      <c r="A38" s="7">
        <f t="shared" si="3"/>
        <v>33</v>
      </c>
      <c r="B38" s="16" t="s">
        <v>39</v>
      </c>
      <c r="C38" s="6" t="s">
        <v>3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00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100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100"/>
      <c r="CO38" s="7"/>
      <c r="CP38" s="7"/>
      <c r="CQ38" s="7"/>
      <c r="CR38" s="7"/>
      <c r="CS38" s="7"/>
      <c r="CU38" s="100"/>
      <c r="CV38" s="100"/>
      <c r="CW38" s="100"/>
      <c r="CX38" s="100"/>
      <c r="CY38" s="100"/>
      <c r="CZ38" s="100"/>
      <c r="DA38" s="100"/>
      <c r="DB38" s="7"/>
      <c r="DC38" s="100"/>
      <c r="DD38" s="7"/>
      <c r="DE38" s="7"/>
      <c r="DF38" s="7"/>
      <c r="DG38" s="100"/>
      <c r="DH38" s="7"/>
      <c r="DI38" s="7"/>
      <c r="DJ38" s="7"/>
      <c r="DK38" s="7"/>
      <c r="DL38" s="100"/>
      <c r="DM38" s="100"/>
      <c r="DP38" s="100"/>
      <c r="DQ38" s="100"/>
      <c r="DR38" s="100"/>
      <c r="DS38" s="100"/>
      <c r="DT38" s="100"/>
      <c r="DU38" s="100"/>
      <c r="DV38" s="100"/>
      <c r="DW38" s="7"/>
      <c r="DX38" s="7"/>
      <c r="DY38" s="7"/>
      <c r="DZ38" s="7"/>
      <c r="EA38" s="7"/>
      <c r="EB38" s="7"/>
      <c r="EC38" s="7"/>
      <c r="ED38" s="100"/>
      <c r="EE38" s="7"/>
      <c r="EF38" s="7"/>
      <c r="EG38" s="100"/>
      <c r="EH38" s="100"/>
      <c r="EI38" s="100"/>
      <c r="EJ38" s="7"/>
      <c r="EK38" s="100"/>
      <c r="EL38" s="100"/>
      <c r="EM38" s="7"/>
      <c r="EN38" s="100"/>
      <c r="EO38" s="100"/>
      <c r="EP38" s="100"/>
      <c r="EQ38" s="7"/>
      <c r="ER38" s="7"/>
      <c r="ES38" s="7"/>
      <c r="ET38" s="7"/>
      <c r="EU38" s="100"/>
      <c r="EV38" s="7"/>
      <c r="EW38" s="100"/>
      <c r="EX38" s="100"/>
      <c r="EY38" s="100"/>
      <c r="EZ38" s="100"/>
      <c r="FA38" s="100"/>
      <c r="FB38" s="7"/>
      <c r="FC38" s="7"/>
      <c r="FD38" s="7"/>
      <c r="FE38" s="7"/>
      <c r="FF38" s="100"/>
      <c r="FH38" s="7"/>
      <c r="FI38" s="7"/>
      <c r="FJ38" s="7"/>
      <c r="FK38" s="7"/>
      <c r="FL38" s="100"/>
      <c r="FM38" s="7"/>
      <c r="FN38" s="7"/>
      <c r="FO38" s="100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U38" s="7"/>
      <c r="GV38" s="7"/>
      <c r="GW38" s="7"/>
      <c r="GX38" s="7"/>
    </row>
    <row r="39" spans="1:206" hidden="1">
      <c r="A39" s="7">
        <f t="shared" si="3"/>
        <v>34</v>
      </c>
      <c r="B39" s="16" t="s">
        <v>40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00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100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100"/>
      <c r="CO39" s="7"/>
      <c r="CP39" s="7"/>
      <c r="CQ39" s="7"/>
      <c r="CR39" s="7"/>
      <c r="CS39" s="7"/>
      <c r="CU39" s="100"/>
      <c r="CV39" s="100"/>
      <c r="CW39" s="100"/>
      <c r="CX39" s="100"/>
      <c r="CY39" s="100"/>
      <c r="CZ39" s="100"/>
      <c r="DA39" s="100"/>
      <c r="DB39" s="7"/>
      <c r="DC39" s="100"/>
      <c r="DD39" s="7"/>
      <c r="DE39" s="7"/>
      <c r="DF39" s="7"/>
      <c r="DG39" s="100"/>
      <c r="DH39" s="7"/>
      <c r="DI39" s="7"/>
      <c r="DJ39" s="7"/>
      <c r="DK39" s="7"/>
      <c r="DL39" s="100"/>
      <c r="DM39" s="100"/>
      <c r="DP39" s="100"/>
      <c r="DQ39" s="100"/>
      <c r="DR39" s="100"/>
      <c r="DS39" s="100"/>
      <c r="DT39" s="100"/>
      <c r="DU39" s="100"/>
      <c r="DV39" s="100"/>
      <c r="DW39" s="7"/>
      <c r="DX39" s="7"/>
      <c r="DY39" s="7"/>
      <c r="DZ39" s="7"/>
      <c r="EA39" s="7"/>
      <c r="EB39" s="7"/>
      <c r="EC39" s="7"/>
      <c r="ED39" s="100"/>
      <c r="EE39" s="7"/>
      <c r="EF39" s="7"/>
      <c r="EG39" s="100"/>
      <c r="EH39" s="100"/>
      <c r="EI39" s="100"/>
      <c r="EJ39" s="7"/>
      <c r="EK39" s="100"/>
      <c r="EL39" s="100"/>
      <c r="EM39" s="7"/>
      <c r="EN39" s="100"/>
      <c r="EO39" s="100"/>
      <c r="EP39" s="100"/>
      <c r="EQ39" s="7"/>
      <c r="ER39" s="7"/>
      <c r="ES39" s="7"/>
      <c r="ET39" s="7"/>
      <c r="EU39" s="100"/>
      <c r="EV39" s="7"/>
      <c r="EW39" s="100"/>
      <c r="EX39" s="100"/>
      <c r="EY39" s="100"/>
      <c r="EZ39" s="100"/>
      <c r="FA39" s="100"/>
      <c r="FB39" s="7"/>
      <c r="FC39" s="7"/>
      <c r="FD39" s="7"/>
      <c r="FE39" s="7"/>
      <c r="FF39" s="100"/>
      <c r="FH39" s="7"/>
      <c r="FI39" s="7"/>
      <c r="FJ39" s="7"/>
      <c r="FK39" s="7"/>
      <c r="FL39" s="100"/>
      <c r="FM39" s="7"/>
      <c r="FN39" s="7"/>
      <c r="FO39" s="100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U39" s="7"/>
      <c r="GV39" s="7"/>
      <c r="GW39" s="7"/>
      <c r="GX39" s="7"/>
    </row>
    <row r="40" spans="1:206" hidden="1">
      <c r="A40" s="7">
        <f t="shared" si="3"/>
        <v>35</v>
      </c>
      <c r="B40" s="16" t="s">
        <v>41</v>
      </c>
      <c r="C40" s="6" t="s">
        <v>34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00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100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100"/>
      <c r="CO40" s="7"/>
      <c r="CP40" s="7"/>
      <c r="CQ40" s="7"/>
      <c r="CR40" s="7"/>
      <c r="CS40" s="7"/>
      <c r="CU40" s="100"/>
      <c r="CV40" s="100"/>
      <c r="CW40" s="100"/>
      <c r="CX40" s="100"/>
      <c r="CY40" s="100"/>
      <c r="CZ40" s="100"/>
      <c r="DA40" s="100"/>
      <c r="DB40" s="7"/>
      <c r="DC40" s="100"/>
      <c r="DD40" s="7"/>
      <c r="DE40" s="7"/>
      <c r="DF40" s="7"/>
      <c r="DG40" s="100"/>
      <c r="DH40" s="7"/>
      <c r="DI40" s="7"/>
      <c r="DJ40" s="7"/>
      <c r="DK40" s="7"/>
      <c r="DL40" s="100"/>
      <c r="DM40" s="100"/>
      <c r="DP40" s="100"/>
      <c r="DQ40" s="100"/>
      <c r="DR40" s="100"/>
      <c r="DS40" s="100"/>
      <c r="DT40" s="100"/>
      <c r="DU40" s="100"/>
      <c r="DV40" s="100"/>
      <c r="DW40" s="7"/>
      <c r="DX40" s="7"/>
      <c r="DY40" s="7"/>
      <c r="DZ40" s="7"/>
      <c r="EA40" s="7"/>
      <c r="EB40" s="7"/>
      <c r="EC40" s="7"/>
      <c r="ED40" s="100"/>
      <c r="EE40" s="7"/>
      <c r="EF40" s="7"/>
      <c r="EG40" s="100"/>
      <c r="EH40" s="100"/>
      <c r="EI40" s="100"/>
      <c r="EJ40" s="7"/>
      <c r="EK40" s="100"/>
      <c r="EL40" s="100"/>
      <c r="EM40" s="7"/>
      <c r="EN40" s="100"/>
      <c r="EO40" s="100"/>
      <c r="EP40" s="100"/>
      <c r="EQ40" s="7"/>
      <c r="ER40" s="7"/>
      <c r="ES40" s="7"/>
      <c r="ET40" s="7"/>
      <c r="EU40" s="100"/>
      <c r="EV40" s="7"/>
      <c r="EW40" s="100"/>
      <c r="EX40" s="100"/>
      <c r="EY40" s="100"/>
      <c r="EZ40" s="100"/>
      <c r="FA40" s="100"/>
      <c r="FB40" s="7"/>
      <c r="FC40" s="7"/>
      <c r="FD40" s="7"/>
      <c r="FE40" s="7"/>
      <c r="FF40" s="100"/>
      <c r="FH40" s="7"/>
      <c r="FI40" s="7"/>
      <c r="FJ40" s="7"/>
      <c r="FK40" s="7"/>
      <c r="FL40" s="100"/>
      <c r="FM40" s="7"/>
      <c r="FN40" s="7"/>
      <c r="FO40" s="100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U40" s="7"/>
      <c r="GV40" s="7"/>
      <c r="GW40" s="7"/>
      <c r="GX40" s="7"/>
    </row>
    <row r="41" spans="1:206">
      <c r="A41" s="2"/>
      <c r="B41" s="2" t="s">
        <v>42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00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100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100"/>
      <c r="CO41" s="7"/>
      <c r="CP41" s="7"/>
      <c r="CQ41" s="7"/>
      <c r="CR41" s="7"/>
      <c r="CS41" s="7"/>
      <c r="CT41" s="100"/>
      <c r="CU41" s="100"/>
      <c r="CV41" s="100"/>
      <c r="CW41" s="100"/>
      <c r="CX41" s="100"/>
      <c r="CY41" s="100"/>
      <c r="CZ41" s="100"/>
      <c r="DA41" s="100"/>
      <c r="DB41" s="7"/>
      <c r="DC41" s="100"/>
      <c r="DD41" s="7"/>
      <c r="DE41" s="7"/>
      <c r="DF41" s="7"/>
      <c r="DG41" s="100"/>
      <c r="DH41" s="7"/>
      <c r="DI41" s="7"/>
      <c r="DJ41" s="7"/>
      <c r="DK41" s="7"/>
      <c r="DL41" s="100"/>
      <c r="DM41" s="100"/>
      <c r="DN41" s="100"/>
      <c r="DO41" s="100"/>
      <c r="DP41" s="100"/>
      <c r="DQ41" s="100"/>
      <c r="DR41" s="100"/>
      <c r="DS41" s="100"/>
      <c r="DT41" s="100"/>
      <c r="DU41" s="100"/>
      <c r="DV41" s="100"/>
      <c r="DW41" s="7"/>
      <c r="DX41" s="7"/>
      <c r="DY41" s="7"/>
      <c r="DZ41" s="7"/>
      <c r="EA41" s="7"/>
      <c r="EB41" s="7"/>
      <c r="EC41" s="7"/>
      <c r="ED41" s="100"/>
      <c r="EE41" s="7"/>
      <c r="EF41" s="7"/>
      <c r="EG41" s="100"/>
      <c r="EH41" s="100"/>
      <c r="EI41" s="100"/>
      <c r="EJ41" s="7"/>
      <c r="EK41" s="100"/>
      <c r="EL41" s="100"/>
      <c r="EM41" s="7"/>
      <c r="EN41" s="100"/>
      <c r="EO41" s="100"/>
      <c r="EP41" s="100"/>
      <c r="EQ41" s="7"/>
      <c r="ER41" s="7"/>
      <c r="ES41" s="7"/>
      <c r="ET41" s="7"/>
      <c r="EU41" s="100"/>
      <c r="EV41" s="7"/>
      <c r="EW41" s="100"/>
      <c r="EX41" s="100"/>
      <c r="EY41" s="100"/>
      <c r="EZ41" s="100"/>
      <c r="FA41" s="100"/>
      <c r="FB41" s="7"/>
      <c r="FC41" s="7"/>
      <c r="FD41" s="7"/>
      <c r="FE41" s="7"/>
      <c r="FF41" s="100"/>
      <c r="FG41" s="100"/>
      <c r="FH41" s="7"/>
      <c r="FI41" s="7"/>
      <c r="FJ41" s="7"/>
      <c r="FK41" s="7"/>
      <c r="FL41" s="100"/>
      <c r="FM41" s="7"/>
      <c r="FN41" s="7"/>
      <c r="FO41" s="100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U41" s="7"/>
      <c r="GV41" s="7"/>
      <c r="GW41" s="7"/>
      <c r="GX41" s="7"/>
    </row>
    <row r="42" spans="1:206">
      <c r="A42" s="7">
        <f>A40+1</f>
        <v>36</v>
      </c>
      <c r="B42" s="6" t="s">
        <v>453</v>
      </c>
      <c r="C42" s="6" t="s">
        <v>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00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 t="s">
        <v>504</v>
      </c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 t="s">
        <v>454</v>
      </c>
      <c r="CO42" s="7"/>
      <c r="CP42" s="7"/>
      <c r="CQ42" s="7"/>
      <c r="CR42" s="7"/>
      <c r="CS42" s="7"/>
      <c r="CT42" s="7" t="s">
        <v>493</v>
      </c>
      <c r="CU42" s="7" t="s">
        <v>510</v>
      </c>
      <c r="CV42" s="7" t="s">
        <v>528</v>
      </c>
      <c r="CW42" s="7" t="s">
        <v>515</v>
      </c>
      <c r="CX42" s="7" t="s">
        <v>507</v>
      </c>
      <c r="CY42" s="7" t="s">
        <v>524</v>
      </c>
      <c r="CZ42" s="7" t="s">
        <v>522</v>
      </c>
      <c r="DA42" s="7" t="s">
        <v>513</v>
      </c>
      <c r="DB42" s="7"/>
      <c r="DC42" s="7" t="s">
        <v>555</v>
      </c>
      <c r="DD42" s="7"/>
      <c r="DE42" s="7"/>
      <c r="DF42" s="7"/>
      <c r="DG42" s="7" t="s">
        <v>533</v>
      </c>
      <c r="DH42" s="7"/>
      <c r="DI42" s="7"/>
      <c r="DJ42" s="7"/>
      <c r="DK42" s="7"/>
      <c r="DL42" s="7" t="s">
        <v>553</v>
      </c>
      <c r="DM42" s="7" t="s">
        <v>548</v>
      </c>
      <c r="DN42" s="7" t="s">
        <v>551</v>
      </c>
      <c r="DO42" s="7" t="s">
        <v>553</v>
      </c>
      <c r="DP42" s="7" t="s">
        <v>562</v>
      </c>
      <c r="DQ42" s="7" t="s">
        <v>576</v>
      </c>
      <c r="DR42" s="7" t="s">
        <v>572</v>
      </c>
      <c r="DS42" s="7" t="s">
        <v>588</v>
      </c>
      <c r="DT42" s="100"/>
      <c r="DU42" s="7" t="s">
        <v>493</v>
      </c>
      <c r="DV42" s="7" t="s">
        <v>592</v>
      </c>
      <c r="DW42" s="7"/>
      <c r="DX42" s="7"/>
      <c r="DY42" s="7"/>
      <c r="DZ42" s="7"/>
      <c r="EA42" s="7"/>
      <c r="EB42" s="7"/>
      <c r="EC42" s="7"/>
      <c r="ED42" s="7" t="s">
        <v>594</v>
      </c>
      <c r="EE42" s="7"/>
      <c r="EF42" s="7"/>
      <c r="EG42" s="7" t="s">
        <v>597</v>
      </c>
      <c r="EH42" s="7" t="s">
        <v>600</v>
      </c>
      <c r="EI42" s="7" t="s">
        <v>606</v>
      </c>
      <c r="EJ42" s="7"/>
      <c r="EK42" s="7" t="s">
        <v>603</v>
      </c>
      <c r="EL42" s="7" t="s">
        <v>614</v>
      </c>
      <c r="EM42" s="7"/>
      <c r="EN42" s="7" t="s">
        <v>611</v>
      </c>
      <c r="EO42" s="7" t="s">
        <v>493</v>
      </c>
      <c r="EP42" s="100"/>
      <c r="EQ42" s="7"/>
      <c r="ER42" s="7"/>
      <c r="ES42" s="7"/>
      <c r="ET42" s="7"/>
      <c r="EU42" s="7" t="s">
        <v>624</v>
      </c>
      <c r="EV42" s="7"/>
      <c r="EW42" s="7" t="s">
        <v>617</v>
      </c>
      <c r="EX42" s="7" t="s">
        <v>615</v>
      </c>
      <c r="EY42" s="7" t="s">
        <v>493</v>
      </c>
      <c r="EZ42" s="7" t="s">
        <v>621</v>
      </c>
      <c r="FA42" s="7" t="s">
        <v>625</v>
      </c>
      <c r="FB42" s="7"/>
      <c r="FC42" s="7"/>
      <c r="FD42" s="7"/>
      <c r="FE42" s="7"/>
      <c r="FF42" s="7" t="s">
        <v>631</v>
      </c>
      <c r="FG42" s="7" t="s">
        <v>633</v>
      </c>
      <c r="FH42" s="7"/>
      <c r="FI42" s="7"/>
      <c r="FJ42" s="7"/>
      <c r="FK42" s="7"/>
      <c r="FL42" s="7" t="s">
        <v>636</v>
      </c>
      <c r="FM42" s="7"/>
      <c r="FN42" s="7"/>
      <c r="FO42" s="7" t="s">
        <v>640</v>
      </c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U42" s="7"/>
      <c r="GV42" s="7"/>
      <c r="GW42" s="7"/>
      <c r="GX42" s="7"/>
    </row>
    <row r="43" spans="1:206">
      <c r="A43" s="7">
        <f>A42+1</f>
        <v>37</v>
      </c>
      <c r="B43" s="6" t="s">
        <v>43</v>
      </c>
      <c r="C43" s="6" t="s">
        <v>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00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100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 t="s">
        <v>457</v>
      </c>
      <c r="CO43" s="7"/>
      <c r="CP43" s="7"/>
      <c r="CQ43" s="7"/>
      <c r="CR43" s="7"/>
      <c r="CS43" s="7"/>
      <c r="CT43" s="100"/>
      <c r="CU43" s="7" t="s">
        <v>511</v>
      </c>
      <c r="CV43" s="7" t="s">
        <v>529</v>
      </c>
      <c r="CW43" s="7" t="s">
        <v>517</v>
      </c>
      <c r="CX43" s="100" t="s">
        <v>508</v>
      </c>
      <c r="CY43" s="100"/>
      <c r="CZ43" s="100"/>
      <c r="DA43" s="7" t="s">
        <v>514</v>
      </c>
      <c r="DB43" s="7"/>
      <c r="DC43" s="7" t="s">
        <v>556</v>
      </c>
      <c r="DD43" s="7"/>
      <c r="DE43" s="7"/>
      <c r="DF43" s="7"/>
      <c r="DG43" s="100"/>
      <c r="DH43" s="7"/>
      <c r="DI43" s="7"/>
      <c r="DJ43" s="7"/>
      <c r="DK43" s="7"/>
      <c r="DL43" s="100"/>
      <c r="DM43" s="7" t="s">
        <v>549</v>
      </c>
      <c r="DN43" s="104">
        <v>0.3</v>
      </c>
      <c r="DO43" s="100"/>
      <c r="DP43" s="7" t="s">
        <v>569</v>
      </c>
      <c r="DQ43" s="7" t="s">
        <v>579</v>
      </c>
      <c r="DR43" s="7" t="s">
        <v>573</v>
      </c>
      <c r="DS43" s="104">
        <v>0.1</v>
      </c>
      <c r="DT43" s="100"/>
      <c r="DU43" s="104" t="s">
        <v>591</v>
      </c>
      <c r="DV43" s="100"/>
      <c r="DW43" s="7"/>
      <c r="DX43" s="7"/>
      <c r="DY43" s="7"/>
      <c r="DZ43" s="7"/>
      <c r="EA43" s="7"/>
      <c r="EB43" s="7"/>
      <c r="EC43" s="7"/>
      <c r="ED43" s="104" t="s">
        <v>595</v>
      </c>
      <c r="EE43" s="7"/>
      <c r="EF43" s="7"/>
      <c r="EG43" s="7" t="s">
        <v>598</v>
      </c>
      <c r="EH43" s="104" t="s">
        <v>601</v>
      </c>
      <c r="EI43" s="104" t="s">
        <v>607</v>
      </c>
      <c r="EJ43" s="7"/>
      <c r="EK43" s="7" t="s">
        <v>605</v>
      </c>
      <c r="EL43" s="100"/>
      <c r="EM43" s="7"/>
      <c r="EN43" s="104" t="s">
        <v>612</v>
      </c>
      <c r="EO43" s="100"/>
      <c r="EP43" s="100"/>
      <c r="EQ43" s="7"/>
      <c r="ER43" s="7"/>
      <c r="ES43" s="7"/>
      <c r="ET43" s="7"/>
      <c r="EU43" s="100"/>
      <c r="EV43" s="7"/>
      <c r="EW43" s="7" t="s">
        <v>618</v>
      </c>
      <c r="EX43" s="100"/>
      <c r="EY43" s="7" t="s">
        <v>623</v>
      </c>
      <c r="EZ43" s="100"/>
      <c r="FA43" s="7" t="s">
        <v>626</v>
      </c>
      <c r="FB43" s="7"/>
      <c r="FC43" s="7"/>
      <c r="FD43" s="7"/>
      <c r="FE43" s="7"/>
      <c r="FF43" s="100"/>
      <c r="FG43" s="100"/>
      <c r="FH43" s="7"/>
      <c r="FI43" s="7"/>
      <c r="FJ43" s="7"/>
      <c r="FK43" s="7"/>
      <c r="FL43" s="7" t="s">
        <v>637</v>
      </c>
      <c r="FM43" s="7"/>
      <c r="FN43" s="7"/>
      <c r="FO43" s="100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U43" s="7"/>
      <c r="GV43" s="7"/>
      <c r="GW43" s="7"/>
      <c r="GX43" s="7"/>
    </row>
    <row r="44" spans="1:206">
      <c r="A44" s="7">
        <f>A43+1</f>
        <v>38</v>
      </c>
      <c r="B44" s="6" t="s">
        <v>495</v>
      </c>
      <c r="C44" s="6" t="s">
        <v>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00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100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100"/>
      <c r="CO44" s="7"/>
      <c r="CP44" s="7"/>
      <c r="CQ44" s="7"/>
      <c r="CR44" s="7"/>
      <c r="CS44" s="7"/>
      <c r="CT44" s="100"/>
      <c r="CU44" s="100"/>
      <c r="CV44" s="7">
        <v>690</v>
      </c>
      <c r="CW44" s="7">
        <v>1000</v>
      </c>
      <c r="CX44" s="100"/>
      <c r="CY44" s="100"/>
      <c r="CZ44" s="100"/>
      <c r="DA44" s="100"/>
      <c r="DB44" s="7"/>
      <c r="DC44" s="100"/>
      <c r="DD44" s="7"/>
      <c r="DE44" s="7"/>
      <c r="DF44" s="7"/>
      <c r="DG44" s="100"/>
      <c r="DH44" s="7"/>
      <c r="DI44" s="7"/>
      <c r="DJ44" s="7"/>
      <c r="DK44" s="7"/>
      <c r="DL44" s="100"/>
      <c r="DM44" s="100"/>
      <c r="DN44" s="100"/>
      <c r="DO44" s="100"/>
      <c r="DP44" s="100"/>
      <c r="DQ44" s="100"/>
      <c r="DR44" s="7">
        <v>9</v>
      </c>
      <c r="DS44" s="100"/>
      <c r="DT44" s="100"/>
      <c r="DU44" s="7">
        <v>130</v>
      </c>
      <c r="DV44" s="100"/>
      <c r="DW44" s="7"/>
      <c r="DX44" s="7"/>
      <c r="DY44" s="7"/>
      <c r="DZ44" s="7"/>
      <c r="EA44" s="7"/>
      <c r="EB44" s="7"/>
      <c r="EC44" s="7"/>
      <c r="ED44" s="100"/>
      <c r="EE44" s="7"/>
      <c r="EF44" s="7"/>
      <c r="EG44" s="7">
        <v>49</v>
      </c>
      <c r="EH44" s="100"/>
      <c r="EI44" s="7" t="s">
        <v>608</v>
      </c>
      <c r="EJ44" s="7"/>
      <c r="EK44" s="100"/>
      <c r="EL44" s="7">
        <v>545</v>
      </c>
      <c r="EM44" s="7"/>
      <c r="EN44" s="100"/>
      <c r="EO44" s="100"/>
      <c r="EP44" s="100"/>
      <c r="EQ44" s="7"/>
      <c r="ER44" s="7"/>
      <c r="ES44" s="7"/>
      <c r="ET44" s="7"/>
      <c r="EU44" s="100"/>
      <c r="EV44" s="7"/>
      <c r="EW44" s="7">
        <v>300</v>
      </c>
      <c r="EX44" s="100"/>
      <c r="EY44" s="100"/>
      <c r="EZ44" s="100"/>
      <c r="FA44" s="100"/>
      <c r="FB44" s="7"/>
      <c r="FC44" s="7"/>
      <c r="FD44" s="7"/>
      <c r="FE44" s="7"/>
      <c r="FF44" s="100"/>
      <c r="FG44" s="100"/>
      <c r="FH44" s="7"/>
      <c r="FI44" s="7"/>
      <c r="FJ44" s="7"/>
      <c r="FK44" s="7"/>
      <c r="FL44" s="100"/>
      <c r="FM44" s="7"/>
      <c r="FN44" s="7"/>
      <c r="FO44" s="100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U44" s="7"/>
      <c r="GV44" s="7"/>
      <c r="GW44" s="7"/>
      <c r="GX44" s="7"/>
    </row>
    <row r="45" spans="1:206">
      <c r="A45" s="7">
        <f t="shared" ref="A45:A53" si="4">A44+1</f>
        <v>39</v>
      </c>
      <c r="B45" s="6" t="s">
        <v>44</v>
      </c>
      <c r="C45" s="6" t="s">
        <v>3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00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100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100"/>
      <c r="CO45" s="7"/>
      <c r="CP45" s="7"/>
      <c r="CQ45" s="7"/>
      <c r="CR45" s="7"/>
      <c r="CS45" s="7"/>
      <c r="CT45" s="100"/>
      <c r="CU45" s="7">
        <f>40*10^5</f>
        <v>4000000</v>
      </c>
      <c r="CV45" s="100"/>
      <c r="CW45" s="7">
        <f>500*10^5</f>
        <v>50000000</v>
      </c>
      <c r="CX45" s="100"/>
      <c r="CY45" s="100"/>
      <c r="CZ45" s="7">
        <v>1500000</v>
      </c>
      <c r="DA45" s="7">
        <f>150*10^5</f>
        <v>15000000</v>
      </c>
      <c r="DB45" s="7"/>
      <c r="DC45" s="100"/>
      <c r="DD45" s="7"/>
      <c r="DE45" s="7"/>
      <c r="DF45" s="7"/>
      <c r="DG45" s="100"/>
      <c r="DH45" s="7"/>
      <c r="DI45" s="7"/>
      <c r="DJ45" s="7"/>
      <c r="DK45" s="7"/>
      <c r="DL45" s="7">
        <v>6000000</v>
      </c>
      <c r="DM45" s="7">
        <v>2000000</v>
      </c>
      <c r="DN45" s="100"/>
      <c r="DO45" s="7">
        <v>4000000</v>
      </c>
      <c r="DP45" s="100"/>
      <c r="DQ45" s="100"/>
      <c r="DR45" s="100"/>
      <c r="DS45" s="100"/>
      <c r="DT45" s="100"/>
      <c r="DU45" s="100"/>
      <c r="DV45" s="100"/>
      <c r="DW45" s="7"/>
      <c r="DX45" s="7"/>
      <c r="DY45" s="7"/>
      <c r="DZ45" s="7"/>
      <c r="EA45" s="7"/>
      <c r="EB45" s="7"/>
      <c r="EC45" s="7"/>
      <c r="ED45" s="100"/>
      <c r="EE45" s="7"/>
      <c r="EF45" s="7"/>
      <c r="EG45" s="100"/>
      <c r="EH45" s="100"/>
      <c r="EI45" s="100"/>
      <c r="EJ45" s="7"/>
      <c r="EK45" s="100"/>
      <c r="EL45" s="7">
        <v>200000</v>
      </c>
      <c r="EM45" s="7"/>
      <c r="EN45" s="100"/>
      <c r="EO45" s="100"/>
      <c r="EP45" s="7">
        <v>7800000</v>
      </c>
      <c r="EQ45" s="7"/>
      <c r="ER45" s="7"/>
      <c r="ES45" s="7"/>
      <c r="ET45" s="7"/>
      <c r="EU45" s="7">
        <v>1200000</v>
      </c>
      <c r="EV45" s="7"/>
      <c r="EW45" s="7">
        <v>1500000</v>
      </c>
      <c r="EX45" s="100"/>
      <c r="EY45" s="100"/>
      <c r="EZ45" s="100"/>
      <c r="FA45" s="100"/>
      <c r="FB45" s="7"/>
      <c r="FC45" s="7"/>
      <c r="FD45" s="7"/>
      <c r="FE45" s="7"/>
      <c r="FF45" s="100"/>
      <c r="FG45" s="100"/>
      <c r="FH45" s="7"/>
      <c r="FI45" s="7"/>
      <c r="FJ45" s="7"/>
      <c r="FK45" s="7"/>
      <c r="FL45" s="100"/>
      <c r="FM45" s="7"/>
      <c r="FN45" s="7"/>
      <c r="FO45" s="100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U45" s="7"/>
      <c r="GV45" s="7"/>
      <c r="GW45" s="7"/>
      <c r="GX45" s="7"/>
    </row>
    <row r="46" spans="1:206">
      <c r="A46" s="7">
        <f t="shared" si="4"/>
        <v>40</v>
      </c>
      <c r="B46" s="6" t="s">
        <v>45</v>
      </c>
      <c r="C46" s="6" t="s">
        <v>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 t="s">
        <v>498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 t="s">
        <v>498</v>
      </c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 t="s">
        <v>456</v>
      </c>
      <c r="CO46" s="7"/>
      <c r="CP46" s="7"/>
      <c r="CQ46" s="7"/>
      <c r="CR46" s="7"/>
      <c r="CS46" s="7"/>
      <c r="CT46" s="7" t="s">
        <v>494</v>
      </c>
      <c r="CU46" s="7" t="s">
        <v>498</v>
      </c>
      <c r="CV46" s="7" t="s">
        <v>498</v>
      </c>
      <c r="CW46" s="7" t="s">
        <v>498</v>
      </c>
      <c r="CX46" s="7" t="s">
        <v>506</v>
      </c>
      <c r="CY46" s="100"/>
      <c r="CZ46" s="7" t="s">
        <v>498</v>
      </c>
      <c r="DA46" s="100"/>
      <c r="DB46" s="7"/>
      <c r="DC46" s="100" t="s">
        <v>498</v>
      </c>
      <c r="DD46" s="7"/>
      <c r="DE46" s="7"/>
      <c r="DF46" s="7"/>
      <c r="DG46" s="7" t="s">
        <v>532</v>
      </c>
      <c r="DH46" s="7"/>
      <c r="DI46" s="7"/>
      <c r="DJ46" s="7"/>
      <c r="DK46" s="7"/>
      <c r="DL46" s="7" t="s">
        <v>498</v>
      </c>
      <c r="DM46" s="7" t="s">
        <v>506</v>
      </c>
      <c r="DN46" s="7" t="s">
        <v>498</v>
      </c>
      <c r="DO46" s="7" t="s">
        <v>498</v>
      </c>
      <c r="DP46" s="7" t="s">
        <v>498</v>
      </c>
      <c r="DQ46" s="7" t="s">
        <v>498</v>
      </c>
      <c r="DR46" s="7" t="s">
        <v>498</v>
      </c>
      <c r="DS46" s="7" t="s">
        <v>498</v>
      </c>
      <c r="DT46" s="7" t="s">
        <v>494</v>
      </c>
      <c r="DU46" s="7" t="s">
        <v>498</v>
      </c>
      <c r="DV46" s="7" t="s">
        <v>498</v>
      </c>
      <c r="DW46" s="7"/>
      <c r="DX46" s="7"/>
      <c r="DY46" s="7"/>
      <c r="DZ46" s="7"/>
      <c r="EA46" s="7"/>
      <c r="EB46" s="7"/>
      <c r="EC46" s="7"/>
      <c r="ED46" s="7" t="s">
        <v>498</v>
      </c>
      <c r="EE46" s="7"/>
      <c r="EF46" s="7"/>
      <c r="EG46" s="7" t="s">
        <v>532</v>
      </c>
      <c r="EH46" s="100"/>
      <c r="EI46" s="7" t="s">
        <v>498</v>
      </c>
      <c r="EJ46" s="7"/>
      <c r="EK46" s="7" t="s">
        <v>498</v>
      </c>
      <c r="EL46" s="7" t="s">
        <v>498</v>
      </c>
      <c r="EM46" s="7"/>
      <c r="EN46" s="7" t="s">
        <v>498</v>
      </c>
      <c r="EO46" s="7" t="s">
        <v>498</v>
      </c>
      <c r="EP46" s="100"/>
      <c r="EQ46" s="7"/>
      <c r="ER46" s="7"/>
      <c r="ES46" s="7"/>
      <c r="ET46" s="7"/>
      <c r="EU46" s="7" t="s">
        <v>498</v>
      </c>
      <c r="EV46" s="7"/>
      <c r="EW46" s="7" t="s">
        <v>498</v>
      </c>
      <c r="EX46" s="7" t="s">
        <v>498</v>
      </c>
      <c r="EY46" s="7" t="s">
        <v>498</v>
      </c>
      <c r="EZ46" s="100"/>
      <c r="FA46" s="7" t="s">
        <v>498</v>
      </c>
      <c r="FB46" s="7"/>
      <c r="FC46" s="7"/>
      <c r="FD46" s="7"/>
      <c r="FE46" s="7"/>
      <c r="FF46" s="100"/>
      <c r="FG46" s="7" t="s">
        <v>498</v>
      </c>
      <c r="FH46" s="7"/>
      <c r="FI46" s="7"/>
      <c r="FJ46" s="7"/>
      <c r="FK46" s="7"/>
      <c r="FL46" s="7" t="s">
        <v>498</v>
      </c>
      <c r="FM46" s="7"/>
      <c r="FN46" s="7"/>
      <c r="FO46" s="100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U46" s="7"/>
      <c r="GV46" s="7"/>
      <c r="GW46" s="7"/>
      <c r="GX46" s="7"/>
    </row>
    <row r="47" spans="1:206">
      <c r="A47" s="7">
        <f t="shared" si="4"/>
        <v>41</v>
      </c>
      <c r="B47" s="6" t="s">
        <v>46</v>
      </c>
      <c r="C47" s="6" t="s">
        <v>3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00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100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100"/>
      <c r="CO47" s="7"/>
      <c r="CP47" s="7"/>
      <c r="CQ47" s="7"/>
      <c r="CR47" s="7"/>
      <c r="CS47" s="7"/>
      <c r="CT47" s="100"/>
      <c r="CU47" s="100"/>
      <c r="CV47" s="100"/>
      <c r="CW47" s="100"/>
      <c r="CX47" s="100"/>
      <c r="CY47" s="100"/>
      <c r="CZ47" s="100"/>
      <c r="DA47" s="100"/>
      <c r="DB47" s="7"/>
      <c r="DC47" s="100"/>
      <c r="DD47" s="7"/>
      <c r="DE47" s="7"/>
      <c r="DF47" s="7"/>
      <c r="DG47" s="100"/>
      <c r="DH47" s="7"/>
      <c r="DI47" s="7"/>
      <c r="DJ47" s="7"/>
      <c r="DK47" s="7"/>
      <c r="DL47" s="100"/>
      <c r="DM47" s="100"/>
      <c r="DN47" s="100"/>
      <c r="DO47" s="100"/>
      <c r="DP47" s="100"/>
      <c r="DQ47" s="100"/>
      <c r="DR47" s="100"/>
      <c r="DS47" s="100"/>
      <c r="DT47" s="100"/>
      <c r="DU47" s="100"/>
      <c r="DV47" s="100"/>
      <c r="DW47" s="7"/>
      <c r="DX47" s="7"/>
      <c r="DY47" s="7"/>
      <c r="DZ47" s="7"/>
      <c r="EA47" s="7"/>
      <c r="EB47" s="7"/>
      <c r="EC47" s="7"/>
      <c r="ED47" s="100"/>
      <c r="EE47" s="7"/>
      <c r="EF47" s="7"/>
      <c r="EG47" s="100"/>
      <c r="EH47" s="100"/>
      <c r="EI47" s="100"/>
      <c r="EJ47" s="7"/>
      <c r="EK47" s="100"/>
      <c r="EL47" s="100"/>
      <c r="EM47" s="7"/>
      <c r="EN47" s="100"/>
      <c r="EO47" s="100"/>
      <c r="EP47" s="100"/>
      <c r="EQ47" s="7"/>
      <c r="ER47" s="7"/>
      <c r="ES47" s="7"/>
      <c r="ET47" s="7"/>
      <c r="EU47" s="100"/>
      <c r="EV47" s="7"/>
      <c r="EW47" s="100"/>
      <c r="EX47" s="100"/>
      <c r="EY47" s="100"/>
      <c r="EZ47" s="100"/>
      <c r="FA47" s="100"/>
      <c r="FB47" s="7"/>
      <c r="FC47" s="7"/>
      <c r="FD47" s="7"/>
      <c r="FE47" s="7"/>
      <c r="FF47" s="100"/>
      <c r="FG47" s="100"/>
      <c r="FH47" s="7"/>
      <c r="FI47" s="7"/>
      <c r="FJ47" s="7"/>
      <c r="FK47" s="7"/>
      <c r="FL47" s="100"/>
      <c r="FM47" s="7"/>
      <c r="FN47" s="7"/>
      <c r="FO47" s="100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U47" s="7"/>
      <c r="GV47" s="7"/>
      <c r="GW47" s="7"/>
      <c r="GX47" s="7"/>
    </row>
    <row r="48" spans="1:206">
      <c r="A48" s="7">
        <f t="shared" si="4"/>
        <v>42</v>
      </c>
      <c r="B48" s="6" t="s">
        <v>47</v>
      </c>
      <c r="C48" s="6" t="s">
        <v>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00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100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100"/>
      <c r="CO48" s="7"/>
      <c r="CP48" s="7"/>
      <c r="CQ48" s="7"/>
      <c r="CR48" s="7"/>
      <c r="CS48" s="7"/>
      <c r="CT48" s="100"/>
      <c r="CU48" s="100"/>
      <c r="CV48" s="100"/>
      <c r="CW48" s="100"/>
      <c r="CX48" s="100"/>
      <c r="CY48" s="100"/>
      <c r="CZ48" s="100"/>
      <c r="DA48" s="100"/>
      <c r="DB48" s="7"/>
      <c r="DC48" s="100"/>
      <c r="DD48" s="7"/>
      <c r="DE48" s="7"/>
      <c r="DF48" s="7"/>
      <c r="DG48" s="100"/>
      <c r="DH48" s="7"/>
      <c r="DI48" s="7"/>
      <c r="DJ48" s="7"/>
      <c r="DK48" s="7"/>
      <c r="DL48" s="100"/>
      <c r="DM48" s="100"/>
      <c r="DN48" s="100"/>
      <c r="DO48" s="100"/>
      <c r="DP48" s="100"/>
      <c r="DQ48" s="100"/>
      <c r="DR48" s="100"/>
      <c r="DS48" s="100"/>
      <c r="DT48" s="100"/>
      <c r="DU48" s="100"/>
      <c r="DV48" s="100"/>
      <c r="DW48" s="7"/>
      <c r="DX48" s="7"/>
      <c r="DY48" s="7"/>
      <c r="DZ48" s="7"/>
      <c r="EA48" s="7"/>
      <c r="EB48" s="7"/>
      <c r="EC48" s="7"/>
      <c r="ED48" s="100"/>
      <c r="EE48" s="7"/>
      <c r="EF48" s="7"/>
      <c r="EG48" s="100"/>
      <c r="EH48" s="100"/>
      <c r="EI48" s="100"/>
      <c r="EJ48" s="7"/>
      <c r="EK48" s="100"/>
      <c r="EL48" s="100"/>
      <c r="EM48" s="7"/>
      <c r="EN48" s="100"/>
      <c r="EO48" s="100"/>
      <c r="EP48" s="100"/>
      <c r="EQ48" s="7"/>
      <c r="ER48" s="7"/>
      <c r="ES48" s="7"/>
      <c r="ET48" s="7"/>
      <c r="EU48" s="100"/>
      <c r="EV48" s="7"/>
      <c r="EW48" s="100"/>
      <c r="EX48" s="100"/>
      <c r="EY48" s="100"/>
      <c r="EZ48" s="100"/>
      <c r="FA48" s="100"/>
      <c r="FB48" s="7"/>
      <c r="FC48" s="7"/>
      <c r="FD48" s="7"/>
      <c r="FE48" s="7"/>
      <c r="FF48" s="100"/>
      <c r="FG48" s="100"/>
      <c r="FH48" s="7"/>
      <c r="FI48" s="7"/>
      <c r="FJ48" s="7"/>
      <c r="FK48" s="7"/>
      <c r="FL48" s="100"/>
      <c r="FM48" s="7"/>
      <c r="FN48" s="7"/>
      <c r="FO48" s="100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U48" s="7"/>
      <c r="GV48" s="7"/>
      <c r="GW48" s="7"/>
      <c r="GX48" s="7"/>
    </row>
    <row r="49" spans="1:206">
      <c r="A49" s="7">
        <f t="shared" si="4"/>
        <v>43</v>
      </c>
      <c r="B49" s="6" t="s">
        <v>48</v>
      </c>
      <c r="C49" s="6" t="s">
        <v>9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00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100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100"/>
      <c r="CO49" s="7"/>
      <c r="CP49" s="7"/>
      <c r="CQ49" s="7"/>
      <c r="CR49" s="7"/>
      <c r="CS49" s="7"/>
      <c r="CT49" s="100"/>
      <c r="CU49" s="7">
        <v>12</v>
      </c>
      <c r="CV49" s="100"/>
      <c r="CW49" s="100"/>
      <c r="CX49" s="100"/>
      <c r="CY49" s="100"/>
      <c r="CZ49" s="100"/>
      <c r="DA49" s="100"/>
      <c r="DB49" s="7"/>
      <c r="DC49" s="100"/>
      <c r="DD49" s="7"/>
      <c r="DE49" s="7"/>
      <c r="DF49" s="7"/>
      <c r="DG49" s="100"/>
      <c r="DH49" s="7"/>
      <c r="DI49" s="7"/>
      <c r="DJ49" s="7"/>
      <c r="DK49" s="7"/>
      <c r="DL49" s="100"/>
      <c r="DM49" s="7">
        <v>9</v>
      </c>
      <c r="DN49" s="100"/>
      <c r="DO49" s="100"/>
      <c r="DP49" s="100"/>
      <c r="DQ49" s="100"/>
      <c r="DR49" s="100"/>
      <c r="DS49" s="100"/>
      <c r="DT49" s="100"/>
      <c r="DU49" s="100"/>
      <c r="DV49" s="100"/>
      <c r="DW49" s="7"/>
      <c r="DX49" s="7"/>
      <c r="DY49" s="7"/>
      <c r="DZ49" s="7"/>
      <c r="EA49" s="7"/>
      <c r="EB49" s="7"/>
      <c r="EC49" s="7"/>
      <c r="ED49" s="100"/>
      <c r="EE49" s="7"/>
      <c r="EF49" s="7"/>
      <c r="EG49" s="100"/>
      <c r="EH49" s="100"/>
      <c r="EI49" s="100"/>
      <c r="EJ49" s="7"/>
      <c r="EK49" s="100"/>
      <c r="EL49" s="100"/>
      <c r="EM49" s="7"/>
      <c r="EN49" s="7">
        <v>24</v>
      </c>
      <c r="EO49" s="7">
        <v>24</v>
      </c>
      <c r="EP49" s="7">
        <v>12</v>
      </c>
      <c r="EQ49" s="7"/>
      <c r="ER49" s="7"/>
      <c r="ES49" s="7"/>
      <c r="ET49" s="7"/>
      <c r="EU49" s="100"/>
      <c r="EV49" s="7"/>
      <c r="EW49" s="7">
        <v>12</v>
      </c>
      <c r="EX49" s="100"/>
      <c r="EY49" s="100"/>
      <c r="EZ49" s="100"/>
      <c r="FA49" s="100"/>
      <c r="FB49" s="7"/>
      <c r="FC49" s="7"/>
      <c r="FD49" s="7"/>
      <c r="FE49" s="7"/>
      <c r="FF49" s="7">
        <v>24</v>
      </c>
      <c r="FG49" s="100"/>
      <c r="FH49" s="7"/>
      <c r="FI49" s="7"/>
      <c r="FJ49" s="7"/>
      <c r="FK49" s="7"/>
      <c r="FL49" s="100"/>
      <c r="FM49" s="7"/>
      <c r="FN49" s="7"/>
      <c r="FO49" s="100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U49" s="7"/>
      <c r="GV49" s="7"/>
      <c r="GW49" s="7"/>
      <c r="GX49" s="7"/>
    </row>
    <row r="50" spans="1:206">
      <c r="A50" s="7">
        <f t="shared" si="4"/>
        <v>44</v>
      </c>
      <c r="B50" s="6" t="s">
        <v>49</v>
      </c>
      <c r="C50" s="6" t="s">
        <v>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00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>
        <v>6</v>
      </c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100"/>
      <c r="CO50" s="7"/>
      <c r="CP50" s="7"/>
      <c r="CQ50" s="7"/>
      <c r="CR50" s="7"/>
      <c r="CS50" s="7"/>
      <c r="CT50" s="7">
        <v>27</v>
      </c>
      <c r="CU50" s="7">
        <v>5</v>
      </c>
      <c r="CV50" s="7">
        <v>2</v>
      </c>
      <c r="CW50" s="7">
        <v>5</v>
      </c>
      <c r="CX50" s="100"/>
      <c r="CY50" s="7">
        <v>3</v>
      </c>
      <c r="CZ50" s="7">
        <v>2</v>
      </c>
      <c r="DA50" s="100"/>
      <c r="DB50" s="7"/>
      <c r="DC50" s="7">
        <v>6</v>
      </c>
      <c r="DD50" s="7"/>
      <c r="DE50" s="7"/>
      <c r="DF50" s="7"/>
      <c r="DG50" s="100"/>
      <c r="DH50" s="7"/>
      <c r="DI50" s="7"/>
      <c r="DJ50" s="7"/>
      <c r="DK50" s="7"/>
      <c r="DL50" s="7">
        <v>7</v>
      </c>
      <c r="DM50" s="100"/>
      <c r="DN50" s="7">
        <v>4</v>
      </c>
      <c r="DO50" s="7">
        <v>4</v>
      </c>
      <c r="DP50" s="7">
        <v>4</v>
      </c>
      <c r="DQ50" s="7">
        <v>21</v>
      </c>
      <c r="DR50" s="7">
        <v>2</v>
      </c>
      <c r="DS50" s="7">
        <v>1</v>
      </c>
      <c r="DT50" s="100"/>
      <c r="DU50" s="100"/>
      <c r="DV50" s="100"/>
      <c r="DW50" s="7"/>
      <c r="DX50" s="7"/>
      <c r="DY50" s="7"/>
      <c r="DZ50" s="7"/>
      <c r="EA50" s="7"/>
      <c r="EB50" s="7"/>
      <c r="EC50" s="7"/>
      <c r="ED50" s="100"/>
      <c r="EE50" s="7"/>
      <c r="EF50" s="7"/>
      <c r="EG50" s="100"/>
      <c r="EH50" s="100"/>
      <c r="EI50" s="7">
        <v>6</v>
      </c>
      <c r="EJ50" s="7"/>
      <c r="EK50" s="100"/>
      <c r="EL50" s="7">
        <v>3</v>
      </c>
      <c r="EM50" s="7"/>
      <c r="EN50" s="7">
        <v>25</v>
      </c>
      <c r="EO50" s="7">
        <v>35</v>
      </c>
      <c r="EP50" s="100"/>
      <c r="EQ50" s="7"/>
      <c r="ER50" s="7"/>
      <c r="ES50" s="7"/>
      <c r="ET50" s="7"/>
      <c r="EU50" s="100"/>
      <c r="EV50" s="7"/>
      <c r="EW50" s="7">
        <v>2</v>
      </c>
      <c r="EX50" s="100"/>
      <c r="EY50" s="7">
        <v>20</v>
      </c>
      <c r="EZ50" s="7">
        <v>25</v>
      </c>
      <c r="FA50" s="7">
        <v>9</v>
      </c>
      <c r="FB50" s="7"/>
      <c r="FC50" s="7"/>
      <c r="FD50" s="7"/>
      <c r="FE50" s="7"/>
      <c r="FF50" s="7">
        <v>10</v>
      </c>
      <c r="FG50" s="100"/>
      <c r="FH50" s="7"/>
      <c r="FI50" s="7"/>
      <c r="FJ50" s="7"/>
      <c r="FK50" s="7"/>
      <c r="FL50" s="7">
        <v>13</v>
      </c>
      <c r="FM50" s="7"/>
      <c r="FN50" s="7"/>
      <c r="FO50" s="100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U50" s="7"/>
      <c r="GV50" s="7"/>
      <c r="GW50" s="7"/>
      <c r="GX50" s="7"/>
    </row>
    <row r="51" spans="1:206">
      <c r="A51" s="7">
        <f t="shared" si="4"/>
        <v>45</v>
      </c>
      <c r="B51" s="6" t="s">
        <v>50</v>
      </c>
      <c r="C51" s="6" t="s">
        <v>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00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100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 t="s">
        <v>455</v>
      </c>
      <c r="CO51" s="7"/>
      <c r="CP51" s="7"/>
      <c r="CQ51" s="7"/>
      <c r="CR51" s="7"/>
      <c r="CS51" s="7"/>
      <c r="CT51" s="100"/>
      <c r="CU51" s="100"/>
      <c r="CV51" s="100"/>
      <c r="CW51" s="100"/>
      <c r="CX51" s="100"/>
      <c r="CY51" s="100"/>
      <c r="CZ51" s="100"/>
      <c r="DA51" s="100"/>
      <c r="DB51" s="7"/>
      <c r="DC51" s="100"/>
      <c r="DD51" s="7"/>
      <c r="DE51" s="7"/>
      <c r="DF51" s="7"/>
      <c r="DG51" s="100"/>
      <c r="DH51" s="7"/>
      <c r="DI51" s="7"/>
      <c r="DJ51" s="7"/>
      <c r="DK51" s="7"/>
      <c r="DL51" s="100"/>
      <c r="DM51" s="100"/>
      <c r="DN51" s="100"/>
      <c r="DO51" s="100"/>
      <c r="DP51" s="100"/>
      <c r="DQ51" s="100"/>
      <c r="DR51" s="100"/>
      <c r="DS51" s="100"/>
      <c r="DT51" s="100"/>
      <c r="DU51" s="100"/>
      <c r="DV51" s="100"/>
      <c r="DW51" s="7"/>
      <c r="DX51" s="7"/>
      <c r="DY51" s="7"/>
      <c r="DZ51" s="7"/>
      <c r="EA51" s="7"/>
      <c r="EB51" s="7"/>
      <c r="EC51" s="7"/>
      <c r="ED51" s="100"/>
      <c r="EE51" s="7"/>
      <c r="EF51" s="7"/>
      <c r="EG51" s="100"/>
      <c r="EH51" s="100"/>
      <c r="EI51" s="100"/>
      <c r="EJ51" s="7"/>
      <c r="EK51" s="7" t="s">
        <v>604</v>
      </c>
      <c r="EL51" s="100"/>
      <c r="EM51" s="7"/>
      <c r="EN51" s="100"/>
      <c r="EO51" s="100"/>
      <c r="EP51" s="100"/>
      <c r="EQ51" s="7"/>
      <c r="ER51" s="7"/>
      <c r="ES51" s="7"/>
      <c r="ET51" s="7"/>
      <c r="EU51" s="100"/>
      <c r="EV51" s="7"/>
      <c r="EW51" s="100"/>
      <c r="EX51" s="100"/>
      <c r="EY51" s="100"/>
      <c r="EZ51" s="100"/>
      <c r="FA51" s="100"/>
      <c r="FB51" s="7"/>
      <c r="FC51" s="7"/>
      <c r="FD51" s="7"/>
      <c r="FE51" s="7"/>
      <c r="FF51" s="100"/>
      <c r="FG51" s="100"/>
      <c r="FH51" s="7"/>
      <c r="FI51" s="7"/>
      <c r="FJ51" s="7"/>
      <c r="FK51" s="7"/>
      <c r="FL51" s="100"/>
      <c r="FM51" s="7"/>
      <c r="FN51" s="7"/>
      <c r="FO51" s="100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U51" s="7"/>
      <c r="GV51" s="7"/>
      <c r="GW51" s="7"/>
      <c r="GX51" s="7"/>
    </row>
    <row r="52" spans="1:206">
      <c r="A52" s="7">
        <f t="shared" si="4"/>
        <v>46</v>
      </c>
      <c r="B52" s="6" t="s">
        <v>51</v>
      </c>
      <c r="C52" s="6" t="s">
        <v>3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00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100"/>
      <c r="CD52" s="7"/>
      <c r="CE52" s="7"/>
      <c r="CF52" s="7"/>
      <c r="CG52" s="7"/>
      <c r="CH52" s="7"/>
      <c r="CI52" s="7"/>
      <c r="CJ52" s="7"/>
      <c r="CK52" s="7"/>
      <c r="CL52" s="7"/>
      <c r="CM52" s="7"/>
      <c r="CO52" s="7"/>
      <c r="CP52" s="7"/>
      <c r="CQ52" s="7"/>
      <c r="CR52" s="7"/>
      <c r="CS52" s="7"/>
      <c r="CT52" s="100"/>
      <c r="CU52" s="100"/>
      <c r="CV52" s="100"/>
      <c r="CW52" s="100"/>
      <c r="CX52" s="100"/>
      <c r="CY52" s="7">
        <f>5*10^5</f>
        <v>500000</v>
      </c>
      <c r="CZ52" s="100"/>
      <c r="DA52" s="100"/>
      <c r="DB52" s="7"/>
      <c r="DC52" s="100"/>
      <c r="DD52" s="7"/>
      <c r="DE52" s="7"/>
      <c r="DF52" s="7"/>
      <c r="DG52" s="100"/>
      <c r="DH52" s="7"/>
      <c r="DI52" s="7"/>
      <c r="DJ52" s="7"/>
      <c r="DK52" s="7"/>
      <c r="DL52" s="100"/>
      <c r="DM52" s="100"/>
      <c r="DN52" s="100"/>
      <c r="DO52" s="100"/>
      <c r="DP52" s="7" t="s">
        <v>561</v>
      </c>
      <c r="DQ52" s="7" t="s">
        <v>575</v>
      </c>
      <c r="DR52" s="100"/>
      <c r="DS52" s="100"/>
      <c r="DT52" s="100"/>
      <c r="DU52" s="100"/>
      <c r="DV52" s="100"/>
      <c r="DW52" s="7"/>
      <c r="DX52" s="7"/>
      <c r="DY52" s="7"/>
      <c r="DZ52" s="7"/>
      <c r="EA52" s="7"/>
      <c r="EB52" s="7"/>
      <c r="EC52" s="7"/>
      <c r="ED52" s="100"/>
      <c r="EE52" s="7"/>
      <c r="EF52" s="7"/>
      <c r="EG52" s="100"/>
      <c r="EH52" s="100"/>
      <c r="EI52" s="100"/>
      <c r="EJ52" s="7"/>
      <c r="EK52" s="100"/>
      <c r="EL52" s="7">
        <v>300000</v>
      </c>
      <c r="EM52" s="7"/>
      <c r="EN52" s="100"/>
      <c r="EO52" s="100"/>
      <c r="EP52" s="100"/>
      <c r="EQ52" s="7"/>
      <c r="ER52" s="7"/>
      <c r="ES52" s="7"/>
      <c r="ET52" s="7"/>
      <c r="EU52" s="100"/>
      <c r="EV52" s="7"/>
      <c r="EW52" s="7">
        <v>500000</v>
      </c>
      <c r="EX52" s="100"/>
      <c r="EY52" s="100"/>
      <c r="EZ52" s="100"/>
      <c r="FA52" s="100"/>
      <c r="FB52" s="7"/>
      <c r="FC52" s="7"/>
      <c r="FD52" s="7"/>
      <c r="FE52" s="7"/>
      <c r="FF52" s="100"/>
      <c r="FG52" s="100"/>
      <c r="FH52" s="7"/>
      <c r="FI52" s="7"/>
      <c r="FJ52" s="7"/>
      <c r="FK52" s="7"/>
      <c r="FL52" s="100"/>
      <c r="FM52" s="7"/>
      <c r="FN52" s="7"/>
      <c r="FO52" s="100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U52" s="7"/>
      <c r="GV52" s="7"/>
      <c r="GW52" s="7"/>
      <c r="GX52" s="7"/>
    </row>
    <row r="53" spans="1:206">
      <c r="A53" s="7">
        <f t="shared" si="4"/>
        <v>47</v>
      </c>
      <c r="B53" s="6" t="s">
        <v>52</v>
      </c>
      <c r="C53" s="6" t="s">
        <v>3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00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100"/>
      <c r="CD53" s="7"/>
      <c r="CE53" s="7"/>
      <c r="CF53" s="7"/>
      <c r="CG53" s="7"/>
      <c r="CH53" s="7"/>
      <c r="CI53" s="7"/>
      <c r="CJ53" s="7"/>
      <c r="CK53" s="7"/>
      <c r="CL53" s="7"/>
      <c r="CM53" s="7"/>
      <c r="CO53" s="7"/>
      <c r="CP53" s="7"/>
      <c r="CQ53" s="7"/>
      <c r="CR53" s="7"/>
      <c r="CS53" s="7"/>
      <c r="CT53" s="100"/>
      <c r="CU53" s="100"/>
      <c r="CV53" s="100"/>
      <c r="CW53" s="7" t="s">
        <v>516</v>
      </c>
      <c r="CX53" s="100"/>
      <c r="CY53" s="7" t="s">
        <v>525</v>
      </c>
      <c r="CZ53" s="100"/>
      <c r="DA53" s="100"/>
      <c r="DB53" s="7"/>
      <c r="DC53" s="7" t="s">
        <v>557</v>
      </c>
      <c r="DD53" s="7"/>
      <c r="DE53" s="7"/>
      <c r="DF53" s="7"/>
      <c r="DG53" s="7" t="s">
        <v>531</v>
      </c>
      <c r="DH53" s="7"/>
      <c r="DI53" s="7"/>
      <c r="DJ53" s="7"/>
      <c r="DK53" s="7"/>
      <c r="DL53" s="100"/>
      <c r="DM53" s="100"/>
      <c r="DN53" s="100"/>
      <c r="DO53" s="100"/>
      <c r="DP53" s="100"/>
      <c r="DQ53" s="100"/>
      <c r="DR53" s="100"/>
      <c r="DS53" s="100"/>
      <c r="DT53" s="100"/>
      <c r="DU53" s="100"/>
      <c r="DV53" s="100"/>
      <c r="DW53" s="7"/>
      <c r="DX53" s="7"/>
      <c r="DY53" s="7"/>
      <c r="DZ53" s="7"/>
      <c r="EA53" s="7"/>
      <c r="EB53" s="7"/>
      <c r="EC53" s="7"/>
      <c r="ED53" s="100"/>
      <c r="EE53" s="7"/>
      <c r="EF53" s="7"/>
      <c r="EG53" s="100"/>
      <c r="EH53" s="100"/>
      <c r="EI53" s="100"/>
      <c r="EJ53" s="7"/>
      <c r="EK53" s="100"/>
      <c r="EL53" s="100"/>
      <c r="EM53" s="7"/>
      <c r="EN53" s="100"/>
      <c r="EO53" s="100"/>
      <c r="EP53" s="100"/>
      <c r="EQ53" s="7"/>
      <c r="ER53" s="7"/>
      <c r="ES53" s="7"/>
      <c r="ET53" s="7"/>
      <c r="EU53" s="100"/>
      <c r="EV53" s="7"/>
      <c r="EW53" s="100"/>
      <c r="EX53" s="100"/>
      <c r="EY53" s="100"/>
      <c r="EZ53" s="100"/>
      <c r="FA53" s="100"/>
      <c r="FB53" s="7"/>
      <c r="FC53" s="7"/>
      <c r="FD53" s="7"/>
      <c r="FE53" s="7"/>
      <c r="FF53" s="100"/>
      <c r="FG53" s="100"/>
      <c r="FH53" s="7"/>
      <c r="FI53" s="7"/>
      <c r="FJ53" s="7"/>
      <c r="FK53" s="7"/>
      <c r="FL53" s="100"/>
      <c r="FM53" s="7"/>
      <c r="FN53" s="7"/>
      <c r="FO53" s="100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U53" s="7"/>
      <c r="GV53" s="7"/>
      <c r="GW53" s="7"/>
      <c r="GX53" s="7"/>
    </row>
    <row r="54" spans="1:206" hidden="1">
      <c r="A54" s="7">
        <f t="shared" ref="A54:A56" si="5">A53+1</f>
        <v>48</v>
      </c>
      <c r="B54" s="6" t="s">
        <v>53</v>
      </c>
      <c r="C54" s="6" t="s">
        <v>34</v>
      </c>
    </row>
    <row r="55" spans="1:206" hidden="1">
      <c r="A55" s="7">
        <f t="shared" si="5"/>
        <v>49</v>
      </c>
      <c r="B55" s="6" t="s">
        <v>54</v>
      </c>
      <c r="C55" s="6" t="s">
        <v>34</v>
      </c>
    </row>
    <row r="56" spans="1:206" hidden="1">
      <c r="A56" s="7">
        <f t="shared" si="5"/>
        <v>50</v>
      </c>
      <c r="B56" s="6" t="s">
        <v>54</v>
      </c>
      <c r="C56" s="6" t="s">
        <v>34</v>
      </c>
    </row>
  </sheetData>
  <autoFilter ref="A2:C5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L52"/>
  <sheetViews>
    <sheetView tabSelected="1" zoomScale="87" zoomScaleNormal="87" workbookViewId="0">
      <selection activeCell="C11" sqref="C11"/>
    </sheetView>
  </sheetViews>
  <sheetFormatPr defaultRowHeight="15"/>
  <cols>
    <col min="1" max="1" width="41.7109375" bestFit="1" customWidth="1"/>
    <col min="2" max="3" width="13.5703125" bestFit="1" customWidth="1"/>
    <col min="5" max="5" width="35.5703125" bestFit="1" customWidth="1"/>
    <col min="6" max="6" width="11.42578125" bestFit="1" customWidth="1"/>
    <col min="8" max="8" width="35.5703125" bestFit="1" customWidth="1"/>
    <col min="9" max="9" width="11.140625" bestFit="1" customWidth="1"/>
    <col min="11" max="11" width="35.5703125" bestFit="1" customWidth="1"/>
    <col min="12" max="12" width="11.140625" bestFit="1" customWidth="1"/>
    <col min="14" max="14" width="35.5703125" bestFit="1" customWidth="1"/>
    <col min="15" max="15" width="11.140625" bestFit="1" customWidth="1"/>
    <col min="16" max="17" width="11.140625" customWidth="1"/>
    <col min="18" max="18" width="35.5703125" bestFit="1" customWidth="1"/>
    <col min="19" max="19" width="11.140625" bestFit="1" customWidth="1"/>
    <col min="20" max="20" width="11.140625" customWidth="1"/>
    <col min="21" max="21" width="35.5703125" bestFit="1" customWidth="1"/>
    <col min="22" max="22" width="11.140625" bestFit="1" customWidth="1"/>
    <col min="24" max="24" width="35.5703125" bestFit="1" customWidth="1"/>
    <col min="25" max="25" width="11.140625" bestFit="1" customWidth="1"/>
    <col min="27" max="27" width="35.5703125" bestFit="1" customWidth="1"/>
    <col min="28" max="28" width="11.140625" bestFit="1" customWidth="1"/>
    <col min="30" max="30" width="17.42578125" bestFit="1" customWidth="1"/>
    <col min="31" max="31" width="8" bestFit="1" customWidth="1"/>
    <col min="33" max="33" width="48.85546875" bestFit="1" customWidth="1"/>
    <col min="34" max="34" width="14.140625" bestFit="1" customWidth="1"/>
    <col min="37" max="37" width="41.7109375" bestFit="1" customWidth="1"/>
    <col min="38" max="38" width="10.85546875" bestFit="1" customWidth="1"/>
    <col min="40" max="40" width="35.5703125" bestFit="1" customWidth="1"/>
    <col min="41" max="41" width="11.140625" bestFit="1" customWidth="1"/>
    <col min="43" max="43" width="17.42578125" bestFit="1" customWidth="1"/>
    <col min="44" max="44" width="12.85546875" bestFit="1" customWidth="1"/>
    <col min="46" max="46" width="23.140625" bestFit="1" customWidth="1"/>
    <col min="47" max="47" width="10.28515625" bestFit="1" customWidth="1"/>
    <col min="49" max="49" width="23.140625" bestFit="1" customWidth="1"/>
    <col min="50" max="50" width="12.85546875" bestFit="1" customWidth="1"/>
    <col min="52" max="52" width="41.7109375" bestFit="1" customWidth="1"/>
    <col min="53" max="53" width="17.7109375" bestFit="1" customWidth="1"/>
    <col min="54" max="54" width="11.42578125" bestFit="1" customWidth="1"/>
    <col min="56" max="56" width="29.5703125" bestFit="1" customWidth="1"/>
    <col min="57" max="57" width="12.85546875" bestFit="1" customWidth="1"/>
    <col min="59" max="59" width="41.7109375" bestFit="1" customWidth="1"/>
    <col min="60" max="60" width="18.140625" customWidth="1"/>
    <col min="61" max="61" width="18.140625" bestFit="1" customWidth="1"/>
    <col min="62" max="62" width="10" customWidth="1"/>
    <col min="63" max="63" width="28.28515625" bestFit="1" customWidth="1"/>
    <col min="64" max="64" width="12.85546875" bestFit="1" customWidth="1"/>
    <col min="66" max="66" width="38.5703125" bestFit="1" customWidth="1"/>
    <col min="67" max="67" width="12.85546875" bestFit="1" customWidth="1"/>
    <col min="69" max="69" width="17.5703125" bestFit="1" customWidth="1"/>
    <col min="70" max="70" width="23.5703125" bestFit="1" customWidth="1"/>
    <col min="72" max="72" width="35.5703125" bestFit="1" customWidth="1"/>
    <col min="73" max="73" width="23.5703125" bestFit="1" customWidth="1"/>
    <col min="75" max="75" width="35.5703125" bestFit="1" customWidth="1"/>
    <col min="76" max="76" width="23.5703125" bestFit="1" customWidth="1"/>
    <col min="78" max="78" width="35.5703125" bestFit="1" customWidth="1"/>
    <col min="79" max="79" width="12.85546875" bestFit="1" customWidth="1"/>
    <col min="81" max="81" width="35.5703125" bestFit="1" customWidth="1"/>
    <col min="82" max="82" width="12.85546875" bestFit="1" customWidth="1"/>
    <col min="84" max="84" width="35.5703125" bestFit="1" customWidth="1"/>
    <col min="85" max="85" width="12.85546875" bestFit="1" customWidth="1"/>
    <col min="87" max="87" width="41.7109375" bestFit="1" customWidth="1"/>
    <col min="88" max="88" width="12.85546875" bestFit="1" customWidth="1"/>
    <col min="90" max="90" width="40.5703125" bestFit="1" customWidth="1"/>
    <col min="91" max="91" width="12.140625" bestFit="1" customWidth="1"/>
    <col min="93" max="93" width="40.5703125" bestFit="1" customWidth="1"/>
    <col min="94" max="94" width="11.140625" bestFit="1" customWidth="1"/>
    <col min="96" max="96" width="40.5703125" bestFit="1" customWidth="1"/>
    <col min="97" max="97" width="13.7109375" bestFit="1" customWidth="1"/>
    <col min="99" max="99" width="40.5703125" bestFit="1" customWidth="1"/>
    <col min="100" max="100" width="11.140625" bestFit="1" customWidth="1"/>
    <col min="102" max="102" width="35.5703125" bestFit="1" customWidth="1"/>
    <col min="103" max="103" width="11.140625" bestFit="1" customWidth="1"/>
    <col min="105" max="105" width="35.5703125" bestFit="1" customWidth="1"/>
    <col min="106" max="106" width="11.140625" bestFit="1" customWidth="1"/>
    <col min="108" max="108" width="35.5703125" bestFit="1" customWidth="1"/>
    <col min="109" max="109" width="11.140625" bestFit="1" customWidth="1"/>
    <col min="111" max="111" width="35.5703125" bestFit="1" customWidth="1"/>
    <col min="112" max="112" width="11.140625" bestFit="1" customWidth="1"/>
    <col min="114" max="114" width="41.7109375" bestFit="1" customWidth="1"/>
    <col min="115" max="115" width="11.85546875" bestFit="1" customWidth="1"/>
    <col min="117" max="117" width="40.5703125" bestFit="1" customWidth="1"/>
    <col min="118" max="118" width="11.140625" style="96" bestFit="1" customWidth="1"/>
    <col min="120" max="120" width="29.5703125" bestFit="1" customWidth="1"/>
    <col min="121" max="121" width="11.140625" bestFit="1" customWidth="1"/>
    <col min="123" max="123" width="33.5703125" bestFit="1" customWidth="1"/>
    <col min="124" max="124" width="11.140625" bestFit="1" customWidth="1"/>
    <col min="125" max="125" width="22" bestFit="1" customWidth="1"/>
    <col min="127" max="127" width="35" bestFit="1" customWidth="1"/>
    <col min="128" max="128" width="9" customWidth="1"/>
    <col min="163" max="163" width="9.140625" style="96"/>
    <col min="168" max="168" width="33" style="96" bestFit="1" customWidth="1"/>
  </cols>
  <sheetData>
    <row r="1" spans="1:168">
      <c r="A1" s="85" t="s">
        <v>324</v>
      </c>
      <c r="B1" s="86"/>
      <c r="C1" s="86"/>
      <c r="E1" s="85" t="s">
        <v>486</v>
      </c>
      <c r="H1" s="85" t="s">
        <v>491</v>
      </c>
      <c r="K1" s="85" t="s">
        <v>490</v>
      </c>
      <c r="N1" s="85" t="s">
        <v>442</v>
      </c>
      <c r="R1" s="85" t="s">
        <v>357</v>
      </c>
      <c r="U1" s="85" t="s">
        <v>518</v>
      </c>
      <c r="X1" s="85" t="s">
        <v>520</v>
      </c>
      <c r="AA1" s="85" t="s">
        <v>442</v>
      </c>
      <c r="AD1" s="85" t="s">
        <v>176</v>
      </c>
      <c r="AG1" s="85" t="s">
        <v>368</v>
      </c>
      <c r="AK1" s="85" t="s">
        <v>325</v>
      </c>
      <c r="AN1" s="85" t="s">
        <v>193</v>
      </c>
      <c r="AQ1" s="95" t="s">
        <v>200</v>
      </c>
      <c r="AT1" s="95" t="s">
        <v>189</v>
      </c>
      <c r="AW1" s="95" t="s">
        <v>183</v>
      </c>
      <c r="AZ1" s="95" t="s">
        <v>326</v>
      </c>
      <c r="BD1" s="95" t="s">
        <v>370</v>
      </c>
      <c r="BG1" s="95" t="s">
        <v>420</v>
      </c>
      <c r="BK1" s="95" t="s">
        <v>434</v>
      </c>
      <c r="BN1" s="95" t="s">
        <v>410</v>
      </c>
      <c r="BQ1" s="95" t="s">
        <v>379</v>
      </c>
      <c r="BT1" s="95" t="s">
        <v>347</v>
      </c>
      <c r="BW1" s="95" t="s">
        <v>287</v>
      </c>
      <c r="BZ1" s="95" t="s">
        <v>469</v>
      </c>
      <c r="CC1" s="95" t="s">
        <v>221</v>
      </c>
      <c r="CF1" s="95" t="s">
        <v>383</v>
      </c>
      <c r="CI1" s="95" t="s">
        <v>372</v>
      </c>
      <c r="CL1" s="95" t="s">
        <v>423</v>
      </c>
      <c r="CO1" s="95" t="s">
        <v>227</v>
      </c>
      <c r="CR1" s="95" t="s">
        <v>327</v>
      </c>
      <c r="CU1" s="95" t="s">
        <v>349</v>
      </c>
      <c r="CX1" s="95" t="s">
        <v>470</v>
      </c>
      <c r="DA1" s="95" t="s">
        <v>302</v>
      </c>
      <c r="DD1" s="95" t="s">
        <v>350</v>
      </c>
      <c r="DG1" s="95" t="s">
        <v>249</v>
      </c>
      <c r="DJ1" s="95" t="s">
        <v>257</v>
      </c>
      <c r="DM1" s="95" t="s">
        <v>403</v>
      </c>
      <c r="DP1" s="95" t="s">
        <v>296</v>
      </c>
      <c r="DS1" s="95" t="s">
        <v>412</v>
      </c>
      <c r="DW1" s="95" t="s">
        <v>375</v>
      </c>
    </row>
    <row r="2" spans="1:168">
      <c r="A2" s="45" t="s">
        <v>144</v>
      </c>
      <c r="B2">
        <f>10*10^5</f>
        <v>1000000</v>
      </c>
      <c r="C2">
        <f>15*10^5</f>
        <v>1500000</v>
      </c>
      <c r="E2" t="s">
        <v>143</v>
      </c>
      <c r="F2">
        <f>4*50*20</f>
        <v>4000</v>
      </c>
      <c r="H2" t="s">
        <v>143</v>
      </c>
      <c r="I2">
        <f>3*10^3</f>
        <v>3000</v>
      </c>
      <c r="K2" t="s">
        <v>143</v>
      </c>
      <c r="L2">
        <f>12*10^2</f>
        <v>1200</v>
      </c>
      <c r="N2" s="45" t="s">
        <v>144</v>
      </c>
      <c r="O2">
        <f>3*10^5</f>
        <v>300000</v>
      </c>
      <c r="R2" s="45" t="s">
        <v>144</v>
      </c>
      <c r="S2">
        <f>10*10^5</f>
        <v>1000000</v>
      </c>
      <c r="U2" s="45" t="s">
        <v>144</v>
      </c>
      <c r="V2">
        <f>7*10^5</f>
        <v>700000</v>
      </c>
      <c r="X2" s="45" t="s">
        <v>144</v>
      </c>
      <c r="Y2">
        <f>4*10^5</f>
        <v>400000</v>
      </c>
      <c r="AA2" s="45" t="s">
        <v>144</v>
      </c>
      <c r="AB2">
        <f>3*10^4</f>
        <v>30000</v>
      </c>
      <c r="AD2" s="45" t="s">
        <v>144</v>
      </c>
      <c r="AE2">
        <f>7*10^5</f>
        <v>700000</v>
      </c>
      <c r="AG2" t="s">
        <v>144</v>
      </c>
      <c r="AH2">
        <v>2541666</v>
      </c>
      <c r="AK2" s="45" t="s">
        <v>144</v>
      </c>
      <c r="AL2">
        <v>1800000</v>
      </c>
      <c r="AN2" s="45" t="s">
        <v>144</v>
      </c>
      <c r="AQ2" s="45" t="s">
        <v>144</v>
      </c>
      <c r="AR2">
        <f>6*10^5</f>
        <v>600000</v>
      </c>
      <c r="AT2" s="45" t="s">
        <v>144</v>
      </c>
      <c r="AU2">
        <v>13500000</v>
      </c>
      <c r="AW2" s="45" t="s">
        <v>144</v>
      </c>
      <c r="AX2">
        <v>5400000</v>
      </c>
      <c r="AZ2" s="45" t="s">
        <v>144</v>
      </c>
      <c r="BA2">
        <v>50000</v>
      </c>
      <c r="BD2" s="45" t="s">
        <v>144</v>
      </c>
      <c r="BG2" s="45" t="s">
        <v>144</v>
      </c>
      <c r="BH2" s="80">
        <v>7000000</v>
      </c>
      <c r="BK2" s="11" t="s">
        <v>144</v>
      </c>
      <c r="BN2" t="s">
        <v>145</v>
      </c>
      <c r="BO2">
        <v>15000000</v>
      </c>
      <c r="BQ2" s="45" t="s">
        <v>144</v>
      </c>
      <c r="BT2" t="s">
        <v>143</v>
      </c>
      <c r="BU2">
        <f>72*100^2</f>
        <v>720000</v>
      </c>
      <c r="BW2" s="45" t="s">
        <v>144</v>
      </c>
      <c r="BZ2" s="45" t="s">
        <v>144</v>
      </c>
      <c r="CA2">
        <f>3*10^5</f>
        <v>300000</v>
      </c>
      <c r="CC2" s="45" t="s">
        <v>144</v>
      </c>
      <c r="CD2">
        <f>6*10^5</f>
        <v>600000</v>
      </c>
      <c r="CF2" s="45" t="s">
        <v>144</v>
      </c>
      <c r="CG2">
        <f>12*10^5</f>
        <v>1200000</v>
      </c>
      <c r="CI2" s="45" t="s">
        <v>144</v>
      </c>
      <c r="CJ2">
        <f>1.5*10^5</f>
        <v>150000</v>
      </c>
      <c r="CL2" s="46" t="s">
        <v>145</v>
      </c>
      <c r="CM2" s="97"/>
      <c r="CO2" s="45" t="s">
        <v>144</v>
      </c>
      <c r="CP2">
        <v>750000</v>
      </c>
      <c r="CR2" s="45" t="s">
        <v>144</v>
      </c>
      <c r="CS2">
        <f>1.1*10^5</f>
        <v>110000.00000000001</v>
      </c>
      <c r="CU2" t="s">
        <v>143</v>
      </c>
      <c r="CV2">
        <f>22*10^5</f>
        <v>2200000</v>
      </c>
      <c r="CX2" s="45" t="s">
        <v>144</v>
      </c>
      <c r="DA2" s="45" t="s">
        <v>144</v>
      </c>
      <c r="DD2" t="s">
        <v>143</v>
      </c>
      <c r="DE2">
        <v>36000</v>
      </c>
      <c r="DG2" s="45" t="s">
        <v>144</v>
      </c>
      <c r="DH2">
        <f>3.5*10^5</f>
        <v>350000</v>
      </c>
      <c r="DJ2" s="45" t="s">
        <v>144</v>
      </c>
      <c r="DK2">
        <f>20*10^5</f>
        <v>2000000</v>
      </c>
      <c r="DL2" s="96"/>
      <c r="DM2" s="46" t="s">
        <v>145</v>
      </c>
      <c r="DN2"/>
      <c r="DP2" s="45" t="s">
        <v>144</v>
      </c>
      <c r="DS2" s="45" t="s">
        <v>144</v>
      </c>
      <c r="DT2">
        <f>50*10^5</f>
        <v>5000000</v>
      </c>
      <c r="DW2" s="45" t="s">
        <v>144</v>
      </c>
    </row>
    <row r="3" spans="1:168">
      <c r="A3" s="45" t="s">
        <v>148</v>
      </c>
      <c r="E3" t="s">
        <v>147</v>
      </c>
      <c r="F3">
        <f>36*50*20</f>
        <v>36000</v>
      </c>
      <c r="H3" t="s">
        <v>147</v>
      </c>
      <c r="I3">
        <f>32*10^3</f>
        <v>32000</v>
      </c>
      <c r="K3" t="s">
        <v>147</v>
      </c>
      <c r="L3">
        <f>33*10^3</f>
        <v>33000</v>
      </c>
      <c r="N3" s="45" t="s">
        <v>148</v>
      </c>
      <c r="R3" s="45" t="s">
        <v>148</v>
      </c>
      <c r="U3" s="45" t="s">
        <v>148</v>
      </c>
      <c r="V3">
        <v>1000</v>
      </c>
      <c r="X3" s="45" t="s">
        <v>148</v>
      </c>
      <c r="AA3" s="45" t="s">
        <v>148</v>
      </c>
      <c r="AD3" s="45" t="s">
        <v>148</v>
      </c>
      <c r="AG3" t="s">
        <v>148</v>
      </c>
      <c r="AK3" s="45" t="s">
        <v>148</v>
      </c>
      <c r="AN3" s="45" t="s">
        <v>148</v>
      </c>
      <c r="AQ3" s="45" t="s">
        <v>148</v>
      </c>
      <c r="AT3" s="45" t="s">
        <v>148</v>
      </c>
      <c r="AW3" s="45" t="s">
        <v>148</v>
      </c>
      <c r="AZ3" s="45" t="s">
        <v>148</v>
      </c>
      <c r="BD3" s="45" t="s">
        <v>148</v>
      </c>
      <c r="BG3" s="45" t="s">
        <v>148</v>
      </c>
      <c r="BK3" s="45" t="s">
        <v>151</v>
      </c>
      <c r="BN3" s="45" t="s">
        <v>148</v>
      </c>
      <c r="BQ3" s="45" t="s">
        <v>148</v>
      </c>
      <c r="BT3" t="s">
        <v>147</v>
      </c>
      <c r="BU3">
        <f>108*100^2</f>
        <v>1080000</v>
      </c>
      <c r="BW3" s="45" t="s">
        <v>148</v>
      </c>
      <c r="BZ3" s="45" t="s">
        <v>148</v>
      </c>
      <c r="CC3" s="45" t="s">
        <v>148</v>
      </c>
      <c r="CF3" s="45" t="s">
        <v>148</v>
      </c>
      <c r="CI3" s="45" t="s">
        <v>148</v>
      </c>
      <c r="CL3" s="14" t="s">
        <v>150</v>
      </c>
      <c r="CM3" s="97">
        <v>175000</v>
      </c>
      <c r="CO3" s="45" t="s">
        <v>148</v>
      </c>
      <c r="CR3" s="45" t="s">
        <v>148</v>
      </c>
      <c r="CU3" t="s">
        <v>147</v>
      </c>
      <c r="CX3" s="45" t="s">
        <v>148</v>
      </c>
      <c r="DA3" s="45" t="s">
        <v>148</v>
      </c>
      <c r="DD3" t="s">
        <v>147</v>
      </c>
      <c r="DG3" s="45" t="s">
        <v>148</v>
      </c>
      <c r="DJ3" s="45" t="s">
        <v>148</v>
      </c>
      <c r="DL3" s="96"/>
      <c r="DM3" s="14" t="s">
        <v>150</v>
      </c>
      <c r="DN3">
        <v>10000</v>
      </c>
      <c r="DP3" s="45" t="s">
        <v>148</v>
      </c>
      <c r="DS3" s="45" t="s">
        <v>148</v>
      </c>
      <c r="DW3" s="45" t="s">
        <v>148</v>
      </c>
      <c r="FG3" s="96">
        <v>1992</v>
      </c>
      <c r="FL3" s="96">
        <v>1965</v>
      </c>
    </row>
    <row r="4" spans="1:168">
      <c r="A4" s="45" t="s">
        <v>155</v>
      </c>
      <c r="E4" s="11" t="s">
        <v>144</v>
      </c>
      <c r="H4" s="11" t="s">
        <v>144</v>
      </c>
      <c r="K4" s="11" t="s">
        <v>144</v>
      </c>
      <c r="N4" s="11" t="s">
        <v>154</v>
      </c>
      <c r="R4" s="11" t="s">
        <v>154</v>
      </c>
      <c r="U4" s="11" t="s">
        <v>154</v>
      </c>
      <c r="V4" t="s">
        <v>519</v>
      </c>
      <c r="X4" s="11" t="s">
        <v>154</v>
      </c>
      <c r="Y4" t="s">
        <v>521</v>
      </c>
      <c r="AA4" s="11" t="s">
        <v>154</v>
      </c>
      <c r="AD4" s="11" t="s">
        <v>154</v>
      </c>
      <c r="AG4" s="11" t="s">
        <v>154</v>
      </c>
      <c r="AK4" s="45" t="s">
        <v>155</v>
      </c>
      <c r="AN4" s="11" t="s">
        <v>154</v>
      </c>
      <c r="AQ4" s="11" t="s">
        <v>154</v>
      </c>
      <c r="AT4" s="11" t="s">
        <v>154</v>
      </c>
      <c r="AW4" s="11" t="s">
        <v>154</v>
      </c>
      <c r="AZ4" s="45" t="s">
        <v>155</v>
      </c>
      <c r="BD4" s="11" t="s">
        <v>154</v>
      </c>
      <c r="BG4" s="45" t="s">
        <v>155</v>
      </c>
      <c r="BH4">
        <v>50000</v>
      </c>
      <c r="BK4" t="s">
        <v>157</v>
      </c>
      <c r="BN4" s="11" t="s">
        <v>154</v>
      </c>
      <c r="BQ4" s="11" t="s">
        <v>154</v>
      </c>
      <c r="BT4" s="11" t="s">
        <v>144</v>
      </c>
      <c r="BW4" s="11" t="s">
        <v>154</v>
      </c>
      <c r="BZ4" s="11" t="s">
        <v>154</v>
      </c>
      <c r="CC4" s="11" t="s">
        <v>154</v>
      </c>
      <c r="CF4" s="11" t="s">
        <v>154</v>
      </c>
      <c r="CI4" s="45" t="s">
        <v>155</v>
      </c>
      <c r="CJ4">
        <f>15*10^3</f>
        <v>15000</v>
      </c>
      <c r="CL4" s="14" t="s">
        <v>156</v>
      </c>
      <c r="CM4" s="97">
        <v>30000</v>
      </c>
      <c r="CO4" s="11" t="s">
        <v>154</v>
      </c>
      <c r="CR4" s="11" t="s">
        <v>154</v>
      </c>
      <c r="CU4" s="11" t="s">
        <v>144</v>
      </c>
      <c r="CX4" s="11" t="s">
        <v>154</v>
      </c>
      <c r="DA4" s="11" t="s">
        <v>154</v>
      </c>
      <c r="DD4" s="11" t="s">
        <v>144</v>
      </c>
      <c r="DG4" s="11" t="s">
        <v>154</v>
      </c>
      <c r="DJ4" s="45" t="s">
        <v>155</v>
      </c>
      <c r="DL4" s="96"/>
      <c r="DM4" s="14" t="s">
        <v>156</v>
      </c>
      <c r="DN4">
        <v>20000</v>
      </c>
      <c r="DP4" s="11" t="s">
        <v>154</v>
      </c>
      <c r="DS4" s="11" t="s">
        <v>154</v>
      </c>
      <c r="DW4" s="11" t="s">
        <v>154</v>
      </c>
      <c r="FG4" s="96" t="s">
        <v>622</v>
      </c>
    </row>
    <row r="5" spans="1:168">
      <c r="A5" s="45" t="s">
        <v>148</v>
      </c>
      <c r="E5" t="s">
        <v>160</v>
      </c>
      <c r="F5" s="79">
        <v>0.6</v>
      </c>
      <c r="H5" t="s">
        <v>160</v>
      </c>
      <c r="I5" s="79">
        <v>0.6</v>
      </c>
      <c r="K5" t="s">
        <v>160</v>
      </c>
      <c r="L5" s="79">
        <v>0.6</v>
      </c>
      <c r="N5" s="45" t="s">
        <v>151</v>
      </c>
      <c r="O5">
        <f>62500+50000</f>
        <v>112500</v>
      </c>
      <c r="R5" s="45" t="s">
        <v>151</v>
      </c>
      <c r="S5">
        <v>75000</v>
      </c>
      <c r="U5" s="45" t="s">
        <v>151</v>
      </c>
      <c r="V5">
        <v>80000</v>
      </c>
      <c r="X5" s="45" t="s">
        <v>151</v>
      </c>
      <c r="Y5">
        <v>15000</v>
      </c>
      <c r="AA5" s="45" t="s">
        <v>151</v>
      </c>
      <c r="AB5">
        <v>20000</v>
      </c>
      <c r="AD5" s="45" t="s">
        <v>151</v>
      </c>
      <c r="AE5">
        <v>21000</v>
      </c>
      <c r="AG5" t="s">
        <v>151</v>
      </c>
      <c r="AH5">
        <v>375000</v>
      </c>
      <c r="AK5" s="45" t="s">
        <v>148</v>
      </c>
      <c r="AN5" s="45" t="s">
        <v>151</v>
      </c>
      <c r="AO5">
        <v>40000</v>
      </c>
      <c r="AQ5" s="45" t="s">
        <v>151</v>
      </c>
      <c r="AR5">
        <v>36000</v>
      </c>
      <c r="AT5" s="45" t="s">
        <v>151</v>
      </c>
      <c r="AU5">
        <v>80000</v>
      </c>
      <c r="AW5" s="45" t="s">
        <v>151</v>
      </c>
      <c r="AX5">
        <v>35000</v>
      </c>
      <c r="AZ5" s="45" t="s">
        <v>148</v>
      </c>
      <c r="BD5" s="45" t="s">
        <v>151</v>
      </c>
      <c r="BG5" s="45" t="s">
        <v>148</v>
      </c>
      <c r="BK5" t="s">
        <v>156</v>
      </c>
      <c r="BN5" s="45" t="s">
        <v>151</v>
      </c>
      <c r="BO5">
        <v>1800000</v>
      </c>
      <c r="BQ5" s="45" t="s">
        <v>151</v>
      </c>
      <c r="BT5" t="s">
        <v>160</v>
      </c>
      <c r="BW5" s="45" t="s">
        <v>151</v>
      </c>
      <c r="BZ5" s="45" t="s">
        <v>151</v>
      </c>
      <c r="CA5">
        <v>800000</v>
      </c>
      <c r="CC5" s="45" t="s">
        <v>151</v>
      </c>
      <c r="CD5">
        <v>350000</v>
      </c>
      <c r="CF5" s="45" t="s">
        <v>151</v>
      </c>
      <c r="CG5">
        <v>300000</v>
      </c>
      <c r="CI5" s="45" t="s">
        <v>148</v>
      </c>
      <c r="CL5" s="14" t="s">
        <v>161</v>
      </c>
      <c r="CM5" s="97">
        <v>2000</v>
      </c>
      <c r="CO5" s="45" t="s">
        <v>151</v>
      </c>
      <c r="CP5">
        <v>33000</v>
      </c>
      <c r="CR5" s="45" t="s">
        <v>151</v>
      </c>
      <c r="CS5">
        <v>15000</v>
      </c>
      <c r="CU5" t="s">
        <v>160</v>
      </c>
      <c r="CX5" s="45" t="s">
        <v>151</v>
      </c>
      <c r="DA5" s="45" t="s">
        <v>151</v>
      </c>
      <c r="DB5">
        <v>25000</v>
      </c>
      <c r="DD5" t="s">
        <v>160</v>
      </c>
      <c r="DG5" s="45" t="s">
        <v>151</v>
      </c>
      <c r="DH5">
        <v>22000</v>
      </c>
      <c r="DJ5" s="45" t="s">
        <v>148</v>
      </c>
      <c r="DL5" s="96"/>
      <c r="DM5" s="14" t="s">
        <v>161</v>
      </c>
      <c r="DN5"/>
      <c r="DP5" s="45" t="s">
        <v>151</v>
      </c>
      <c r="DS5" s="45" t="s">
        <v>151</v>
      </c>
      <c r="DT5">
        <f>5*10^5</f>
        <v>500000</v>
      </c>
      <c r="DW5" s="45" t="s">
        <v>151</v>
      </c>
      <c r="FG5" s="96" t="s">
        <v>488</v>
      </c>
      <c r="FL5" s="96" t="s">
        <v>488</v>
      </c>
    </row>
    <row r="6" spans="1:168">
      <c r="A6" s="11" t="s">
        <v>154</v>
      </c>
      <c r="E6" t="s">
        <v>164</v>
      </c>
      <c r="F6" s="84">
        <v>0.82499999999999996</v>
      </c>
      <c r="H6" t="s">
        <v>164</v>
      </c>
      <c r="I6" s="84">
        <v>0.82499999999999996</v>
      </c>
      <c r="K6" t="s">
        <v>164</v>
      </c>
      <c r="L6" s="84">
        <v>0.82499999999999996</v>
      </c>
      <c r="N6" t="s">
        <v>157</v>
      </c>
      <c r="R6" t="s">
        <v>157</v>
      </c>
      <c r="S6">
        <v>500000</v>
      </c>
      <c r="U6" t="s">
        <v>157</v>
      </c>
      <c r="V6">
        <v>1.85</v>
      </c>
      <c r="X6" t="s">
        <v>157</v>
      </c>
      <c r="Y6">
        <v>33000</v>
      </c>
      <c r="AA6" t="s">
        <v>157</v>
      </c>
      <c r="AD6" t="s">
        <v>157</v>
      </c>
      <c r="AE6">
        <v>50000</v>
      </c>
      <c r="AG6" t="s">
        <v>162</v>
      </c>
      <c r="AH6">
        <v>55000</v>
      </c>
      <c r="AK6" s="11" t="s">
        <v>154</v>
      </c>
      <c r="AL6">
        <v>300000</v>
      </c>
      <c r="AN6" t="s">
        <v>157</v>
      </c>
      <c r="AO6">
        <v>15000</v>
      </c>
      <c r="AQ6" t="s">
        <v>157</v>
      </c>
      <c r="AR6">
        <v>45000</v>
      </c>
      <c r="AT6" t="s">
        <v>157</v>
      </c>
      <c r="AU6">
        <v>100000</v>
      </c>
      <c r="AW6" t="s">
        <v>157</v>
      </c>
      <c r="AZ6" s="11" t="s">
        <v>154</v>
      </c>
      <c r="BD6" t="s">
        <v>162</v>
      </c>
      <c r="BE6">
        <v>100000</v>
      </c>
      <c r="BG6" s="11" t="s">
        <v>154</v>
      </c>
      <c r="BK6" t="s">
        <v>166</v>
      </c>
      <c r="BN6" t="s">
        <v>157</v>
      </c>
      <c r="BO6">
        <v>500000</v>
      </c>
      <c r="BQ6" t="s">
        <v>157</v>
      </c>
      <c r="BT6" t="s">
        <v>164</v>
      </c>
      <c r="BW6" t="s">
        <v>157</v>
      </c>
      <c r="BZ6" t="s">
        <v>157</v>
      </c>
      <c r="CC6" t="s">
        <v>157</v>
      </c>
      <c r="CD6">
        <v>175000</v>
      </c>
      <c r="CF6" t="s">
        <v>157</v>
      </c>
      <c r="CG6">
        <v>140000</v>
      </c>
      <c r="CI6" s="11" t="s">
        <v>154</v>
      </c>
      <c r="CL6" s="15" t="s">
        <v>165</v>
      </c>
      <c r="CM6" s="97">
        <f>SUM(CM3:CM5)</f>
        <v>207000</v>
      </c>
      <c r="CO6" t="s">
        <v>157</v>
      </c>
      <c r="CP6">
        <v>35000</v>
      </c>
      <c r="CR6" t="s">
        <v>157</v>
      </c>
      <c r="CS6">
        <v>175000</v>
      </c>
      <c r="CU6" t="s">
        <v>164</v>
      </c>
      <c r="CX6" t="s">
        <v>157</v>
      </c>
      <c r="DA6" t="s">
        <v>157</v>
      </c>
      <c r="DB6">
        <v>80000</v>
      </c>
      <c r="DD6" t="s">
        <v>164</v>
      </c>
      <c r="DG6" t="s">
        <v>157</v>
      </c>
      <c r="DH6">
        <v>33500</v>
      </c>
      <c r="DJ6" s="11" t="s">
        <v>154</v>
      </c>
      <c r="DL6" s="96"/>
      <c r="DM6" s="15" t="s">
        <v>165</v>
      </c>
      <c r="DN6"/>
      <c r="DP6" t="s">
        <v>162</v>
      </c>
      <c r="DS6" t="s">
        <v>162</v>
      </c>
      <c r="DW6" t="s">
        <v>162</v>
      </c>
    </row>
    <row r="7" spans="1:168">
      <c r="A7" s="45" t="s">
        <v>151</v>
      </c>
      <c r="B7">
        <v>18000</v>
      </c>
      <c r="E7" s="11" t="s">
        <v>154</v>
      </c>
      <c r="F7" s="84">
        <f>F6+F5</f>
        <v>1.4249999999999998</v>
      </c>
      <c r="H7" s="11" t="s">
        <v>154</v>
      </c>
      <c r="I7" s="84">
        <f>I6+I5</f>
        <v>1.4249999999999998</v>
      </c>
      <c r="K7" s="11" t="s">
        <v>154</v>
      </c>
      <c r="L7" s="84">
        <f>L6+L5</f>
        <v>1.4249999999999998</v>
      </c>
      <c r="N7" t="s">
        <v>156</v>
      </c>
      <c r="R7" t="s">
        <v>156</v>
      </c>
      <c r="S7">
        <v>15000</v>
      </c>
      <c r="U7" t="s">
        <v>156</v>
      </c>
      <c r="V7">
        <v>10000</v>
      </c>
      <c r="X7" t="s">
        <v>156</v>
      </c>
      <c r="Y7">
        <v>3500</v>
      </c>
      <c r="AA7" t="s">
        <v>156</v>
      </c>
      <c r="AB7">
        <v>6000</v>
      </c>
      <c r="AD7" t="s">
        <v>156</v>
      </c>
      <c r="AE7">
        <v>2500</v>
      </c>
      <c r="AG7" t="s">
        <v>156</v>
      </c>
      <c r="AH7">
        <v>15000</v>
      </c>
      <c r="AK7" s="45" t="s">
        <v>151</v>
      </c>
      <c r="AN7" t="s">
        <v>156</v>
      </c>
      <c r="AO7">
        <v>5000</v>
      </c>
      <c r="AQ7" t="s">
        <v>156</v>
      </c>
      <c r="AR7">
        <v>8000</v>
      </c>
      <c r="AT7" t="s">
        <v>156</v>
      </c>
      <c r="AU7">
        <v>12000</v>
      </c>
      <c r="AW7" t="s">
        <v>156</v>
      </c>
      <c r="AX7">
        <v>1000</v>
      </c>
      <c r="AZ7" s="45" t="s">
        <v>151</v>
      </c>
      <c r="BA7">
        <v>33000</v>
      </c>
      <c r="BD7" t="s">
        <v>156</v>
      </c>
      <c r="BE7">
        <v>5000</v>
      </c>
      <c r="BG7" s="45" t="s">
        <v>151</v>
      </c>
      <c r="BH7">
        <v>80000</v>
      </c>
      <c r="BK7" s="11" t="s">
        <v>169</v>
      </c>
      <c r="BN7" t="s">
        <v>156</v>
      </c>
      <c r="BO7">
        <v>200000</v>
      </c>
      <c r="BQ7" t="s">
        <v>156</v>
      </c>
      <c r="BT7" s="11" t="s">
        <v>154</v>
      </c>
      <c r="BW7" t="s">
        <v>156</v>
      </c>
      <c r="BZ7" t="s">
        <v>156</v>
      </c>
      <c r="CA7">
        <v>350000</v>
      </c>
      <c r="CC7" t="s">
        <v>156</v>
      </c>
      <c r="CD7">
        <v>100000</v>
      </c>
      <c r="CF7" t="s">
        <v>156</v>
      </c>
      <c r="CI7" s="45" t="s">
        <v>151</v>
      </c>
      <c r="CL7" s="15" t="s">
        <v>168</v>
      </c>
      <c r="CM7" s="97"/>
      <c r="CO7" t="s">
        <v>156</v>
      </c>
      <c r="CR7" t="s">
        <v>156</v>
      </c>
      <c r="CS7">
        <v>30000</v>
      </c>
      <c r="CU7" s="11" t="s">
        <v>154</v>
      </c>
      <c r="CX7" t="s">
        <v>156</v>
      </c>
      <c r="DA7" t="s">
        <v>156</v>
      </c>
      <c r="DB7">
        <v>2000</v>
      </c>
      <c r="DD7" s="11" t="s">
        <v>154</v>
      </c>
      <c r="DG7" t="s">
        <v>156</v>
      </c>
      <c r="DH7">
        <v>2000</v>
      </c>
      <c r="DJ7" s="45" t="s">
        <v>151</v>
      </c>
      <c r="DK7">
        <v>100000</v>
      </c>
      <c r="DL7" s="96"/>
      <c r="DM7" s="15" t="s">
        <v>168</v>
      </c>
      <c r="DN7"/>
      <c r="DP7" t="s">
        <v>156</v>
      </c>
      <c r="DS7" t="s">
        <v>156</v>
      </c>
      <c r="DT7">
        <f>6*10^4</f>
        <v>60000</v>
      </c>
      <c r="DW7" t="s">
        <v>156</v>
      </c>
    </row>
    <row r="8" spans="1:168">
      <c r="A8" s="45" t="s">
        <v>157</v>
      </c>
      <c r="B8">
        <v>46000</v>
      </c>
      <c r="E8" s="45" t="s">
        <v>151</v>
      </c>
      <c r="F8">
        <v>86000</v>
      </c>
      <c r="H8" s="45" t="s">
        <v>151</v>
      </c>
      <c r="I8">
        <v>64000</v>
      </c>
      <c r="K8" s="45" t="s">
        <v>151</v>
      </c>
      <c r="L8">
        <v>72000</v>
      </c>
      <c r="N8" t="s">
        <v>166</v>
      </c>
      <c r="R8" t="s">
        <v>166</v>
      </c>
      <c r="S8">
        <v>60000</v>
      </c>
      <c r="U8" t="s">
        <v>166</v>
      </c>
      <c r="X8" t="s">
        <v>166</v>
      </c>
      <c r="AA8" t="s">
        <v>166</v>
      </c>
      <c r="AB8">
        <f>3500+600</f>
        <v>4100</v>
      </c>
      <c r="AD8" t="s">
        <v>166</v>
      </c>
      <c r="AE8">
        <v>1000</v>
      </c>
      <c r="AG8" t="s">
        <v>166</v>
      </c>
      <c r="AK8" s="45" t="s">
        <v>157</v>
      </c>
      <c r="AL8">
        <v>400000</v>
      </c>
      <c r="AN8" t="s">
        <v>166</v>
      </c>
      <c r="AO8">
        <v>2500000</v>
      </c>
      <c r="AQ8" t="s">
        <v>166</v>
      </c>
      <c r="AR8">
        <f>200000+4000</f>
        <v>204000</v>
      </c>
      <c r="AT8" t="s">
        <v>166</v>
      </c>
      <c r="AU8">
        <f>1000+5000</f>
        <v>6000</v>
      </c>
      <c r="AW8" t="s">
        <v>166</v>
      </c>
      <c r="AX8">
        <v>1000</v>
      </c>
      <c r="AZ8" s="45" t="s">
        <v>157</v>
      </c>
      <c r="BA8">
        <v>20000</v>
      </c>
      <c r="BD8" t="s">
        <v>170</v>
      </c>
      <c r="BG8" s="45" t="s">
        <v>157</v>
      </c>
      <c r="BH8">
        <v>52000</v>
      </c>
      <c r="BK8" s="11" t="s">
        <v>173</v>
      </c>
      <c r="BN8" t="s">
        <v>166</v>
      </c>
      <c r="BQ8" t="s">
        <v>166</v>
      </c>
      <c r="BT8" s="45" t="s">
        <v>151</v>
      </c>
      <c r="BU8">
        <v>120000</v>
      </c>
      <c r="BW8" t="s">
        <v>166</v>
      </c>
      <c r="BZ8" t="s">
        <v>166</v>
      </c>
      <c r="CC8" t="s">
        <v>166</v>
      </c>
      <c r="CD8">
        <f>1000000+25000</f>
        <v>1025000</v>
      </c>
      <c r="CF8" t="s">
        <v>166</v>
      </c>
      <c r="CI8" s="45" t="s">
        <v>157</v>
      </c>
      <c r="CJ8">
        <v>55000</v>
      </c>
      <c r="CL8" s="12" t="s">
        <v>172</v>
      </c>
      <c r="CM8" s="97"/>
      <c r="CO8" t="s">
        <v>166</v>
      </c>
      <c r="CP8">
        <f>700000+2000000</f>
        <v>2700000</v>
      </c>
      <c r="CR8" t="s">
        <v>166</v>
      </c>
      <c r="CS8">
        <v>15000</v>
      </c>
      <c r="CU8" s="45" t="s">
        <v>151</v>
      </c>
      <c r="CV8">
        <v>300000</v>
      </c>
      <c r="CX8" t="s">
        <v>166</v>
      </c>
      <c r="DA8" t="s">
        <v>166</v>
      </c>
      <c r="DB8">
        <v>1400</v>
      </c>
      <c r="DD8" s="45" t="s">
        <v>151</v>
      </c>
      <c r="DE8">
        <v>80000</v>
      </c>
      <c r="DG8" t="s">
        <v>166</v>
      </c>
      <c r="DH8">
        <v>15000</v>
      </c>
      <c r="DJ8" s="45" t="s">
        <v>157</v>
      </c>
      <c r="DL8" s="96"/>
      <c r="DM8" s="12" t="s">
        <v>172</v>
      </c>
      <c r="DN8"/>
      <c r="DP8" t="s">
        <v>170</v>
      </c>
      <c r="DS8" t="s">
        <v>170</v>
      </c>
      <c r="DW8" t="s">
        <v>166</v>
      </c>
      <c r="FG8" s="96">
        <v>6</v>
      </c>
    </row>
    <row r="9" spans="1:168">
      <c r="A9" s="45" t="s">
        <v>156</v>
      </c>
      <c r="B9">
        <v>5000</v>
      </c>
      <c r="E9" t="s">
        <v>157</v>
      </c>
      <c r="F9">
        <v>30000</v>
      </c>
      <c r="H9" t="s">
        <v>157</v>
      </c>
      <c r="I9">
        <v>95000</v>
      </c>
      <c r="K9" t="s">
        <v>157</v>
      </c>
      <c r="L9">
        <v>90000</v>
      </c>
      <c r="N9" s="11" t="s">
        <v>169</v>
      </c>
      <c r="R9" s="11" t="s">
        <v>169</v>
      </c>
      <c r="U9" s="11" t="s">
        <v>169</v>
      </c>
      <c r="X9" s="11" t="s">
        <v>169</v>
      </c>
      <c r="AA9" s="11" t="s">
        <v>169</v>
      </c>
      <c r="AD9" s="11" t="s">
        <v>169</v>
      </c>
      <c r="AE9" s="79"/>
      <c r="AG9" s="11" t="s">
        <v>169</v>
      </c>
      <c r="AK9" s="45" t="s">
        <v>156</v>
      </c>
      <c r="AN9" s="11" t="s">
        <v>169</v>
      </c>
      <c r="AQ9" s="11" t="s">
        <v>169</v>
      </c>
      <c r="AT9" s="11" t="s">
        <v>169</v>
      </c>
      <c r="AW9" s="11" t="s">
        <v>169</v>
      </c>
      <c r="AZ9" s="45" t="s">
        <v>156</v>
      </c>
      <c r="BD9" t="s">
        <v>166</v>
      </c>
      <c r="BG9" s="45" t="s">
        <v>156</v>
      </c>
      <c r="BH9">
        <v>7000</v>
      </c>
      <c r="BN9" s="11" t="s">
        <v>169</v>
      </c>
      <c r="BQ9" s="11" t="s">
        <v>169</v>
      </c>
      <c r="BT9" t="s">
        <v>157</v>
      </c>
      <c r="BW9" s="11" t="s">
        <v>169</v>
      </c>
      <c r="BZ9" s="11" t="s">
        <v>169</v>
      </c>
      <c r="CC9" s="11" t="s">
        <v>169</v>
      </c>
      <c r="CF9" s="11" t="s">
        <v>169</v>
      </c>
      <c r="CI9" s="45" t="s">
        <v>156</v>
      </c>
      <c r="CL9" s="12" t="s">
        <v>175</v>
      </c>
      <c r="CM9" s="97"/>
      <c r="CO9" s="11" t="s">
        <v>169</v>
      </c>
      <c r="CR9" s="11" t="s">
        <v>169</v>
      </c>
      <c r="CU9" t="s">
        <v>157</v>
      </c>
      <c r="CV9">
        <v>60000</v>
      </c>
      <c r="CX9" s="11" t="s">
        <v>169</v>
      </c>
      <c r="DA9" s="11" t="s">
        <v>169</v>
      </c>
      <c r="DD9" t="s">
        <v>157</v>
      </c>
      <c r="DG9" s="11" t="s">
        <v>169</v>
      </c>
      <c r="DJ9" s="45" t="s">
        <v>156</v>
      </c>
      <c r="DK9">
        <v>4000</v>
      </c>
      <c r="DL9" s="96"/>
      <c r="DM9" s="12" t="s">
        <v>175</v>
      </c>
      <c r="DN9"/>
      <c r="DP9" t="s">
        <v>166</v>
      </c>
      <c r="DS9" t="s">
        <v>166</v>
      </c>
      <c r="DW9" s="11" t="s">
        <v>169</v>
      </c>
    </row>
    <row r="10" spans="1:168">
      <c r="A10" s="45" t="s">
        <v>166</v>
      </c>
      <c r="E10" t="s">
        <v>156</v>
      </c>
      <c r="F10">
        <v>12000</v>
      </c>
      <c r="H10" t="s">
        <v>156</v>
      </c>
      <c r="I10">
        <v>15000</v>
      </c>
      <c r="K10" t="s">
        <v>156</v>
      </c>
      <c r="L10">
        <v>25000</v>
      </c>
      <c r="N10" s="11" t="s">
        <v>173</v>
      </c>
      <c r="O10" s="79">
        <v>0.3</v>
      </c>
      <c r="P10" s="79"/>
      <c r="R10" s="11" t="s">
        <v>173</v>
      </c>
      <c r="S10">
        <f>10*10^5</f>
        <v>1000000</v>
      </c>
      <c r="U10" s="11" t="s">
        <v>173</v>
      </c>
      <c r="V10">
        <f>7*10^5</f>
        <v>700000</v>
      </c>
      <c r="X10" s="11" t="s">
        <v>173</v>
      </c>
      <c r="Y10">
        <f>4*10^5</f>
        <v>400000</v>
      </c>
      <c r="AA10" s="11" t="s">
        <v>173</v>
      </c>
      <c r="AD10" s="11" t="s">
        <v>173</v>
      </c>
      <c r="AE10" s="79"/>
      <c r="AG10" s="11" t="s">
        <v>173</v>
      </c>
      <c r="AK10" s="45" t="s">
        <v>166</v>
      </c>
      <c r="AL10">
        <v>144500</v>
      </c>
      <c r="AN10" s="11" t="s">
        <v>173</v>
      </c>
      <c r="AO10" s="79">
        <v>0.3</v>
      </c>
      <c r="AQ10" s="11" t="s">
        <v>173</v>
      </c>
      <c r="AR10" s="79">
        <v>0.3</v>
      </c>
      <c r="AT10" s="11" t="s">
        <v>173</v>
      </c>
      <c r="AU10" s="79">
        <v>0.35</v>
      </c>
      <c r="AW10" s="11" t="s">
        <v>173</v>
      </c>
      <c r="AZ10" s="45" t="s">
        <v>166</v>
      </c>
      <c r="BD10" s="11" t="s">
        <v>169</v>
      </c>
      <c r="BG10" s="45" t="s">
        <v>166</v>
      </c>
      <c r="BH10" s="80">
        <f>100000+50000+1200</f>
        <v>151200</v>
      </c>
      <c r="BN10" s="11" t="s">
        <v>173</v>
      </c>
      <c r="BQ10" s="11" t="s">
        <v>173</v>
      </c>
      <c r="BT10" t="s">
        <v>156</v>
      </c>
      <c r="BU10">
        <v>25000</v>
      </c>
      <c r="BW10" s="11" t="s">
        <v>173</v>
      </c>
      <c r="BZ10" s="11" t="s">
        <v>173</v>
      </c>
      <c r="CC10" s="11" t="s">
        <v>173</v>
      </c>
      <c r="CD10" s="79">
        <v>0.4</v>
      </c>
      <c r="CF10" s="11" t="s">
        <v>173</v>
      </c>
      <c r="CG10" s="79"/>
      <c r="CI10" s="45" t="s">
        <v>166</v>
      </c>
      <c r="CL10" s="12" t="s">
        <v>177</v>
      </c>
      <c r="CM10" s="97"/>
      <c r="CO10" s="11" t="s">
        <v>173</v>
      </c>
      <c r="CR10" s="11" t="s">
        <v>173</v>
      </c>
      <c r="CS10" s="79">
        <v>0.25</v>
      </c>
      <c r="CU10" t="s">
        <v>156</v>
      </c>
      <c r="CV10">
        <v>55000</v>
      </c>
      <c r="CX10" s="11" t="s">
        <v>173</v>
      </c>
      <c r="DA10" s="11" t="s">
        <v>173</v>
      </c>
      <c r="DB10" s="79">
        <v>0.5</v>
      </c>
      <c r="DD10" t="s">
        <v>156</v>
      </c>
      <c r="DE10">
        <v>40000</v>
      </c>
      <c r="DG10" s="11" t="s">
        <v>173</v>
      </c>
      <c r="DH10" s="79">
        <v>0.5</v>
      </c>
      <c r="DJ10" s="45" t="s">
        <v>166</v>
      </c>
      <c r="DL10" s="96"/>
      <c r="DM10" s="12" t="s">
        <v>177</v>
      </c>
      <c r="DN10"/>
      <c r="DP10" s="11" t="s">
        <v>169</v>
      </c>
      <c r="DS10" s="11" t="s">
        <v>169</v>
      </c>
      <c r="DW10" s="11" t="s">
        <v>173</v>
      </c>
      <c r="FL10" s="96" t="s">
        <v>632</v>
      </c>
    </row>
    <row r="11" spans="1:168">
      <c r="A11" s="11" t="s">
        <v>169</v>
      </c>
      <c r="E11" t="s">
        <v>179</v>
      </c>
      <c r="H11" t="s">
        <v>179</v>
      </c>
      <c r="K11" t="s">
        <v>179</v>
      </c>
      <c r="R11" s="9"/>
      <c r="U11" s="9"/>
      <c r="X11" s="9"/>
      <c r="AD11" s="9"/>
      <c r="AK11" s="11" t="s">
        <v>169</v>
      </c>
      <c r="AN11" s="11"/>
      <c r="AQ11" s="9"/>
      <c r="AT11" s="9"/>
      <c r="AW11" s="11"/>
      <c r="AZ11" s="11" t="s">
        <v>169</v>
      </c>
      <c r="BD11" s="11" t="s">
        <v>173</v>
      </c>
      <c r="BE11" s="79">
        <v>0.95</v>
      </c>
      <c r="BG11" s="11" t="s">
        <v>169</v>
      </c>
      <c r="BQ11" s="11"/>
      <c r="BT11" t="s">
        <v>179</v>
      </c>
      <c r="BW11" s="9"/>
      <c r="BZ11" s="9"/>
      <c r="CC11" s="9"/>
      <c r="CF11" s="9"/>
      <c r="CI11" s="11" t="s">
        <v>169</v>
      </c>
      <c r="CL11" s="12" t="s">
        <v>180</v>
      </c>
      <c r="CM11" s="97"/>
      <c r="CO11" s="9"/>
      <c r="CR11" s="11"/>
      <c r="CU11" t="s">
        <v>179</v>
      </c>
      <c r="CX11" s="9"/>
      <c r="DA11" s="9"/>
      <c r="DD11" t="s">
        <v>179</v>
      </c>
      <c r="DG11" s="9"/>
      <c r="DJ11" s="11" t="s">
        <v>169</v>
      </c>
      <c r="DL11" s="96"/>
      <c r="DM11" s="12" t="s">
        <v>180</v>
      </c>
      <c r="DN11"/>
      <c r="DP11" s="11" t="s">
        <v>173</v>
      </c>
      <c r="DQ11" s="79">
        <v>0.08</v>
      </c>
      <c r="DS11" s="11" t="s">
        <v>173</v>
      </c>
      <c r="DT11" s="79">
        <v>0.1</v>
      </c>
    </row>
    <row r="12" spans="1:168">
      <c r="A12" s="11" t="s">
        <v>173</v>
      </c>
      <c r="E12" s="10" t="s">
        <v>497</v>
      </c>
      <c r="F12" s="10">
        <f>5*10^5</f>
        <v>500000</v>
      </c>
      <c r="G12" s="10"/>
      <c r="H12" s="10" t="s">
        <v>497</v>
      </c>
      <c r="I12" s="10">
        <f>F12</f>
        <v>500000</v>
      </c>
      <c r="J12" s="10"/>
      <c r="K12" s="10" t="s">
        <v>497</v>
      </c>
      <c r="L12" s="10">
        <f>I12</f>
        <v>500000</v>
      </c>
      <c r="R12" s="9"/>
      <c r="U12" s="9"/>
      <c r="X12" s="9"/>
      <c r="AD12" s="9"/>
      <c r="AK12" s="11" t="s">
        <v>173</v>
      </c>
      <c r="AN12" s="11"/>
      <c r="AQ12" s="9"/>
      <c r="AT12" s="9"/>
      <c r="AW12" s="11"/>
      <c r="AZ12" s="11" t="s">
        <v>173</v>
      </c>
      <c r="BA12" t="s">
        <v>563</v>
      </c>
      <c r="BD12" s="11"/>
      <c r="BG12" s="11" t="s">
        <v>173</v>
      </c>
      <c r="BH12" s="79">
        <v>0.5</v>
      </c>
      <c r="BQ12" s="11"/>
      <c r="BT12" t="s">
        <v>166</v>
      </c>
      <c r="BU12" t="s">
        <v>590</v>
      </c>
      <c r="BW12" s="9"/>
      <c r="BZ12" s="9"/>
      <c r="CC12" s="9"/>
      <c r="CF12" s="9"/>
      <c r="CI12" s="11" t="s">
        <v>173</v>
      </c>
      <c r="CJ12" t="s">
        <v>609</v>
      </c>
      <c r="CL12" s="15" t="s">
        <v>182</v>
      </c>
      <c r="CM12" s="97">
        <f>SUM(CM8:CM11)</f>
        <v>0</v>
      </c>
      <c r="CO12" s="9"/>
      <c r="CR12" s="11"/>
      <c r="CU12" t="s">
        <v>166</v>
      </c>
      <c r="CX12" s="9"/>
      <c r="DA12" s="9"/>
      <c r="DD12" t="s">
        <v>166</v>
      </c>
      <c r="DE12">
        <v>8000</v>
      </c>
      <c r="DG12" s="9"/>
      <c r="DJ12" s="11" t="s">
        <v>173</v>
      </c>
      <c r="DK12" t="s">
        <v>627</v>
      </c>
      <c r="DM12" s="15" t="s">
        <v>182</v>
      </c>
      <c r="DP12" s="11"/>
      <c r="DS12" s="11"/>
    </row>
    <row r="13" spans="1:168" ht="15.75" thickBot="1">
      <c r="E13" t="s">
        <v>166</v>
      </c>
      <c r="F13">
        <f>2500+2500</f>
        <v>5000</v>
      </c>
      <c r="H13" t="s">
        <v>166</v>
      </c>
      <c r="I13">
        <f>3000+3000</f>
        <v>6000</v>
      </c>
      <c r="K13" t="s">
        <v>166</v>
      </c>
      <c r="L13">
        <v>6000</v>
      </c>
      <c r="R13" s="9"/>
      <c r="U13" s="9"/>
      <c r="X13" s="9"/>
      <c r="AD13" s="9"/>
      <c r="AQ13" s="9"/>
      <c r="AT13" s="9"/>
      <c r="BD13" s="11"/>
      <c r="BT13" s="10" t="s">
        <v>497</v>
      </c>
      <c r="BU13">
        <v>600000</v>
      </c>
      <c r="BW13" s="9"/>
      <c r="BZ13" s="9"/>
      <c r="CC13" s="9"/>
      <c r="CF13" s="9"/>
      <c r="CL13" s="56" t="s">
        <v>184</v>
      </c>
      <c r="CM13" s="97">
        <f>CM32-CM6+CM12</f>
        <v>-207000</v>
      </c>
      <c r="CO13" s="9"/>
      <c r="CU13" s="10" t="s">
        <v>497</v>
      </c>
      <c r="CX13" s="9"/>
      <c r="DA13" s="9"/>
      <c r="DD13" s="10" t="s">
        <v>497</v>
      </c>
      <c r="DE13">
        <v>600000</v>
      </c>
      <c r="DG13" s="9"/>
      <c r="DM13" s="15" t="s">
        <v>184</v>
      </c>
      <c r="DP13" s="11"/>
      <c r="DS13" s="11"/>
    </row>
    <row r="14" spans="1:168" ht="15.75" thickTop="1">
      <c r="E14" s="11" t="s">
        <v>169</v>
      </c>
      <c r="H14" s="11" t="s">
        <v>169</v>
      </c>
      <c r="K14" s="11" t="s">
        <v>169</v>
      </c>
      <c r="R14" s="9"/>
      <c r="U14" s="9"/>
      <c r="X14" s="9"/>
      <c r="AD14" s="9"/>
      <c r="AQ14" s="9"/>
      <c r="AT14" s="9"/>
      <c r="BT14" s="11" t="s">
        <v>169</v>
      </c>
      <c r="BW14" s="9"/>
      <c r="BZ14" s="9"/>
      <c r="CC14" s="9"/>
      <c r="CF14" s="9"/>
      <c r="CM14" s="97"/>
      <c r="CO14" s="9"/>
      <c r="CU14" s="11" t="s">
        <v>169</v>
      </c>
      <c r="CV14">
        <v>1000000</v>
      </c>
      <c r="CX14" s="9"/>
      <c r="DA14" s="9"/>
      <c r="DD14" s="11" t="s">
        <v>169</v>
      </c>
      <c r="DG14" s="9"/>
      <c r="FG14" s="96" t="s">
        <v>622</v>
      </c>
    </row>
    <row r="15" spans="1:168">
      <c r="E15" s="11" t="s">
        <v>173</v>
      </c>
      <c r="F15" t="s">
        <v>496</v>
      </c>
      <c r="H15" s="11" t="s">
        <v>173</v>
      </c>
      <c r="I15">
        <f>10*10^5</f>
        <v>1000000</v>
      </c>
      <c r="K15" s="11" t="s">
        <v>173</v>
      </c>
      <c r="L15">
        <f>15*10^5</f>
        <v>1500000</v>
      </c>
      <c r="R15" s="10"/>
      <c r="U15" s="10"/>
      <c r="X15" s="10"/>
      <c r="AD15" s="10"/>
      <c r="AQ15" s="10"/>
      <c r="AT15" s="10"/>
      <c r="BT15" s="11" t="s">
        <v>173</v>
      </c>
      <c r="BW15" s="10"/>
      <c r="BZ15" s="10"/>
      <c r="CC15" s="10"/>
      <c r="CF15" s="10"/>
      <c r="CM15" s="97"/>
      <c r="CO15" s="10"/>
      <c r="CU15" s="11" t="s">
        <v>173</v>
      </c>
      <c r="CX15" s="10"/>
      <c r="DD15" s="11" t="s">
        <v>173</v>
      </c>
      <c r="DE15" s="79">
        <v>0.6</v>
      </c>
      <c r="DG15" s="10"/>
      <c r="FG15" s="96" t="str">
        <f>FG14</f>
        <v>10 to 12</v>
      </c>
    </row>
    <row r="16" spans="1:168">
      <c r="A16" s="44"/>
      <c r="AD16" s="10"/>
      <c r="AQ16" s="10"/>
      <c r="AT16" s="10"/>
      <c r="BT16" s="11"/>
      <c r="BW16" s="43"/>
      <c r="BZ16" s="43"/>
      <c r="CC16" s="43"/>
      <c r="CF16" s="43"/>
      <c r="CI16" s="44"/>
      <c r="CL16" s="43"/>
      <c r="CM16" s="97"/>
      <c r="CO16" s="43"/>
      <c r="CR16" s="44"/>
      <c r="CU16" s="42" t="s">
        <v>188</v>
      </c>
      <c r="CX16" s="43"/>
      <c r="DA16" s="43"/>
      <c r="DD16" s="42" t="s">
        <v>188</v>
      </c>
      <c r="DG16" s="43"/>
      <c r="DJ16" s="44"/>
      <c r="DM16" s="43"/>
      <c r="DP16" s="43"/>
      <c r="DS16" s="43"/>
      <c r="DW16" s="43"/>
    </row>
    <row r="17" spans="1:168">
      <c r="A17" s="11" t="s">
        <v>190</v>
      </c>
      <c r="E17" s="42" t="s">
        <v>188</v>
      </c>
      <c r="H17" s="42" t="s">
        <v>188</v>
      </c>
      <c r="K17" s="42" t="s">
        <v>188</v>
      </c>
      <c r="N17" s="43"/>
      <c r="R17" s="43"/>
      <c r="U17" s="43"/>
      <c r="X17" s="43"/>
      <c r="AA17" s="43"/>
      <c r="AD17" s="43"/>
      <c r="AG17" s="43"/>
      <c r="AK17" s="44"/>
      <c r="AN17" s="44"/>
      <c r="AQ17" s="43"/>
      <c r="AT17" s="43"/>
      <c r="AW17" s="44"/>
      <c r="AZ17" s="44"/>
      <c r="BD17" s="43"/>
      <c r="BG17" s="44"/>
      <c r="BK17" s="43"/>
      <c r="BN17" s="43"/>
      <c r="BQ17" s="44"/>
      <c r="BT17" s="42" t="s">
        <v>188</v>
      </c>
      <c r="BW17" s="11" t="s">
        <v>190</v>
      </c>
      <c r="BZ17" s="11" t="s">
        <v>190</v>
      </c>
      <c r="CC17" s="11" t="s">
        <v>190</v>
      </c>
      <c r="CF17" s="11" t="s">
        <v>190</v>
      </c>
      <c r="CI17" s="11" t="s">
        <v>190</v>
      </c>
      <c r="CL17" s="11" t="s">
        <v>191</v>
      </c>
      <c r="CM17" s="97"/>
      <c r="CO17" s="11" t="s">
        <v>190</v>
      </c>
      <c r="CR17" s="11" t="s">
        <v>190</v>
      </c>
      <c r="CU17" s="11" t="s">
        <v>188</v>
      </c>
      <c r="CX17" s="11" t="s">
        <v>190</v>
      </c>
      <c r="DA17" s="11" t="s">
        <v>190</v>
      </c>
      <c r="DD17" s="11" t="s">
        <v>188</v>
      </c>
      <c r="DG17" s="11" t="s">
        <v>190</v>
      </c>
      <c r="DJ17" s="11" t="s">
        <v>190</v>
      </c>
      <c r="DM17" s="11" t="s">
        <v>191</v>
      </c>
      <c r="DN17"/>
      <c r="DP17" s="11" t="s">
        <v>190</v>
      </c>
      <c r="DS17" s="11" t="s">
        <v>190</v>
      </c>
      <c r="DW17" s="11" t="s">
        <v>190</v>
      </c>
    </row>
    <row r="18" spans="1:168">
      <c r="A18" s="45" t="s">
        <v>194</v>
      </c>
      <c r="B18" t="s">
        <v>458</v>
      </c>
      <c r="E18" s="11" t="s">
        <v>188</v>
      </c>
      <c r="H18" s="11" t="s">
        <v>188</v>
      </c>
      <c r="K18" s="11" t="s">
        <v>188</v>
      </c>
      <c r="N18" s="11" t="s">
        <v>190</v>
      </c>
      <c r="R18" s="11" t="s">
        <v>190</v>
      </c>
      <c r="U18" s="11" t="s">
        <v>190</v>
      </c>
      <c r="X18" s="11" t="s">
        <v>190</v>
      </c>
      <c r="AA18" s="11" t="s">
        <v>190</v>
      </c>
      <c r="AD18" s="11" t="s">
        <v>190</v>
      </c>
      <c r="AG18" t="s">
        <v>190</v>
      </c>
      <c r="AK18" s="11" t="s">
        <v>190</v>
      </c>
      <c r="AN18" s="11" t="s">
        <v>190</v>
      </c>
      <c r="AQ18" s="11" t="s">
        <v>190</v>
      </c>
      <c r="AT18" s="11" t="s">
        <v>190</v>
      </c>
      <c r="AW18" s="11" t="s">
        <v>190</v>
      </c>
      <c r="AZ18" s="11" t="s">
        <v>190</v>
      </c>
      <c r="BD18" s="11" t="s">
        <v>190</v>
      </c>
      <c r="BG18" s="11" t="s">
        <v>190</v>
      </c>
      <c r="BK18" s="11" t="s">
        <v>190</v>
      </c>
      <c r="BN18" s="11" t="s">
        <v>188</v>
      </c>
      <c r="BQ18" s="11" t="s">
        <v>190</v>
      </c>
      <c r="BT18" s="11" t="s">
        <v>188</v>
      </c>
      <c r="BW18" s="45" t="s">
        <v>194</v>
      </c>
      <c r="BZ18" s="45" t="s">
        <v>194</v>
      </c>
      <c r="CA18">
        <v>18000</v>
      </c>
      <c r="CC18" s="45" t="s">
        <v>194</v>
      </c>
      <c r="CF18" s="45" t="s">
        <v>194</v>
      </c>
      <c r="CI18" s="45" t="s">
        <v>194</v>
      </c>
      <c r="CL18" s="12" t="s">
        <v>197</v>
      </c>
      <c r="CM18" s="97">
        <v>1.2</v>
      </c>
      <c r="CO18" s="45" t="s">
        <v>194</v>
      </c>
      <c r="CR18" s="45" t="s">
        <v>194</v>
      </c>
      <c r="CU18" s="45" t="s">
        <v>194</v>
      </c>
      <c r="CX18" s="45" t="s">
        <v>194</v>
      </c>
      <c r="DA18" s="45" t="s">
        <v>194</v>
      </c>
      <c r="DB18">
        <v>40000</v>
      </c>
      <c r="DD18" s="45" t="s">
        <v>194</v>
      </c>
      <c r="DE18">
        <v>70000</v>
      </c>
      <c r="DG18" s="45" t="s">
        <v>194</v>
      </c>
      <c r="DJ18" s="45" t="s">
        <v>194</v>
      </c>
      <c r="DM18" s="12" t="s">
        <v>197</v>
      </c>
      <c r="DN18">
        <v>110000</v>
      </c>
      <c r="DP18" s="45" t="s">
        <v>194</v>
      </c>
      <c r="DS18" s="45" t="s">
        <v>194</v>
      </c>
      <c r="DW18" s="45" t="s">
        <v>194</v>
      </c>
    </row>
    <row r="19" spans="1:168">
      <c r="A19" s="45" t="s">
        <v>201</v>
      </c>
      <c r="E19" s="45" t="s">
        <v>194</v>
      </c>
      <c r="F19">
        <f>4*10^4</f>
        <v>40000</v>
      </c>
      <c r="H19" s="45" t="s">
        <v>194</v>
      </c>
      <c r="I19">
        <v>35000</v>
      </c>
      <c r="K19" s="45" t="s">
        <v>194</v>
      </c>
      <c r="L19">
        <v>45000</v>
      </c>
      <c r="N19" s="45" t="s">
        <v>194</v>
      </c>
      <c r="R19" s="45" t="s">
        <v>194</v>
      </c>
      <c r="U19" s="45" t="s">
        <v>194</v>
      </c>
      <c r="X19" s="45" t="s">
        <v>194</v>
      </c>
      <c r="AA19" s="45" t="s">
        <v>194</v>
      </c>
      <c r="AD19" s="45" t="s">
        <v>194</v>
      </c>
      <c r="AG19" t="s">
        <v>194</v>
      </c>
      <c r="AK19" s="45" t="s">
        <v>194</v>
      </c>
      <c r="AN19" s="45" t="s">
        <v>194</v>
      </c>
      <c r="AO19">
        <v>30000</v>
      </c>
      <c r="AQ19" s="45" t="s">
        <v>194</v>
      </c>
      <c r="AT19" s="45" t="s">
        <v>194</v>
      </c>
      <c r="AU19">
        <v>3666</v>
      </c>
      <c r="AW19" s="45" t="s">
        <v>194</v>
      </c>
      <c r="AZ19" s="45" t="s">
        <v>194</v>
      </c>
      <c r="BD19" s="45" t="s">
        <v>194</v>
      </c>
      <c r="BE19">
        <v>900</v>
      </c>
      <c r="BG19" s="45" t="s">
        <v>194</v>
      </c>
      <c r="BH19" t="s">
        <v>580</v>
      </c>
      <c r="BK19" t="s">
        <v>198</v>
      </c>
      <c r="BN19" t="s">
        <v>585</v>
      </c>
      <c r="BO19">
        <v>200000</v>
      </c>
      <c r="BQ19" s="45" t="s">
        <v>194</v>
      </c>
      <c r="BT19" s="45" t="s">
        <v>194</v>
      </c>
      <c r="BW19" s="45" t="s">
        <v>201</v>
      </c>
      <c r="BZ19" s="45" t="s">
        <v>201</v>
      </c>
      <c r="CC19" s="45" t="s">
        <v>201</v>
      </c>
      <c r="CF19" s="45" t="s">
        <v>201</v>
      </c>
      <c r="CI19" s="45" t="s">
        <v>201</v>
      </c>
      <c r="CL19" s="12" t="s">
        <v>204</v>
      </c>
      <c r="CM19" s="97">
        <v>2.15</v>
      </c>
      <c r="CO19" s="45" t="s">
        <v>201</v>
      </c>
      <c r="CR19" s="45" t="s">
        <v>201</v>
      </c>
      <c r="CU19" s="45" t="s">
        <v>201</v>
      </c>
      <c r="CX19" s="45" t="s">
        <v>201</v>
      </c>
      <c r="DA19" s="45" t="s">
        <v>201</v>
      </c>
      <c r="DD19" s="45" t="s">
        <v>201</v>
      </c>
      <c r="DG19" s="45" t="s">
        <v>201</v>
      </c>
      <c r="DJ19" s="45" t="s">
        <v>201</v>
      </c>
      <c r="DK19">
        <v>30000</v>
      </c>
      <c r="DM19" s="12" t="s">
        <v>204</v>
      </c>
      <c r="DN19">
        <v>210000</v>
      </c>
      <c r="DP19" s="45" t="s">
        <v>202</v>
      </c>
      <c r="DS19" s="45" t="s">
        <v>202</v>
      </c>
      <c r="DW19" s="45" t="s">
        <v>202</v>
      </c>
    </row>
    <row r="20" spans="1:168" ht="30">
      <c r="A20" s="45" t="s">
        <v>208</v>
      </c>
      <c r="E20" s="45" t="s">
        <v>201</v>
      </c>
      <c r="H20" s="45" t="s">
        <v>201</v>
      </c>
      <c r="K20" s="45" t="s">
        <v>201</v>
      </c>
      <c r="N20" s="45" t="s">
        <v>201</v>
      </c>
      <c r="R20" s="45" t="s">
        <v>201</v>
      </c>
      <c r="U20" s="45" t="s">
        <v>201</v>
      </c>
      <c r="X20" s="45" t="s">
        <v>201</v>
      </c>
      <c r="AA20" s="45" t="s">
        <v>201</v>
      </c>
      <c r="AD20" s="45" t="s">
        <v>201</v>
      </c>
      <c r="AG20" t="s">
        <v>202</v>
      </c>
      <c r="AK20" s="45" t="s">
        <v>201</v>
      </c>
      <c r="AN20" s="45" t="s">
        <v>201</v>
      </c>
      <c r="AQ20" s="45" t="s">
        <v>201</v>
      </c>
      <c r="AT20" s="45" t="s">
        <v>201</v>
      </c>
      <c r="AW20" s="45" t="s">
        <v>201</v>
      </c>
      <c r="AZ20" s="45" t="s">
        <v>201</v>
      </c>
      <c r="BD20" s="45" t="s">
        <v>202</v>
      </c>
      <c r="BG20" s="45" t="s">
        <v>201</v>
      </c>
      <c r="BK20" t="s">
        <v>205</v>
      </c>
      <c r="BN20" s="45" t="s">
        <v>201</v>
      </c>
      <c r="BQ20" s="45" t="s">
        <v>201</v>
      </c>
      <c r="BT20" s="45" t="s">
        <v>201</v>
      </c>
      <c r="BW20" s="45" t="s">
        <v>208</v>
      </c>
      <c r="BY20">
        <v>800</v>
      </c>
      <c r="BZ20" s="45" t="s">
        <v>208</v>
      </c>
      <c r="CC20" s="45" t="s">
        <v>208</v>
      </c>
      <c r="CD20">
        <v>600</v>
      </c>
      <c r="CF20" s="45" t="s">
        <v>208</v>
      </c>
      <c r="CI20" s="45" t="s">
        <v>208</v>
      </c>
      <c r="CL20" s="12" t="s">
        <v>211</v>
      </c>
      <c r="CM20" s="97"/>
      <c r="CO20" s="45" t="s">
        <v>208</v>
      </c>
      <c r="CR20" s="45" t="s">
        <v>208</v>
      </c>
      <c r="CU20" s="45" t="s">
        <v>208</v>
      </c>
      <c r="CX20" s="45" t="s">
        <v>208</v>
      </c>
      <c r="DA20" s="45" t="s">
        <v>208</v>
      </c>
      <c r="DD20" s="45" t="s">
        <v>208</v>
      </c>
      <c r="DE20">
        <v>1150</v>
      </c>
      <c r="DG20" s="45" t="s">
        <v>208</v>
      </c>
      <c r="DJ20" s="45" t="s">
        <v>208</v>
      </c>
      <c r="DM20" s="12" t="s">
        <v>211</v>
      </c>
      <c r="DN20"/>
      <c r="DP20" s="61" t="s">
        <v>209</v>
      </c>
      <c r="DS20" s="61" t="s">
        <v>209</v>
      </c>
      <c r="DW20" s="61" t="s">
        <v>209</v>
      </c>
    </row>
    <row r="21" spans="1:168" ht="30">
      <c r="A21" s="45" t="s">
        <v>215</v>
      </c>
      <c r="E21" s="45" t="s">
        <v>208</v>
      </c>
      <c r="F21">
        <v>2000</v>
      </c>
      <c r="H21" s="45" t="s">
        <v>208</v>
      </c>
      <c r="K21" s="45" t="s">
        <v>208</v>
      </c>
      <c r="N21" s="45" t="s">
        <v>208</v>
      </c>
      <c r="R21" s="45" t="s">
        <v>208</v>
      </c>
      <c r="U21" s="45" t="s">
        <v>208</v>
      </c>
      <c r="X21" s="45" t="s">
        <v>208</v>
      </c>
      <c r="AA21" s="45" t="s">
        <v>208</v>
      </c>
      <c r="AD21" s="45" t="s">
        <v>208</v>
      </c>
      <c r="AE21">
        <v>805</v>
      </c>
      <c r="AG21" t="s">
        <v>209</v>
      </c>
      <c r="AK21" s="45" t="s">
        <v>208</v>
      </c>
      <c r="AL21">
        <v>480</v>
      </c>
      <c r="AN21" s="45" t="s">
        <v>208</v>
      </c>
      <c r="AQ21" s="45" t="s">
        <v>208</v>
      </c>
      <c r="AR21">
        <v>475</v>
      </c>
      <c r="AT21" s="45" t="s">
        <v>208</v>
      </c>
      <c r="AU21">
        <v>600</v>
      </c>
      <c r="AW21" s="45" t="s">
        <v>208</v>
      </c>
      <c r="AZ21" s="45" t="s">
        <v>208</v>
      </c>
      <c r="BD21" s="61" t="s">
        <v>209</v>
      </c>
      <c r="BG21" s="45" t="s">
        <v>208</v>
      </c>
      <c r="BH21">
        <f>400+300</f>
        <v>700</v>
      </c>
      <c r="BK21" t="s">
        <v>212</v>
      </c>
      <c r="BN21" s="45" t="s">
        <v>208</v>
      </c>
      <c r="BQ21" s="45" t="s">
        <v>208</v>
      </c>
      <c r="BT21" s="45" t="s">
        <v>208</v>
      </c>
      <c r="BW21" s="45" t="s">
        <v>215</v>
      </c>
      <c r="BZ21" s="45" t="s">
        <v>215</v>
      </c>
      <c r="CC21" s="45" t="s">
        <v>215</v>
      </c>
      <c r="CF21" s="45" t="s">
        <v>215</v>
      </c>
      <c r="CI21" s="45" t="s">
        <v>215</v>
      </c>
      <c r="CL21" s="12" t="s">
        <v>218</v>
      </c>
      <c r="CM21" s="97">
        <v>150000</v>
      </c>
      <c r="CO21" s="45" t="s">
        <v>215</v>
      </c>
      <c r="CR21" s="45" t="s">
        <v>215</v>
      </c>
      <c r="CU21" s="45" t="s">
        <v>215</v>
      </c>
      <c r="CX21" s="45" t="s">
        <v>215</v>
      </c>
      <c r="DA21" s="45" t="s">
        <v>215</v>
      </c>
      <c r="DD21" s="45" t="s">
        <v>215</v>
      </c>
      <c r="DG21" s="45" t="s">
        <v>215</v>
      </c>
      <c r="DJ21" s="45" t="s">
        <v>215</v>
      </c>
      <c r="DM21" s="12" t="s">
        <v>218</v>
      </c>
      <c r="DN21" s="96">
        <v>10000</v>
      </c>
      <c r="DP21" s="45" t="s">
        <v>216</v>
      </c>
      <c r="DS21" s="45" t="s">
        <v>216</v>
      </c>
      <c r="DT21" s="79">
        <v>0.3</v>
      </c>
      <c r="DU21" t="s">
        <v>638</v>
      </c>
      <c r="DW21" s="45" t="s">
        <v>216</v>
      </c>
      <c r="FG21" s="96" t="s">
        <v>487</v>
      </c>
    </row>
    <row r="22" spans="1:168" ht="30">
      <c r="A22" s="61" t="s">
        <v>209</v>
      </c>
      <c r="E22" s="45" t="s">
        <v>215</v>
      </c>
      <c r="H22" s="45" t="s">
        <v>215</v>
      </c>
      <c r="K22" s="45" t="s">
        <v>215</v>
      </c>
      <c r="N22" s="45" t="s">
        <v>215</v>
      </c>
      <c r="R22" s="45" t="s">
        <v>215</v>
      </c>
      <c r="U22" s="45" t="s">
        <v>215</v>
      </c>
      <c r="X22" s="45" t="s">
        <v>215</v>
      </c>
      <c r="AA22" s="45" t="s">
        <v>215</v>
      </c>
      <c r="AD22" s="45" t="s">
        <v>215</v>
      </c>
      <c r="AG22" t="s">
        <v>216</v>
      </c>
      <c r="AH22" t="s">
        <v>534</v>
      </c>
      <c r="AI22" s="79">
        <v>0.08</v>
      </c>
      <c r="AK22" s="45" t="s">
        <v>215</v>
      </c>
      <c r="AL22" s="45" t="s">
        <v>544</v>
      </c>
      <c r="AN22" s="45" t="s">
        <v>215</v>
      </c>
      <c r="AQ22" s="45" t="s">
        <v>215</v>
      </c>
      <c r="AT22" s="45" t="s">
        <v>215</v>
      </c>
      <c r="AW22" s="45" t="s">
        <v>215</v>
      </c>
      <c r="AZ22" s="45" t="s">
        <v>215</v>
      </c>
      <c r="BD22" s="45" t="s">
        <v>216</v>
      </c>
      <c r="BG22" s="45" t="s">
        <v>215</v>
      </c>
      <c r="BK22" t="s">
        <v>219</v>
      </c>
      <c r="BN22" s="45" t="s">
        <v>215</v>
      </c>
      <c r="BQ22" s="45" t="s">
        <v>215</v>
      </c>
      <c r="BT22" s="45" t="s">
        <v>215</v>
      </c>
      <c r="BW22" s="45" t="s">
        <v>223</v>
      </c>
      <c r="BZ22" s="45" t="s">
        <v>223</v>
      </c>
      <c r="CC22" s="45" t="s">
        <v>223</v>
      </c>
      <c r="CF22" s="45" t="s">
        <v>223</v>
      </c>
      <c r="CI22" s="61" t="s">
        <v>209</v>
      </c>
      <c r="CL22" s="62" t="s">
        <v>213</v>
      </c>
      <c r="CM22" s="97" t="s">
        <v>613</v>
      </c>
      <c r="CO22" s="45" t="s">
        <v>223</v>
      </c>
      <c r="CR22" s="45" t="s">
        <v>223</v>
      </c>
      <c r="CS22" s="79">
        <v>0.5</v>
      </c>
      <c r="CU22" s="45" t="s">
        <v>222</v>
      </c>
      <c r="CX22" s="45" t="s">
        <v>223</v>
      </c>
      <c r="DA22" s="45" t="s">
        <v>223</v>
      </c>
      <c r="DD22" s="45" t="s">
        <v>222</v>
      </c>
      <c r="DE22">
        <v>27</v>
      </c>
      <c r="DG22" s="45" t="s">
        <v>223</v>
      </c>
      <c r="DJ22" s="61" t="s">
        <v>209</v>
      </c>
      <c r="DM22" s="12" t="s">
        <v>213</v>
      </c>
      <c r="DP22" s="45" t="s">
        <v>224</v>
      </c>
      <c r="DS22" s="45" t="s">
        <v>224</v>
      </c>
      <c r="DT22" s="79">
        <v>0.2</v>
      </c>
      <c r="DU22" t="s">
        <v>639</v>
      </c>
      <c r="DW22" s="45" t="s">
        <v>224</v>
      </c>
      <c r="FG22" s="96" t="s">
        <v>487</v>
      </c>
    </row>
    <row r="23" spans="1:168" ht="30">
      <c r="A23" s="45" t="s">
        <v>229</v>
      </c>
      <c r="B23" s="79">
        <v>0.5</v>
      </c>
      <c r="C23" t="s">
        <v>459</v>
      </c>
      <c r="E23" s="45" t="s">
        <v>222</v>
      </c>
      <c r="F23">
        <v>80</v>
      </c>
      <c r="H23" s="45" t="s">
        <v>222</v>
      </c>
      <c r="K23" s="45" t="s">
        <v>222</v>
      </c>
      <c r="L23">
        <v>21</v>
      </c>
      <c r="N23" s="45" t="s">
        <v>223</v>
      </c>
      <c r="R23" s="45" t="s">
        <v>223</v>
      </c>
      <c r="S23">
        <f>10*10^5</f>
        <v>1000000</v>
      </c>
      <c r="U23" s="45" t="s">
        <v>223</v>
      </c>
      <c r="V23">
        <f>7*10^5</f>
        <v>700000</v>
      </c>
      <c r="X23" s="45" t="s">
        <v>223</v>
      </c>
      <c r="Y23">
        <f>4*10^5</f>
        <v>400000</v>
      </c>
      <c r="AA23" s="45" t="s">
        <v>223</v>
      </c>
      <c r="AD23" s="45" t="s">
        <v>223</v>
      </c>
      <c r="AG23" t="s">
        <v>224</v>
      </c>
      <c r="AH23" t="s">
        <v>535</v>
      </c>
      <c r="AI23" s="79">
        <v>0.05</v>
      </c>
      <c r="AK23" s="61" t="s">
        <v>209</v>
      </c>
      <c r="AN23" s="45" t="s">
        <v>223</v>
      </c>
      <c r="AQ23" s="45" t="s">
        <v>223</v>
      </c>
      <c r="AT23" s="45" t="s">
        <v>223</v>
      </c>
      <c r="AW23" s="45" t="s">
        <v>223</v>
      </c>
      <c r="AZ23" s="61" t="s">
        <v>209</v>
      </c>
      <c r="BD23" s="45" t="s">
        <v>224</v>
      </c>
      <c r="BG23" s="61" t="s">
        <v>209</v>
      </c>
      <c r="BK23" t="s">
        <v>215</v>
      </c>
      <c r="BN23" t="s">
        <v>586</v>
      </c>
      <c r="BO23">
        <v>30</v>
      </c>
      <c r="BQ23" s="45" t="s">
        <v>223</v>
      </c>
      <c r="BT23" s="45" t="s">
        <v>222</v>
      </c>
      <c r="CI23" s="45" t="s">
        <v>229</v>
      </c>
      <c r="CJ23">
        <f>1.5*10^5</f>
        <v>150000</v>
      </c>
      <c r="CK23" t="s">
        <v>610</v>
      </c>
      <c r="CL23" s="12" t="s">
        <v>232</v>
      </c>
      <c r="CM23" s="97"/>
      <c r="CU23" s="45" t="s">
        <v>228</v>
      </c>
      <c r="DD23" s="45" t="s">
        <v>228</v>
      </c>
      <c r="DE23">
        <v>4</v>
      </c>
      <c r="DJ23" s="45" t="s">
        <v>229</v>
      </c>
      <c r="DM23" s="12" t="s">
        <v>232</v>
      </c>
      <c r="DP23" s="45" t="s">
        <v>230</v>
      </c>
      <c r="DS23" s="45" t="s">
        <v>230</v>
      </c>
      <c r="DW23" s="45" t="s">
        <v>230</v>
      </c>
    </row>
    <row r="24" spans="1:168">
      <c r="A24" s="45" t="s">
        <v>236</v>
      </c>
      <c r="B24" s="79">
        <v>0.13</v>
      </c>
      <c r="C24" t="s">
        <v>500</v>
      </c>
      <c r="E24" s="45" t="s">
        <v>228</v>
      </c>
      <c r="H24" s="45" t="s">
        <v>228</v>
      </c>
      <c r="K24" s="45" t="s">
        <v>228</v>
      </c>
      <c r="L24">
        <v>84</v>
      </c>
      <c r="U24" s="45"/>
      <c r="AG24" t="s">
        <v>230</v>
      </c>
      <c r="AH24" t="s">
        <v>536</v>
      </c>
      <c r="AI24" s="79">
        <v>0.15</v>
      </c>
      <c r="AK24" s="45" t="s">
        <v>229</v>
      </c>
      <c r="AL24" s="45" t="s">
        <v>545</v>
      </c>
      <c r="AM24" s="84">
        <v>6.5000000000000002E-2</v>
      </c>
      <c r="AZ24" s="45" t="s">
        <v>229</v>
      </c>
      <c r="BA24" t="s">
        <v>564</v>
      </c>
      <c r="BB24" t="s">
        <v>569</v>
      </c>
      <c r="BD24" s="45" t="s">
        <v>230</v>
      </c>
      <c r="BG24" s="45" t="s">
        <v>229</v>
      </c>
      <c r="BH24" t="s">
        <v>582</v>
      </c>
      <c r="BI24" t="s">
        <v>581</v>
      </c>
      <c r="BK24" t="s">
        <v>233</v>
      </c>
      <c r="BN24" t="s">
        <v>587</v>
      </c>
      <c r="BO24">
        <v>20</v>
      </c>
      <c r="BT24" s="45" t="s">
        <v>228</v>
      </c>
      <c r="BU24">
        <v>200</v>
      </c>
      <c r="CI24" s="45" t="s">
        <v>236</v>
      </c>
      <c r="CL24" s="12" t="s">
        <v>239</v>
      </c>
      <c r="CM24" s="97"/>
      <c r="CU24" s="45" t="s">
        <v>223</v>
      </c>
      <c r="DD24" s="45" t="s">
        <v>223</v>
      </c>
      <c r="DJ24" s="45" t="s">
        <v>236</v>
      </c>
      <c r="DM24" s="12" t="s">
        <v>239</v>
      </c>
      <c r="DP24" s="45" t="s">
        <v>237</v>
      </c>
      <c r="DS24" s="45" t="s">
        <v>237</v>
      </c>
      <c r="DW24" s="45" t="s">
        <v>237</v>
      </c>
    </row>
    <row r="25" spans="1:168">
      <c r="A25" s="45" t="s">
        <v>242</v>
      </c>
      <c r="B25" s="79">
        <v>0.13</v>
      </c>
      <c r="C25" t="s">
        <v>501</v>
      </c>
      <c r="E25" s="45" t="s">
        <v>223</v>
      </c>
      <c r="F25" s="45">
        <f>4*10^5</f>
        <v>400000</v>
      </c>
      <c r="H25" s="45" t="s">
        <v>223</v>
      </c>
      <c r="I25">
        <f>35*100^2</f>
        <v>350000</v>
      </c>
      <c r="K25" s="45" t="s">
        <v>223</v>
      </c>
      <c r="L25">
        <f>33*100^2</f>
        <v>330000</v>
      </c>
      <c r="AG25" t="s">
        <v>237</v>
      </c>
      <c r="AH25" t="s">
        <v>537</v>
      </c>
      <c r="AI25" s="79">
        <v>0.05</v>
      </c>
      <c r="AK25" s="45" t="s">
        <v>236</v>
      </c>
      <c r="AL25" s="45" t="s">
        <v>546</v>
      </c>
      <c r="AM25" s="84">
        <v>0.08</v>
      </c>
      <c r="AZ25" s="45" t="s">
        <v>236</v>
      </c>
      <c r="BA25" t="s">
        <v>565</v>
      </c>
      <c r="BB25" t="s">
        <v>569</v>
      </c>
      <c r="BD25" s="45" t="s">
        <v>237</v>
      </c>
      <c r="BG25" s="45" t="s">
        <v>236</v>
      </c>
      <c r="BK25" t="s">
        <v>240</v>
      </c>
      <c r="BN25" s="45" t="s">
        <v>223</v>
      </c>
      <c r="BT25" s="45" t="s">
        <v>223</v>
      </c>
      <c r="CI25" s="45" t="s">
        <v>242</v>
      </c>
      <c r="CL25" s="12" t="s">
        <v>244</v>
      </c>
      <c r="CM25" s="97"/>
      <c r="DJ25" s="45" t="s">
        <v>242</v>
      </c>
      <c r="DM25" s="12" t="s">
        <v>244</v>
      </c>
      <c r="DP25" s="45" t="s">
        <v>243</v>
      </c>
      <c r="DS25" s="45" t="s">
        <v>243</v>
      </c>
      <c r="DW25" s="45" t="s">
        <v>243</v>
      </c>
    </row>
    <row r="26" spans="1:168">
      <c r="A26" s="45" t="s">
        <v>246</v>
      </c>
      <c r="B26" s="84">
        <v>5.5E-2</v>
      </c>
      <c r="C26" t="s">
        <v>502</v>
      </c>
      <c r="E26" s="45"/>
      <c r="AG26" t="s">
        <v>243</v>
      </c>
      <c r="AH26" t="s">
        <v>538</v>
      </c>
      <c r="AI26" s="79">
        <v>0.08</v>
      </c>
      <c r="AK26" s="45" t="s">
        <v>242</v>
      </c>
      <c r="AL26" s="45" t="s">
        <v>547</v>
      </c>
      <c r="AM26" s="79">
        <v>0.03</v>
      </c>
      <c r="AZ26" s="45" t="s">
        <v>242</v>
      </c>
      <c r="BA26" t="s">
        <v>566</v>
      </c>
      <c r="BB26" t="s">
        <v>569</v>
      </c>
      <c r="BD26" s="45" t="s">
        <v>243</v>
      </c>
      <c r="BG26" s="45" t="s">
        <v>242</v>
      </c>
      <c r="BK26" s="45" t="s">
        <v>234</v>
      </c>
      <c r="BN26" s="45"/>
      <c r="CI26" s="45" t="s">
        <v>246</v>
      </c>
      <c r="CL26" s="12" t="s">
        <v>248</v>
      </c>
      <c r="CM26" s="97"/>
      <c r="DJ26" s="45" t="s">
        <v>246</v>
      </c>
      <c r="DM26" s="12" t="s">
        <v>248</v>
      </c>
      <c r="DP26" s="45" t="s">
        <v>247</v>
      </c>
      <c r="DS26" s="45" t="s">
        <v>247</v>
      </c>
      <c r="DW26" s="45" t="s">
        <v>247</v>
      </c>
      <c r="FG26" s="96" t="s">
        <v>488</v>
      </c>
      <c r="FL26" s="96" t="s">
        <v>634</v>
      </c>
    </row>
    <row r="27" spans="1:168">
      <c r="A27" s="45" t="s">
        <v>250</v>
      </c>
      <c r="B27" s="79">
        <f>1-SUM(B23:B26)</f>
        <v>0.18499999999999994</v>
      </c>
      <c r="C27" t="s">
        <v>462</v>
      </c>
      <c r="E27" s="45"/>
      <c r="AG27" t="s">
        <v>247</v>
      </c>
      <c r="AH27" t="s">
        <v>539</v>
      </c>
      <c r="AI27" s="79">
        <v>0.08</v>
      </c>
      <c r="AK27" s="45" t="s">
        <v>246</v>
      </c>
      <c r="AZ27" s="45" t="s">
        <v>246</v>
      </c>
      <c r="BA27" t="s">
        <v>567</v>
      </c>
      <c r="BB27" t="s">
        <v>569</v>
      </c>
      <c r="BD27" s="45" t="s">
        <v>247</v>
      </c>
      <c r="BE27" s="45"/>
      <c r="BG27" s="45" t="s">
        <v>246</v>
      </c>
      <c r="CI27" s="45" t="s">
        <v>250</v>
      </c>
      <c r="CL27" s="62" t="s">
        <v>252</v>
      </c>
      <c r="CM27" s="97"/>
      <c r="DJ27" s="45" t="s">
        <v>250</v>
      </c>
      <c r="DM27" s="12" t="s">
        <v>252</v>
      </c>
      <c r="DP27" s="45" t="s">
        <v>251</v>
      </c>
      <c r="DS27" s="45" t="s">
        <v>251</v>
      </c>
      <c r="DW27" s="45" t="s">
        <v>251</v>
      </c>
    </row>
    <row r="28" spans="1:168">
      <c r="A28" s="45" t="s">
        <v>254</v>
      </c>
      <c r="B28" s="84">
        <v>4.4999999999999998E-2</v>
      </c>
      <c r="AG28" t="s">
        <v>251</v>
      </c>
      <c r="AH28" t="s">
        <v>540</v>
      </c>
      <c r="AI28" s="79">
        <v>0.05</v>
      </c>
      <c r="AK28" s="45" t="s">
        <v>250</v>
      </c>
      <c r="AZ28" s="45" t="s">
        <v>250</v>
      </c>
      <c r="BA28" t="s">
        <v>568</v>
      </c>
      <c r="BB28" t="s">
        <v>569</v>
      </c>
      <c r="BD28" s="45" t="s">
        <v>251</v>
      </c>
      <c r="BE28" s="45"/>
      <c r="BG28" s="45" t="s">
        <v>250</v>
      </c>
      <c r="CI28" s="45" t="s">
        <v>254</v>
      </c>
      <c r="CL28" s="12" t="s">
        <v>256</v>
      </c>
      <c r="CM28" s="97">
        <f>CM18*1000*CM23</f>
        <v>0</v>
      </c>
      <c r="DJ28" s="45" t="s">
        <v>254</v>
      </c>
      <c r="DM28" s="12" t="s">
        <v>256</v>
      </c>
      <c r="DP28" s="45" t="s">
        <v>255</v>
      </c>
      <c r="DS28" s="45" t="s">
        <v>255</v>
      </c>
      <c r="DW28" s="45" t="s">
        <v>255</v>
      </c>
    </row>
    <row r="29" spans="1:168">
      <c r="A29" s="45" t="s">
        <v>258</v>
      </c>
      <c r="AG29" t="s">
        <v>255</v>
      </c>
      <c r="AH29" t="s">
        <v>541</v>
      </c>
      <c r="AI29" s="79">
        <v>0.1</v>
      </c>
      <c r="AK29" s="45" t="s">
        <v>254</v>
      </c>
      <c r="AZ29" s="45" t="s">
        <v>254</v>
      </c>
      <c r="BD29" s="45" t="s">
        <v>255</v>
      </c>
      <c r="BG29" s="45" t="s">
        <v>254</v>
      </c>
      <c r="CI29" s="45" t="s">
        <v>258</v>
      </c>
      <c r="CL29" s="12" t="s">
        <v>260</v>
      </c>
      <c r="CM29" s="97">
        <f>CM19*1000*CM24</f>
        <v>0</v>
      </c>
      <c r="DJ29" s="45" t="s">
        <v>258</v>
      </c>
      <c r="DM29" s="12" t="s">
        <v>260</v>
      </c>
      <c r="DP29" s="45" t="s">
        <v>259</v>
      </c>
      <c r="DS29" s="45" t="s">
        <v>259</v>
      </c>
      <c r="DW29" s="45" t="s">
        <v>259</v>
      </c>
    </row>
    <row r="30" spans="1:168">
      <c r="A30" s="45" t="s">
        <v>262</v>
      </c>
      <c r="AG30" t="s">
        <v>259</v>
      </c>
      <c r="AK30" s="45" t="s">
        <v>258</v>
      </c>
      <c r="AZ30" s="45" t="s">
        <v>258</v>
      </c>
      <c r="BD30" s="45" t="s">
        <v>259</v>
      </c>
      <c r="BG30" s="45" t="s">
        <v>258</v>
      </c>
      <c r="CI30" s="45" t="s">
        <v>262</v>
      </c>
      <c r="CL30" s="12" t="s">
        <v>264</v>
      </c>
      <c r="CM30" s="97">
        <f>CM20*1000*CM25</f>
        <v>0</v>
      </c>
      <c r="DJ30" s="45" t="s">
        <v>262</v>
      </c>
      <c r="DM30" s="12" t="s">
        <v>264</v>
      </c>
      <c r="DP30" s="45" t="s">
        <v>263</v>
      </c>
      <c r="DS30" s="45" t="s">
        <v>263</v>
      </c>
      <c r="DW30" s="45" t="s">
        <v>263</v>
      </c>
    </row>
    <row r="31" spans="1:168">
      <c r="A31" s="45" t="s">
        <v>266</v>
      </c>
      <c r="AG31" t="s">
        <v>263</v>
      </c>
      <c r="AK31" s="45" t="s">
        <v>262</v>
      </c>
      <c r="AZ31" s="45" t="s">
        <v>262</v>
      </c>
      <c r="BD31" s="45" t="s">
        <v>263</v>
      </c>
      <c r="BG31" s="45" t="s">
        <v>262</v>
      </c>
      <c r="CI31" s="45" t="s">
        <v>266</v>
      </c>
      <c r="CL31" s="12" t="s">
        <v>267</v>
      </c>
      <c r="CM31" s="97">
        <f>CM21*CM26</f>
        <v>0</v>
      </c>
      <c r="DJ31" s="45" t="s">
        <v>266</v>
      </c>
      <c r="DM31" s="12" t="s">
        <v>267</v>
      </c>
      <c r="DP31" s="45" t="s">
        <v>234</v>
      </c>
      <c r="DS31" s="45" t="s">
        <v>234</v>
      </c>
      <c r="DW31" s="45" t="s">
        <v>234</v>
      </c>
      <c r="FG31" s="96">
        <v>8000000</v>
      </c>
    </row>
    <row r="32" spans="1:168">
      <c r="A32" s="45" t="s">
        <v>269</v>
      </c>
      <c r="B32" s="79">
        <v>0.35</v>
      </c>
      <c r="AG32" t="s">
        <v>234</v>
      </c>
      <c r="AK32" s="45" t="s">
        <v>266</v>
      </c>
      <c r="AZ32" s="45" t="s">
        <v>266</v>
      </c>
      <c r="BD32" s="45" t="s">
        <v>234</v>
      </c>
      <c r="BG32" s="45" t="s">
        <v>266</v>
      </c>
      <c r="CI32" s="45" t="s">
        <v>269</v>
      </c>
      <c r="CL32" s="46" t="s">
        <v>145</v>
      </c>
      <c r="CM32" s="97">
        <f>SUM(CM28:CM31)</f>
        <v>0</v>
      </c>
      <c r="DJ32" s="45" t="s">
        <v>269</v>
      </c>
      <c r="DM32" s="46" t="s">
        <v>145</v>
      </c>
      <c r="DP32" s="45" t="s">
        <v>270</v>
      </c>
      <c r="DS32" s="45" t="s">
        <v>270</v>
      </c>
    </row>
    <row r="33" spans="1:168">
      <c r="A33" s="45" t="s">
        <v>238</v>
      </c>
      <c r="B33">
        <f>10^5</f>
        <v>100000</v>
      </c>
      <c r="AK33" s="45" t="s">
        <v>269</v>
      </c>
      <c r="AZ33" s="45" t="s">
        <v>269</v>
      </c>
      <c r="BD33" s="45" t="s">
        <v>270</v>
      </c>
      <c r="BG33" s="45" t="s">
        <v>269</v>
      </c>
      <c r="CI33" s="45" t="s">
        <v>238</v>
      </c>
      <c r="CL33" s="45" t="s">
        <v>238</v>
      </c>
      <c r="CM33" s="97"/>
      <c r="DJ33" s="45" t="s">
        <v>238</v>
      </c>
      <c r="DM33" s="45" t="s">
        <v>238</v>
      </c>
    </row>
    <row r="34" spans="1:168">
      <c r="A34" s="45" t="s">
        <v>461</v>
      </c>
      <c r="B34">
        <f>9*10^5</f>
        <v>900000</v>
      </c>
      <c r="AK34" s="45" t="s">
        <v>238</v>
      </c>
      <c r="AZ34" s="45" t="s">
        <v>238</v>
      </c>
      <c r="BG34" s="45" t="s">
        <v>238</v>
      </c>
      <c r="CI34" s="45" t="s">
        <v>461</v>
      </c>
      <c r="DJ34" s="45" t="s">
        <v>461</v>
      </c>
      <c r="DP34" s="45"/>
      <c r="DS34" s="45"/>
    </row>
    <row r="35" spans="1:168">
      <c r="AK35" s="45" t="s">
        <v>461</v>
      </c>
      <c r="AZ35" s="45" t="s">
        <v>461</v>
      </c>
      <c r="BG35" s="45" t="s">
        <v>461</v>
      </c>
    </row>
    <row r="36" spans="1:168">
      <c r="A36" s="67" t="s">
        <v>280</v>
      </c>
      <c r="B36" s="68"/>
      <c r="E36" s="67" t="s">
        <v>280</v>
      </c>
      <c r="F36" s="68"/>
      <c r="H36" s="67" t="s">
        <v>280</v>
      </c>
      <c r="I36" s="68"/>
      <c r="K36" s="67" t="s">
        <v>280</v>
      </c>
      <c r="L36" s="68"/>
    </row>
    <row r="37" spans="1:168">
      <c r="A37" s="69" t="s">
        <v>283</v>
      </c>
      <c r="B37" s="70">
        <v>90</v>
      </c>
      <c r="E37" s="69" t="s">
        <v>283</v>
      </c>
      <c r="F37" s="70">
        <v>60</v>
      </c>
      <c r="H37" s="69" t="s">
        <v>283</v>
      </c>
      <c r="I37" s="70">
        <v>60</v>
      </c>
      <c r="K37" s="69" t="s">
        <v>283</v>
      </c>
      <c r="L37" s="70">
        <v>60</v>
      </c>
      <c r="N37" s="67" t="s">
        <v>280</v>
      </c>
      <c r="O37" s="68"/>
      <c r="R37" s="67" t="s">
        <v>280</v>
      </c>
      <c r="S37" s="68"/>
      <c r="T37" s="68"/>
      <c r="U37" s="67" t="s">
        <v>280</v>
      </c>
      <c r="V37" s="68"/>
      <c r="X37" s="67" t="s">
        <v>280</v>
      </c>
      <c r="Y37" s="68"/>
    </row>
    <row r="38" spans="1:168">
      <c r="A38" s="69" t="s">
        <v>286</v>
      </c>
      <c r="B38" s="70">
        <f>12.5*10^5</f>
        <v>1250000</v>
      </c>
      <c r="E38" s="69" t="s">
        <v>286</v>
      </c>
      <c r="F38" s="70">
        <f>6*10^5</f>
        <v>600000</v>
      </c>
      <c r="H38" s="69" t="s">
        <v>286</v>
      </c>
      <c r="I38" s="70">
        <f>6*10^5</f>
        <v>600000</v>
      </c>
      <c r="K38" s="69" t="s">
        <v>286</v>
      </c>
      <c r="L38" s="70">
        <f>6*10^5</f>
        <v>600000</v>
      </c>
      <c r="N38" s="69" t="s">
        <v>283</v>
      </c>
      <c r="O38" s="70">
        <v>60</v>
      </c>
      <c r="P38" s="70"/>
      <c r="Q38" s="70"/>
      <c r="R38" s="69" t="s">
        <v>283</v>
      </c>
      <c r="S38" s="70">
        <v>60</v>
      </c>
      <c r="T38" s="70"/>
      <c r="U38" s="69" t="s">
        <v>283</v>
      </c>
      <c r="V38" s="70">
        <v>90</v>
      </c>
      <c r="X38" s="69" t="s">
        <v>283</v>
      </c>
      <c r="Y38" s="70">
        <v>90</v>
      </c>
      <c r="AA38" s="67" t="s">
        <v>280</v>
      </c>
      <c r="AB38" s="68"/>
    </row>
    <row r="39" spans="1:168">
      <c r="A39" s="69" t="s">
        <v>289</v>
      </c>
      <c r="B39" s="72">
        <v>0.05</v>
      </c>
      <c r="E39" s="69" t="s">
        <v>289</v>
      </c>
      <c r="F39" s="72">
        <v>0.06</v>
      </c>
      <c r="H39" s="69" t="s">
        <v>289</v>
      </c>
      <c r="I39" s="72">
        <v>0.06</v>
      </c>
      <c r="K39" s="69" t="s">
        <v>289</v>
      </c>
      <c r="L39" s="72">
        <v>0.06</v>
      </c>
      <c r="N39" s="69" t="s">
        <v>286</v>
      </c>
      <c r="O39" s="70">
        <f>6*10^5</f>
        <v>600000</v>
      </c>
      <c r="P39" s="70"/>
      <c r="Q39" s="70"/>
      <c r="R39" s="69" t="s">
        <v>286</v>
      </c>
      <c r="S39" s="70">
        <f>6*10^5</f>
        <v>600000</v>
      </c>
      <c r="T39" s="70"/>
      <c r="U39" s="69" t="s">
        <v>286</v>
      </c>
      <c r="V39" s="70">
        <f>7*10^5</f>
        <v>700000</v>
      </c>
      <c r="X39" s="69" t="s">
        <v>286</v>
      </c>
      <c r="Y39" s="70">
        <v>1500000</v>
      </c>
      <c r="AA39" s="69" t="s">
        <v>283</v>
      </c>
      <c r="AB39" s="70">
        <v>60</v>
      </c>
      <c r="CY39" s="96"/>
      <c r="DN39"/>
    </row>
    <row r="40" spans="1:168">
      <c r="A40" s="8" t="s">
        <v>292</v>
      </c>
      <c r="B40" s="73">
        <f>B38*(B37/30)*(1-B39)</f>
        <v>3562500</v>
      </c>
      <c r="E40" s="8" t="s">
        <v>292</v>
      </c>
      <c r="F40" s="73">
        <f>F38*(F37/30)*(1-F39)</f>
        <v>1128000</v>
      </c>
      <c r="H40" s="8" t="s">
        <v>292</v>
      </c>
      <c r="I40" s="73">
        <f>I38*(I37/30)*(1-I39)</f>
        <v>1128000</v>
      </c>
      <c r="K40" s="8" t="s">
        <v>292</v>
      </c>
      <c r="L40" s="73">
        <f>L38*(L37/30)*(1-L39)</f>
        <v>1128000</v>
      </c>
      <c r="N40" s="69" t="s">
        <v>289</v>
      </c>
      <c r="O40" s="72">
        <v>0.06</v>
      </c>
      <c r="P40" s="72"/>
      <c r="Q40" s="72"/>
      <c r="R40" s="69" t="s">
        <v>289</v>
      </c>
      <c r="S40" s="72">
        <v>0.06</v>
      </c>
      <c r="T40" s="72"/>
      <c r="U40" s="69" t="s">
        <v>289</v>
      </c>
      <c r="V40" s="72">
        <v>0.06</v>
      </c>
      <c r="X40" s="69" t="s">
        <v>289</v>
      </c>
      <c r="Y40" s="72">
        <v>0.06</v>
      </c>
      <c r="AA40" s="69" t="s">
        <v>286</v>
      </c>
      <c r="AB40" s="70">
        <f>6*10^5</f>
        <v>600000</v>
      </c>
      <c r="AG40" s="67" t="s">
        <v>280</v>
      </c>
      <c r="AH40" s="68"/>
      <c r="AK40" s="67" t="s">
        <v>280</v>
      </c>
      <c r="AL40" s="68"/>
      <c r="AN40" s="67" t="s">
        <v>280</v>
      </c>
      <c r="AO40" s="68"/>
      <c r="AQ40" s="67" t="s">
        <v>280</v>
      </c>
      <c r="AR40" s="68"/>
      <c r="AT40" s="67" t="s">
        <v>280</v>
      </c>
      <c r="AU40" s="68"/>
      <c r="AW40" s="67" t="s">
        <v>280</v>
      </c>
      <c r="AX40" s="68"/>
      <c r="AZ40" s="67" t="s">
        <v>280</v>
      </c>
      <c r="BA40" s="68"/>
      <c r="BD40" s="67" t="s">
        <v>280</v>
      </c>
      <c r="BE40" s="68"/>
      <c r="BG40" s="67" t="s">
        <v>280</v>
      </c>
      <c r="BH40" s="68"/>
      <c r="BK40" s="67" t="s">
        <v>280</v>
      </c>
      <c r="BL40" s="68"/>
      <c r="BN40" s="67" t="s">
        <v>280</v>
      </c>
      <c r="BO40" s="68"/>
      <c r="BQ40" s="67" t="s">
        <v>280</v>
      </c>
      <c r="BR40" s="68"/>
      <c r="BT40" s="67" t="s">
        <v>280</v>
      </c>
      <c r="BU40" s="68"/>
      <c r="BW40" s="67" t="s">
        <v>280</v>
      </c>
      <c r="BX40" s="68"/>
      <c r="BZ40" s="67" t="s">
        <v>280</v>
      </c>
      <c r="CA40" s="68"/>
      <c r="CC40" s="67" t="s">
        <v>280</v>
      </c>
      <c r="CD40" s="68"/>
      <c r="CF40" s="67" t="s">
        <v>280</v>
      </c>
      <c r="CG40" s="68"/>
      <c r="CI40" s="67" t="s">
        <v>280</v>
      </c>
      <c r="CJ40" s="68"/>
      <c r="CL40" s="67" t="s">
        <v>279</v>
      </c>
      <c r="CM40" s="68"/>
      <c r="CO40" s="67" t="s">
        <v>279</v>
      </c>
      <c r="CP40" s="68"/>
      <c r="CR40" s="67" t="s">
        <v>279</v>
      </c>
      <c r="CS40" s="68"/>
      <c r="CU40" s="67" t="s">
        <v>280</v>
      </c>
      <c r="CV40" s="68"/>
      <c r="CX40" s="67" t="s">
        <v>280</v>
      </c>
      <c r="CY40" s="68"/>
      <c r="DA40" s="67" t="s">
        <v>280</v>
      </c>
      <c r="DB40" s="68"/>
      <c r="DD40" s="67" t="s">
        <v>280</v>
      </c>
      <c r="DE40" s="68"/>
      <c r="DG40" s="67" t="s">
        <v>280</v>
      </c>
      <c r="DH40" s="68"/>
      <c r="DJ40" s="67" t="s">
        <v>280</v>
      </c>
      <c r="DK40" s="68"/>
      <c r="DM40" s="67" t="s">
        <v>280</v>
      </c>
      <c r="DN40" s="68"/>
      <c r="DP40" s="67" t="s">
        <v>280</v>
      </c>
      <c r="DQ40" s="68"/>
      <c r="DS40" s="67" t="s">
        <v>280</v>
      </c>
      <c r="DT40" s="68"/>
    </row>
    <row r="41" spans="1:168">
      <c r="A41" s="8" t="s">
        <v>295</v>
      </c>
      <c r="B41" s="73">
        <f>(B38*(B37/30)*1*10^5)/B40</f>
        <v>105263.15789473684</v>
      </c>
      <c r="E41" s="8" t="s">
        <v>295</v>
      </c>
      <c r="F41" s="73">
        <f>(F38*(F37/30)*1*10^5)/F40</f>
        <v>106382.97872340426</v>
      </c>
      <c r="H41" s="8" t="s">
        <v>295</v>
      </c>
      <c r="I41" s="73">
        <f>(I38*(I37/30)*1*10^5)/I40</f>
        <v>106382.97872340426</v>
      </c>
      <c r="K41" s="8" t="s">
        <v>295</v>
      </c>
      <c r="L41" s="73">
        <f>(L38*(L37/30)*1*10^5)/L40</f>
        <v>106382.97872340426</v>
      </c>
      <c r="N41" s="8" t="s">
        <v>292</v>
      </c>
      <c r="O41" s="73">
        <f>O39*(O38/30)*(1-O40)</f>
        <v>1128000</v>
      </c>
      <c r="P41" s="73"/>
      <c r="Q41" s="73"/>
      <c r="R41" s="8" t="s">
        <v>292</v>
      </c>
      <c r="S41" s="73">
        <f>S39*(S38/30)*(1-S40)</f>
        <v>1128000</v>
      </c>
      <c r="T41" s="73"/>
      <c r="U41" s="8" t="s">
        <v>292</v>
      </c>
      <c r="V41" s="73">
        <f>V39*(V38/30)*(1-V40)</f>
        <v>1974000</v>
      </c>
      <c r="X41" s="8" t="s">
        <v>292</v>
      </c>
      <c r="Y41" s="73">
        <f>Y39*(Y38/30)*(1-Y40)</f>
        <v>4230000</v>
      </c>
      <c r="AA41" s="69" t="s">
        <v>289</v>
      </c>
      <c r="AB41" s="72">
        <v>0.06</v>
      </c>
      <c r="AG41" s="69" t="s">
        <v>283</v>
      </c>
      <c r="AH41" s="70">
        <v>90</v>
      </c>
      <c r="AK41" s="69" t="s">
        <v>283</v>
      </c>
      <c r="AL41" s="70">
        <v>90</v>
      </c>
      <c r="AN41" s="69" t="s">
        <v>283</v>
      </c>
      <c r="AO41" s="70">
        <v>90</v>
      </c>
      <c r="AQ41" s="69" t="s">
        <v>283</v>
      </c>
      <c r="AR41" s="70">
        <v>0.3</v>
      </c>
      <c r="AT41" s="69" t="s">
        <v>283</v>
      </c>
      <c r="AU41" s="70">
        <v>0.3</v>
      </c>
      <c r="AW41" s="69" t="s">
        <v>283</v>
      </c>
      <c r="AX41" s="70">
        <v>0.3</v>
      </c>
      <c r="AZ41" s="69" t="s">
        <v>283</v>
      </c>
      <c r="BA41" s="70">
        <v>0.3</v>
      </c>
      <c r="BD41" s="69" t="s">
        <v>283</v>
      </c>
      <c r="BE41" s="70">
        <v>0.3</v>
      </c>
      <c r="BG41" s="69" t="s">
        <v>283</v>
      </c>
      <c r="BH41" s="70">
        <v>0.3</v>
      </c>
      <c r="BK41" s="69" t="s">
        <v>283</v>
      </c>
      <c r="BL41" s="70">
        <v>0.3</v>
      </c>
      <c r="BN41" s="69" t="s">
        <v>283</v>
      </c>
      <c r="BO41" s="70">
        <v>0.3</v>
      </c>
      <c r="BQ41" s="69" t="s">
        <v>283</v>
      </c>
      <c r="BR41" s="70">
        <v>0.3</v>
      </c>
      <c r="BT41" s="69" t="s">
        <v>283</v>
      </c>
      <c r="BU41" s="70">
        <v>0.3</v>
      </c>
      <c r="BW41" s="69" t="s">
        <v>283</v>
      </c>
      <c r="BX41" s="70">
        <v>0.3</v>
      </c>
      <c r="BZ41" s="69" t="s">
        <v>283</v>
      </c>
      <c r="CA41" s="70">
        <v>0.3</v>
      </c>
      <c r="CC41" s="69" t="s">
        <v>283</v>
      </c>
      <c r="CD41" s="70">
        <v>0.3</v>
      </c>
      <c r="CF41" s="69" t="s">
        <v>283</v>
      </c>
      <c r="CG41" s="70">
        <v>0.3</v>
      </c>
      <c r="CI41" s="69" t="s">
        <v>283</v>
      </c>
      <c r="CJ41" s="70">
        <v>0.3</v>
      </c>
      <c r="CL41" s="69" t="s">
        <v>283</v>
      </c>
      <c r="CM41" s="70">
        <v>2</v>
      </c>
      <c r="CO41" s="69" t="s">
        <v>283</v>
      </c>
      <c r="CP41" s="70">
        <v>2</v>
      </c>
      <c r="CR41" s="69" t="s">
        <v>283</v>
      </c>
      <c r="CS41" s="70">
        <v>2</v>
      </c>
      <c r="CU41" s="69" t="s">
        <v>283</v>
      </c>
      <c r="CV41" s="70">
        <v>60</v>
      </c>
      <c r="CX41" s="69" t="s">
        <v>283</v>
      </c>
      <c r="CY41" s="70">
        <v>60</v>
      </c>
      <c r="DA41" s="69" t="s">
        <v>283</v>
      </c>
      <c r="DB41" s="70">
        <v>60</v>
      </c>
      <c r="DD41" s="69" t="s">
        <v>283</v>
      </c>
      <c r="DE41" s="70">
        <v>60</v>
      </c>
      <c r="DG41" s="69" t="s">
        <v>283</v>
      </c>
      <c r="DH41" s="70">
        <v>60</v>
      </c>
      <c r="DJ41" s="69" t="s">
        <v>283</v>
      </c>
      <c r="DK41" s="70">
        <v>60</v>
      </c>
      <c r="DM41" s="69" t="s">
        <v>283</v>
      </c>
      <c r="DN41" s="70">
        <v>60</v>
      </c>
      <c r="DP41" s="69" t="s">
        <v>283</v>
      </c>
      <c r="DQ41" s="70">
        <v>60</v>
      </c>
      <c r="DS41" s="69" t="s">
        <v>283</v>
      </c>
      <c r="DT41" s="70">
        <v>60</v>
      </c>
    </row>
    <row r="42" spans="1:168">
      <c r="A42" s="8" t="s">
        <v>298</v>
      </c>
      <c r="B42" s="73">
        <f>B41*(30/B37)</f>
        <v>35087.719298245611</v>
      </c>
      <c r="E42" s="8" t="s">
        <v>298</v>
      </c>
      <c r="F42" s="73">
        <f>F41*(30/F37)</f>
        <v>53191.48936170213</v>
      </c>
      <c r="H42" s="8" t="s">
        <v>298</v>
      </c>
      <c r="I42" s="73">
        <f>I41*(30/I37)</f>
        <v>53191.48936170213</v>
      </c>
      <c r="K42" s="8" t="s">
        <v>298</v>
      </c>
      <c r="L42" s="73">
        <f>L41*(30/L37)</f>
        <v>53191.48936170213</v>
      </c>
      <c r="N42" s="8" t="s">
        <v>295</v>
      </c>
      <c r="O42" s="73">
        <f>(O39*(O38/30)*1*10^5)/O41</f>
        <v>106382.97872340426</v>
      </c>
      <c r="P42" s="73"/>
      <c r="Q42" s="73"/>
      <c r="R42" s="8" t="s">
        <v>295</v>
      </c>
      <c r="S42" s="73">
        <f>(S39*(S38/30)*1*10^5)/S41</f>
        <v>106382.97872340426</v>
      </c>
      <c r="T42" s="73"/>
      <c r="U42" s="8" t="s">
        <v>295</v>
      </c>
      <c r="V42" s="73">
        <f>(V39*(V38/30)*1*10^5)/V41</f>
        <v>106382.97872340426</v>
      </c>
      <c r="X42" s="8" t="s">
        <v>295</v>
      </c>
      <c r="Y42" s="73">
        <f>(Y39*(Y38/30)*1*10^5)/Y41</f>
        <v>106382.97872340426</v>
      </c>
      <c r="AA42" s="8" t="s">
        <v>292</v>
      </c>
      <c r="AB42" s="73">
        <f>AB40*(AB39/30)*(1-AB41)</f>
        <v>1128000</v>
      </c>
      <c r="AG42" s="69" t="s">
        <v>286</v>
      </c>
      <c r="AH42" s="70">
        <f>12.5*10^5</f>
        <v>1250000</v>
      </c>
      <c r="AK42" s="69" t="s">
        <v>286</v>
      </c>
      <c r="AL42" s="70">
        <f>12.5*10^5</f>
        <v>1250000</v>
      </c>
      <c r="AN42" s="69" t="s">
        <v>286</v>
      </c>
      <c r="AO42" s="70">
        <f>12.5*10^5</f>
        <v>1250000</v>
      </c>
      <c r="AQ42" s="69" t="s">
        <v>286</v>
      </c>
      <c r="AR42" s="70">
        <v>36000</v>
      </c>
      <c r="AT42" s="69" t="s">
        <v>286</v>
      </c>
      <c r="AU42" s="70">
        <v>36000</v>
      </c>
      <c r="AW42" s="69" t="s">
        <v>286</v>
      </c>
      <c r="AX42" s="70">
        <v>36000</v>
      </c>
      <c r="AZ42" s="69" t="s">
        <v>286</v>
      </c>
      <c r="BA42" s="70">
        <v>36000</v>
      </c>
      <c r="BD42" s="69" t="s">
        <v>286</v>
      </c>
      <c r="BE42" s="70">
        <v>36000</v>
      </c>
      <c r="BG42" s="69" t="s">
        <v>286</v>
      </c>
      <c r="BH42" s="70">
        <v>36000</v>
      </c>
      <c r="BK42" s="69" t="s">
        <v>286</v>
      </c>
      <c r="BL42" s="70">
        <v>36000</v>
      </c>
      <c r="BN42" s="69" t="s">
        <v>286</v>
      </c>
      <c r="BO42" s="70">
        <v>36000</v>
      </c>
      <c r="BQ42" s="69" t="s">
        <v>286</v>
      </c>
      <c r="BR42" s="70">
        <v>36000</v>
      </c>
      <c r="BT42" s="69" t="s">
        <v>286</v>
      </c>
      <c r="BU42" s="70">
        <v>36000</v>
      </c>
      <c r="BW42" s="69" t="s">
        <v>286</v>
      </c>
      <c r="BX42" s="70">
        <v>36000</v>
      </c>
      <c r="BZ42" s="69" t="s">
        <v>286</v>
      </c>
      <c r="CA42" s="70">
        <v>36000</v>
      </c>
      <c r="CC42" s="69" t="s">
        <v>286</v>
      </c>
      <c r="CD42" s="70">
        <v>36000</v>
      </c>
      <c r="CF42" s="69" t="s">
        <v>286</v>
      </c>
      <c r="CG42" s="70">
        <v>36000</v>
      </c>
      <c r="CI42" s="69" t="s">
        <v>286</v>
      </c>
      <c r="CJ42" s="70">
        <v>36000</v>
      </c>
      <c r="CL42" s="71" t="s">
        <v>285</v>
      </c>
      <c r="CM42" s="71">
        <v>37</v>
      </c>
      <c r="CO42" s="71" t="s">
        <v>285</v>
      </c>
      <c r="CP42" s="71">
        <v>37</v>
      </c>
      <c r="CR42" s="71" t="s">
        <v>285</v>
      </c>
      <c r="CS42" s="71">
        <v>37</v>
      </c>
      <c r="CU42" s="69" t="s">
        <v>286</v>
      </c>
      <c r="CV42" s="70">
        <f>6*10^5</f>
        <v>600000</v>
      </c>
      <c r="CX42" s="69" t="s">
        <v>286</v>
      </c>
      <c r="CY42" s="70">
        <f>6*10^5</f>
        <v>600000</v>
      </c>
      <c r="DA42" s="69" t="s">
        <v>286</v>
      </c>
      <c r="DB42" s="70">
        <f>6*10^5</f>
        <v>600000</v>
      </c>
      <c r="DD42" s="69" t="s">
        <v>286</v>
      </c>
      <c r="DE42" s="70">
        <f>6*10^5</f>
        <v>600000</v>
      </c>
      <c r="DG42" s="69" t="s">
        <v>286</v>
      </c>
      <c r="DH42" s="70">
        <f>6*10^5</f>
        <v>600000</v>
      </c>
      <c r="DJ42" s="69" t="s">
        <v>286</v>
      </c>
      <c r="DK42" s="70">
        <f>6*10^5</f>
        <v>600000</v>
      </c>
      <c r="DM42" s="69" t="s">
        <v>286</v>
      </c>
      <c r="DN42" s="70">
        <f>6*10^5</f>
        <v>600000</v>
      </c>
      <c r="DP42" s="69" t="s">
        <v>286</v>
      </c>
      <c r="DQ42" s="70">
        <f>6*10^5</f>
        <v>600000</v>
      </c>
      <c r="DS42" s="69" t="s">
        <v>286</v>
      </c>
      <c r="DT42" s="70">
        <f>6*10^5</f>
        <v>600000</v>
      </c>
      <c r="FG42" s="96" t="s">
        <v>633</v>
      </c>
      <c r="FL42" s="96" t="s">
        <v>635</v>
      </c>
    </row>
    <row r="43" spans="1:168">
      <c r="A43" s="8" t="s">
        <v>301</v>
      </c>
      <c r="B43" s="73">
        <f>B42*8</f>
        <v>280701.75438596489</v>
      </c>
      <c r="E43" s="8" t="s">
        <v>301</v>
      </c>
      <c r="F43" s="73">
        <f>F42*8</f>
        <v>425531.91489361704</v>
      </c>
      <c r="H43" s="8" t="s">
        <v>301</v>
      </c>
      <c r="I43" s="73">
        <f>I42*8</f>
        <v>425531.91489361704</v>
      </c>
      <c r="K43" s="8" t="s">
        <v>301</v>
      </c>
      <c r="L43" s="73">
        <f>L42*8</f>
        <v>425531.91489361704</v>
      </c>
      <c r="N43" s="8" t="s">
        <v>298</v>
      </c>
      <c r="O43" s="73">
        <f>O42*(30/O38)</f>
        <v>53191.48936170213</v>
      </c>
      <c r="P43" s="73"/>
      <c r="Q43" s="73"/>
      <c r="R43" s="8" t="s">
        <v>298</v>
      </c>
      <c r="S43" s="73">
        <f>S42*(30/S38)</f>
        <v>53191.48936170213</v>
      </c>
      <c r="T43" s="73"/>
      <c r="U43" s="8" t="s">
        <v>298</v>
      </c>
      <c r="V43" s="73">
        <f>V42*(30/V38)</f>
        <v>35460.992907801417</v>
      </c>
      <c r="X43" s="8" t="s">
        <v>298</v>
      </c>
      <c r="Y43" s="73">
        <f>Y42*(30/Y38)</f>
        <v>35460.992907801417</v>
      </c>
      <c r="AA43" s="8" t="s">
        <v>295</v>
      </c>
      <c r="AB43" s="73">
        <f>(AB40*(AB39/30)*1*10^5)/AB42</f>
        <v>106382.97872340426</v>
      </c>
      <c r="AG43" s="69" t="s">
        <v>289</v>
      </c>
      <c r="AH43" s="72">
        <v>0.05</v>
      </c>
      <c r="AK43" s="69" t="s">
        <v>289</v>
      </c>
      <c r="AL43" s="72">
        <v>0.05</v>
      </c>
      <c r="AN43" s="69" t="s">
        <v>289</v>
      </c>
      <c r="AO43" s="72">
        <v>0.05</v>
      </c>
      <c r="AQ43" s="69" t="s">
        <v>289</v>
      </c>
      <c r="AR43" s="72">
        <v>0.05</v>
      </c>
      <c r="AT43" s="69" t="s">
        <v>289</v>
      </c>
      <c r="AU43" s="72">
        <v>0.05</v>
      </c>
      <c r="AW43" s="69" t="s">
        <v>289</v>
      </c>
      <c r="AX43" s="72">
        <v>0.05</v>
      </c>
      <c r="AZ43" s="69" t="s">
        <v>289</v>
      </c>
      <c r="BA43" s="72">
        <v>0.05</v>
      </c>
      <c r="BD43" s="69" t="s">
        <v>289</v>
      </c>
      <c r="BE43" s="72">
        <v>0.05</v>
      </c>
      <c r="BG43" s="69" t="s">
        <v>289</v>
      </c>
      <c r="BH43" s="72">
        <v>0.05</v>
      </c>
      <c r="BK43" s="69" t="s">
        <v>289</v>
      </c>
      <c r="BL43" s="72">
        <v>0.05</v>
      </c>
      <c r="BN43" s="69" t="s">
        <v>289</v>
      </c>
      <c r="BO43" s="72">
        <v>0.05</v>
      </c>
      <c r="BQ43" s="69" t="s">
        <v>289</v>
      </c>
      <c r="BR43" s="72">
        <v>0.05</v>
      </c>
      <c r="BT43" s="69" t="s">
        <v>289</v>
      </c>
      <c r="BU43" s="72">
        <v>0.05</v>
      </c>
      <c r="BW43" s="69" t="s">
        <v>289</v>
      </c>
      <c r="BX43" s="72">
        <v>0.05</v>
      </c>
      <c r="BZ43" s="69" t="s">
        <v>289</v>
      </c>
      <c r="CA43" s="72">
        <v>0.05</v>
      </c>
      <c r="CC43" s="69" t="s">
        <v>289</v>
      </c>
      <c r="CD43" s="72">
        <v>0.05</v>
      </c>
      <c r="CF43" s="69" t="s">
        <v>289</v>
      </c>
      <c r="CG43" s="72">
        <v>0.05</v>
      </c>
      <c r="CI43" s="69" t="s">
        <v>289</v>
      </c>
      <c r="CJ43" s="72">
        <v>0.05</v>
      </c>
      <c r="CL43" s="71" t="s">
        <v>288</v>
      </c>
      <c r="CM43" s="71">
        <v>1</v>
      </c>
      <c r="CO43" s="71" t="s">
        <v>288</v>
      </c>
      <c r="CP43" s="71">
        <v>1</v>
      </c>
      <c r="CR43" s="71" t="s">
        <v>288</v>
      </c>
      <c r="CS43" s="71">
        <v>1</v>
      </c>
      <c r="CU43" s="69" t="s">
        <v>289</v>
      </c>
      <c r="CV43" s="72">
        <v>0.06</v>
      </c>
      <c r="CX43" s="69" t="s">
        <v>289</v>
      </c>
      <c r="CY43" s="72">
        <v>0.06</v>
      </c>
      <c r="DA43" s="69" t="s">
        <v>289</v>
      </c>
      <c r="DB43" s="72">
        <v>0.06</v>
      </c>
      <c r="DD43" s="69" t="s">
        <v>289</v>
      </c>
      <c r="DE43" s="72">
        <v>0.06</v>
      </c>
      <c r="DG43" s="69" t="s">
        <v>289</v>
      </c>
      <c r="DH43" s="72">
        <v>0.06</v>
      </c>
      <c r="DJ43" s="69" t="s">
        <v>289</v>
      </c>
      <c r="DK43" s="72">
        <v>0.06</v>
      </c>
      <c r="DM43" s="69" t="s">
        <v>289</v>
      </c>
      <c r="DN43" s="72">
        <v>0.06</v>
      </c>
      <c r="DP43" s="69" t="s">
        <v>289</v>
      </c>
      <c r="DQ43" s="72">
        <v>0.06</v>
      </c>
      <c r="DS43" s="69" t="s">
        <v>289</v>
      </c>
      <c r="DT43" s="72">
        <v>0.06</v>
      </c>
    </row>
    <row r="44" spans="1:168">
      <c r="A44" s="8" t="s">
        <v>305</v>
      </c>
      <c r="B44" s="79">
        <v>0</v>
      </c>
      <c r="E44" s="8" t="s">
        <v>305</v>
      </c>
      <c r="F44" s="79">
        <v>0</v>
      </c>
      <c r="H44" s="8" t="s">
        <v>305</v>
      </c>
      <c r="I44" s="79">
        <v>0</v>
      </c>
      <c r="K44" s="8" t="s">
        <v>305</v>
      </c>
      <c r="L44" s="79">
        <v>0</v>
      </c>
      <c r="N44" s="8" t="s">
        <v>301</v>
      </c>
      <c r="O44" s="73">
        <f>O43*8</f>
        <v>425531.91489361704</v>
      </c>
      <c r="P44" s="73"/>
      <c r="Q44" s="73"/>
      <c r="R44" s="8" t="s">
        <v>301</v>
      </c>
      <c r="S44" s="73">
        <f>S43*8</f>
        <v>425531.91489361704</v>
      </c>
      <c r="T44" s="73"/>
      <c r="U44" s="8" t="s">
        <v>301</v>
      </c>
      <c r="V44" s="73">
        <f>V43*8</f>
        <v>283687.94326241134</v>
      </c>
      <c r="X44" s="8" t="s">
        <v>301</v>
      </c>
      <c r="Y44" s="73">
        <f>Y43*8</f>
        <v>283687.94326241134</v>
      </c>
      <c r="AA44" s="8" t="s">
        <v>298</v>
      </c>
      <c r="AB44" s="73">
        <f>AB43*(30/AB39)</f>
        <v>53191.48936170213</v>
      </c>
      <c r="AG44" s="8" t="s">
        <v>292</v>
      </c>
      <c r="AH44" s="73">
        <f>AH42*(AH41/30)*(1-AH43)</f>
        <v>3562500</v>
      </c>
      <c r="AK44" s="8" t="s">
        <v>292</v>
      </c>
      <c r="AL44" s="73">
        <f>AL42*(AL41/30)*(1-AL43)</f>
        <v>3562500</v>
      </c>
      <c r="AN44" s="8" t="s">
        <v>292</v>
      </c>
      <c r="AO44" s="73">
        <f>AO42*(AO41/30)*(1-AO43)</f>
        <v>3562500</v>
      </c>
      <c r="AQ44" s="8" t="s">
        <v>292</v>
      </c>
      <c r="AR44" s="73">
        <f>AR42*(AR41/30)*(1-AR43)</f>
        <v>342</v>
      </c>
      <c r="AT44" s="8" t="s">
        <v>292</v>
      </c>
      <c r="AU44" s="73">
        <f>AU42*(AU41/30)*(1-AU43)</f>
        <v>342</v>
      </c>
      <c r="AW44" s="8" t="s">
        <v>292</v>
      </c>
      <c r="AX44" s="73">
        <f>AX42*(AX41/30)*(1-AX43)</f>
        <v>342</v>
      </c>
      <c r="AZ44" s="8" t="s">
        <v>292</v>
      </c>
      <c r="BA44" s="73">
        <f>BA42*(BA41/30)*(1-BA43)</f>
        <v>342</v>
      </c>
      <c r="BD44" s="8" t="s">
        <v>292</v>
      </c>
      <c r="BE44" s="73">
        <f>BE42*(BE41/30)*(1-BE43)</f>
        <v>342</v>
      </c>
      <c r="BG44" s="8" t="s">
        <v>292</v>
      </c>
      <c r="BH44" s="73">
        <f>BH42*(BH41/30)*(1-BH43)</f>
        <v>342</v>
      </c>
      <c r="BK44" s="8" t="s">
        <v>292</v>
      </c>
      <c r="BL44" s="73">
        <f>BL42*(BL41/30)*(1-BL43)</f>
        <v>342</v>
      </c>
      <c r="BN44" s="8" t="s">
        <v>292</v>
      </c>
      <c r="BO44" s="73">
        <f>BO42*(BO41/30)*(1-BO43)</f>
        <v>342</v>
      </c>
      <c r="BQ44" s="8" t="s">
        <v>292</v>
      </c>
      <c r="BR44" s="73">
        <f>BR42*(BR41/30)*(1-BR43)</f>
        <v>342</v>
      </c>
      <c r="BT44" s="8" t="s">
        <v>292</v>
      </c>
      <c r="BU44" s="73">
        <f>BU42*(BU41/30)*(1-BU43)</f>
        <v>342</v>
      </c>
      <c r="BW44" s="8" t="s">
        <v>292</v>
      </c>
      <c r="BX44" s="73">
        <f>BX42*(BX41/30)*(1-BX43)</f>
        <v>342</v>
      </c>
      <c r="BZ44" s="8" t="s">
        <v>292</v>
      </c>
      <c r="CA44" s="73">
        <f>CA42*(CA41/30)*(1-CA43)</f>
        <v>342</v>
      </c>
      <c r="CC44" s="8" t="s">
        <v>292</v>
      </c>
      <c r="CD44" s="73">
        <f>CD42*(CD41/30)*(1-CD43)</f>
        <v>342</v>
      </c>
      <c r="CF44" s="8" t="s">
        <v>292</v>
      </c>
      <c r="CG44" s="73">
        <f>CG42*(CG41/30)*(1-CG43)</f>
        <v>342</v>
      </c>
      <c r="CI44" s="8" t="s">
        <v>292</v>
      </c>
      <c r="CJ44" s="73">
        <f>CJ42*(CJ41/30)*(1-CJ43)</f>
        <v>342</v>
      </c>
      <c r="CL44" s="8" t="s">
        <v>291</v>
      </c>
      <c r="CM44" s="73">
        <f>10^5/CM42</f>
        <v>2702.7027027027025</v>
      </c>
      <c r="CO44" s="8" t="s">
        <v>291</v>
      </c>
      <c r="CP44" s="73">
        <f>10^5/CP42</f>
        <v>2702.7027027027025</v>
      </c>
      <c r="CR44" s="8" t="s">
        <v>291</v>
      </c>
      <c r="CS44" s="73">
        <f>10^5/CS42</f>
        <v>2702.7027027027025</v>
      </c>
      <c r="CU44" s="8" t="s">
        <v>292</v>
      </c>
      <c r="CV44" s="73">
        <f>CV42*(CV41/30)*(1-CV43)</f>
        <v>1128000</v>
      </c>
      <c r="CX44" s="8" t="s">
        <v>292</v>
      </c>
      <c r="CY44" s="73">
        <f>CY42*(CY41/30)*(1-CY43)</f>
        <v>1128000</v>
      </c>
      <c r="DA44" s="8" t="s">
        <v>292</v>
      </c>
      <c r="DB44" s="73">
        <f>DB42*(DB41/30)*(1-DB43)</f>
        <v>1128000</v>
      </c>
      <c r="DD44" s="8" t="s">
        <v>292</v>
      </c>
      <c r="DE44" s="73">
        <f>DE42*(DE41/30)*(1-DE43)</f>
        <v>1128000</v>
      </c>
      <c r="DG44" s="8" t="s">
        <v>292</v>
      </c>
      <c r="DH44" s="73">
        <f>DH42*(DH41/30)*(1-DH43)</f>
        <v>1128000</v>
      </c>
      <c r="DJ44" s="8" t="s">
        <v>292</v>
      </c>
      <c r="DK44" s="73">
        <f>DK42*(DK41/30)*(1-DK43)</f>
        <v>1128000</v>
      </c>
      <c r="DM44" s="8" t="s">
        <v>292</v>
      </c>
      <c r="DN44" s="73">
        <f>DN42*(DN41/30)*(1-DN43)</f>
        <v>1128000</v>
      </c>
      <c r="DP44" s="8" t="s">
        <v>292</v>
      </c>
      <c r="DQ44" s="73">
        <f>DQ42*(DQ41/30)*(1-DQ43)</f>
        <v>1128000</v>
      </c>
      <c r="DS44" s="8" t="s">
        <v>292</v>
      </c>
      <c r="DT44" s="73">
        <f>DT42*(DT41/30)*(1-DT43)</f>
        <v>1128000</v>
      </c>
    </row>
    <row r="45" spans="1:168">
      <c r="A45" s="9" t="s">
        <v>304</v>
      </c>
      <c r="B45" s="78">
        <f>B43*B39+B42*(1-B39)*B44</f>
        <v>14035.087719298244</v>
      </c>
      <c r="E45" s="9" t="s">
        <v>304</v>
      </c>
      <c r="F45" s="78">
        <f>F43*F39+F42*(1-F39)*F44</f>
        <v>25531.91489361702</v>
      </c>
      <c r="H45" s="9" t="s">
        <v>304</v>
      </c>
      <c r="I45" s="78">
        <f>I43*I39+I42*(1-I39)*I44</f>
        <v>25531.91489361702</v>
      </c>
      <c r="K45" s="9" t="s">
        <v>304</v>
      </c>
      <c r="L45" s="78">
        <f>L43*L39+L42*(1-L39)*L44</f>
        <v>25531.91489361702</v>
      </c>
      <c r="N45" s="8" t="s">
        <v>305</v>
      </c>
      <c r="O45" s="79">
        <v>0</v>
      </c>
      <c r="P45" s="79"/>
      <c r="Q45" s="79"/>
      <c r="R45" s="8" t="s">
        <v>305</v>
      </c>
      <c r="S45" s="79">
        <v>0</v>
      </c>
      <c r="T45" s="79"/>
      <c r="U45" s="8" t="s">
        <v>305</v>
      </c>
      <c r="V45" s="79">
        <v>0</v>
      </c>
      <c r="X45" s="8" t="s">
        <v>305</v>
      </c>
      <c r="Y45" s="79">
        <v>0</v>
      </c>
      <c r="AA45" s="8" t="s">
        <v>301</v>
      </c>
      <c r="AB45" s="73">
        <f>AB44*8</f>
        <v>425531.91489361704</v>
      </c>
      <c r="AG45" s="8" t="s">
        <v>295</v>
      </c>
      <c r="AH45" s="73">
        <f>(AH42*(AH41/30)*1*10^5)/AH44</f>
        <v>105263.15789473684</v>
      </c>
      <c r="AK45" s="8" t="s">
        <v>295</v>
      </c>
      <c r="AL45" s="73">
        <f>(AL42*(AL41/30)*1*10^5)/AL44</f>
        <v>105263.15789473684</v>
      </c>
      <c r="AN45" s="8" t="s">
        <v>295</v>
      </c>
      <c r="AO45" s="73">
        <f>(AO42*(AO41/30)*1*10^5)/AO44</f>
        <v>105263.15789473684</v>
      </c>
      <c r="AQ45" s="8" t="s">
        <v>295</v>
      </c>
      <c r="AR45" s="73">
        <f>(AR42*(AR41/30)*1*10^5)/AR44</f>
        <v>105263.15789473684</v>
      </c>
      <c r="AT45" s="8" t="s">
        <v>295</v>
      </c>
      <c r="AU45" s="73">
        <f>(AU42*(AU41/30)*1*10^5)/AU44</f>
        <v>105263.15789473684</v>
      </c>
      <c r="AW45" s="8" t="s">
        <v>295</v>
      </c>
      <c r="AX45" s="73">
        <f>(AX42*(AX41/30)*1*10^5)/AX44</f>
        <v>105263.15789473684</v>
      </c>
      <c r="AZ45" s="8" t="s">
        <v>295</v>
      </c>
      <c r="BA45" s="73">
        <f>(BA42*(BA41/30)*1*10^5)/BA44</f>
        <v>105263.15789473684</v>
      </c>
      <c r="BD45" s="8" t="s">
        <v>295</v>
      </c>
      <c r="BE45" s="73">
        <f>(BE42*(BE41/30)*1*10^5)/BE44</f>
        <v>105263.15789473684</v>
      </c>
      <c r="BG45" s="8" t="s">
        <v>295</v>
      </c>
      <c r="BH45" s="73">
        <f>(BH42*(BH41/30)*1*10^5)/BH44</f>
        <v>105263.15789473684</v>
      </c>
      <c r="BK45" s="8" t="s">
        <v>295</v>
      </c>
      <c r="BL45" s="73">
        <f>(BL42*(BL41/30)*1*10^5)/BL44</f>
        <v>105263.15789473684</v>
      </c>
      <c r="BN45" s="8" t="s">
        <v>295</v>
      </c>
      <c r="BO45" s="73">
        <f>(BO42*(BO41/30)*1*10^5)/BO44</f>
        <v>105263.15789473684</v>
      </c>
      <c r="BQ45" s="8" t="s">
        <v>295</v>
      </c>
      <c r="BR45" s="73">
        <f>(BR42*(BR41/30)*1*10^5)/BR44</f>
        <v>105263.15789473684</v>
      </c>
      <c r="BT45" s="8" t="s">
        <v>295</v>
      </c>
      <c r="BU45" s="73">
        <f>(BU42*(BU41/30)*1*10^5)/BU44</f>
        <v>105263.15789473684</v>
      </c>
      <c r="BW45" s="8" t="s">
        <v>295</v>
      </c>
      <c r="BX45" s="73">
        <f>(BX42*(BX41/30)*1*10^5)/BX44</f>
        <v>105263.15789473684</v>
      </c>
      <c r="BZ45" s="8" t="s">
        <v>295</v>
      </c>
      <c r="CA45" s="73">
        <f>(CA42*(CA41/30)*1*10^5)/CA44</f>
        <v>105263.15789473684</v>
      </c>
      <c r="CC45" s="8" t="s">
        <v>295</v>
      </c>
      <c r="CD45" s="73">
        <f>(CD42*(CD41/30)*1*10^5)/CD44</f>
        <v>105263.15789473684</v>
      </c>
      <c r="CF45" s="8" t="s">
        <v>295</v>
      </c>
      <c r="CG45" s="73">
        <f>(CG42*(CG41/30)*1*10^5)/CG44</f>
        <v>105263.15789473684</v>
      </c>
      <c r="CI45" s="8" t="s">
        <v>295</v>
      </c>
      <c r="CJ45" s="73">
        <f>(CJ42*(CJ41/30)*1*10^5)/CJ44</f>
        <v>105263.15789473684</v>
      </c>
      <c r="CL45" s="8" t="s">
        <v>294</v>
      </c>
      <c r="CM45" s="73">
        <f>(CM42+CM43)*CM44</f>
        <v>102702.70270270269</v>
      </c>
      <c r="CO45" s="8" t="s">
        <v>294</v>
      </c>
      <c r="CP45" s="73">
        <f>(CP42+CP43)*CP44</f>
        <v>102702.70270270269</v>
      </c>
      <c r="CR45" s="8" t="s">
        <v>294</v>
      </c>
      <c r="CS45" s="73">
        <f>(CS42+CS43)*CS44</f>
        <v>102702.70270270269</v>
      </c>
      <c r="CU45" s="8" t="s">
        <v>295</v>
      </c>
      <c r="CV45" s="73">
        <f>(CV42*(CV41/30)*1*10^5)/CV44</f>
        <v>106382.97872340426</v>
      </c>
      <c r="CX45" s="8" t="s">
        <v>295</v>
      </c>
      <c r="CY45" s="73">
        <f>(CY42*(CY41/30)*1*10^5)/CY44</f>
        <v>106382.97872340426</v>
      </c>
      <c r="DA45" s="8" t="s">
        <v>295</v>
      </c>
      <c r="DB45" s="73">
        <f>(DB42*(DB41/30)*1*10^5)/DB44</f>
        <v>106382.97872340426</v>
      </c>
      <c r="DD45" s="8" t="s">
        <v>295</v>
      </c>
      <c r="DE45" s="73">
        <f>(DE42*(DE41/30)*1*10^5)/DE44</f>
        <v>106382.97872340426</v>
      </c>
      <c r="DG45" s="8" t="s">
        <v>295</v>
      </c>
      <c r="DH45" s="73">
        <f>(DH42*(DH41/30)*1*10^5)/DH44</f>
        <v>106382.97872340426</v>
      </c>
      <c r="DJ45" s="8" t="s">
        <v>295</v>
      </c>
      <c r="DK45" s="73">
        <f>(DK42*(DK41/30)*1*10^5)/DK44</f>
        <v>106382.97872340426</v>
      </c>
      <c r="DM45" s="8" t="s">
        <v>295</v>
      </c>
      <c r="DN45" s="73">
        <f>(DN42*(DN41/30)*1*10^5)/DN44</f>
        <v>106382.97872340426</v>
      </c>
      <c r="DP45" s="8" t="s">
        <v>295</v>
      </c>
      <c r="DQ45" s="73">
        <f>(DQ42*(DQ41/30)*1*10^5)/DQ44</f>
        <v>106382.97872340426</v>
      </c>
      <c r="DS45" s="8" t="s">
        <v>295</v>
      </c>
      <c r="DT45" s="73">
        <f>(DT42*(DT41/30)*1*10^5)/DT44</f>
        <v>106382.97872340426</v>
      </c>
    </row>
    <row r="46" spans="1:168">
      <c r="A46" s="9" t="s">
        <v>310</v>
      </c>
      <c r="B46" s="78">
        <f>2%*1*10^5*8</f>
        <v>16000</v>
      </c>
      <c r="E46" s="9" t="s">
        <v>310</v>
      </c>
      <c r="F46" s="78">
        <f>2%*1*10^5*8</f>
        <v>16000</v>
      </c>
      <c r="H46" s="9" t="s">
        <v>310</v>
      </c>
      <c r="I46" s="78">
        <f>2%*1*10^5*8</f>
        <v>16000</v>
      </c>
      <c r="K46" s="9" t="s">
        <v>310</v>
      </c>
      <c r="L46" s="78">
        <f>2%*1*10^5*8</f>
        <v>16000</v>
      </c>
      <c r="N46" s="9" t="s">
        <v>304</v>
      </c>
      <c r="O46" s="78">
        <f>O44*O40+O43*(1-O40)*O45</f>
        <v>25531.91489361702</v>
      </c>
      <c r="P46" s="78"/>
      <c r="Q46" s="78"/>
      <c r="R46" s="9" t="s">
        <v>304</v>
      </c>
      <c r="S46" s="78">
        <f>S44*S40+S43*(1-S40)*S45</f>
        <v>25531.91489361702</v>
      </c>
      <c r="T46" s="78"/>
      <c r="U46" s="9" t="s">
        <v>304</v>
      </c>
      <c r="V46" s="78">
        <f>V44*V40+V43*(1-V40)*V45</f>
        <v>17021.276595744679</v>
      </c>
      <c r="X46" s="9" t="s">
        <v>304</v>
      </c>
      <c r="Y46" s="78">
        <f>Y44*Y40+Y43*(1-Y40)*Y45</f>
        <v>17021.276595744679</v>
      </c>
      <c r="AA46" s="8" t="s">
        <v>305</v>
      </c>
      <c r="AB46" s="79">
        <v>0</v>
      </c>
      <c r="AG46" s="8" t="s">
        <v>298</v>
      </c>
      <c r="AH46" s="73">
        <f>AH45*(30/AH41)</f>
        <v>35087.719298245611</v>
      </c>
      <c r="AK46" s="8" t="s">
        <v>298</v>
      </c>
      <c r="AL46" s="73">
        <f>AL45*(30/AL41)</f>
        <v>35087.719298245611</v>
      </c>
      <c r="AN46" s="8" t="s">
        <v>298</v>
      </c>
      <c r="AO46" s="73">
        <f>AO45*(30/AO41)</f>
        <v>35087.719298245611</v>
      </c>
      <c r="AQ46" s="8" t="s">
        <v>298</v>
      </c>
      <c r="AR46" s="73">
        <f>AR45*(30/AR41)</f>
        <v>10526315.789473685</v>
      </c>
      <c r="AT46" s="8" t="s">
        <v>298</v>
      </c>
      <c r="AU46" s="73">
        <f>AU45*(30/AU41)</f>
        <v>10526315.789473685</v>
      </c>
      <c r="AW46" s="8" t="s">
        <v>298</v>
      </c>
      <c r="AX46" s="73">
        <f>AX45*(30/AX41)</f>
        <v>10526315.789473685</v>
      </c>
      <c r="AZ46" s="8" t="s">
        <v>298</v>
      </c>
      <c r="BA46" s="73">
        <f>BA45*(30/BA41)</f>
        <v>10526315.789473685</v>
      </c>
      <c r="BD46" s="8" t="s">
        <v>298</v>
      </c>
      <c r="BE46" s="73">
        <f>BE45*(30/BE41)</f>
        <v>10526315.789473685</v>
      </c>
      <c r="BG46" s="8" t="s">
        <v>298</v>
      </c>
      <c r="BH46" s="73">
        <f>BH45*(30/BH41)</f>
        <v>10526315.789473685</v>
      </c>
      <c r="BK46" s="8" t="s">
        <v>298</v>
      </c>
      <c r="BL46" s="73">
        <f>BL45*(30/BL41)</f>
        <v>10526315.789473685</v>
      </c>
      <c r="BN46" s="8" t="s">
        <v>298</v>
      </c>
      <c r="BO46" s="73">
        <f>BO45*(30/BO41)</f>
        <v>10526315.789473685</v>
      </c>
      <c r="BQ46" s="8" t="s">
        <v>298</v>
      </c>
      <c r="BR46" s="73">
        <f>BR45*(30/BR41)</f>
        <v>10526315.789473685</v>
      </c>
      <c r="BT46" s="8" t="s">
        <v>298</v>
      </c>
      <c r="BU46" s="73">
        <f>BU45*(30/BU41)</f>
        <v>10526315.789473685</v>
      </c>
      <c r="BW46" s="8" t="s">
        <v>298</v>
      </c>
      <c r="BX46" s="73">
        <f>BX45*(30/BX41)</f>
        <v>10526315.789473685</v>
      </c>
      <c r="BZ46" s="8" t="s">
        <v>298</v>
      </c>
      <c r="CA46" s="73">
        <f>CA45*(30/CA41)</f>
        <v>10526315.789473685</v>
      </c>
      <c r="CC46" s="8" t="s">
        <v>298</v>
      </c>
      <c r="CD46" s="73">
        <f>CD45*(30/CD41)</f>
        <v>10526315.789473685</v>
      </c>
      <c r="CF46" s="8" t="s">
        <v>298</v>
      </c>
      <c r="CG46" s="73">
        <f>CG45*(30/CG41)</f>
        <v>10526315.789473685</v>
      </c>
      <c r="CI46" s="8" t="s">
        <v>298</v>
      </c>
      <c r="CJ46" s="73">
        <f>CJ45*(30/CJ41)</f>
        <v>10526315.789473685</v>
      </c>
      <c r="CL46" s="8" t="s">
        <v>297</v>
      </c>
      <c r="CM46" s="73">
        <f>CM45*(30/CM41)</f>
        <v>1540540.5405405404</v>
      </c>
      <c r="CO46" s="8" t="s">
        <v>297</v>
      </c>
      <c r="CP46" s="73">
        <f>CP45*(30/CP41)</f>
        <v>1540540.5405405404</v>
      </c>
      <c r="CR46" s="8" t="s">
        <v>297</v>
      </c>
      <c r="CS46" s="73">
        <f>CS45*(30/CS41)</f>
        <v>1540540.5405405404</v>
      </c>
      <c r="CU46" s="8" t="s">
        <v>298</v>
      </c>
      <c r="CV46" s="73">
        <f>CV45*(30/CV41)</f>
        <v>53191.48936170213</v>
      </c>
      <c r="CX46" s="8" t="s">
        <v>298</v>
      </c>
      <c r="CY46" s="73">
        <f>CY45*(30/CY41)</f>
        <v>53191.48936170213</v>
      </c>
      <c r="DA46" s="8" t="s">
        <v>298</v>
      </c>
      <c r="DB46" s="73">
        <f>DB45*(30/DB41)</f>
        <v>53191.48936170213</v>
      </c>
      <c r="DD46" s="8" t="s">
        <v>298</v>
      </c>
      <c r="DE46" s="73">
        <f>DE45*(30/DE41)</f>
        <v>53191.48936170213</v>
      </c>
      <c r="DG46" s="8" t="s">
        <v>298</v>
      </c>
      <c r="DH46" s="73">
        <f>DH45*(30/DH41)</f>
        <v>53191.48936170213</v>
      </c>
      <c r="DJ46" s="8" t="s">
        <v>298</v>
      </c>
      <c r="DK46" s="73">
        <f>DK45*(30/DK41)</f>
        <v>53191.48936170213</v>
      </c>
      <c r="DM46" s="8" t="s">
        <v>298</v>
      </c>
      <c r="DN46" s="73">
        <f>DN45*(30/DN41)</f>
        <v>53191.48936170213</v>
      </c>
      <c r="DP46" s="8" t="s">
        <v>298</v>
      </c>
      <c r="DQ46" s="73">
        <f>DQ45*(30/DQ41)</f>
        <v>53191.48936170213</v>
      </c>
      <c r="DS46" s="8" t="s">
        <v>298</v>
      </c>
      <c r="DT46" s="73">
        <f>DT45*(30/DT41)</f>
        <v>53191.48936170213</v>
      </c>
      <c r="FG46" s="96" t="s">
        <v>498</v>
      </c>
    </row>
    <row r="47" spans="1:168">
      <c r="A47" s="66" t="s">
        <v>313</v>
      </c>
      <c r="B47" s="81">
        <f>B45-B46</f>
        <v>-1964.9122807017557</v>
      </c>
      <c r="E47" s="66" t="s">
        <v>313</v>
      </c>
      <c r="F47" s="81">
        <f>F45-F46</f>
        <v>9531.9148936170204</v>
      </c>
      <c r="H47" s="66" t="s">
        <v>313</v>
      </c>
      <c r="I47" s="81">
        <f>I45-I46</f>
        <v>9531.9148936170204</v>
      </c>
      <c r="K47" s="66" t="s">
        <v>313</v>
      </c>
      <c r="L47" s="81">
        <f>L45-L46</f>
        <v>9531.9148936170204</v>
      </c>
      <c r="N47" s="9" t="s">
        <v>310</v>
      </c>
      <c r="O47" s="78">
        <f>2%*1*10^5*8</f>
        <v>16000</v>
      </c>
      <c r="P47" s="78"/>
      <c r="Q47" s="78"/>
      <c r="R47" s="9" t="s">
        <v>310</v>
      </c>
      <c r="S47" s="78">
        <f>2%*1*10^5*8</f>
        <v>16000</v>
      </c>
      <c r="T47" s="78"/>
      <c r="U47" s="9" t="s">
        <v>310</v>
      </c>
      <c r="V47" s="78">
        <f>2%*1*10^5*8</f>
        <v>16000</v>
      </c>
      <c r="X47" s="9" t="s">
        <v>310</v>
      </c>
      <c r="Y47" s="78">
        <f>2%*1*10^5*8</f>
        <v>16000</v>
      </c>
      <c r="AA47" s="9" t="s">
        <v>304</v>
      </c>
      <c r="AB47" s="78">
        <f>AB45*AB41+AB44*(1-AB41)*AB46</f>
        <v>25531.91489361702</v>
      </c>
      <c r="AG47" s="8" t="s">
        <v>301</v>
      </c>
      <c r="AH47" s="73">
        <f>AH46*8</f>
        <v>280701.75438596489</v>
      </c>
      <c r="AK47" s="8" t="s">
        <v>301</v>
      </c>
      <c r="AL47" s="73">
        <f>AL46*8</f>
        <v>280701.75438596489</v>
      </c>
      <c r="AN47" s="8" t="s">
        <v>301</v>
      </c>
      <c r="AO47" s="73">
        <f>AO46*8</f>
        <v>280701.75438596489</v>
      </c>
      <c r="AQ47" s="8" t="s">
        <v>301</v>
      </c>
      <c r="AR47" s="73">
        <f>AR46*8</f>
        <v>84210526.315789476</v>
      </c>
      <c r="AT47" s="8" t="s">
        <v>301</v>
      </c>
      <c r="AU47" s="73">
        <f>AU46*8</f>
        <v>84210526.315789476</v>
      </c>
      <c r="AW47" s="8" t="s">
        <v>301</v>
      </c>
      <c r="AX47" s="73">
        <f>AX46*8</f>
        <v>84210526.315789476</v>
      </c>
      <c r="AZ47" s="8" t="s">
        <v>301</v>
      </c>
      <c r="BA47" s="73">
        <f>BA46*8</f>
        <v>84210526.315789476</v>
      </c>
      <c r="BD47" s="8" t="s">
        <v>301</v>
      </c>
      <c r="BE47" s="73">
        <f>BE46*8</f>
        <v>84210526.315789476</v>
      </c>
      <c r="BG47" s="8" t="s">
        <v>301</v>
      </c>
      <c r="BH47" s="73">
        <f>BH46*8</f>
        <v>84210526.315789476</v>
      </c>
      <c r="BK47" s="8" t="s">
        <v>301</v>
      </c>
      <c r="BL47" s="73">
        <f>BL46*8</f>
        <v>84210526.315789476</v>
      </c>
      <c r="BN47" s="8" t="s">
        <v>301</v>
      </c>
      <c r="BO47" s="73">
        <f>BO46*8</f>
        <v>84210526.315789476</v>
      </c>
      <c r="BQ47" s="8" t="s">
        <v>301</v>
      </c>
      <c r="BR47" s="73">
        <f>BR46*8</f>
        <v>84210526.315789476</v>
      </c>
      <c r="BT47" s="8" t="s">
        <v>301</v>
      </c>
      <c r="BU47" s="73">
        <f>BU46*8</f>
        <v>84210526.315789476</v>
      </c>
      <c r="BW47" s="8" t="s">
        <v>301</v>
      </c>
      <c r="BX47" s="73">
        <f>BX46*8</f>
        <v>84210526.315789476</v>
      </c>
      <c r="BZ47" s="8" t="s">
        <v>301</v>
      </c>
      <c r="CA47" s="73">
        <f>CA46*8</f>
        <v>84210526.315789476</v>
      </c>
      <c r="CC47" s="8" t="s">
        <v>301</v>
      </c>
      <c r="CD47" s="73">
        <f>CD46*8</f>
        <v>84210526.315789476</v>
      </c>
      <c r="CF47" s="8" t="s">
        <v>301</v>
      </c>
      <c r="CG47" s="73">
        <f>CG46*8</f>
        <v>84210526.315789476</v>
      </c>
      <c r="CI47" s="8" t="s">
        <v>301</v>
      </c>
      <c r="CJ47" s="73">
        <f>CJ46*8</f>
        <v>84210526.315789476</v>
      </c>
      <c r="CL47" s="8" t="s">
        <v>300</v>
      </c>
      <c r="CM47" s="76">
        <f>(CM46*8)/(CM42+CM43)</f>
        <v>324324.32432432426</v>
      </c>
      <c r="CO47" s="8" t="s">
        <v>300</v>
      </c>
      <c r="CP47" s="76">
        <f>(CP46*8)/(CP42+CP43)</f>
        <v>324324.32432432426</v>
      </c>
      <c r="CR47" s="8" t="s">
        <v>300</v>
      </c>
      <c r="CS47" s="76">
        <f>(CS46*8)/(CS42+CS43)</f>
        <v>324324.32432432426</v>
      </c>
      <c r="CU47" s="8" t="s">
        <v>301</v>
      </c>
      <c r="CV47" s="73">
        <f>CV46*8</f>
        <v>425531.91489361704</v>
      </c>
      <c r="CX47" s="8" t="s">
        <v>301</v>
      </c>
      <c r="CY47" s="73">
        <f>CY46*8</f>
        <v>425531.91489361704</v>
      </c>
      <c r="DA47" s="8" t="s">
        <v>301</v>
      </c>
      <c r="DB47" s="73">
        <f>DB46*8</f>
        <v>425531.91489361704</v>
      </c>
      <c r="DD47" s="8" t="s">
        <v>301</v>
      </c>
      <c r="DE47" s="73">
        <f>DE46*8</f>
        <v>425531.91489361704</v>
      </c>
      <c r="DG47" s="8" t="s">
        <v>301</v>
      </c>
      <c r="DH47" s="73">
        <f>DH46*8</f>
        <v>425531.91489361704</v>
      </c>
      <c r="DJ47" s="8" t="s">
        <v>301</v>
      </c>
      <c r="DK47" s="73">
        <f>DK46*8</f>
        <v>425531.91489361704</v>
      </c>
      <c r="DM47" s="8" t="s">
        <v>301</v>
      </c>
      <c r="DN47" s="73">
        <f>DN46*8</f>
        <v>425531.91489361704</v>
      </c>
      <c r="DP47" s="8" t="s">
        <v>301</v>
      </c>
      <c r="DQ47" s="73">
        <f>DQ46*8</f>
        <v>425531.91489361704</v>
      </c>
      <c r="DS47" s="8" t="s">
        <v>301</v>
      </c>
      <c r="DT47" s="73">
        <f>DT46*8</f>
        <v>425531.91489361704</v>
      </c>
    </row>
    <row r="48" spans="1:168">
      <c r="N48" s="66" t="s">
        <v>313</v>
      </c>
      <c r="O48" s="81">
        <f>O46-O47</f>
        <v>9531.9148936170204</v>
      </c>
      <c r="P48" s="94"/>
      <c r="Q48" s="94"/>
      <c r="R48" s="66" t="s">
        <v>313</v>
      </c>
      <c r="S48" s="81">
        <f>S46-S47</f>
        <v>9531.9148936170204</v>
      </c>
      <c r="T48" s="94"/>
      <c r="U48" s="66" t="s">
        <v>313</v>
      </c>
      <c r="V48" s="81">
        <f>V46-V47</f>
        <v>1021.2765957446791</v>
      </c>
      <c r="X48" s="66" t="s">
        <v>313</v>
      </c>
      <c r="Y48" s="81">
        <f>Y46-Y47</f>
        <v>1021.2765957446791</v>
      </c>
      <c r="AA48" s="9" t="s">
        <v>310</v>
      </c>
      <c r="AB48" s="78">
        <f>2%*1*10^5*8</f>
        <v>16000</v>
      </c>
      <c r="AG48" s="8" t="s">
        <v>305</v>
      </c>
      <c r="AH48" s="79">
        <v>0</v>
      </c>
      <c r="AK48" s="8" t="s">
        <v>305</v>
      </c>
      <c r="AL48" s="79">
        <v>0</v>
      </c>
      <c r="AN48" s="8" t="s">
        <v>305</v>
      </c>
      <c r="AO48" s="79">
        <v>0</v>
      </c>
      <c r="AQ48" s="8" t="s">
        <v>305</v>
      </c>
      <c r="AR48" s="79">
        <v>0</v>
      </c>
      <c r="AT48" s="8" t="s">
        <v>305</v>
      </c>
      <c r="AU48" s="79">
        <v>0</v>
      </c>
      <c r="AW48" s="8" t="s">
        <v>305</v>
      </c>
      <c r="AX48" s="79">
        <v>0</v>
      </c>
      <c r="AZ48" s="8" t="s">
        <v>305</v>
      </c>
      <c r="BA48" s="79">
        <v>0</v>
      </c>
      <c r="BD48" s="8" t="s">
        <v>305</v>
      </c>
      <c r="BE48" s="79">
        <v>0</v>
      </c>
      <c r="BG48" s="8" t="s">
        <v>305</v>
      </c>
      <c r="BH48" s="79">
        <v>0</v>
      </c>
      <c r="BK48" s="8" t="s">
        <v>305</v>
      </c>
      <c r="BL48" s="79">
        <v>0</v>
      </c>
      <c r="BN48" s="8" t="s">
        <v>305</v>
      </c>
      <c r="BO48" s="79">
        <v>0</v>
      </c>
      <c r="BQ48" s="8" t="s">
        <v>305</v>
      </c>
      <c r="BR48" s="79">
        <v>0</v>
      </c>
      <c r="BT48" s="8" t="s">
        <v>305</v>
      </c>
      <c r="BU48" s="79">
        <v>0</v>
      </c>
      <c r="BW48" s="8" t="s">
        <v>305</v>
      </c>
      <c r="BX48" s="79">
        <v>0</v>
      </c>
      <c r="BZ48" s="8" t="s">
        <v>305</v>
      </c>
      <c r="CA48" s="79">
        <v>0</v>
      </c>
      <c r="CC48" s="8" t="s">
        <v>305</v>
      </c>
      <c r="CD48" s="79">
        <v>0</v>
      </c>
      <c r="CF48" s="8" t="s">
        <v>305</v>
      </c>
      <c r="CG48" s="79">
        <v>0</v>
      </c>
      <c r="CI48" s="8" t="s">
        <v>305</v>
      </c>
      <c r="CJ48" s="79">
        <v>0</v>
      </c>
      <c r="CL48" s="9" t="s">
        <v>304</v>
      </c>
      <c r="CM48" s="78">
        <f>CM47*CM43</f>
        <v>324324.32432432426</v>
      </c>
      <c r="CO48" s="9" t="s">
        <v>304</v>
      </c>
      <c r="CP48" s="78">
        <f>CP47*CP43</f>
        <v>324324.32432432426</v>
      </c>
      <c r="CR48" s="9" t="s">
        <v>304</v>
      </c>
      <c r="CS48" s="78">
        <f>CS47*CS43</f>
        <v>324324.32432432426</v>
      </c>
      <c r="CU48" s="8" t="s">
        <v>305</v>
      </c>
      <c r="CV48" s="79">
        <v>0</v>
      </c>
      <c r="CX48" s="8" t="s">
        <v>305</v>
      </c>
      <c r="CY48" s="79">
        <v>0</v>
      </c>
      <c r="DA48" s="8" t="s">
        <v>305</v>
      </c>
      <c r="DB48" s="79">
        <v>0</v>
      </c>
      <c r="DD48" s="8" t="s">
        <v>305</v>
      </c>
      <c r="DE48" s="79">
        <v>0</v>
      </c>
      <c r="DG48" s="8" t="s">
        <v>305</v>
      </c>
      <c r="DH48" s="79">
        <v>0</v>
      </c>
      <c r="DJ48" s="8" t="s">
        <v>305</v>
      </c>
      <c r="DK48" s="79">
        <v>0</v>
      </c>
      <c r="DM48" s="8" t="s">
        <v>305</v>
      </c>
      <c r="DN48" s="79">
        <v>0</v>
      </c>
      <c r="DP48" s="8" t="s">
        <v>305</v>
      </c>
      <c r="DQ48" s="79">
        <v>0</v>
      </c>
      <c r="DS48" s="8" t="s">
        <v>305</v>
      </c>
      <c r="DT48" s="79">
        <v>0</v>
      </c>
    </row>
    <row r="49" spans="33:124">
      <c r="AG49" s="9" t="s">
        <v>304</v>
      </c>
      <c r="AH49" s="78">
        <f>AH47*AH43+AH46*(1-AH43)*AH48</f>
        <v>14035.087719298244</v>
      </c>
      <c r="AK49" s="9" t="s">
        <v>304</v>
      </c>
      <c r="AL49" s="78">
        <f>AL47*AL43+AL46*(1-AL43)*AL48</f>
        <v>14035.087719298244</v>
      </c>
      <c r="AN49" s="9" t="s">
        <v>304</v>
      </c>
      <c r="AO49" s="78">
        <f>AO47*AO43+AO46*(1-AO43)*AO48</f>
        <v>14035.087719298244</v>
      </c>
      <c r="AQ49" s="9" t="s">
        <v>304</v>
      </c>
      <c r="AR49" s="78">
        <f>AR47*AR43+AR46*(1-AR43)*AR48</f>
        <v>4210526.3157894742</v>
      </c>
      <c r="AT49" s="9" t="s">
        <v>304</v>
      </c>
      <c r="AU49" s="78">
        <f>AU47*AU43+AU46*(1-AU43)*AU48</f>
        <v>4210526.3157894742</v>
      </c>
      <c r="AW49" s="9" t="s">
        <v>304</v>
      </c>
      <c r="AX49" s="78">
        <f>AX47*AX43+AX46*(1-AX43)*AX48</f>
        <v>4210526.3157894742</v>
      </c>
      <c r="AZ49" s="9" t="s">
        <v>304</v>
      </c>
      <c r="BA49" s="78">
        <f>BA47*BA43+BA46*(1-BA43)*BA48</f>
        <v>4210526.3157894742</v>
      </c>
      <c r="BD49" s="9" t="s">
        <v>304</v>
      </c>
      <c r="BE49" s="78">
        <f>BE47*BE43+BE46*(1-BE43)*BE48</f>
        <v>4210526.3157894742</v>
      </c>
      <c r="BG49" s="9" t="s">
        <v>304</v>
      </c>
      <c r="BH49" s="78">
        <f>BH47*BH43+BH46*(1-BH43)*BH48</f>
        <v>4210526.3157894742</v>
      </c>
      <c r="BK49" s="9" t="s">
        <v>304</v>
      </c>
      <c r="BL49" s="78">
        <f>BL47*BL43+BL46*(1-BL43)*BL48</f>
        <v>4210526.3157894742</v>
      </c>
      <c r="BN49" s="9" t="s">
        <v>304</v>
      </c>
      <c r="BO49" s="78">
        <f>BO47*BO43+BO46*(1-BO43)*BO48</f>
        <v>4210526.3157894742</v>
      </c>
      <c r="BQ49" s="9" t="s">
        <v>304</v>
      </c>
      <c r="BR49" s="78">
        <f>BR47*BR43+BR46*(1-BR43)*BR48</f>
        <v>4210526.3157894742</v>
      </c>
      <c r="BT49" s="9" t="s">
        <v>304</v>
      </c>
      <c r="BU49" s="78">
        <f>BU47*BU43+BU46*(1-BU43)*BU48</f>
        <v>4210526.3157894742</v>
      </c>
      <c r="BW49" s="9" t="s">
        <v>304</v>
      </c>
      <c r="BX49" s="78">
        <f>BX47*BX43+BX46*(1-BX43)*BX48</f>
        <v>4210526.3157894742</v>
      </c>
      <c r="BZ49" s="9" t="s">
        <v>304</v>
      </c>
      <c r="CA49" s="78">
        <f>CA47*CA43+CA46*(1-CA43)*CA48</f>
        <v>4210526.3157894742</v>
      </c>
      <c r="CC49" s="9" t="s">
        <v>304</v>
      </c>
      <c r="CD49" s="78">
        <f>CD47*CD43+CD46*(1-CD43)*CD48</f>
        <v>4210526.3157894742</v>
      </c>
      <c r="CF49" s="9" t="s">
        <v>304</v>
      </c>
      <c r="CG49" s="78">
        <f>CG47*CG43+CG46*(1-CG43)*CG48</f>
        <v>4210526.3157894742</v>
      </c>
      <c r="CI49" s="9" t="s">
        <v>304</v>
      </c>
      <c r="CJ49" s="78">
        <f>CJ47*CJ43+CJ46*(1-CJ43)*CJ48</f>
        <v>4210526.3157894742</v>
      </c>
      <c r="CL49" s="9" t="s">
        <v>308</v>
      </c>
      <c r="CM49" s="80">
        <f>(CM46*CM10)/CM6</f>
        <v>0</v>
      </c>
      <c r="CO49" s="9" t="s">
        <v>308</v>
      </c>
      <c r="CP49" s="80">
        <f>(CP46*CP10)/CP6</f>
        <v>0</v>
      </c>
      <c r="CR49" s="9" t="s">
        <v>308</v>
      </c>
      <c r="CS49" s="80">
        <f>(CS46*CS10)/CS6</f>
        <v>2.2007722007722004</v>
      </c>
      <c r="CU49" s="9" t="s">
        <v>304</v>
      </c>
      <c r="CV49" s="78">
        <f>CV47*CV43+CV46*(1-CV43)*CV48</f>
        <v>25531.91489361702</v>
      </c>
      <c r="CX49" s="9" t="s">
        <v>304</v>
      </c>
      <c r="CY49" s="78">
        <f>CY47*CY43+CY46*(1-CY43)*CY48</f>
        <v>25531.91489361702</v>
      </c>
      <c r="DA49" s="9" t="s">
        <v>304</v>
      </c>
      <c r="DB49" s="78">
        <f>DB47*DB43+DB46*(1-DB43)*DB48</f>
        <v>25531.91489361702</v>
      </c>
      <c r="DD49" s="9" t="s">
        <v>304</v>
      </c>
      <c r="DE49" s="78">
        <f>DE47*DE43+DE46*(1-DE43)*DE48</f>
        <v>25531.91489361702</v>
      </c>
      <c r="DG49" s="9" t="s">
        <v>304</v>
      </c>
      <c r="DH49" s="78">
        <f>DH47*DH43+DH46*(1-DH43)*DH48</f>
        <v>25531.91489361702</v>
      </c>
      <c r="DJ49" s="9" t="s">
        <v>304</v>
      </c>
      <c r="DK49" s="78">
        <f>DK47*DK43+DK46*(1-DK43)*DK48</f>
        <v>25531.91489361702</v>
      </c>
      <c r="DM49" s="9" t="s">
        <v>304</v>
      </c>
      <c r="DN49" s="78">
        <f>DN47*DN43+DN46*(1-DN43)*DN48</f>
        <v>25531.91489361702</v>
      </c>
      <c r="DP49" s="9" t="s">
        <v>304</v>
      </c>
      <c r="DQ49" s="78">
        <f>DQ47*DQ43+DQ46*(1-DQ43)*DQ48</f>
        <v>25531.91489361702</v>
      </c>
      <c r="DS49" s="9" t="s">
        <v>304</v>
      </c>
      <c r="DT49" s="78">
        <f>DT47*DT43+DT46*(1-DT43)*DT48</f>
        <v>25531.91489361702</v>
      </c>
    </row>
    <row r="50" spans="33:124">
      <c r="AG50" s="9" t="s">
        <v>310</v>
      </c>
      <c r="AH50" s="78">
        <f>2%*1*10^5*8</f>
        <v>16000</v>
      </c>
      <c r="AK50" s="9" t="s">
        <v>310</v>
      </c>
      <c r="AL50" s="78">
        <f>2%*1*10^5*8</f>
        <v>16000</v>
      </c>
      <c r="AN50" s="9" t="s">
        <v>310</v>
      </c>
      <c r="AO50" s="78">
        <f>2%*1*10^5*8</f>
        <v>16000</v>
      </c>
      <c r="AQ50" s="9" t="s">
        <v>310</v>
      </c>
      <c r="AR50" s="78">
        <f>2%*1*10^5*8</f>
        <v>16000</v>
      </c>
      <c r="AT50" s="9" t="s">
        <v>310</v>
      </c>
      <c r="AU50" s="78">
        <f>2%*1*10^5*8</f>
        <v>16000</v>
      </c>
      <c r="AW50" s="9" t="s">
        <v>310</v>
      </c>
      <c r="AX50" s="78">
        <f>2%*1*10^5*8</f>
        <v>16000</v>
      </c>
      <c r="AZ50" s="9" t="s">
        <v>310</v>
      </c>
      <c r="BA50" s="78">
        <f>2%*1*10^5*8</f>
        <v>16000</v>
      </c>
      <c r="BD50" s="9" t="s">
        <v>310</v>
      </c>
      <c r="BE50" s="78">
        <f>2%*1*10^5*8</f>
        <v>16000</v>
      </c>
      <c r="BG50" s="9" t="s">
        <v>310</v>
      </c>
      <c r="BH50" s="78">
        <f>2%*1*10^5*8</f>
        <v>16000</v>
      </c>
      <c r="BK50" s="9" t="s">
        <v>310</v>
      </c>
      <c r="BL50" s="78">
        <f>2%*1*10^5*8</f>
        <v>16000</v>
      </c>
      <c r="BN50" s="9" t="s">
        <v>310</v>
      </c>
      <c r="BO50" s="78">
        <f>2%*1*10^5*8</f>
        <v>16000</v>
      </c>
      <c r="BQ50" s="9" t="s">
        <v>310</v>
      </c>
      <c r="BR50" s="78">
        <f>2%*1*10^5*8</f>
        <v>16000</v>
      </c>
      <c r="BT50" s="9" t="s">
        <v>310</v>
      </c>
      <c r="BU50" s="78">
        <f>2%*1*10^5*8</f>
        <v>16000</v>
      </c>
      <c r="BW50" s="9" t="s">
        <v>310</v>
      </c>
      <c r="BX50" s="78">
        <f>2%*1*10^5*8</f>
        <v>16000</v>
      </c>
      <c r="BZ50" s="9" t="s">
        <v>310</v>
      </c>
      <c r="CA50" s="78">
        <f>2%*1*10^5*8</f>
        <v>16000</v>
      </c>
      <c r="CC50" s="9" t="s">
        <v>310</v>
      </c>
      <c r="CD50" s="78">
        <f>2%*1*10^5*8</f>
        <v>16000</v>
      </c>
      <c r="CF50" s="9" t="s">
        <v>310</v>
      </c>
      <c r="CG50" s="78">
        <f>2%*1*10^5*8</f>
        <v>16000</v>
      </c>
      <c r="CI50" s="9" t="s">
        <v>310</v>
      </c>
      <c r="CJ50" s="78">
        <f>2%*1*10^5*8</f>
        <v>16000</v>
      </c>
      <c r="CL50" s="9" t="s">
        <v>310</v>
      </c>
      <c r="CM50" s="78">
        <f>2%*1*10^5*8</f>
        <v>16000</v>
      </c>
      <c r="CO50" s="9" t="s">
        <v>310</v>
      </c>
      <c r="CP50" s="78">
        <f>2%*1*10^5*8</f>
        <v>16000</v>
      </c>
      <c r="CR50" s="9" t="s">
        <v>310</v>
      </c>
      <c r="CS50" s="78">
        <f>2%*1*10^5*8</f>
        <v>16000</v>
      </c>
      <c r="CU50" s="9" t="s">
        <v>310</v>
      </c>
      <c r="CV50" s="78">
        <f>2%*1*10^5*8</f>
        <v>16000</v>
      </c>
      <c r="CX50" s="9" t="s">
        <v>310</v>
      </c>
      <c r="CY50" s="78">
        <f>2%*1*10^5*8</f>
        <v>16000</v>
      </c>
      <c r="DA50" s="9" t="s">
        <v>310</v>
      </c>
      <c r="DB50" s="78">
        <f>2%*1*10^5*8</f>
        <v>16000</v>
      </c>
      <c r="DD50" s="9" t="s">
        <v>310</v>
      </c>
      <c r="DE50" s="78">
        <f>2%*1*10^5*8</f>
        <v>16000</v>
      </c>
      <c r="DG50" s="9" t="s">
        <v>310</v>
      </c>
      <c r="DH50" s="78">
        <f>2%*1*10^5*8</f>
        <v>16000</v>
      </c>
      <c r="DJ50" s="9" t="s">
        <v>310</v>
      </c>
      <c r="DK50" s="78">
        <f>2%*1*10^5*8</f>
        <v>16000</v>
      </c>
      <c r="DM50" s="9" t="s">
        <v>310</v>
      </c>
      <c r="DN50" s="78">
        <f>2%*1*10^5*8</f>
        <v>16000</v>
      </c>
      <c r="DP50" s="9" t="s">
        <v>310</v>
      </c>
      <c r="DQ50" s="78">
        <f>2%*1*10^5*8</f>
        <v>16000</v>
      </c>
      <c r="DS50" s="9" t="s">
        <v>310</v>
      </c>
      <c r="DT50" s="78">
        <f>2%*1*10^5*8</f>
        <v>16000</v>
      </c>
    </row>
    <row r="51" spans="33:124">
      <c r="AK51" s="66" t="s">
        <v>313</v>
      </c>
      <c r="AL51" s="81">
        <f>AL49-AL50</f>
        <v>-1964.9122807017557</v>
      </c>
      <c r="AN51" s="66" t="s">
        <v>313</v>
      </c>
      <c r="AO51" s="81">
        <f>AO49-AO50</f>
        <v>-1964.9122807017557</v>
      </c>
      <c r="AQ51" s="66" t="s">
        <v>313</v>
      </c>
      <c r="AR51" s="81">
        <f>AR49-AR50</f>
        <v>4194526.3157894742</v>
      </c>
      <c r="AT51" s="66" t="s">
        <v>313</v>
      </c>
      <c r="AU51" s="81">
        <f>AU49-AU50</f>
        <v>4194526.3157894742</v>
      </c>
      <c r="AW51" s="66" t="s">
        <v>313</v>
      </c>
      <c r="AX51" s="81">
        <f>AX49-AX50</f>
        <v>4194526.3157894742</v>
      </c>
      <c r="AZ51" s="66" t="s">
        <v>313</v>
      </c>
      <c r="BA51" s="81">
        <f>BA49-BA50</f>
        <v>4194526.3157894742</v>
      </c>
      <c r="BD51" s="66" t="s">
        <v>313</v>
      </c>
      <c r="BE51" s="81">
        <f>BE49-BE50</f>
        <v>4194526.3157894742</v>
      </c>
      <c r="BG51" s="66" t="s">
        <v>313</v>
      </c>
      <c r="BH51" s="81">
        <f>BH49-BH50</f>
        <v>4194526.3157894742</v>
      </c>
      <c r="BK51" s="66" t="s">
        <v>313</v>
      </c>
      <c r="BL51" s="81">
        <f>BL49-BL50</f>
        <v>4194526.3157894742</v>
      </c>
      <c r="BN51" s="66" t="s">
        <v>313</v>
      </c>
      <c r="BO51" s="81">
        <f>BO49-BO50</f>
        <v>4194526.3157894742</v>
      </c>
      <c r="BQ51" s="66" t="s">
        <v>313</v>
      </c>
      <c r="BR51" s="81">
        <f>BR49-BR50</f>
        <v>4194526.3157894742</v>
      </c>
      <c r="BT51" s="66" t="s">
        <v>313</v>
      </c>
      <c r="BU51" s="81">
        <f>BU49-BU50</f>
        <v>4194526.3157894742</v>
      </c>
      <c r="BW51" s="66" t="s">
        <v>313</v>
      </c>
      <c r="BX51" s="81">
        <f>BX49-BX50</f>
        <v>4194526.3157894742</v>
      </c>
      <c r="BZ51" s="66" t="s">
        <v>313</v>
      </c>
      <c r="CA51" s="81">
        <f>CA49-CA50</f>
        <v>4194526.3157894742</v>
      </c>
      <c r="CC51" s="66" t="s">
        <v>313</v>
      </c>
      <c r="CD51" s="81">
        <f>CD49-CD50</f>
        <v>4194526.3157894742</v>
      </c>
      <c r="CF51" s="66" t="s">
        <v>313</v>
      </c>
      <c r="CG51" s="81">
        <f>CG49-CG50</f>
        <v>4194526.3157894742</v>
      </c>
      <c r="CI51" s="66" t="s">
        <v>313</v>
      </c>
      <c r="CJ51" s="81">
        <f>CJ49-CJ50</f>
        <v>4194526.3157894742</v>
      </c>
      <c r="CL51" s="66" t="s">
        <v>313</v>
      </c>
      <c r="CM51" s="81">
        <f>CM48-CM50-CM49</f>
        <v>308324.32432432426</v>
      </c>
      <c r="CO51" s="66" t="s">
        <v>313</v>
      </c>
      <c r="CP51" s="81">
        <f>CP48-CP50-CP49</f>
        <v>308324.32432432426</v>
      </c>
      <c r="CR51" s="66" t="s">
        <v>313</v>
      </c>
      <c r="CS51" s="81">
        <f>CS48-CS50-CS49</f>
        <v>308322.12355212349</v>
      </c>
      <c r="CU51" s="66" t="s">
        <v>313</v>
      </c>
      <c r="CV51" s="81">
        <f>CV49-CV50</f>
        <v>9531.9148936170204</v>
      </c>
      <c r="CX51" s="66" t="s">
        <v>313</v>
      </c>
      <c r="CY51" s="81">
        <f>CY49-CY50</f>
        <v>9531.9148936170204</v>
      </c>
      <c r="DA51" s="66" t="s">
        <v>313</v>
      </c>
      <c r="DB51" s="81">
        <f>DB49-DB50</f>
        <v>9531.9148936170204</v>
      </c>
      <c r="DD51" s="66" t="s">
        <v>313</v>
      </c>
      <c r="DE51" s="81">
        <f>DE49-DE50</f>
        <v>9531.9148936170204</v>
      </c>
      <c r="DG51" s="66" t="s">
        <v>313</v>
      </c>
      <c r="DH51" s="81">
        <f>DH49-DH50</f>
        <v>9531.9148936170204</v>
      </c>
      <c r="DJ51" s="66" t="s">
        <v>313</v>
      </c>
      <c r="DK51" s="81">
        <f>DK49-DK50</f>
        <v>9531.9148936170204</v>
      </c>
      <c r="DM51" s="66" t="s">
        <v>313</v>
      </c>
      <c r="DN51" s="81">
        <f>DN49-DN50</f>
        <v>9531.9148936170204</v>
      </c>
      <c r="DP51" s="66" t="s">
        <v>313</v>
      </c>
      <c r="DQ51" s="81">
        <f>DQ49-DQ50</f>
        <v>9531.9148936170204</v>
      </c>
      <c r="DS51" s="66" t="s">
        <v>313</v>
      </c>
      <c r="DT51" s="81">
        <f>DT49-DT50</f>
        <v>9531.9148936170204</v>
      </c>
    </row>
    <row r="52" spans="33:124">
      <c r="CY52" s="96"/>
      <c r="DN5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73"/>
  <sheetViews>
    <sheetView showGridLines="0" topLeftCell="D1" zoomScale="90" zoomScaleNormal="90" workbookViewId="0">
      <selection activeCell="F36" sqref="F36"/>
    </sheetView>
  </sheetViews>
  <sheetFormatPr defaultRowHeight="15" outlineLevelRow="1"/>
  <cols>
    <col min="1" max="1" width="29.7109375" style="10" hidden="1" customWidth="1"/>
    <col min="2" max="2" width="24.42578125" style="10" hidden="1" customWidth="1"/>
    <col min="3" max="3" width="26.5703125" style="10" hidden="1" customWidth="1"/>
    <col min="4" max="4" width="24.42578125" style="10" bestFit="1" customWidth="1"/>
    <col min="5" max="5" width="23.7109375" style="10" bestFit="1" customWidth="1"/>
    <col min="6" max="6" width="39.28515625" style="10" customWidth="1"/>
    <col min="7" max="7" width="17.5703125" style="10" customWidth="1"/>
    <col min="8" max="8" width="40.7109375" style="10" customWidth="1"/>
    <col min="9" max="9" width="29" style="10" customWidth="1"/>
    <col min="10" max="10" width="16.85546875" style="10" bestFit="1" customWidth="1"/>
    <col min="11" max="11" width="38.85546875" style="10" customWidth="1"/>
    <col min="12" max="12" width="28.85546875" style="10" customWidth="1"/>
    <col min="13" max="13" width="27.140625" style="10" bestFit="1" customWidth="1"/>
    <col min="14" max="14" width="14.28515625" style="10" customWidth="1"/>
    <col min="15" max="15" width="34.42578125" style="10" bestFit="1" customWidth="1"/>
    <col min="16" max="16" width="15.5703125" style="10" customWidth="1"/>
    <col min="17" max="17" width="27.7109375" style="10" customWidth="1"/>
    <col min="18" max="18" width="34.42578125" style="10" customWidth="1"/>
    <col min="19" max="19" width="13.28515625" style="10" bestFit="1" customWidth="1"/>
    <col min="20" max="20" width="26.42578125" style="10" bestFit="1" customWidth="1"/>
    <col min="21" max="22" width="12.42578125" style="10" customWidth="1"/>
    <col min="23" max="23" width="30.42578125" style="10" customWidth="1"/>
    <col min="24" max="24" width="19.42578125" style="10" customWidth="1"/>
    <col min="25" max="25" width="19.28515625" style="10" customWidth="1"/>
    <col min="26" max="26" width="19.28515625" style="10" bestFit="1" customWidth="1"/>
    <col min="27" max="27" width="16.42578125" style="10" bestFit="1" customWidth="1"/>
    <col min="28" max="28" width="11.42578125" style="10" bestFit="1" customWidth="1"/>
    <col min="29" max="29" width="11.85546875" style="10" bestFit="1" customWidth="1"/>
    <col min="30" max="30" width="9.140625" style="10"/>
    <col min="31" max="31" width="10.42578125" style="10" bestFit="1" customWidth="1"/>
    <col min="32" max="32" width="11.28515625" style="10" bestFit="1" customWidth="1"/>
    <col min="33" max="16384" width="9.140625" style="10"/>
  </cols>
  <sheetData>
    <row r="1" spans="1:32">
      <c r="E1" s="17" t="s">
        <v>55</v>
      </c>
      <c r="F1" s="17" t="s">
        <v>55</v>
      </c>
      <c r="G1" s="17" t="s">
        <v>55</v>
      </c>
      <c r="H1" s="9" t="s">
        <v>56</v>
      </c>
      <c r="I1" s="17" t="s">
        <v>55</v>
      </c>
      <c r="K1" s="9" t="s">
        <v>56</v>
      </c>
      <c r="L1" s="10" t="s">
        <v>57</v>
      </c>
      <c r="M1" s="17" t="s">
        <v>55</v>
      </c>
      <c r="O1" s="9" t="s">
        <v>56</v>
      </c>
      <c r="Q1" s="17" t="s">
        <v>55</v>
      </c>
      <c r="R1" s="9" t="s">
        <v>56</v>
      </c>
      <c r="V1" s="18" t="s">
        <v>58</v>
      </c>
      <c r="W1" s="18" t="s">
        <v>59</v>
      </c>
      <c r="X1" s="18" t="s">
        <v>60</v>
      </c>
      <c r="Y1" s="18" t="s">
        <v>61</v>
      </c>
      <c r="Z1" s="18" t="s">
        <v>62</v>
      </c>
    </row>
    <row r="2" spans="1:32" customFormat="1">
      <c r="E2" s="10"/>
      <c r="F2" s="10"/>
      <c r="G2" s="10"/>
      <c r="H2" s="10"/>
      <c r="I2" s="10"/>
      <c r="J2" s="10"/>
      <c r="K2" s="10"/>
      <c r="L2" s="10"/>
      <c r="M2" s="9" t="s">
        <v>63</v>
      </c>
      <c r="N2" s="10"/>
      <c r="O2" s="10"/>
      <c r="P2" s="10"/>
      <c r="Q2" s="9" t="s">
        <v>56</v>
      </c>
      <c r="R2" s="10"/>
      <c r="S2" s="10"/>
      <c r="T2" s="10"/>
      <c r="V2" s="14">
        <v>1</v>
      </c>
      <c r="W2" s="14" t="s">
        <v>64</v>
      </c>
      <c r="X2" s="14" t="s">
        <v>65</v>
      </c>
      <c r="Y2" s="14" t="s">
        <v>66</v>
      </c>
      <c r="Z2" s="14" t="s">
        <v>67</v>
      </c>
      <c r="AA2" s="19" t="s">
        <v>68</v>
      </c>
      <c r="AB2" s="20" t="s">
        <v>69</v>
      </c>
      <c r="AC2" s="20" t="s">
        <v>70</v>
      </c>
      <c r="AD2" s="21" t="s">
        <v>71</v>
      </c>
      <c r="AE2" s="22" t="s">
        <v>72</v>
      </c>
      <c r="AF2" s="21" t="s">
        <v>73</v>
      </c>
    </row>
    <row r="3" spans="1:32" customFormat="1">
      <c r="A3" s="23" t="s">
        <v>74</v>
      </c>
      <c r="B3" s="24" t="s">
        <v>75</v>
      </c>
      <c r="C3" s="24" t="s">
        <v>76</v>
      </c>
      <c r="E3" s="25" t="s">
        <v>68</v>
      </c>
      <c r="F3" s="25" t="s">
        <v>69</v>
      </c>
      <c r="G3" s="25" t="s">
        <v>70</v>
      </c>
      <c r="H3" s="25" t="s">
        <v>77</v>
      </c>
      <c r="I3" s="25" t="s">
        <v>78</v>
      </c>
      <c r="J3" s="25" t="s">
        <v>79</v>
      </c>
      <c r="K3" s="25" t="s">
        <v>80</v>
      </c>
      <c r="L3" s="25" t="s">
        <v>81</v>
      </c>
      <c r="M3" s="118" t="s">
        <v>82</v>
      </c>
      <c r="N3" s="119"/>
      <c r="O3" s="118" t="s">
        <v>83</v>
      </c>
      <c r="P3" s="119"/>
      <c r="Q3" s="25" t="s">
        <v>84</v>
      </c>
      <c r="R3" s="25" t="s">
        <v>85</v>
      </c>
      <c r="S3" s="26" t="s">
        <v>86</v>
      </c>
      <c r="T3" s="25" t="s">
        <v>87</v>
      </c>
      <c r="V3" s="14">
        <v>2</v>
      </c>
      <c r="W3" s="14" t="s">
        <v>64</v>
      </c>
      <c r="X3" s="14" t="s">
        <v>88</v>
      </c>
      <c r="Y3" s="14"/>
      <c r="AA3" s="27"/>
      <c r="AB3" s="28"/>
      <c r="AC3" s="28"/>
      <c r="AD3" s="28"/>
      <c r="AE3" s="27"/>
      <c r="AF3" s="27"/>
    </row>
    <row r="4" spans="1:32" customFormat="1">
      <c r="A4" s="29" t="s">
        <v>89</v>
      </c>
      <c r="B4" s="30" t="s">
        <v>90</v>
      </c>
      <c r="C4" s="30"/>
      <c r="E4" s="31" t="s">
        <v>91</v>
      </c>
      <c r="F4" s="32" t="s">
        <v>92</v>
      </c>
      <c r="G4" s="32" t="s">
        <v>93</v>
      </c>
      <c r="H4" s="33" t="s">
        <v>94</v>
      </c>
      <c r="I4" s="31" t="s">
        <v>95</v>
      </c>
      <c r="J4" s="31"/>
      <c r="K4" s="31" t="s">
        <v>96</v>
      </c>
      <c r="L4" s="31" t="s">
        <v>97</v>
      </c>
      <c r="M4" s="114" t="s">
        <v>71</v>
      </c>
      <c r="N4" s="115"/>
      <c r="O4" s="116"/>
      <c r="P4" s="117"/>
      <c r="Q4" s="34"/>
      <c r="R4" s="34"/>
      <c r="S4" s="34"/>
      <c r="T4" s="31" t="s">
        <v>98</v>
      </c>
      <c r="V4" s="14">
        <f>V3+1</f>
        <v>3</v>
      </c>
      <c r="W4" s="14" t="s">
        <v>99</v>
      </c>
      <c r="X4" s="14" t="s">
        <v>65</v>
      </c>
      <c r="Y4" s="14"/>
      <c r="AA4" s="28"/>
      <c r="AB4" s="28"/>
      <c r="AC4" s="27"/>
      <c r="AD4" s="27"/>
      <c r="AE4" s="27"/>
      <c r="AF4" s="27"/>
    </row>
    <row r="5" spans="1:32" customFormat="1">
      <c r="A5" s="29" t="s">
        <v>100</v>
      </c>
      <c r="B5" s="35" t="s">
        <v>90</v>
      </c>
      <c r="C5" s="35"/>
      <c r="E5" s="31" t="s">
        <v>101</v>
      </c>
      <c r="F5" s="32" t="s">
        <v>102</v>
      </c>
      <c r="G5" s="31" t="s">
        <v>103</v>
      </c>
      <c r="H5" s="31" t="s">
        <v>104</v>
      </c>
      <c r="I5" s="31" t="s">
        <v>105</v>
      </c>
      <c r="J5" s="31"/>
      <c r="K5" s="31" t="s">
        <v>106</v>
      </c>
      <c r="L5" s="31" t="s">
        <v>107</v>
      </c>
      <c r="M5" s="114" t="s">
        <v>72</v>
      </c>
      <c r="N5" s="115"/>
      <c r="O5" s="116"/>
      <c r="P5" s="117"/>
      <c r="Q5" s="34"/>
      <c r="R5" s="34"/>
      <c r="S5" s="34"/>
      <c r="T5" s="31" t="s">
        <v>108</v>
      </c>
      <c r="V5" s="14">
        <f t="shared" ref="V5:V7" si="0">V4+1</f>
        <v>4</v>
      </c>
      <c r="W5" s="14" t="s">
        <v>99</v>
      </c>
      <c r="X5" s="14" t="s">
        <v>88</v>
      </c>
      <c r="Y5" s="14"/>
      <c r="Z5" t="s">
        <v>109</v>
      </c>
      <c r="AA5" s="36" t="s">
        <v>85</v>
      </c>
      <c r="AB5" s="36" t="s">
        <v>83</v>
      </c>
      <c r="AC5" s="27"/>
      <c r="AD5" s="27"/>
      <c r="AE5" s="27"/>
      <c r="AF5" s="27"/>
    </row>
    <row r="6" spans="1:32" customFormat="1">
      <c r="A6" s="37" t="s">
        <v>110</v>
      </c>
      <c r="B6" s="35" t="s">
        <v>90</v>
      </c>
      <c r="C6" s="35"/>
      <c r="E6" s="31" t="s">
        <v>111</v>
      </c>
      <c r="F6" s="32" t="s">
        <v>112</v>
      </c>
      <c r="G6" s="31" t="s">
        <v>113</v>
      </c>
      <c r="H6" s="31" t="s">
        <v>114</v>
      </c>
      <c r="I6" s="31" t="s">
        <v>115</v>
      </c>
      <c r="J6" s="31"/>
      <c r="K6" s="31" t="s">
        <v>116</v>
      </c>
      <c r="L6" s="31" t="s">
        <v>117</v>
      </c>
      <c r="M6" s="114" t="s">
        <v>73</v>
      </c>
      <c r="N6" s="115"/>
      <c r="O6" s="116"/>
      <c r="P6" s="117"/>
      <c r="Q6" s="34"/>
      <c r="R6" s="34"/>
      <c r="S6" s="34"/>
      <c r="T6" s="31"/>
      <c r="V6" s="14">
        <f t="shared" si="0"/>
        <v>5</v>
      </c>
      <c r="W6" s="14" t="s">
        <v>118</v>
      </c>
      <c r="X6" s="14" t="s">
        <v>65</v>
      </c>
      <c r="Y6" s="14"/>
      <c r="AA6" s="28"/>
      <c r="AB6" s="28"/>
      <c r="AC6" s="27"/>
      <c r="AD6" s="27"/>
      <c r="AE6" s="27"/>
      <c r="AF6" s="27"/>
    </row>
    <row r="7" spans="1:32" customFormat="1">
      <c r="A7" s="38" t="s">
        <v>119</v>
      </c>
      <c r="B7" s="35" t="s">
        <v>90</v>
      </c>
      <c r="C7" s="35"/>
      <c r="E7" s="31"/>
      <c r="F7" s="32" t="s">
        <v>120</v>
      </c>
      <c r="G7" s="31" t="s">
        <v>121</v>
      </c>
      <c r="H7" s="31" t="s">
        <v>122</v>
      </c>
      <c r="I7" s="31" t="s">
        <v>123</v>
      </c>
      <c r="J7" s="31"/>
      <c r="K7" s="31" t="s">
        <v>124</v>
      </c>
      <c r="L7" s="31"/>
      <c r="M7" s="114"/>
      <c r="N7" s="115"/>
      <c r="O7" s="116"/>
      <c r="P7" s="117"/>
      <c r="Q7" s="34"/>
      <c r="R7" s="34"/>
      <c r="S7" s="34"/>
      <c r="T7" s="31"/>
      <c r="V7" s="14">
        <f t="shared" si="0"/>
        <v>6</v>
      </c>
      <c r="W7" s="14" t="s">
        <v>118</v>
      </c>
      <c r="X7" s="14" t="s">
        <v>88</v>
      </c>
      <c r="Y7" s="14" t="s">
        <v>125</v>
      </c>
      <c r="AA7" s="20" t="s">
        <v>77</v>
      </c>
      <c r="AB7" s="28"/>
      <c r="AC7" s="27"/>
      <c r="AD7" s="27"/>
      <c r="AE7" s="27"/>
      <c r="AF7" s="27"/>
    </row>
    <row r="8" spans="1:32" customFormat="1">
      <c r="A8" s="37" t="s">
        <v>126</v>
      </c>
      <c r="B8" s="35" t="s">
        <v>90</v>
      </c>
      <c r="C8" s="35"/>
      <c r="E8" s="31"/>
      <c r="F8" s="32" t="s">
        <v>127</v>
      </c>
      <c r="G8" s="31" t="s">
        <v>128</v>
      </c>
      <c r="H8" s="31"/>
      <c r="I8" s="31" t="s">
        <v>129</v>
      </c>
      <c r="J8" s="31"/>
      <c r="K8" s="31" t="s">
        <v>130</v>
      </c>
      <c r="L8" s="31"/>
      <c r="M8" s="114"/>
      <c r="N8" s="115"/>
      <c r="O8" s="116"/>
      <c r="P8" s="117"/>
      <c r="Q8" s="34"/>
      <c r="R8" s="34"/>
      <c r="S8" s="34"/>
      <c r="T8" s="31"/>
      <c r="Y8" s="9"/>
    </row>
    <row r="9" spans="1:32" customFormat="1">
      <c r="A9" s="29" t="s">
        <v>131</v>
      </c>
      <c r="B9" s="35" t="s">
        <v>90</v>
      </c>
      <c r="C9" s="35"/>
      <c r="E9" s="31"/>
      <c r="F9" s="32" t="s">
        <v>132</v>
      </c>
      <c r="G9" s="31"/>
      <c r="H9" s="31"/>
      <c r="I9" s="32" t="s">
        <v>133</v>
      </c>
      <c r="J9" s="34"/>
      <c r="K9" s="31"/>
      <c r="L9" s="34"/>
      <c r="M9" s="114"/>
      <c r="N9" s="115"/>
      <c r="O9" s="116"/>
      <c r="P9" s="117"/>
      <c r="Q9" s="34"/>
      <c r="R9" s="34"/>
      <c r="S9" s="34"/>
      <c r="T9" s="34"/>
    </row>
    <row r="10" spans="1:32" customFormat="1">
      <c r="A10" s="29" t="s">
        <v>134</v>
      </c>
      <c r="B10" s="35" t="s">
        <v>90</v>
      </c>
      <c r="C10" s="35"/>
      <c r="E10" s="31"/>
      <c r="F10" s="31"/>
      <c r="G10" s="31"/>
      <c r="H10" s="31"/>
      <c r="I10" s="39" t="s">
        <v>135</v>
      </c>
      <c r="J10" s="34"/>
      <c r="K10" s="34"/>
      <c r="L10" s="34"/>
      <c r="M10" s="114"/>
      <c r="N10" s="115"/>
      <c r="O10" s="116"/>
      <c r="P10" s="117"/>
      <c r="Q10" s="34"/>
      <c r="R10" s="34"/>
      <c r="S10" s="34"/>
      <c r="T10" s="34"/>
      <c r="V10" s="14"/>
      <c r="W10" s="14"/>
      <c r="X10" s="14"/>
      <c r="Y10" s="14"/>
      <c r="Z10" s="14"/>
    </row>
    <row r="11" spans="1:32" customFormat="1">
      <c r="A11" s="29" t="s">
        <v>136</v>
      </c>
      <c r="B11" s="35" t="s">
        <v>90</v>
      </c>
      <c r="C11" s="35"/>
      <c r="E11" s="31"/>
      <c r="F11" s="31"/>
      <c r="G11" s="31"/>
      <c r="H11" s="31"/>
      <c r="I11" s="40" t="s">
        <v>137</v>
      </c>
      <c r="J11" s="31"/>
      <c r="K11" s="31"/>
      <c r="L11" s="31"/>
      <c r="M11" s="114"/>
      <c r="N11" s="115"/>
      <c r="O11" s="116"/>
      <c r="P11" s="117"/>
      <c r="Q11" s="34"/>
      <c r="R11" s="34"/>
      <c r="S11" s="34"/>
      <c r="T11" s="34"/>
      <c r="U11" s="14"/>
      <c r="V11" s="14"/>
      <c r="W11" s="14"/>
      <c r="X11" s="14"/>
      <c r="Y11" s="14"/>
    </row>
    <row r="12" spans="1:32" customFormat="1">
      <c r="A12" s="29" t="s">
        <v>138</v>
      </c>
      <c r="B12" s="35" t="s">
        <v>90</v>
      </c>
      <c r="C12" s="35"/>
      <c r="E12" s="34"/>
      <c r="F12" s="34"/>
      <c r="G12" s="34"/>
      <c r="H12" s="31"/>
      <c r="I12" s="31" t="s">
        <v>139</v>
      </c>
      <c r="J12" s="34"/>
      <c r="K12" s="34"/>
      <c r="L12" s="34"/>
      <c r="M12" s="114"/>
      <c r="N12" s="115"/>
      <c r="O12" s="116"/>
      <c r="P12" s="117"/>
      <c r="Q12" s="34"/>
      <c r="R12" s="34"/>
      <c r="S12" s="34"/>
      <c r="T12" s="34"/>
      <c r="Z12" s="41"/>
    </row>
    <row r="13" spans="1:32" customFormat="1">
      <c r="A13" s="29" t="s">
        <v>140</v>
      </c>
      <c r="B13" s="35" t="s">
        <v>90</v>
      </c>
      <c r="C13" s="35"/>
      <c r="H13" s="9"/>
      <c r="I13" s="9"/>
    </row>
    <row r="14" spans="1:32" customFormat="1">
      <c r="A14" s="29"/>
      <c r="B14" s="35"/>
      <c r="C14" s="35"/>
      <c r="E14" s="42" t="s">
        <v>141</v>
      </c>
      <c r="F14" s="43"/>
      <c r="G14" s="43"/>
      <c r="H14" s="44"/>
      <c r="I14" s="44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32" customFormat="1" outlineLevel="1">
      <c r="A15" s="29" t="s">
        <v>142</v>
      </c>
      <c r="B15" s="35" t="s">
        <v>90</v>
      </c>
      <c r="C15" s="35"/>
      <c r="E15" t="s">
        <v>143</v>
      </c>
      <c r="F15" s="45" t="s">
        <v>144</v>
      </c>
      <c r="G15" s="45" t="s">
        <v>144</v>
      </c>
      <c r="H15" s="45" t="s">
        <v>144</v>
      </c>
      <c r="I15" s="45" t="s">
        <v>144</v>
      </c>
      <c r="K15" s="45" t="s">
        <v>144</v>
      </c>
      <c r="L15" s="45" t="s">
        <v>144</v>
      </c>
      <c r="M15" s="45" t="s">
        <v>144</v>
      </c>
      <c r="O15" s="46" t="s">
        <v>145</v>
      </c>
      <c r="P15" s="47">
        <f>2*10^5</f>
        <v>200000</v>
      </c>
      <c r="Q15" s="11" t="s">
        <v>144</v>
      </c>
      <c r="R15" s="46" t="s">
        <v>145</v>
      </c>
    </row>
    <row r="16" spans="1:32" customFormat="1" outlineLevel="1">
      <c r="A16" s="48" t="s">
        <v>146</v>
      </c>
      <c r="B16" s="35" t="s">
        <v>90</v>
      </c>
      <c r="C16" s="35"/>
      <c r="E16" t="s">
        <v>147</v>
      </c>
      <c r="F16" s="45" t="s">
        <v>148</v>
      </c>
      <c r="G16" s="45" t="s">
        <v>148</v>
      </c>
      <c r="H16" s="45" t="s">
        <v>148</v>
      </c>
      <c r="I16" s="45" t="s">
        <v>148</v>
      </c>
      <c r="K16" s="45" t="s">
        <v>148</v>
      </c>
      <c r="L16" s="45" t="s">
        <v>148</v>
      </c>
      <c r="M16" s="45" t="s">
        <v>149</v>
      </c>
      <c r="O16" s="14" t="s">
        <v>150</v>
      </c>
      <c r="P16" s="49">
        <v>50000</v>
      </c>
      <c r="Q16" s="45" t="s">
        <v>151</v>
      </c>
      <c r="R16" s="50" t="s">
        <v>152</v>
      </c>
    </row>
    <row r="17" spans="1:25" customFormat="1" outlineLevel="1">
      <c r="A17" s="29" t="s">
        <v>153</v>
      </c>
      <c r="B17" s="35" t="s">
        <v>90</v>
      </c>
      <c r="C17" s="35"/>
      <c r="E17" s="11" t="s">
        <v>144</v>
      </c>
      <c r="F17" s="11" t="s">
        <v>154</v>
      </c>
      <c r="G17" s="11" t="s">
        <v>154</v>
      </c>
      <c r="H17" s="45" t="s">
        <v>155</v>
      </c>
      <c r="I17" s="11" t="s">
        <v>154</v>
      </c>
      <c r="K17" s="11" t="s">
        <v>154</v>
      </c>
      <c r="L17" s="11" t="s">
        <v>154</v>
      </c>
      <c r="M17" s="11" t="s">
        <v>154</v>
      </c>
      <c r="O17" s="14" t="s">
        <v>156</v>
      </c>
      <c r="P17" s="51">
        <v>20000</v>
      </c>
      <c r="Q17" t="s">
        <v>157</v>
      </c>
      <c r="R17" s="45" t="s">
        <v>158</v>
      </c>
    </row>
    <row r="18" spans="1:25" customFormat="1" outlineLevel="1">
      <c r="A18" s="29" t="s">
        <v>159</v>
      </c>
      <c r="B18" s="35" t="s">
        <v>90</v>
      </c>
      <c r="C18" s="35"/>
      <c r="E18" t="s">
        <v>160</v>
      </c>
      <c r="F18" s="45" t="s">
        <v>151</v>
      </c>
      <c r="G18" s="45" t="s">
        <v>151</v>
      </c>
      <c r="H18" s="45" t="s">
        <v>148</v>
      </c>
      <c r="I18" s="45" t="s">
        <v>151</v>
      </c>
      <c r="K18" s="45" t="s">
        <v>151</v>
      </c>
      <c r="L18" s="45" t="s">
        <v>151</v>
      </c>
      <c r="M18" s="45" t="s">
        <v>151</v>
      </c>
      <c r="O18" s="14" t="s">
        <v>161</v>
      </c>
      <c r="P18" s="52"/>
      <c r="Q18" t="s">
        <v>156</v>
      </c>
      <c r="R18" t="s">
        <v>162</v>
      </c>
    </row>
    <row r="19" spans="1:25" customFormat="1" outlineLevel="1">
      <c r="A19" s="29" t="s">
        <v>163</v>
      </c>
      <c r="B19" s="35" t="s">
        <v>90</v>
      </c>
      <c r="C19" s="35"/>
      <c r="E19" t="s">
        <v>164</v>
      </c>
      <c r="F19" t="s">
        <v>157</v>
      </c>
      <c r="G19" t="s">
        <v>157</v>
      </c>
      <c r="H19" s="11" t="s">
        <v>154</v>
      </c>
      <c r="I19" t="s">
        <v>157</v>
      </c>
      <c r="K19" t="s">
        <v>162</v>
      </c>
      <c r="L19" t="s">
        <v>162</v>
      </c>
      <c r="M19" t="s">
        <v>157</v>
      </c>
      <c r="O19" s="15" t="s">
        <v>165</v>
      </c>
      <c r="P19" s="53">
        <f>SUM(P16:P18)</f>
        <v>70000</v>
      </c>
      <c r="Q19" t="s">
        <v>166</v>
      </c>
      <c r="R19" t="s">
        <v>156</v>
      </c>
    </row>
    <row r="20" spans="1:25" customFormat="1" outlineLevel="1">
      <c r="A20" s="29" t="s">
        <v>167</v>
      </c>
      <c r="B20" s="35" t="s">
        <v>90</v>
      </c>
      <c r="C20" s="35"/>
      <c r="E20" s="11" t="s">
        <v>154</v>
      </c>
      <c r="F20" t="s">
        <v>156</v>
      </c>
      <c r="G20" t="s">
        <v>156</v>
      </c>
      <c r="H20" s="45" t="s">
        <v>151</v>
      </c>
      <c r="I20" t="s">
        <v>156</v>
      </c>
      <c r="K20" t="s">
        <v>156</v>
      </c>
      <c r="L20" t="s">
        <v>156</v>
      </c>
      <c r="M20" t="s">
        <v>156</v>
      </c>
      <c r="O20" s="15" t="s">
        <v>168</v>
      </c>
      <c r="P20" s="54"/>
      <c r="Q20" s="11" t="s">
        <v>169</v>
      </c>
      <c r="R20" t="s">
        <v>170</v>
      </c>
      <c r="U20" s="14"/>
      <c r="V20" s="14"/>
      <c r="W20" s="14"/>
      <c r="X20" s="14"/>
      <c r="Y20" s="14"/>
    </row>
    <row r="21" spans="1:25" customFormat="1" outlineLevel="1">
      <c r="A21" s="29" t="s">
        <v>171</v>
      </c>
      <c r="B21" s="35" t="s">
        <v>90</v>
      </c>
      <c r="C21" s="35"/>
      <c r="E21" s="45" t="s">
        <v>151</v>
      </c>
      <c r="F21" t="s">
        <v>166</v>
      </c>
      <c r="G21" t="s">
        <v>166</v>
      </c>
      <c r="H21" s="45" t="s">
        <v>157</v>
      </c>
      <c r="I21" t="s">
        <v>166</v>
      </c>
      <c r="K21" t="s">
        <v>170</v>
      </c>
      <c r="L21" t="s">
        <v>166</v>
      </c>
      <c r="M21" t="s">
        <v>166</v>
      </c>
      <c r="O21" s="12" t="s">
        <v>172</v>
      </c>
      <c r="P21" s="54"/>
      <c r="Q21" s="11" t="s">
        <v>173</v>
      </c>
      <c r="R21" t="s">
        <v>166</v>
      </c>
      <c r="U21" s="14"/>
      <c r="V21" s="14"/>
      <c r="W21" s="14"/>
      <c r="X21" s="14"/>
      <c r="Y21" s="14"/>
    </row>
    <row r="22" spans="1:25" customFormat="1" outlineLevel="1">
      <c r="A22" s="29" t="s">
        <v>174</v>
      </c>
      <c r="B22" s="35" t="s">
        <v>90</v>
      </c>
      <c r="C22" s="35"/>
      <c r="E22" t="s">
        <v>157</v>
      </c>
      <c r="F22" s="11" t="s">
        <v>169</v>
      </c>
      <c r="G22" s="11" t="s">
        <v>169</v>
      </c>
      <c r="H22" s="45" t="s">
        <v>156</v>
      </c>
      <c r="I22" s="11" t="s">
        <v>169</v>
      </c>
      <c r="K22" t="s">
        <v>166</v>
      </c>
      <c r="L22" s="11" t="s">
        <v>169</v>
      </c>
      <c r="M22" s="11" t="s">
        <v>169</v>
      </c>
      <c r="O22" s="12" t="s">
        <v>175</v>
      </c>
      <c r="P22" s="54"/>
      <c r="R22" s="11" t="s">
        <v>169</v>
      </c>
      <c r="U22" s="14"/>
      <c r="V22" s="14"/>
      <c r="W22" s="14"/>
      <c r="X22" s="14"/>
      <c r="Y22" s="14"/>
    </row>
    <row r="23" spans="1:25" customFormat="1" outlineLevel="1">
      <c r="A23" s="29" t="s">
        <v>176</v>
      </c>
      <c r="B23" s="35" t="s">
        <v>90</v>
      </c>
      <c r="C23" s="35"/>
      <c r="E23" t="s">
        <v>156</v>
      </c>
      <c r="F23" s="11" t="s">
        <v>173</v>
      </c>
      <c r="G23" s="11" t="s">
        <v>173</v>
      </c>
      <c r="H23" s="45" t="s">
        <v>166</v>
      </c>
      <c r="I23" s="11" t="s">
        <v>173</v>
      </c>
      <c r="K23" s="11" t="s">
        <v>169</v>
      </c>
      <c r="L23" s="11" t="s">
        <v>173</v>
      </c>
      <c r="M23" s="11" t="s">
        <v>173</v>
      </c>
      <c r="O23" s="12" t="s">
        <v>177</v>
      </c>
      <c r="P23" s="54"/>
      <c r="R23" s="11" t="s">
        <v>173</v>
      </c>
      <c r="U23" s="14"/>
      <c r="V23" s="14"/>
      <c r="W23" s="14"/>
      <c r="X23" s="14"/>
      <c r="Y23" s="14"/>
    </row>
    <row r="24" spans="1:25" customFormat="1" outlineLevel="1">
      <c r="A24" s="38" t="s">
        <v>178</v>
      </c>
      <c r="B24" s="35" t="s">
        <v>90</v>
      </c>
      <c r="C24" s="35"/>
      <c r="E24" t="s">
        <v>179</v>
      </c>
      <c r="F24" s="9"/>
      <c r="G24" s="9"/>
      <c r="H24" s="11" t="s">
        <v>169</v>
      </c>
      <c r="I24" s="11"/>
      <c r="K24" s="11" t="s">
        <v>173</v>
      </c>
      <c r="O24" s="12" t="s">
        <v>180</v>
      </c>
      <c r="P24" s="54"/>
      <c r="U24" s="14"/>
      <c r="V24" s="14"/>
      <c r="W24" s="14"/>
      <c r="X24" s="14"/>
      <c r="Y24" s="14"/>
    </row>
    <row r="25" spans="1:25" customFormat="1" outlineLevel="1">
      <c r="A25" s="29" t="s">
        <v>181</v>
      </c>
      <c r="B25" s="35" t="s">
        <v>90</v>
      </c>
      <c r="C25" s="35"/>
      <c r="E25" t="s">
        <v>166</v>
      </c>
      <c r="F25" s="9"/>
      <c r="G25" s="9"/>
      <c r="H25" s="11" t="s">
        <v>173</v>
      </c>
      <c r="I25" s="11"/>
      <c r="K25" s="11"/>
      <c r="O25" s="15" t="s">
        <v>182</v>
      </c>
      <c r="P25" s="55">
        <f>SUM(P21:P24)</f>
        <v>0</v>
      </c>
      <c r="U25" s="14"/>
      <c r="V25" s="14"/>
      <c r="W25" s="14"/>
      <c r="X25" s="14"/>
      <c r="Y25" s="14"/>
    </row>
    <row r="26" spans="1:25" customFormat="1" ht="15.75" outlineLevel="1" thickBot="1">
      <c r="A26" s="29" t="s">
        <v>183</v>
      </c>
      <c r="B26" s="35" t="s">
        <v>90</v>
      </c>
      <c r="C26" s="35"/>
      <c r="E26" s="10" t="s">
        <v>497</v>
      </c>
      <c r="F26" s="9"/>
      <c r="G26" s="9"/>
      <c r="K26" s="11"/>
      <c r="O26" s="56" t="s">
        <v>184</v>
      </c>
      <c r="P26" s="57">
        <f>P45-P19+P25</f>
        <v>-70000</v>
      </c>
      <c r="U26" s="14"/>
      <c r="V26" s="14"/>
      <c r="W26" s="14"/>
      <c r="X26" s="14"/>
      <c r="Y26" s="14"/>
    </row>
    <row r="27" spans="1:25" customFormat="1" ht="15.75" outlineLevel="1" thickTop="1">
      <c r="A27" s="29" t="s">
        <v>185</v>
      </c>
      <c r="B27" s="35" t="s">
        <v>90</v>
      </c>
      <c r="C27" s="35"/>
      <c r="E27" s="11" t="s">
        <v>169</v>
      </c>
      <c r="F27" s="9"/>
      <c r="G27" s="9"/>
      <c r="U27" s="14"/>
      <c r="V27" s="14"/>
      <c r="W27" s="14"/>
      <c r="X27" s="14"/>
      <c r="Y27" s="14"/>
    </row>
    <row r="28" spans="1:25" customFormat="1">
      <c r="A28" s="29" t="s">
        <v>186</v>
      </c>
      <c r="B28" s="35" t="s">
        <v>90</v>
      </c>
      <c r="C28" s="35"/>
      <c r="E28" s="11" t="s">
        <v>173</v>
      </c>
      <c r="F28" s="10"/>
    </row>
    <row r="29" spans="1:25" customFormat="1">
      <c r="A29" s="37" t="s">
        <v>187</v>
      </c>
      <c r="B29" s="35" t="s">
        <v>90</v>
      </c>
      <c r="C29" s="35"/>
      <c r="E29" s="42" t="s">
        <v>188</v>
      </c>
      <c r="F29" s="43"/>
      <c r="G29" s="43"/>
      <c r="H29" s="44"/>
      <c r="I29" s="44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 spans="1:25" customFormat="1" outlineLevel="1">
      <c r="A30" s="29" t="s">
        <v>189</v>
      </c>
      <c r="B30" s="35" t="s">
        <v>90</v>
      </c>
      <c r="C30" s="35"/>
      <c r="E30" s="11" t="s">
        <v>188</v>
      </c>
      <c r="F30" s="11" t="s">
        <v>190</v>
      </c>
      <c r="G30" s="11" t="s">
        <v>190</v>
      </c>
      <c r="H30" s="11" t="s">
        <v>190</v>
      </c>
      <c r="I30" s="11" t="s">
        <v>190</v>
      </c>
      <c r="J30" s="11" t="s">
        <v>190</v>
      </c>
      <c r="K30" s="11" t="s">
        <v>190</v>
      </c>
      <c r="L30" s="11" t="s">
        <v>190</v>
      </c>
      <c r="M30" s="11" t="s">
        <v>190</v>
      </c>
      <c r="O30" s="11" t="s">
        <v>191</v>
      </c>
      <c r="Q30" s="11" t="s">
        <v>190</v>
      </c>
      <c r="R30" s="11" t="s">
        <v>192</v>
      </c>
    </row>
    <row r="31" spans="1:25" customFormat="1" outlineLevel="1">
      <c r="A31" s="29" t="s">
        <v>193</v>
      </c>
      <c r="B31" s="35" t="s">
        <v>90</v>
      </c>
      <c r="C31" s="35"/>
      <c r="E31" s="45" t="s">
        <v>194</v>
      </c>
      <c r="F31" s="45" t="s">
        <v>194</v>
      </c>
      <c r="G31" s="45" t="s">
        <v>194</v>
      </c>
      <c r="H31" s="45" t="s">
        <v>194</v>
      </c>
      <c r="I31" s="45" t="s">
        <v>194</v>
      </c>
      <c r="J31" s="45" t="s">
        <v>194</v>
      </c>
      <c r="K31" s="45" t="s">
        <v>194</v>
      </c>
      <c r="L31" s="45" t="s">
        <v>194</v>
      </c>
      <c r="M31" t="s">
        <v>195</v>
      </c>
      <c r="N31" s="58" t="s">
        <v>196</v>
      </c>
      <c r="O31" s="12" t="s">
        <v>197</v>
      </c>
      <c r="P31" s="12"/>
      <c r="Q31" t="s">
        <v>198</v>
      </c>
      <c r="R31" s="59" t="s">
        <v>199</v>
      </c>
    </row>
    <row r="32" spans="1:25" customFormat="1" outlineLevel="1">
      <c r="A32" s="38" t="s">
        <v>200</v>
      </c>
      <c r="B32" s="35" t="s">
        <v>90</v>
      </c>
      <c r="C32" s="35"/>
      <c r="E32" s="45" t="s">
        <v>201</v>
      </c>
      <c r="F32" s="45" t="s">
        <v>201</v>
      </c>
      <c r="G32" s="45" t="s">
        <v>201</v>
      </c>
      <c r="H32" s="45" t="s">
        <v>201</v>
      </c>
      <c r="I32" s="45" t="s">
        <v>201</v>
      </c>
      <c r="J32" s="45" t="s">
        <v>201</v>
      </c>
      <c r="K32" s="45" t="s">
        <v>202</v>
      </c>
      <c r="L32" s="45" t="s">
        <v>202</v>
      </c>
      <c r="M32" t="s">
        <v>203</v>
      </c>
      <c r="N32" s="60">
        <v>1000</v>
      </c>
      <c r="O32" s="12" t="s">
        <v>204</v>
      </c>
      <c r="P32" s="12"/>
      <c r="Q32" t="s">
        <v>205</v>
      </c>
      <c r="R32" t="s">
        <v>206</v>
      </c>
    </row>
    <row r="33" spans="1:20" customFormat="1" ht="30" outlineLevel="1">
      <c r="A33" s="29" t="s">
        <v>207</v>
      </c>
      <c r="B33" s="35" t="s">
        <v>90</v>
      </c>
      <c r="C33" s="35"/>
      <c r="E33" s="45" t="s">
        <v>208</v>
      </c>
      <c r="F33" s="45" t="s">
        <v>208</v>
      </c>
      <c r="G33" s="45" t="s">
        <v>208</v>
      </c>
      <c r="H33" s="45" t="s">
        <v>208</v>
      </c>
      <c r="I33" s="45" t="s">
        <v>208</v>
      </c>
      <c r="J33" s="45" t="s">
        <v>208</v>
      </c>
      <c r="K33" s="61" t="s">
        <v>209</v>
      </c>
      <c r="L33" s="61" t="s">
        <v>209</v>
      </c>
      <c r="M33" t="s">
        <v>210</v>
      </c>
      <c r="N33" s="60">
        <f>ROUNDDOWN((8+9)/2,0)</f>
        <v>8</v>
      </c>
      <c r="O33" s="12" t="s">
        <v>211</v>
      </c>
      <c r="P33" s="12"/>
      <c r="Q33" t="s">
        <v>212</v>
      </c>
      <c r="R33" s="62" t="s">
        <v>213</v>
      </c>
    </row>
    <row r="34" spans="1:20" customFormat="1" outlineLevel="1">
      <c r="A34" s="29" t="s">
        <v>214</v>
      </c>
      <c r="B34" s="35" t="s">
        <v>90</v>
      </c>
      <c r="C34" s="35"/>
      <c r="E34" s="45" t="s">
        <v>215</v>
      </c>
      <c r="F34" s="45" t="s">
        <v>215</v>
      </c>
      <c r="G34" s="45" t="s">
        <v>215</v>
      </c>
      <c r="H34" s="45" t="s">
        <v>215</v>
      </c>
      <c r="I34" s="45" t="s">
        <v>215</v>
      </c>
      <c r="J34" s="45" t="s">
        <v>215</v>
      </c>
      <c r="K34" s="45" t="s">
        <v>216</v>
      </c>
      <c r="L34" s="45" t="s">
        <v>216</v>
      </c>
      <c r="M34" t="s">
        <v>217</v>
      </c>
      <c r="N34" s="60">
        <f>ROUNDDOWN((10+15)/2,0)</f>
        <v>12</v>
      </c>
      <c r="O34" s="12" t="s">
        <v>218</v>
      </c>
      <c r="P34" s="14"/>
      <c r="Q34" t="s">
        <v>219</v>
      </c>
      <c r="R34" s="12" t="s">
        <v>220</v>
      </c>
    </row>
    <row r="35" spans="1:20" customFormat="1" ht="30" outlineLevel="1">
      <c r="A35" s="29" t="s">
        <v>221</v>
      </c>
      <c r="B35" s="35" t="s">
        <v>90</v>
      </c>
      <c r="C35" s="35"/>
      <c r="E35" s="45" t="s">
        <v>222</v>
      </c>
      <c r="F35" s="45" t="s">
        <v>223</v>
      </c>
      <c r="G35" s="45" t="s">
        <v>223</v>
      </c>
      <c r="H35" s="61" t="s">
        <v>209</v>
      </c>
      <c r="I35" s="45" t="s">
        <v>223</v>
      </c>
      <c r="J35" s="45" t="s">
        <v>223</v>
      </c>
      <c r="K35" s="45" t="s">
        <v>224</v>
      </c>
      <c r="L35" s="45" t="s">
        <v>224</v>
      </c>
      <c r="M35" t="s">
        <v>225</v>
      </c>
      <c r="N35" s="60">
        <f>ROUNDDOWN(((N33*5)+(N34*2))/7,0)</f>
        <v>9</v>
      </c>
      <c r="O35" s="62" t="s">
        <v>213</v>
      </c>
      <c r="Q35" t="s">
        <v>215</v>
      </c>
      <c r="R35" t="s">
        <v>226</v>
      </c>
    </row>
    <row r="36" spans="1:20" customFormat="1" outlineLevel="1">
      <c r="A36" s="29" t="s">
        <v>227</v>
      </c>
      <c r="B36" s="35" t="s">
        <v>90</v>
      </c>
      <c r="C36" s="35"/>
      <c r="E36" s="45" t="s">
        <v>228</v>
      </c>
      <c r="H36" s="45" t="s">
        <v>229</v>
      </c>
      <c r="K36" s="45" t="s">
        <v>230</v>
      </c>
      <c r="L36" s="45" t="s">
        <v>230</v>
      </c>
      <c r="M36" s="63" t="s">
        <v>231</v>
      </c>
      <c r="N36" s="64">
        <f>N32*N35*30*3</f>
        <v>810000</v>
      </c>
      <c r="O36" s="12" t="s">
        <v>232</v>
      </c>
      <c r="P36" s="12"/>
      <c r="Q36" t="s">
        <v>233</v>
      </c>
      <c r="R36" s="45" t="s">
        <v>234</v>
      </c>
    </row>
    <row r="37" spans="1:20" customFormat="1" outlineLevel="1">
      <c r="A37" s="29" t="s">
        <v>235</v>
      </c>
      <c r="B37" s="35" t="s">
        <v>90</v>
      </c>
      <c r="C37" s="35"/>
      <c r="E37" s="45" t="s">
        <v>223</v>
      </c>
      <c r="H37" s="45" t="s">
        <v>236</v>
      </c>
      <c r="K37" s="45" t="s">
        <v>237</v>
      </c>
      <c r="L37" s="45" t="s">
        <v>237</v>
      </c>
      <c r="M37" s="45" t="s">
        <v>238</v>
      </c>
      <c r="O37" s="12" t="s">
        <v>239</v>
      </c>
      <c r="P37" s="12"/>
      <c r="Q37" t="s">
        <v>240</v>
      </c>
    </row>
    <row r="38" spans="1:20" customFormat="1" outlineLevel="1">
      <c r="A38" s="29" t="s">
        <v>241</v>
      </c>
      <c r="B38" s="35" t="s">
        <v>90</v>
      </c>
      <c r="C38" s="35"/>
      <c r="E38" s="45"/>
      <c r="H38" s="45" t="s">
        <v>242</v>
      </c>
      <c r="K38" s="45" t="s">
        <v>243</v>
      </c>
      <c r="L38" s="45" t="s">
        <v>243</v>
      </c>
      <c r="O38" s="12" t="s">
        <v>244</v>
      </c>
      <c r="P38" s="12"/>
      <c r="Q38" s="45" t="s">
        <v>234</v>
      </c>
    </row>
    <row r="39" spans="1:20" customFormat="1" outlineLevel="1">
      <c r="A39" s="29" t="s">
        <v>245</v>
      </c>
      <c r="B39" s="35" t="s">
        <v>90</v>
      </c>
      <c r="C39" s="35"/>
      <c r="E39" s="45"/>
      <c r="H39" s="45" t="s">
        <v>246</v>
      </c>
      <c r="K39" s="45" t="s">
        <v>247</v>
      </c>
      <c r="L39" s="45" t="s">
        <v>247</v>
      </c>
      <c r="O39" s="12" t="s">
        <v>248</v>
      </c>
      <c r="P39" s="12"/>
    </row>
    <row r="40" spans="1:20" customFormat="1" outlineLevel="1">
      <c r="A40" s="29" t="s">
        <v>249</v>
      </c>
      <c r="B40" s="35" t="s">
        <v>90</v>
      </c>
      <c r="C40" s="35"/>
      <c r="H40" s="45" t="s">
        <v>250</v>
      </c>
      <c r="K40" s="45" t="s">
        <v>251</v>
      </c>
      <c r="L40" s="45" t="s">
        <v>251</v>
      </c>
      <c r="O40" s="62" t="s">
        <v>252</v>
      </c>
      <c r="P40" s="14"/>
    </row>
    <row r="41" spans="1:20" customFormat="1" outlineLevel="1">
      <c r="A41" s="29" t="s">
        <v>253</v>
      </c>
      <c r="B41" s="35" t="s">
        <v>90</v>
      </c>
      <c r="C41" s="35"/>
      <c r="H41" s="45" t="s">
        <v>254</v>
      </c>
      <c r="K41" s="45" t="s">
        <v>255</v>
      </c>
      <c r="L41" s="45" t="s">
        <v>255</v>
      </c>
      <c r="O41" s="12" t="s">
        <v>256</v>
      </c>
      <c r="P41" s="60">
        <f>P31*1000*P36</f>
        <v>0</v>
      </c>
    </row>
    <row r="42" spans="1:20" customFormat="1" ht="26.25" outlineLevel="1">
      <c r="A42" s="29" t="s">
        <v>257</v>
      </c>
      <c r="B42" s="35" t="s">
        <v>90</v>
      </c>
      <c r="C42" s="35"/>
      <c r="H42" s="45" t="s">
        <v>258</v>
      </c>
      <c r="K42" s="45" t="s">
        <v>259</v>
      </c>
      <c r="L42" s="45" t="s">
        <v>259</v>
      </c>
      <c r="O42" s="12" t="s">
        <v>260</v>
      </c>
      <c r="P42" s="60">
        <f>P32*1000*P37</f>
        <v>0</v>
      </c>
    </row>
    <row r="43" spans="1:20" customFormat="1" outlineLevel="1">
      <c r="A43" s="29" t="s">
        <v>261</v>
      </c>
      <c r="B43" s="35" t="s">
        <v>90</v>
      </c>
      <c r="C43" s="35"/>
      <c r="H43" s="45" t="s">
        <v>262</v>
      </c>
      <c r="K43" s="45" t="s">
        <v>263</v>
      </c>
      <c r="L43" s="45" t="s">
        <v>263</v>
      </c>
      <c r="O43" s="12" t="s">
        <v>264</v>
      </c>
      <c r="P43" s="60">
        <f>P33*1000*P38</f>
        <v>0</v>
      </c>
    </row>
    <row r="44" spans="1:20" customFormat="1" outlineLevel="1">
      <c r="A44" s="29" t="s">
        <v>265</v>
      </c>
      <c r="B44" s="35" t="s">
        <v>90</v>
      </c>
      <c r="C44" s="35"/>
      <c r="H44" s="45" t="s">
        <v>266</v>
      </c>
      <c r="K44" s="45" t="s">
        <v>234</v>
      </c>
      <c r="L44" s="45" t="s">
        <v>234</v>
      </c>
      <c r="O44" s="12" t="s">
        <v>267</v>
      </c>
      <c r="P44" s="60">
        <f>P34*P39</f>
        <v>0</v>
      </c>
    </row>
    <row r="45" spans="1:20" customFormat="1" outlineLevel="1">
      <c r="A45" s="29" t="s">
        <v>268</v>
      </c>
      <c r="B45" s="35" t="s">
        <v>90</v>
      </c>
      <c r="C45" s="35"/>
      <c r="H45" s="45" t="s">
        <v>269</v>
      </c>
      <c r="K45" s="45" t="s">
        <v>270</v>
      </c>
      <c r="O45" s="46" t="s">
        <v>145</v>
      </c>
      <c r="P45" s="65">
        <f>SUM(P41:P44)</f>
        <v>0</v>
      </c>
    </row>
    <row r="46" spans="1:20" customFormat="1" outlineLevel="1">
      <c r="A46" s="29" t="s">
        <v>271</v>
      </c>
      <c r="B46" s="35" t="s">
        <v>90</v>
      </c>
      <c r="C46" s="35"/>
      <c r="H46" s="45" t="s">
        <v>238</v>
      </c>
      <c r="O46" s="45" t="s">
        <v>238</v>
      </c>
    </row>
    <row r="47" spans="1:20" customFormat="1" ht="13.5" customHeight="1">
      <c r="A47" s="29" t="s">
        <v>272</v>
      </c>
      <c r="B47" s="35" t="s">
        <v>90</v>
      </c>
      <c r="C47" s="35"/>
      <c r="H47" s="45" t="s">
        <v>461</v>
      </c>
      <c r="K47" s="45"/>
    </row>
    <row r="48" spans="1:20" customFormat="1">
      <c r="A48" s="29" t="s">
        <v>273</v>
      </c>
      <c r="B48" s="35" t="s">
        <v>90</v>
      </c>
      <c r="C48" s="35"/>
      <c r="E48" s="42" t="s">
        <v>274</v>
      </c>
      <c r="F48" s="43"/>
      <c r="G48" s="43"/>
      <c r="H48" s="44"/>
      <c r="I48" s="44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</row>
    <row r="49" spans="1:20" customFormat="1">
      <c r="A49" s="29" t="s">
        <v>275</v>
      </c>
      <c r="B49" s="35" t="s">
        <v>90</v>
      </c>
      <c r="C49" s="35"/>
      <c r="E49" s="66" t="s">
        <v>276</v>
      </c>
    </row>
    <row r="50" spans="1:20" customFormat="1">
      <c r="A50" s="29" t="s">
        <v>277</v>
      </c>
      <c r="B50" s="35" t="s">
        <v>90</v>
      </c>
      <c r="C50" s="35"/>
      <c r="E50" t="s">
        <v>278</v>
      </c>
      <c r="O50" s="67" t="s">
        <v>279</v>
      </c>
      <c r="P50" s="68"/>
      <c r="R50" s="67" t="s">
        <v>280</v>
      </c>
      <c r="S50" s="68"/>
    </row>
    <row r="51" spans="1:20" customFormat="1">
      <c r="A51" s="29" t="s">
        <v>281</v>
      </c>
      <c r="B51" s="35" t="s">
        <v>90</v>
      </c>
      <c r="C51" s="35"/>
      <c r="E51" t="s">
        <v>282</v>
      </c>
      <c r="O51" s="69" t="s">
        <v>283</v>
      </c>
      <c r="P51" s="70">
        <v>2</v>
      </c>
      <c r="R51" s="69" t="s">
        <v>283</v>
      </c>
      <c r="S51" s="70">
        <v>60</v>
      </c>
    </row>
    <row r="52" spans="1:20" customFormat="1">
      <c r="A52" s="29" t="s">
        <v>284</v>
      </c>
      <c r="B52" s="35" t="s">
        <v>90</v>
      </c>
      <c r="C52" s="35"/>
      <c r="O52" s="71" t="s">
        <v>285</v>
      </c>
      <c r="P52" s="71">
        <v>37</v>
      </c>
      <c r="R52" s="69" t="s">
        <v>286</v>
      </c>
      <c r="S52" s="70">
        <f>6*10^5</f>
        <v>600000</v>
      </c>
    </row>
    <row r="53" spans="1:20" customFormat="1">
      <c r="A53" s="29" t="s">
        <v>287</v>
      </c>
      <c r="B53" s="35" t="s">
        <v>90</v>
      </c>
      <c r="C53" s="35"/>
      <c r="O53" s="71" t="s">
        <v>288</v>
      </c>
      <c r="P53" s="71">
        <v>1</v>
      </c>
      <c r="R53" s="69" t="s">
        <v>289</v>
      </c>
      <c r="S53" s="72">
        <v>0.06</v>
      </c>
    </row>
    <row r="54" spans="1:20" customFormat="1">
      <c r="A54" s="29" t="s">
        <v>290</v>
      </c>
      <c r="B54" s="35" t="s">
        <v>90</v>
      </c>
      <c r="C54" s="35"/>
      <c r="O54" s="8" t="s">
        <v>291</v>
      </c>
      <c r="P54" s="73">
        <f>10^5/P52</f>
        <v>2702.7027027027025</v>
      </c>
      <c r="R54" s="8" t="s">
        <v>292</v>
      </c>
      <c r="S54" s="73">
        <f>S52*(S51/30)*(1-S53)</f>
        <v>1128000</v>
      </c>
    </row>
    <row r="55" spans="1:20" customFormat="1">
      <c r="A55" s="29" t="s">
        <v>293</v>
      </c>
      <c r="B55" s="35" t="s">
        <v>90</v>
      </c>
      <c r="C55" s="35"/>
      <c r="O55" s="8" t="s">
        <v>294</v>
      </c>
      <c r="P55" s="73">
        <f>(P52+P53)*P54</f>
        <v>102702.70270270269</v>
      </c>
      <c r="R55" s="8" t="s">
        <v>295</v>
      </c>
      <c r="S55" s="73">
        <f>(S52*(S51/30)*1*10^5)/S54</f>
        <v>106382.97872340426</v>
      </c>
    </row>
    <row r="56" spans="1:20" customFormat="1">
      <c r="A56" s="29" t="s">
        <v>296</v>
      </c>
      <c r="B56" s="35" t="s">
        <v>116</v>
      </c>
      <c r="C56" s="35"/>
      <c r="O56" s="8" t="s">
        <v>297</v>
      </c>
      <c r="P56" s="73">
        <f>P55*(30/P51)</f>
        <v>1540540.5405405404</v>
      </c>
      <c r="R56" s="8" t="s">
        <v>298</v>
      </c>
      <c r="S56" s="73">
        <f>S55*(30/S51)</f>
        <v>53191.48936170213</v>
      </c>
      <c r="T56" s="74"/>
    </row>
    <row r="57" spans="1:20" customFormat="1" ht="14.25" customHeight="1">
      <c r="A57" s="29" t="s">
        <v>299</v>
      </c>
      <c r="B57" s="75" t="s">
        <v>116</v>
      </c>
      <c r="C57" s="75"/>
      <c r="O57" s="8" t="s">
        <v>300</v>
      </c>
      <c r="P57" s="76">
        <f>(P56*8)/(P52+P53)</f>
        <v>324324.32432432426</v>
      </c>
      <c r="Q57" s="11"/>
      <c r="R57" s="8" t="s">
        <v>301</v>
      </c>
      <c r="S57" s="73">
        <f>S56*8</f>
        <v>425531.91489361704</v>
      </c>
      <c r="T57" s="74"/>
    </row>
    <row r="58" spans="1:20" customFormat="1">
      <c r="A58" s="29" t="s">
        <v>302</v>
      </c>
      <c r="B58" s="77" t="s">
        <v>303</v>
      </c>
      <c r="C58" s="77"/>
      <c r="O58" s="9" t="s">
        <v>304</v>
      </c>
      <c r="P58" s="78">
        <f>P57*P53</f>
        <v>324324.32432432426</v>
      </c>
      <c r="Q58" s="45"/>
      <c r="R58" s="8" t="s">
        <v>305</v>
      </c>
      <c r="S58" s="79">
        <v>0</v>
      </c>
    </row>
    <row r="59" spans="1:20" customFormat="1">
      <c r="A59" s="29" t="s">
        <v>306</v>
      </c>
      <c r="B59" s="35" t="s">
        <v>307</v>
      </c>
      <c r="C59" s="35"/>
      <c r="O59" s="9" t="s">
        <v>308</v>
      </c>
      <c r="P59" s="80">
        <f>(P56*P19)/P15</f>
        <v>539189.18918918911</v>
      </c>
      <c r="R59" s="9" t="s">
        <v>304</v>
      </c>
      <c r="S59" s="78">
        <f>S57*S53+S56*(1-S53)*S58</f>
        <v>25531.91489361702</v>
      </c>
    </row>
    <row r="60" spans="1:20" customFormat="1">
      <c r="A60" s="29" t="s">
        <v>309</v>
      </c>
      <c r="B60" s="35" t="s">
        <v>71</v>
      </c>
      <c r="C60" s="35"/>
      <c r="O60" s="9" t="s">
        <v>310</v>
      </c>
      <c r="P60" s="78">
        <f>2%*1*10^5*8</f>
        <v>16000</v>
      </c>
      <c r="R60" s="9" t="s">
        <v>310</v>
      </c>
      <c r="S60" s="78">
        <f>2%*1*10^5*8</f>
        <v>16000</v>
      </c>
    </row>
    <row r="61" spans="1:20" customFormat="1">
      <c r="A61" s="29" t="s">
        <v>311</v>
      </c>
      <c r="B61" s="35" t="s">
        <v>312</v>
      </c>
      <c r="C61" s="35"/>
      <c r="O61" s="66" t="s">
        <v>313</v>
      </c>
      <c r="P61" s="81">
        <f>P58-P60-P59</f>
        <v>-230864.86486486485</v>
      </c>
      <c r="R61" s="66" t="s">
        <v>313</v>
      </c>
      <c r="S61" s="81">
        <f>S59-S60</f>
        <v>9531.9148936170204</v>
      </c>
    </row>
    <row r="62" spans="1:20" customFormat="1">
      <c r="A62" s="29"/>
      <c r="B62" s="35"/>
      <c r="C62" s="35"/>
    </row>
    <row r="63" spans="1:20" customFormat="1">
      <c r="A63" s="37"/>
      <c r="B63" s="35"/>
      <c r="C63" s="35"/>
      <c r="H63" s="82"/>
    </row>
    <row r="64" spans="1:20" customFormat="1">
      <c r="A64" s="29"/>
      <c r="B64" s="35"/>
      <c r="C64" s="35"/>
      <c r="F64" s="82"/>
      <c r="G64" s="82"/>
      <c r="H64" s="82"/>
    </row>
    <row r="65" spans="1:7" customFormat="1">
      <c r="A65" s="29"/>
      <c r="B65" s="35"/>
      <c r="C65" s="35"/>
      <c r="F65" s="82"/>
      <c r="G65" s="82"/>
    </row>
    <row r="66" spans="1:7" customFormat="1">
      <c r="A66" s="29"/>
      <c r="B66" s="35"/>
      <c r="C66" s="35"/>
    </row>
    <row r="67" spans="1:7" customFormat="1">
      <c r="A67" s="29"/>
      <c r="B67" s="35"/>
      <c r="C67" s="35"/>
    </row>
    <row r="68" spans="1:7" customFormat="1">
      <c r="A68" s="37" t="s">
        <v>320</v>
      </c>
      <c r="B68" s="35" t="s">
        <v>312</v>
      </c>
      <c r="C68" s="35"/>
    </row>
    <row r="69" spans="1:7" customFormat="1">
      <c r="A69" s="29" t="s">
        <v>321</v>
      </c>
      <c r="B69" s="35" t="s">
        <v>312</v>
      </c>
      <c r="C69" s="35"/>
    </row>
    <row r="70" spans="1:7" customFormat="1">
      <c r="A70" s="29" t="s">
        <v>322</v>
      </c>
      <c r="B70" s="35" t="s">
        <v>312</v>
      </c>
      <c r="C70" s="35"/>
    </row>
    <row r="71" spans="1:7" customFormat="1">
      <c r="A71" s="29" t="s">
        <v>323</v>
      </c>
      <c r="B71" s="35" t="s">
        <v>312</v>
      </c>
      <c r="C71" s="35"/>
    </row>
    <row r="72" spans="1:7" customFormat="1">
      <c r="A72" s="29" t="s">
        <v>324</v>
      </c>
      <c r="B72" s="35" t="s">
        <v>312</v>
      </c>
      <c r="C72" s="35"/>
    </row>
    <row r="73" spans="1:7" customFormat="1">
      <c r="A73" s="37" t="s">
        <v>325</v>
      </c>
      <c r="B73" s="35" t="s">
        <v>312</v>
      </c>
      <c r="C73" s="35"/>
    </row>
    <row r="74" spans="1:7" customFormat="1">
      <c r="A74" s="29" t="s">
        <v>326</v>
      </c>
      <c r="B74" s="35" t="s">
        <v>312</v>
      </c>
      <c r="C74" s="35"/>
    </row>
    <row r="75" spans="1:7" customFormat="1">
      <c r="A75" s="29" t="s">
        <v>327</v>
      </c>
      <c r="B75" s="35" t="s">
        <v>312</v>
      </c>
      <c r="C75" s="35"/>
    </row>
    <row r="76" spans="1:7" customFormat="1">
      <c r="A76" s="29" t="s">
        <v>328</v>
      </c>
      <c r="B76" s="35" t="s">
        <v>312</v>
      </c>
      <c r="C76" s="35"/>
    </row>
    <row r="77" spans="1:7" customFormat="1">
      <c r="A77" s="29" t="s">
        <v>329</v>
      </c>
      <c r="B77" s="35" t="s">
        <v>312</v>
      </c>
      <c r="C77" s="35"/>
    </row>
    <row r="78" spans="1:7" customFormat="1">
      <c r="A78" s="29" t="s">
        <v>330</v>
      </c>
      <c r="B78" s="35" t="s">
        <v>312</v>
      </c>
      <c r="C78" s="35"/>
    </row>
    <row r="79" spans="1:7" customFormat="1">
      <c r="A79" s="29" t="s">
        <v>331</v>
      </c>
      <c r="B79" s="35" t="s">
        <v>312</v>
      </c>
      <c r="C79" s="35"/>
    </row>
    <row r="80" spans="1:7" customFormat="1">
      <c r="A80" s="29" t="s">
        <v>332</v>
      </c>
      <c r="B80" s="35" t="s">
        <v>68</v>
      </c>
      <c r="C80" s="35"/>
    </row>
    <row r="81" spans="1:3" customFormat="1">
      <c r="A81" s="29" t="s">
        <v>333</v>
      </c>
      <c r="B81" s="35" t="s">
        <v>68</v>
      </c>
      <c r="C81" s="35"/>
    </row>
    <row r="82" spans="1:3" customFormat="1">
      <c r="A82" s="29" t="s">
        <v>334</v>
      </c>
      <c r="B82" s="35" t="s">
        <v>68</v>
      </c>
      <c r="C82" s="35"/>
    </row>
    <row r="83" spans="1:3" customFormat="1">
      <c r="A83" s="29" t="s">
        <v>335</v>
      </c>
      <c r="B83" s="35" t="s">
        <v>68</v>
      </c>
      <c r="C83" s="35"/>
    </row>
    <row r="84" spans="1:3" customFormat="1">
      <c r="A84" s="29" t="s">
        <v>336</v>
      </c>
      <c r="B84" s="35" t="s">
        <v>68</v>
      </c>
      <c r="C84" s="35"/>
    </row>
    <row r="85" spans="1:3" customFormat="1">
      <c r="A85" s="29" t="s">
        <v>337</v>
      </c>
      <c r="B85" s="35" t="s">
        <v>68</v>
      </c>
      <c r="C85" s="35"/>
    </row>
    <row r="86" spans="1:3" customFormat="1">
      <c r="A86" s="37" t="s">
        <v>338</v>
      </c>
      <c r="B86" s="35" t="s">
        <v>68</v>
      </c>
      <c r="C86" s="35"/>
    </row>
    <row r="87" spans="1:3" customFormat="1">
      <c r="A87" s="29" t="s">
        <v>339</v>
      </c>
      <c r="B87" s="35" t="s">
        <v>68</v>
      </c>
      <c r="C87" s="35"/>
    </row>
    <row r="88" spans="1:3" customFormat="1">
      <c r="A88" s="38" t="s">
        <v>340</v>
      </c>
      <c r="B88" s="35" t="s">
        <v>68</v>
      </c>
      <c r="C88" s="35"/>
    </row>
    <row r="89" spans="1:3" customFormat="1">
      <c r="A89" s="37" t="s">
        <v>341</v>
      </c>
      <c r="B89" s="35" t="s">
        <v>68</v>
      </c>
      <c r="C89" s="35"/>
    </row>
    <row r="90" spans="1:3" customFormat="1">
      <c r="A90" s="29" t="s">
        <v>342</v>
      </c>
      <c r="B90" s="35" t="s">
        <v>68</v>
      </c>
      <c r="C90" s="35"/>
    </row>
    <row r="91" spans="1:3" customFormat="1">
      <c r="A91" s="29" t="s">
        <v>343</v>
      </c>
      <c r="B91" s="35" t="s">
        <v>68</v>
      </c>
      <c r="C91" s="35"/>
    </row>
    <row r="92" spans="1:3" customFormat="1">
      <c r="A92" s="29" t="s">
        <v>344</v>
      </c>
      <c r="B92" s="35" t="s">
        <v>68</v>
      </c>
      <c r="C92" s="35"/>
    </row>
    <row r="93" spans="1:3" customFormat="1">
      <c r="A93" s="29" t="s">
        <v>345</v>
      </c>
      <c r="B93" s="35" t="s">
        <v>68</v>
      </c>
      <c r="C93" s="35"/>
    </row>
    <row r="94" spans="1:3" customFormat="1">
      <c r="A94" s="29" t="s">
        <v>346</v>
      </c>
      <c r="B94" s="35" t="s">
        <v>68</v>
      </c>
      <c r="C94" s="35"/>
    </row>
    <row r="95" spans="1:3" customFormat="1">
      <c r="A95" s="37" t="s">
        <v>347</v>
      </c>
      <c r="B95" s="35" t="s">
        <v>68</v>
      </c>
      <c r="C95" s="35"/>
    </row>
    <row r="96" spans="1:3" customFormat="1">
      <c r="A96" s="37" t="s">
        <v>348</v>
      </c>
      <c r="B96" s="35" t="s">
        <v>68</v>
      </c>
      <c r="C96" s="35"/>
    </row>
    <row r="97" spans="1:3" customFormat="1">
      <c r="A97" s="29" t="s">
        <v>349</v>
      </c>
      <c r="B97" s="35" t="s">
        <v>68</v>
      </c>
      <c r="C97" s="35"/>
    </row>
    <row r="98" spans="1:3" customFormat="1">
      <c r="A98" s="29" t="s">
        <v>350</v>
      </c>
      <c r="B98" s="35" t="s">
        <v>68</v>
      </c>
      <c r="C98" s="35"/>
    </row>
    <row r="99" spans="1:3" customFormat="1">
      <c r="A99" s="37" t="s">
        <v>351</v>
      </c>
      <c r="B99" s="35" t="s">
        <v>68</v>
      </c>
      <c r="C99" s="35"/>
    </row>
    <row r="100" spans="1:3" customFormat="1">
      <c r="A100" s="29" t="s">
        <v>352</v>
      </c>
      <c r="B100" s="35" t="s">
        <v>68</v>
      </c>
      <c r="C100" s="35"/>
    </row>
    <row r="101" spans="1:3" customFormat="1">
      <c r="A101" s="29" t="s">
        <v>353</v>
      </c>
      <c r="B101" s="35" t="s">
        <v>68</v>
      </c>
      <c r="C101" s="35"/>
    </row>
    <row r="102" spans="1:3" customFormat="1">
      <c r="A102" s="29" t="s">
        <v>354</v>
      </c>
      <c r="B102" s="35" t="s">
        <v>68</v>
      </c>
      <c r="C102" s="35"/>
    </row>
    <row r="103" spans="1:3" customFormat="1">
      <c r="A103" s="29" t="s">
        <v>355</v>
      </c>
      <c r="B103" s="35" t="s">
        <v>68</v>
      </c>
      <c r="C103" s="35"/>
    </row>
    <row r="104" spans="1:3" customFormat="1">
      <c r="A104" s="29" t="s">
        <v>356</v>
      </c>
      <c r="B104" s="35" t="s">
        <v>68</v>
      </c>
      <c r="C104" s="35"/>
    </row>
    <row r="105" spans="1:3" customFormat="1">
      <c r="A105" s="29" t="s">
        <v>357</v>
      </c>
      <c r="B105" s="35" t="s">
        <v>90</v>
      </c>
      <c r="C105" s="35"/>
    </row>
    <row r="106" spans="1:3" customFormat="1">
      <c r="A106" s="29" t="s">
        <v>358</v>
      </c>
      <c r="B106" s="35" t="s">
        <v>90</v>
      </c>
      <c r="C106" s="35"/>
    </row>
    <row r="107" spans="1:3" customFormat="1">
      <c r="A107" s="29" t="s">
        <v>359</v>
      </c>
      <c r="B107" s="35" t="s">
        <v>360</v>
      </c>
      <c r="C107" s="35"/>
    </row>
    <row r="108" spans="1:3" customFormat="1">
      <c r="A108" s="29" t="s">
        <v>361</v>
      </c>
      <c r="B108" s="35" t="s">
        <v>360</v>
      </c>
      <c r="C108" s="35"/>
    </row>
    <row r="109" spans="1:3" customFormat="1">
      <c r="A109" s="37" t="s">
        <v>362</v>
      </c>
      <c r="B109" s="35" t="s">
        <v>360</v>
      </c>
      <c r="C109" s="35"/>
    </row>
    <row r="110" spans="1:3" customFormat="1">
      <c r="A110" s="37" t="s">
        <v>363</v>
      </c>
      <c r="B110" s="35" t="s">
        <v>360</v>
      </c>
      <c r="C110" s="35"/>
    </row>
    <row r="111" spans="1:3" customFormat="1">
      <c r="A111" s="29" t="s">
        <v>364</v>
      </c>
      <c r="B111" s="35" t="s">
        <v>360</v>
      </c>
      <c r="C111" s="35"/>
    </row>
    <row r="112" spans="1:3" customFormat="1">
      <c r="A112" s="29" t="s">
        <v>365</v>
      </c>
      <c r="B112" s="35" t="s">
        <v>360</v>
      </c>
      <c r="C112" s="35"/>
    </row>
    <row r="113" spans="1:3" customFormat="1">
      <c r="A113" s="29" t="s">
        <v>366</v>
      </c>
      <c r="B113" s="35" t="s">
        <v>360</v>
      </c>
      <c r="C113" s="35"/>
    </row>
    <row r="114" spans="1:3" customFormat="1">
      <c r="A114" s="29" t="s">
        <v>367</v>
      </c>
      <c r="B114" s="35" t="s">
        <v>360</v>
      </c>
      <c r="C114" s="35"/>
    </row>
    <row r="115" spans="1:3" customFormat="1">
      <c r="A115" s="37" t="s">
        <v>368</v>
      </c>
      <c r="B115" s="35" t="s">
        <v>360</v>
      </c>
      <c r="C115" s="35"/>
    </row>
    <row r="116" spans="1:3" customFormat="1">
      <c r="A116" s="37" t="s">
        <v>369</v>
      </c>
      <c r="B116" s="35" t="s">
        <v>360</v>
      </c>
      <c r="C116" s="35"/>
    </row>
    <row r="117" spans="1:3" customFormat="1">
      <c r="A117" s="37" t="s">
        <v>370</v>
      </c>
      <c r="B117" s="35" t="s">
        <v>360</v>
      </c>
      <c r="C117" s="35"/>
    </row>
    <row r="118" spans="1:3" customFormat="1">
      <c r="A118" s="29" t="s">
        <v>371</v>
      </c>
      <c r="B118" s="35" t="s">
        <v>360</v>
      </c>
      <c r="C118" s="35"/>
    </row>
    <row r="119" spans="1:3" customFormat="1">
      <c r="A119" s="37" t="s">
        <v>372</v>
      </c>
      <c r="B119" s="35" t="s">
        <v>360</v>
      </c>
      <c r="C119" s="35"/>
    </row>
    <row r="120" spans="1:3" customFormat="1">
      <c r="A120" s="29" t="s">
        <v>373</v>
      </c>
      <c r="B120" s="35" t="s">
        <v>360</v>
      </c>
      <c r="C120" s="35"/>
    </row>
    <row r="121" spans="1:3" customFormat="1">
      <c r="A121" s="29" t="s">
        <v>374</v>
      </c>
      <c r="B121" s="35" t="s">
        <v>360</v>
      </c>
      <c r="C121" s="35"/>
    </row>
    <row r="122" spans="1:3" customFormat="1">
      <c r="A122" s="29" t="s">
        <v>375</v>
      </c>
      <c r="B122" s="35" t="s">
        <v>360</v>
      </c>
      <c r="C122" s="35"/>
    </row>
    <row r="123" spans="1:3" customFormat="1">
      <c r="A123" s="29" t="s">
        <v>376</v>
      </c>
      <c r="B123" s="35" t="s">
        <v>377</v>
      </c>
      <c r="C123" s="35"/>
    </row>
    <row r="124" spans="1:3" customFormat="1">
      <c r="A124" s="29" t="s">
        <v>378</v>
      </c>
      <c r="B124" s="35" t="s">
        <v>377</v>
      </c>
      <c r="C124" s="35"/>
    </row>
    <row r="125" spans="1:3" customFormat="1">
      <c r="A125" s="29" t="s">
        <v>379</v>
      </c>
      <c r="B125" s="35" t="s">
        <v>380</v>
      </c>
      <c r="C125" s="35"/>
    </row>
    <row r="126" spans="1:3" customFormat="1">
      <c r="A126" s="29" t="s">
        <v>381</v>
      </c>
      <c r="B126" s="35" t="s">
        <v>382</v>
      </c>
      <c r="C126" s="35"/>
    </row>
    <row r="127" spans="1:3" customFormat="1">
      <c r="A127" s="29" t="s">
        <v>383</v>
      </c>
      <c r="B127" s="35" t="s">
        <v>382</v>
      </c>
      <c r="C127" s="35"/>
    </row>
    <row r="128" spans="1:3" customFormat="1">
      <c r="A128" s="29" t="s">
        <v>384</v>
      </c>
      <c r="B128" s="35" t="s">
        <v>385</v>
      </c>
      <c r="C128" s="35"/>
    </row>
    <row r="129" spans="1:3" customFormat="1">
      <c r="A129" s="29" t="s">
        <v>386</v>
      </c>
      <c r="B129" s="35" t="s">
        <v>387</v>
      </c>
      <c r="C129" s="35"/>
    </row>
    <row r="130" spans="1:3" customFormat="1">
      <c r="A130" s="29" t="s">
        <v>306</v>
      </c>
      <c r="B130" s="35" t="s">
        <v>387</v>
      </c>
      <c r="C130" s="35"/>
    </row>
    <row r="131" spans="1:3" customFormat="1">
      <c r="A131" s="37" t="s">
        <v>388</v>
      </c>
      <c r="B131" s="35" t="s">
        <v>387</v>
      </c>
      <c r="C131" s="35"/>
    </row>
    <row r="132" spans="1:3" customFormat="1">
      <c r="A132" s="29" t="s">
        <v>389</v>
      </c>
      <c r="B132" s="35" t="s">
        <v>387</v>
      </c>
      <c r="C132" s="35"/>
    </row>
    <row r="133" spans="1:3" customFormat="1">
      <c r="A133" s="29" t="s">
        <v>390</v>
      </c>
      <c r="B133" s="35" t="s">
        <v>387</v>
      </c>
      <c r="C133" s="35"/>
    </row>
    <row r="134" spans="1:3" customFormat="1">
      <c r="A134" s="29" t="s">
        <v>386</v>
      </c>
      <c r="B134" s="35" t="s">
        <v>387</v>
      </c>
      <c r="C134" s="35"/>
    </row>
    <row r="135" spans="1:3" customFormat="1">
      <c r="A135" s="29" t="s">
        <v>391</v>
      </c>
      <c r="B135" s="35" t="s">
        <v>387</v>
      </c>
      <c r="C135" s="35"/>
    </row>
    <row r="136" spans="1:3" customFormat="1">
      <c r="A136" s="37" t="s">
        <v>392</v>
      </c>
      <c r="B136" s="35" t="s">
        <v>387</v>
      </c>
      <c r="C136" s="35"/>
    </row>
    <row r="137" spans="1:3" customFormat="1">
      <c r="A137" s="29" t="s">
        <v>393</v>
      </c>
      <c r="B137" s="35" t="s">
        <v>166</v>
      </c>
      <c r="C137" s="35"/>
    </row>
    <row r="138" spans="1:3" customFormat="1">
      <c r="A138" s="29" t="s">
        <v>394</v>
      </c>
      <c r="B138" s="35" t="s">
        <v>166</v>
      </c>
      <c r="C138" s="35"/>
    </row>
    <row r="139" spans="1:3" customFormat="1" ht="26.25">
      <c r="A139" s="29" t="s">
        <v>395</v>
      </c>
      <c r="B139" s="35" t="s">
        <v>396</v>
      </c>
      <c r="C139" s="35"/>
    </row>
    <row r="140" spans="1:3" customFormat="1">
      <c r="A140" s="29" t="s">
        <v>397</v>
      </c>
      <c r="B140" s="35" t="s">
        <v>166</v>
      </c>
      <c r="C140" s="35"/>
    </row>
    <row r="141" spans="1:3" customFormat="1">
      <c r="A141" s="37" t="s">
        <v>398</v>
      </c>
      <c r="B141" s="35" t="s">
        <v>83</v>
      </c>
      <c r="C141" s="35"/>
    </row>
    <row r="142" spans="1:3" customFormat="1">
      <c r="A142" s="37" t="s">
        <v>399</v>
      </c>
      <c r="B142" s="35" t="s">
        <v>83</v>
      </c>
      <c r="C142" s="35"/>
    </row>
    <row r="143" spans="1:3" customFormat="1">
      <c r="A143" s="29" t="s">
        <v>400</v>
      </c>
      <c r="B143" s="35" t="s">
        <v>83</v>
      </c>
      <c r="C143" s="35"/>
    </row>
    <row r="144" spans="1:3" customFormat="1">
      <c r="A144" s="29" t="s">
        <v>401</v>
      </c>
      <c r="B144" s="35" t="s">
        <v>83</v>
      </c>
      <c r="C144" s="35"/>
    </row>
    <row r="145" spans="1:3" customFormat="1">
      <c r="A145" s="29" t="s">
        <v>402</v>
      </c>
      <c r="B145" s="35" t="s">
        <v>83</v>
      </c>
      <c r="C145" s="35"/>
    </row>
    <row r="146" spans="1:3" customFormat="1">
      <c r="A146" s="29" t="s">
        <v>403</v>
      </c>
      <c r="B146" s="35" t="s">
        <v>83</v>
      </c>
      <c r="C146" s="35"/>
    </row>
    <row r="147" spans="1:3" customFormat="1">
      <c r="A147" s="29" t="s">
        <v>404</v>
      </c>
      <c r="B147" s="35" t="s">
        <v>83</v>
      </c>
      <c r="C147" s="35"/>
    </row>
    <row r="148" spans="1:3" customFormat="1">
      <c r="A148" s="29" t="s">
        <v>405</v>
      </c>
      <c r="B148" s="75" t="s">
        <v>83</v>
      </c>
      <c r="C148" s="75"/>
    </row>
    <row r="149" spans="1:3" customFormat="1">
      <c r="A149" s="37" t="s">
        <v>406</v>
      </c>
      <c r="B149" s="35" t="s">
        <v>407</v>
      </c>
      <c r="C149" s="35"/>
    </row>
    <row r="150" spans="1:3" customFormat="1">
      <c r="A150" s="29" t="s">
        <v>408</v>
      </c>
      <c r="B150" s="35" t="s">
        <v>407</v>
      </c>
      <c r="C150" s="35"/>
    </row>
    <row r="151" spans="1:3" customFormat="1">
      <c r="A151" s="29" t="s">
        <v>409</v>
      </c>
      <c r="B151" s="35" t="s">
        <v>407</v>
      </c>
      <c r="C151" s="35"/>
    </row>
    <row r="152" spans="1:3" customFormat="1" ht="26.25">
      <c r="A152" s="37" t="s">
        <v>410</v>
      </c>
      <c r="B152" s="35" t="s">
        <v>407</v>
      </c>
      <c r="C152" s="35"/>
    </row>
    <row r="153" spans="1:3" customFormat="1">
      <c r="A153" s="29" t="s">
        <v>411</v>
      </c>
      <c r="B153" s="35" t="s">
        <v>407</v>
      </c>
      <c r="C153" s="35"/>
    </row>
    <row r="154" spans="1:3" customFormat="1">
      <c r="A154" s="29" t="s">
        <v>412</v>
      </c>
      <c r="B154" s="35" t="s">
        <v>407</v>
      </c>
      <c r="C154" s="35"/>
    </row>
    <row r="155" spans="1:3" customFormat="1">
      <c r="A155" s="29" t="s">
        <v>413</v>
      </c>
      <c r="B155" s="35" t="s">
        <v>414</v>
      </c>
      <c r="C155" s="35"/>
    </row>
    <row r="156" spans="1:3" customFormat="1">
      <c r="A156" s="29" t="s">
        <v>415</v>
      </c>
      <c r="B156" s="35" t="s">
        <v>82</v>
      </c>
      <c r="C156" s="35"/>
    </row>
    <row r="157" spans="1:3" customFormat="1">
      <c r="A157" s="29" t="s">
        <v>416</v>
      </c>
      <c r="B157" s="35" t="s">
        <v>82</v>
      </c>
      <c r="C157" s="35"/>
    </row>
    <row r="158" spans="1:3" customFormat="1">
      <c r="A158" s="37" t="s">
        <v>417</v>
      </c>
      <c r="B158" s="35" t="s">
        <v>82</v>
      </c>
      <c r="C158" s="35"/>
    </row>
    <row r="159" spans="1:3" customFormat="1">
      <c r="A159" s="29" t="s">
        <v>418</v>
      </c>
      <c r="B159" s="35" t="s">
        <v>82</v>
      </c>
      <c r="C159" s="35"/>
    </row>
    <row r="160" spans="1:3" customFormat="1">
      <c r="A160" s="29" t="s">
        <v>419</v>
      </c>
      <c r="B160" s="35" t="s">
        <v>82</v>
      </c>
      <c r="C160" s="35"/>
    </row>
    <row r="161" spans="1:3" customFormat="1">
      <c r="A161" s="29" t="s">
        <v>420</v>
      </c>
      <c r="B161" s="35" t="s">
        <v>82</v>
      </c>
      <c r="C161" s="35"/>
    </row>
    <row r="162" spans="1:3" customFormat="1">
      <c r="A162" s="29" t="s">
        <v>421</v>
      </c>
      <c r="B162" s="35" t="s">
        <v>82</v>
      </c>
      <c r="C162" s="35"/>
    </row>
    <row r="163" spans="1:3" customFormat="1">
      <c r="A163" s="29" t="s">
        <v>422</v>
      </c>
      <c r="B163" s="35" t="s">
        <v>82</v>
      </c>
      <c r="C163" s="35"/>
    </row>
    <row r="164" spans="1:3" customFormat="1">
      <c r="A164" s="37" t="s">
        <v>423</v>
      </c>
      <c r="B164" s="35" t="s">
        <v>82</v>
      </c>
      <c r="C164" s="35"/>
    </row>
    <row r="165" spans="1:3" customFormat="1">
      <c r="A165" s="29" t="s">
        <v>424</v>
      </c>
      <c r="B165" s="35" t="s">
        <v>82</v>
      </c>
      <c r="C165" s="35"/>
    </row>
    <row r="166" spans="1:3" customFormat="1">
      <c r="A166" s="29" t="s">
        <v>425</v>
      </c>
      <c r="B166" s="35" t="s">
        <v>82</v>
      </c>
      <c r="C166" s="35"/>
    </row>
    <row r="167" spans="1:3" customFormat="1">
      <c r="A167" s="37" t="s">
        <v>426</v>
      </c>
      <c r="B167" s="35" t="s">
        <v>82</v>
      </c>
      <c r="C167" s="35"/>
    </row>
    <row r="168" spans="1:3" customFormat="1">
      <c r="A168" s="37" t="s">
        <v>427</v>
      </c>
      <c r="B168" s="35" t="s">
        <v>82</v>
      </c>
      <c r="C168" s="35"/>
    </row>
    <row r="169" spans="1:3" customFormat="1">
      <c r="A169" s="38" t="s">
        <v>428</v>
      </c>
      <c r="B169" s="35" t="s">
        <v>429</v>
      </c>
      <c r="C169" s="35"/>
    </row>
    <row r="170" spans="1:3" customFormat="1">
      <c r="A170" s="29" t="s">
        <v>430</v>
      </c>
      <c r="B170" s="35" t="s">
        <v>429</v>
      </c>
      <c r="C170" s="35"/>
    </row>
    <row r="171" spans="1:3" customFormat="1">
      <c r="A171" s="29" t="s">
        <v>431</v>
      </c>
      <c r="B171" s="35" t="s">
        <v>429</v>
      </c>
      <c r="C171" s="35"/>
    </row>
    <row r="172" spans="1:3" customFormat="1">
      <c r="A172" s="29" t="s">
        <v>432</v>
      </c>
      <c r="B172" s="35" t="s">
        <v>429</v>
      </c>
      <c r="C172" s="35"/>
    </row>
    <row r="173" spans="1:3" customFormat="1">
      <c r="A173" s="29" t="s">
        <v>433</v>
      </c>
      <c r="B173" s="35" t="s">
        <v>429</v>
      </c>
      <c r="C173" s="35"/>
    </row>
    <row r="174" spans="1:3" customFormat="1">
      <c r="A174" s="29" t="s">
        <v>434</v>
      </c>
      <c r="B174" s="35" t="s">
        <v>429</v>
      </c>
      <c r="C174" s="35"/>
    </row>
    <row r="175" spans="1:3" customFormat="1">
      <c r="A175" s="29" t="s">
        <v>435</v>
      </c>
      <c r="B175" s="35" t="s">
        <v>429</v>
      </c>
      <c r="C175" s="35"/>
    </row>
    <row r="176" spans="1:3" customFormat="1">
      <c r="A176" s="29" t="s">
        <v>436</v>
      </c>
      <c r="B176" s="35" t="s">
        <v>86</v>
      </c>
      <c r="C176" s="35"/>
    </row>
    <row r="177" spans="1:20" customFormat="1">
      <c r="A177" s="29" t="s">
        <v>437</v>
      </c>
      <c r="B177" s="35" t="s">
        <v>86</v>
      </c>
      <c r="C177" s="35"/>
    </row>
    <row r="178" spans="1:20" customFormat="1">
      <c r="A178" s="38" t="s">
        <v>438</v>
      </c>
      <c r="B178" s="35" t="s">
        <v>86</v>
      </c>
      <c r="C178" s="35"/>
    </row>
    <row r="179" spans="1:20" customFormat="1">
      <c r="A179" s="29" t="s">
        <v>439</v>
      </c>
      <c r="B179" s="35" t="s">
        <v>86</v>
      </c>
      <c r="C179" s="35"/>
    </row>
    <row r="180" spans="1:20" customFormat="1">
      <c r="A180" s="29" t="s">
        <v>440</v>
      </c>
      <c r="B180" s="35" t="s">
        <v>86</v>
      </c>
      <c r="C180" s="35"/>
    </row>
    <row r="181" spans="1:20" customFormat="1">
      <c r="A181" s="29" t="s">
        <v>441</v>
      </c>
      <c r="B181" s="35" t="s">
        <v>86</v>
      </c>
      <c r="C181" s="35"/>
    </row>
    <row r="182" spans="1:20" customFormat="1">
      <c r="A182" s="29" t="s">
        <v>442</v>
      </c>
      <c r="B182" s="35" t="s">
        <v>443</v>
      </c>
      <c r="C182" s="35"/>
    </row>
    <row r="183" spans="1:20" customFormat="1">
      <c r="A183" s="29" t="s">
        <v>444</v>
      </c>
      <c r="B183" s="35" t="s">
        <v>81</v>
      </c>
      <c r="C183" s="35"/>
    </row>
    <row r="184" spans="1:20" customFormat="1">
      <c r="A184" s="29" t="s">
        <v>445</v>
      </c>
      <c r="B184" s="35" t="s">
        <v>81</v>
      </c>
      <c r="C184" s="35"/>
    </row>
    <row r="185" spans="1:20" customFormat="1">
      <c r="A185" s="29" t="s">
        <v>446</v>
      </c>
      <c r="B185" s="35" t="s">
        <v>81</v>
      </c>
      <c r="C185" s="35"/>
    </row>
    <row r="186" spans="1:20" customFormat="1">
      <c r="A186" s="29" t="s">
        <v>447</v>
      </c>
      <c r="B186" s="35" t="s">
        <v>81</v>
      </c>
      <c r="C186" s="35"/>
    </row>
    <row r="187" spans="1:20" customFormat="1">
      <c r="A187" s="29" t="s">
        <v>448</v>
      </c>
      <c r="B187" s="35" t="s">
        <v>139</v>
      </c>
      <c r="C187" s="35"/>
    </row>
    <row r="188" spans="1:20">
      <c r="B188" s="83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T188"/>
    </row>
    <row r="189" spans="1:20">
      <c r="B189" s="83"/>
      <c r="E189"/>
      <c r="F189"/>
      <c r="G189"/>
      <c r="K189"/>
      <c r="O189"/>
      <c r="P189"/>
    </row>
    <row r="190" spans="1:20">
      <c r="B190" s="83"/>
      <c r="F190"/>
      <c r="O190"/>
      <c r="P190"/>
    </row>
    <row r="191" spans="1:20">
      <c r="B191" s="83"/>
      <c r="O191"/>
      <c r="P191"/>
    </row>
    <row r="192" spans="1:20">
      <c r="B192" s="83"/>
      <c r="O192"/>
    </row>
    <row r="193" spans="2:15">
      <c r="B193" s="83"/>
      <c r="O193"/>
    </row>
    <row r="194" spans="2:15">
      <c r="B194" s="83"/>
      <c r="O194"/>
    </row>
    <row r="195" spans="2:15">
      <c r="B195" s="83"/>
    </row>
    <row r="196" spans="2:15">
      <c r="B196" s="83"/>
    </row>
    <row r="197" spans="2:15">
      <c r="B197" s="83"/>
    </row>
    <row r="198" spans="2:15">
      <c r="B198" s="83"/>
    </row>
    <row r="199" spans="2:15">
      <c r="B199" s="83"/>
    </row>
    <row r="200" spans="2:15">
      <c r="B200" s="83"/>
    </row>
    <row r="201" spans="2:15">
      <c r="B201" s="83"/>
    </row>
    <row r="202" spans="2:15">
      <c r="B202" s="83"/>
    </row>
    <row r="203" spans="2:15">
      <c r="B203" s="83"/>
    </row>
    <row r="204" spans="2:15">
      <c r="B204" s="83"/>
    </row>
    <row r="205" spans="2:15">
      <c r="B205" s="83"/>
    </row>
    <row r="206" spans="2:15">
      <c r="B206" s="83"/>
    </row>
    <row r="207" spans="2:15">
      <c r="B207" s="83"/>
    </row>
    <row r="208" spans="2:15">
      <c r="B208" s="83"/>
    </row>
    <row r="209" spans="2:2">
      <c r="B209" s="83"/>
    </row>
    <row r="210" spans="2:2">
      <c r="B210" s="83"/>
    </row>
    <row r="211" spans="2:2">
      <c r="B211" s="83"/>
    </row>
    <row r="212" spans="2:2">
      <c r="B212" s="83"/>
    </row>
    <row r="213" spans="2:2">
      <c r="B213" s="83"/>
    </row>
    <row r="214" spans="2:2">
      <c r="B214" s="83"/>
    </row>
    <row r="215" spans="2:2">
      <c r="B215" s="83"/>
    </row>
    <row r="216" spans="2:2">
      <c r="B216" s="83"/>
    </row>
    <row r="217" spans="2:2">
      <c r="B217" s="83"/>
    </row>
    <row r="218" spans="2:2">
      <c r="B218" s="83"/>
    </row>
    <row r="219" spans="2:2">
      <c r="B219" s="83"/>
    </row>
    <row r="220" spans="2:2">
      <c r="B220" s="83"/>
    </row>
    <row r="221" spans="2:2">
      <c r="B221" s="83"/>
    </row>
    <row r="222" spans="2:2">
      <c r="B222" s="83"/>
    </row>
    <row r="223" spans="2:2">
      <c r="B223" s="83"/>
    </row>
    <row r="224" spans="2:2">
      <c r="B224" s="83"/>
    </row>
    <row r="225" spans="2:2">
      <c r="B225" s="83"/>
    </row>
    <row r="226" spans="2:2">
      <c r="B226" s="83"/>
    </row>
    <row r="227" spans="2:2">
      <c r="B227" s="83"/>
    </row>
    <row r="228" spans="2:2">
      <c r="B228" s="83"/>
    </row>
    <row r="229" spans="2:2">
      <c r="B229" s="83"/>
    </row>
    <row r="230" spans="2:2">
      <c r="B230" s="83"/>
    </row>
    <row r="231" spans="2:2">
      <c r="B231" s="83"/>
    </row>
    <row r="232" spans="2:2">
      <c r="B232" s="83"/>
    </row>
    <row r="233" spans="2:2">
      <c r="B233" s="83"/>
    </row>
    <row r="234" spans="2:2">
      <c r="B234" s="83"/>
    </row>
    <row r="235" spans="2:2">
      <c r="B235" s="83"/>
    </row>
    <row r="236" spans="2:2">
      <c r="B236" s="83"/>
    </row>
    <row r="237" spans="2:2">
      <c r="B237" s="83"/>
    </row>
    <row r="238" spans="2:2">
      <c r="B238" s="83"/>
    </row>
    <row r="239" spans="2:2">
      <c r="B239" s="83"/>
    </row>
    <row r="240" spans="2:2">
      <c r="B240" s="83"/>
    </row>
    <row r="241" spans="2:2">
      <c r="B241" s="83"/>
    </row>
    <row r="242" spans="2:2">
      <c r="B242" s="83"/>
    </row>
    <row r="243" spans="2:2">
      <c r="B243" s="83"/>
    </row>
    <row r="244" spans="2:2">
      <c r="B244" s="83"/>
    </row>
    <row r="245" spans="2:2">
      <c r="B245" s="83"/>
    </row>
    <row r="246" spans="2:2">
      <c r="B246" s="83"/>
    </row>
    <row r="247" spans="2:2">
      <c r="B247" s="83"/>
    </row>
    <row r="248" spans="2:2">
      <c r="B248" s="83"/>
    </row>
    <row r="249" spans="2:2">
      <c r="B249" s="83"/>
    </row>
    <row r="250" spans="2:2">
      <c r="B250" s="83"/>
    </row>
    <row r="251" spans="2:2">
      <c r="B251" s="83"/>
    </row>
    <row r="252" spans="2:2">
      <c r="B252" s="83"/>
    </row>
    <row r="253" spans="2:2">
      <c r="B253" s="83"/>
    </row>
    <row r="254" spans="2:2">
      <c r="B254" s="83"/>
    </row>
    <row r="255" spans="2:2">
      <c r="B255" s="83"/>
    </row>
    <row r="256" spans="2:2">
      <c r="B256" s="83"/>
    </row>
    <row r="257" spans="2:2">
      <c r="B257" s="83"/>
    </row>
    <row r="258" spans="2:2">
      <c r="B258" s="83"/>
    </row>
    <row r="259" spans="2:2">
      <c r="B259" s="83"/>
    </row>
    <row r="260" spans="2:2">
      <c r="B260" s="83"/>
    </row>
    <row r="261" spans="2:2">
      <c r="B261" s="83"/>
    </row>
    <row r="262" spans="2:2">
      <c r="B262" s="83"/>
    </row>
    <row r="263" spans="2:2">
      <c r="B263" s="83"/>
    </row>
    <row r="264" spans="2:2">
      <c r="B264" s="83"/>
    </row>
    <row r="265" spans="2:2">
      <c r="B265" s="83"/>
    </row>
    <row r="266" spans="2:2">
      <c r="B266" s="83"/>
    </row>
    <row r="267" spans="2:2">
      <c r="B267" s="83"/>
    </row>
    <row r="268" spans="2:2">
      <c r="B268" s="83"/>
    </row>
    <row r="269" spans="2:2">
      <c r="B269" s="83"/>
    </row>
    <row r="270" spans="2:2">
      <c r="B270" s="83"/>
    </row>
    <row r="271" spans="2:2">
      <c r="B271" s="83"/>
    </row>
    <row r="272" spans="2:2">
      <c r="B272" s="83"/>
    </row>
    <row r="273" spans="2:2">
      <c r="B273" s="83"/>
    </row>
  </sheetData>
  <mergeCells count="20"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12:N12"/>
    <mergeCell ref="O12:P12"/>
    <mergeCell ref="M9:N9"/>
    <mergeCell ref="O9:P9"/>
    <mergeCell ref="M10:N10"/>
    <mergeCell ref="O10:P10"/>
    <mergeCell ref="M11:N11"/>
    <mergeCell ref="O11:P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0" sqref="C30"/>
    </sheetView>
  </sheetViews>
  <sheetFormatPr defaultRowHeight="15"/>
  <cols>
    <col min="1" max="1" width="10.85546875" style="14" bestFit="1" customWidth="1"/>
    <col min="2" max="2" width="12.85546875" bestFit="1" customWidth="1"/>
    <col min="3" max="3" width="11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 GRID</vt:lpstr>
      <vt:lpstr>Financial Grid</vt:lpstr>
      <vt:lpstr>Sectorwise P&amp;L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UPF-8</cp:lastModifiedBy>
  <dcterms:created xsi:type="dcterms:W3CDTF">2015-07-28T06:46:26Z</dcterms:created>
  <dcterms:modified xsi:type="dcterms:W3CDTF">2015-08-24T11:24:46Z</dcterms:modified>
</cp:coreProperties>
</file>