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ža\Documents\GitHub\Diplomska-naloga-\"/>
    </mc:Choice>
  </mc:AlternateContent>
  <xr:revisionPtr revIDLastSave="0" documentId="13_ncr:1_{2CB0E7DF-77DB-44FA-9007-5CA4AC495FD3}" xr6:coauthVersionLast="41" xr6:coauthVersionMax="41" xr10:uidLastSave="{00000000-0000-0000-0000-000000000000}"/>
  <bookViews>
    <workbookView xWindow="-108" yWindow="-108" windowWidth="23256" windowHeight="12576" xr2:uid="{DFF5E5EB-98C6-4DCE-99E8-9DDCC6797E31}"/>
  </bookViews>
  <sheets>
    <sheet name="FCF" sheetId="1" r:id="rId1"/>
    <sheet name="PRIMERJAVA S PODJETJI" sheetId="10" r:id="rId2"/>
    <sheet name="AKTIVA" sheetId="2" r:id="rId3"/>
    <sheet name="PASIVA" sheetId="3" r:id="rId4"/>
    <sheet name="NALOŽBE" sheetId="4" r:id="rId5"/>
    <sheet name="STARE AMORT. IN INVEST." sheetId="5" r:id="rId6"/>
    <sheet name="MAKRO ANALIZA" sheetId="7" r:id="rId7"/>
    <sheet name="KAZALNIKI" sheetId="11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6" i="2" l="1"/>
  <c r="G2" i="1"/>
  <c r="H14" i="4" l="1"/>
  <c r="I14" i="4"/>
  <c r="J14" i="4"/>
  <c r="K14" i="4"/>
  <c r="G14" i="4"/>
  <c r="C51" i="10" l="1"/>
  <c r="D51" i="10"/>
  <c r="E51" i="10"/>
  <c r="F51" i="10"/>
  <c r="B51" i="10"/>
  <c r="C50" i="10"/>
  <c r="D50" i="10"/>
  <c r="E50" i="10"/>
  <c r="F50" i="10"/>
  <c r="B50" i="10"/>
  <c r="B3" i="10"/>
  <c r="C49" i="10"/>
  <c r="D49" i="10"/>
  <c r="E49" i="10"/>
  <c r="F49" i="10"/>
  <c r="B49" i="10"/>
  <c r="B25" i="10"/>
  <c r="C48" i="10"/>
  <c r="D48" i="10"/>
  <c r="E48" i="10"/>
  <c r="F48" i="10"/>
  <c r="B48" i="10"/>
  <c r="B36" i="10"/>
  <c r="I72" i="1"/>
  <c r="H72" i="1"/>
  <c r="G72" i="1"/>
  <c r="G70" i="1" s="1"/>
  <c r="G71" i="1"/>
  <c r="H71" i="1"/>
  <c r="I71" i="1"/>
  <c r="J71" i="1"/>
  <c r="K71" i="1"/>
  <c r="H121" i="5"/>
  <c r="I121" i="5"/>
  <c r="J121" i="5"/>
  <c r="K121" i="5"/>
  <c r="G121" i="5"/>
  <c r="C120" i="5" l="1"/>
  <c r="D120" i="5"/>
  <c r="E120" i="5"/>
  <c r="F120" i="5"/>
  <c r="B120" i="5"/>
  <c r="B14" i="5"/>
  <c r="C14" i="5"/>
  <c r="D14" i="5"/>
  <c r="E14" i="5"/>
  <c r="F14" i="5"/>
  <c r="B17" i="5"/>
  <c r="C17" i="5"/>
  <c r="D17" i="5"/>
  <c r="E17" i="5"/>
  <c r="F17" i="5"/>
  <c r="C71" i="11"/>
  <c r="D71" i="11"/>
  <c r="E71" i="11"/>
  <c r="F71" i="11"/>
  <c r="B71" i="11"/>
  <c r="C70" i="11"/>
  <c r="D70" i="11"/>
  <c r="E70" i="11"/>
  <c r="F70" i="11"/>
  <c r="B70" i="11"/>
  <c r="H70" i="1" l="1"/>
  <c r="H53" i="5"/>
  <c r="I53" i="5"/>
  <c r="J53" i="5"/>
  <c r="K53" i="5"/>
  <c r="G53" i="5"/>
  <c r="H169" i="5"/>
  <c r="I169" i="5"/>
  <c r="J169" i="5"/>
  <c r="K169" i="5"/>
  <c r="G169" i="5"/>
  <c r="H157" i="5"/>
  <c r="I157" i="5"/>
  <c r="J157" i="5"/>
  <c r="K157" i="5"/>
  <c r="G157" i="5"/>
  <c r="H145" i="5"/>
  <c r="I145" i="5"/>
  <c r="J145" i="5"/>
  <c r="K145" i="5"/>
  <c r="G145" i="5"/>
  <c r="H133" i="5"/>
  <c r="I133" i="5"/>
  <c r="J133" i="5"/>
  <c r="K133" i="5"/>
  <c r="G133" i="5"/>
  <c r="H101" i="5"/>
  <c r="I101" i="5"/>
  <c r="J101" i="5"/>
  <c r="K101" i="5"/>
  <c r="J99" i="5"/>
  <c r="J72" i="1" l="1"/>
  <c r="I70" i="1"/>
  <c r="H102" i="5"/>
  <c r="I102" i="5"/>
  <c r="J102" i="5"/>
  <c r="K102" i="5"/>
  <c r="G102" i="5"/>
  <c r="H106" i="5"/>
  <c r="I106" i="5"/>
  <c r="J106" i="5"/>
  <c r="K106" i="5"/>
  <c r="G106" i="5"/>
  <c r="H105" i="5"/>
  <c r="I105" i="5"/>
  <c r="J105" i="5"/>
  <c r="K105" i="5"/>
  <c r="G105" i="5"/>
  <c r="H104" i="5"/>
  <c r="I104" i="5"/>
  <c r="J104" i="5"/>
  <c r="K104" i="5"/>
  <c r="G104" i="5"/>
  <c r="G101" i="5"/>
  <c r="H99" i="5"/>
  <c r="I99" i="5"/>
  <c r="G99" i="5"/>
  <c r="F102" i="5"/>
  <c r="F99" i="5"/>
  <c r="K72" i="1" l="1"/>
  <c r="K70" i="1" s="1"/>
  <c r="J70" i="1"/>
  <c r="G20" i="3"/>
  <c r="C65" i="1"/>
  <c r="D65" i="1"/>
  <c r="E65" i="1"/>
  <c r="K65" i="1"/>
  <c r="B65" i="1"/>
  <c r="C48" i="4"/>
  <c r="D48" i="4"/>
  <c r="E48" i="4"/>
  <c r="B48" i="4"/>
  <c r="C47" i="4"/>
  <c r="D47" i="4"/>
  <c r="E47" i="4"/>
  <c r="B47" i="4"/>
  <c r="C46" i="4"/>
  <c r="D46" i="4"/>
  <c r="E46" i="4"/>
  <c r="B46" i="4"/>
  <c r="C44" i="4"/>
  <c r="C45" i="4" s="1"/>
  <c r="D44" i="4"/>
  <c r="E44" i="4"/>
  <c r="F44" i="4"/>
  <c r="B44" i="4"/>
  <c r="B45" i="4" s="1"/>
  <c r="D45" i="4"/>
  <c r="E45" i="4"/>
  <c r="F45" i="4"/>
  <c r="D53" i="1"/>
  <c r="E53" i="1"/>
  <c r="F53" i="1"/>
  <c r="C53" i="1"/>
  <c r="C40" i="4"/>
  <c r="D40" i="4"/>
  <c r="E40" i="4"/>
  <c r="F40" i="4"/>
  <c r="B40" i="4"/>
  <c r="D35" i="10"/>
  <c r="E35" i="10"/>
  <c r="F35" i="10"/>
  <c r="C35" i="10"/>
  <c r="D24" i="10"/>
  <c r="E24" i="10"/>
  <c r="F24" i="10"/>
  <c r="C24" i="10"/>
  <c r="D13" i="10"/>
  <c r="E13" i="10"/>
  <c r="F13" i="10"/>
  <c r="C13" i="10"/>
  <c r="F46" i="1" l="1"/>
  <c r="E46" i="1"/>
  <c r="D46" i="1"/>
  <c r="C46" i="1"/>
  <c r="B46" i="1"/>
  <c r="B45" i="1"/>
  <c r="C45" i="1"/>
  <c r="D45" i="1"/>
  <c r="E45" i="1"/>
  <c r="F45" i="1"/>
  <c r="H20" i="1"/>
  <c r="I20" i="1"/>
  <c r="J20" i="1"/>
  <c r="K20" i="1"/>
  <c r="G20" i="1"/>
  <c r="D73" i="1"/>
  <c r="E73" i="1"/>
  <c r="F73" i="1"/>
  <c r="C73" i="1"/>
  <c r="C72" i="1"/>
  <c r="D72" i="1"/>
  <c r="E72" i="1"/>
  <c r="F72" i="1"/>
  <c r="B72" i="1"/>
  <c r="H23" i="3" l="1"/>
  <c r="I23" i="3"/>
  <c r="J23" i="3"/>
  <c r="K23" i="3"/>
  <c r="G23" i="3"/>
  <c r="G51" i="1" s="1"/>
  <c r="H20" i="3"/>
  <c r="I20" i="3"/>
  <c r="J20" i="3"/>
  <c r="K20" i="3"/>
  <c r="H51" i="1"/>
  <c r="I51" i="1"/>
  <c r="J51" i="1"/>
  <c r="K51" i="1"/>
  <c r="H33" i="4"/>
  <c r="I33" i="4"/>
  <c r="J33" i="4"/>
  <c r="K33" i="4"/>
  <c r="G33" i="4"/>
  <c r="H50" i="1" l="1"/>
  <c r="G50" i="1"/>
  <c r="F86" i="7" l="1"/>
  <c r="E85" i="7"/>
  <c r="C58" i="11" l="1"/>
  <c r="D58" i="11"/>
  <c r="E58" i="11"/>
  <c r="F58" i="11"/>
  <c r="B58" i="11"/>
  <c r="B64" i="11"/>
  <c r="C55" i="11"/>
  <c r="D55" i="11"/>
  <c r="E55" i="11"/>
  <c r="F55" i="11"/>
  <c r="B55" i="11"/>
  <c r="B61" i="11"/>
  <c r="C49" i="11"/>
  <c r="D49" i="11"/>
  <c r="E49" i="11"/>
  <c r="F49" i="11"/>
  <c r="B49" i="11"/>
  <c r="C28" i="11"/>
  <c r="D28" i="11"/>
  <c r="E28" i="11"/>
  <c r="F28" i="11"/>
  <c r="B28" i="11"/>
  <c r="B29" i="11" s="1"/>
  <c r="E29" i="11" l="1"/>
  <c r="E30" i="11"/>
  <c r="C29" i="11"/>
  <c r="C31" i="11" s="1"/>
  <c r="C30" i="11"/>
  <c r="F29" i="11"/>
  <c r="F31" i="11" s="1"/>
  <c r="F30" i="11"/>
  <c r="D29" i="11"/>
  <c r="D31" i="11" s="1"/>
  <c r="D30" i="11"/>
  <c r="C21" i="11"/>
  <c r="D21" i="11"/>
  <c r="E21" i="11"/>
  <c r="F21" i="11"/>
  <c r="C22" i="11"/>
  <c r="C42" i="11" s="1"/>
  <c r="D22" i="11"/>
  <c r="D42" i="11" s="1"/>
  <c r="E22" i="11"/>
  <c r="E42" i="11" s="1"/>
  <c r="F22" i="11"/>
  <c r="F42" i="11" s="1"/>
  <c r="B22" i="11"/>
  <c r="B42" i="11" s="1"/>
  <c r="B21" i="11"/>
  <c r="E31" i="11" l="1"/>
  <c r="E23" i="11"/>
  <c r="E36" i="11"/>
  <c r="E39" i="11"/>
  <c r="B23" i="11"/>
  <c r="B39" i="11"/>
  <c r="B36" i="11"/>
  <c r="D23" i="11"/>
  <c r="D39" i="11"/>
  <c r="D36" i="11"/>
  <c r="C23" i="11"/>
  <c r="C39" i="11"/>
  <c r="C36" i="11"/>
  <c r="F39" i="11"/>
  <c r="F36" i="11"/>
  <c r="F23" i="11"/>
  <c r="B14" i="11"/>
  <c r="B4" i="11"/>
  <c r="C14" i="11"/>
  <c r="C4" i="11"/>
  <c r="D14" i="11"/>
  <c r="D4" i="11"/>
  <c r="B15" i="11"/>
  <c r="B13" i="11"/>
  <c r="C15" i="11"/>
  <c r="C13" i="11"/>
  <c r="D13" i="11"/>
  <c r="D15" i="11"/>
  <c r="F64" i="1" l="1"/>
  <c r="E64" i="1"/>
  <c r="D64" i="1"/>
  <c r="C64" i="1"/>
  <c r="B64" i="1"/>
  <c r="B66" i="1" s="1"/>
  <c r="G63" i="5"/>
  <c r="D41" i="4" l="1"/>
  <c r="D66" i="1" s="1"/>
  <c r="E41" i="4"/>
  <c r="E66" i="1" s="1"/>
  <c r="F41" i="4"/>
  <c r="C41" i="4"/>
  <c r="C66" i="1" s="1"/>
  <c r="C63" i="1"/>
  <c r="D63" i="1"/>
  <c r="E63" i="1"/>
  <c r="F63" i="1"/>
  <c r="B63" i="1"/>
  <c r="H63" i="5"/>
  <c r="C58" i="5"/>
  <c r="D58" i="5"/>
  <c r="E58" i="5"/>
  <c r="F58" i="5"/>
  <c r="B58" i="5"/>
  <c r="C57" i="5"/>
  <c r="D57" i="5"/>
  <c r="E57" i="5"/>
  <c r="F57" i="5"/>
  <c r="B57" i="5"/>
  <c r="C56" i="5"/>
  <c r="D56" i="5"/>
  <c r="E56" i="5"/>
  <c r="F56" i="5"/>
  <c r="B56" i="5"/>
  <c r="C54" i="5"/>
  <c r="D54" i="5"/>
  <c r="E54" i="5"/>
  <c r="F54" i="5"/>
  <c r="B54" i="5"/>
  <c r="C53" i="5"/>
  <c r="D53" i="5"/>
  <c r="E53" i="5"/>
  <c r="F53" i="5"/>
  <c r="B53" i="5"/>
  <c r="C51" i="5"/>
  <c r="D51" i="5"/>
  <c r="E51" i="5"/>
  <c r="F51" i="5"/>
  <c r="B51" i="5"/>
  <c r="C66" i="5"/>
  <c r="D66" i="5"/>
  <c r="E66" i="5"/>
  <c r="F66" i="5"/>
  <c r="B66" i="5"/>
  <c r="C63" i="5"/>
  <c r="D63" i="5"/>
  <c r="E63" i="5"/>
  <c r="F63" i="5"/>
  <c r="B63" i="5"/>
  <c r="H36" i="2"/>
  <c r="I36" i="2"/>
  <c r="I50" i="1" s="1"/>
  <c r="J36" i="2"/>
  <c r="J50" i="1" s="1"/>
  <c r="K36" i="2"/>
  <c r="K50" i="1" s="1"/>
  <c r="G36" i="2"/>
  <c r="F87" i="7"/>
  <c r="E87" i="7"/>
  <c r="D87" i="7"/>
  <c r="C87" i="7"/>
  <c r="B87" i="7"/>
  <c r="E86" i="7"/>
  <c r="D86" i="7"/>
  <c r="D18" i="1"/>
  <c r="E18" i="1"/>
  <c r="F18" i="1"/>
  <c r="C18" i="1"/>
  <c r="F85" i="7"/>
  <c r="D85" i="7"/>
  <c r="D43" i="10"/>
  <c r="E43" i="10"/>
  <c r="F43" i="10"/>
  <c r="C43" i="10"/>
  <c r="C42" i="10"/>
  <c r="D42" i="10"/>
  <c r="E42" i="10"/>
  <c r="F42" i="10"/>
  <c r="B42" i="10"/>
  <c r="C16" i="2"/>
  <c r="D16" i="2"/>
  <c r="E16" i="2"/>
  <c r="F16" i="2"/>
  <c r="B16" i="2"/>
  <c r="C41" i="10"/>
  <c r="D41" i="10"/>
  <c r="E41" i="10"/>
  <c r="F41" i="10"/>
  <c r="D25" i="1"/>
  <c r="E25" i="1"/>
  <c r="F25" i="1"/>
  <c r="C25" i="1"/>
  <c r="C24" i="1"/>
  <c r="D24" i="1"/>
  <c r="E24" i="1"/>
  <c r="F24" i="1"/>
  <c r="B24" i="1"/>
  <c r="C40" i="10"/>
  <c r="D40" i="10"/>
  <c r="E40" i="10"/>
  <c r="F40" i="10"/>
  <c r="C39" i="1"/>
  <c r="D39" i="1"/>
  <c r="E39" i="1"/>
  <c r="F39" i="1"/>
  <c r="F39" i="10"/>
  <c r="E39" i="10"/>
  <c r="D39" i="10"/>
  <c r="C39" i="10"/>
  <c r="D8" i="10"/>
  <c r="E8" i="10"/>
  <c r="F8" i="10"/>
  <c r="C8" i="10"/>
  <c r="F20" i="10"/>
  <c r="E20" i="10"/>
  <c r="E22" i="10" s="1"/>
  <c r="D20" i="10"/>
  <c r="D22" i="10" s="1"/>
  <c r="C20" i="10"/>
  <c r="C22" i="10" s="1"/>
  <c r="B20" i="10"/>
  <c r="D30" i="10"/>
  <c r="E30" i="10"/>
  <c r="F30" i="10"/>
  <c r="C30" i="10"/>
  <c r="D28" i="10"/>
  <c r="E28" i="10"/>
  <c r="F28" i="10"/>
  <c r="C28" i="10"/>
  <c r="F31" i="10"/>
  <c r="F33" i="10" s="1"/>
  <c r="E31" i="10"/>
  <c r="E33" i="10" s="1"/>
  <c r="D31" i="10"/>
  <c r="D33" i="10" s="1"/>
  <c r="C31" i="10"/>
  <c r="C33" i="10" s="1"/>
  <c r="B31" i="10"/>
  <c r="B33" i="10" s="1"/>
  <c r="D19" i="10"/>
  <c r="E19" i="10"/>
  <c r="F19" i="10"/>
  <c r="C19" i="10"/>
  <c r="D17" i="10"/>
  <c r="E17" i="10"/>
  <c r="F17" i="10"/>
  <c r="C17" i="10"/>
  <c r="F22" i="10"/>
  <c r="F32" i="10" l="1"/>
  <c r="D32" i="10"/>
  <c r="E32" i="10"/>
  <c r="C32" i="10"/>
  <c r="D21" i="10"/>
  <c r="C21" i="10"/>
  <c r="B22" i="10"/>
  <c r="F21" i="10"/>
  <c r="E21" i="10"/>
  <c r="C6" i="10"/>
  <c r="D6" i="10"/>
  <c r="E6" i="10"/>
  <c r="F6" i="10"/>
  <c r="C10" i="10"/>
  <c r="D10" i="10"/>
  <c r="E10" i="10"/>
  <c r="F10" i="10"/>
  <c r="B11" i="10"/>
  <c r="C11" i="10"/>
  <c r="D11" i="10"/>
  <c r="F11" i="10"/>
  <c r="E11" i="10"/>
  <c r="D59" i="1" l="1"/>
  <c r="E59" i="1"/>
  <c r="F59" i="1"/>
  <c r="C59" i="1"/>
  <c r="G4" i="1"/>
  <c r="H4" i="1" s="1"/>
  <c r="I4" i="1" s="1"/>
  <c r="J4" i="1" s="1"/>
  <c r="K4" i="1" s="1"/>
  <c r="D7" i="1" l="1"/>
  <c r="E7" i="1"/>
  <c r="F7" i="1"/>
  <c r="C7" i="1"/>
  <c r="D5" i="1"/>
  <c r="E5" i="1"/>
  <c r="F5" i="1"/>
  <c r="C5" i="1"/>
  <c r="D3" i="1"/>
  <c r="E3" i="1"/>
  <c r="F3" i="1"/>
  <c r="C3" i="1"/>
  <c r="C25" i="5"/>
  <c r="D25" i="5"/>
  <c r="B25" i="5"/>
  <c r="C41" i="5"/>
  <c r="D41" i="5"/>
  <c r="E41" i="5"/>
  <c r="F41" i="5"/>
  <c r="B41" i="5"/>
  <c r="C38" i="5"/>
  <c r="D38" i="5"/>
  <c r="E38" i="5"/>
  <c r="F38" i="5"/>
  <c r="B38" i="5"/>
  <c r="F31" i="5"/>
  <c r="F32" i="5"/>
  <c r="E31" i="5"/>
  <c r="E28" i="5" s="1"/>
  <c r="E32" i="5"/>
  <c r="D31" i="5"/>
  <c r="D32" i="5"/>
  <c r="D28" i="5" s="1"/>
  <c r="C31" i="5"/>
  <c r="C32" i="5"/>
  <c r="B31" i="5"/>
  <c r="B32" i="5"/>
  <c r="C30" i="5"/>
  <c r="C28" i="5" s="1"/>
  <c r="D30" i="5"/>
  <c r="E30" i="5"/>
  <c r="F30" i="5"/>
  <c r="F28" i="5" s="1"/>
  <c r="B30" i="5"/>
  <c r="B28" i="5" s="1"/>
  <c r="C27" i="5"/>
  <c r="D27" i="5"/>
  <c r="E27" i="5"/>
  <c r="E25" i="5" s="1"/>
  <c r="F27" i="5"/>
  <c r="F25" i="5" s="1"/>
  <c r="B27" i="5"/>
  <c r="C6" i="5"/>
  <c r="D6" i="5"/>
  <c r="E6" i="5"/>
  <c r="F6" i="5"/>
  <c r="B6" i="5"/>
  <c r="C3" i="5"/>
  <c r="D3" i="5"/>
  <c r="E3" i="5"/>
  <c r="F3" i="5"/>
  <c r="B3" i="5"/>
  <c r="C15" i="2"/>
  <c r="D15" i="2"/>
  <c r="E15" i="2"/>
  <c r="F15" i="2"/>
  <c r="B15" i="2"/>
  <c r="C13" i="2"/>
  <c r="D13" i="2"/>
  <c r="E13" i="2"/>
  <c r="F13" i="2"/>
  <c r="B13" i="2"/>
  <c r="C14" i="2"/>
  <c r="D14" i="2"/>
  <c r="E14" i="2"/>
  <c r="F14" i="2"/>
  <c r="B14" i="2"/>
  <c r="C12" i="2"/>
  <c r="D12" i="2"/>
  <c r="E12" i="2"/>
  <c r="F12" i="2"/>
  <c r="B12" i="2"/>
  <c r="C33" i="1"/>
  <c r="D33" i="1"/>
  <c r="E33" i="1"/>
  <c r="F33" i="1"/>
  <c r="B33" i="1"/>
  <c r="C32" i="1"/>
  <c r="D32" i="1"/>
  <c r="E32" i="1"/>
  <c r="F32" i="1"/>
  <c r="B32" i="1"/>
  <c r="C31" i="1"/>
  <c r="D31" i="1"/>
  <c r="E31" i="1"/>
  <c r="F31" i="1"/>
  <c r="B31" i="1"/>
  <c r="D65" i="5" l="1"/>
  <c r="E70" i="5"/>
  <c r="E68" i="5"/>
  <c r="E69" i="5"/>
  <c r="B65" i="5"/>
  <c r="C65" i="5"/>
  <c r="D70" i="5"/>
  <c r="D68" i="5"/>
  <c r="D69" i="5"/>
  <c r="F65" i="5"/>
  <c r="B68" i="5"/>
  <c r="B70" i="5"/>
  <c r="B69" i="5"/>
  <c r="C70" i="5"/>
  <c r="C68" i="5"/>
  <c r="C69" i="5"/>
  <c r="E65" i="5"/>
  <c r="F69" i="5"/>
  <c r="F70" i="5"/>
  <c r="F68" i="5"/>
  <c r="E62" i="1"/>
  <c r="C58" i="1"/>
  <c r="C62" i="1" s="1"/>
  <c r="D58" i="1"/>
  <c r="D62" i="1" s="1"/>
  <c r="E58" i="1"/>
  <c r="F58" i="1"/>
  <c r="F62" i="1" s="1"/>
  <c r="B58" i="1"/>
  <c r="B62" i="1" s="1"/>
  <c r="C36" i="4" l="1"/>
  <c r="D36" i="4"/>
  <c r="E36" i="4"/>
  <c r="F36" i="4"/>
  <c r="B36" i="4"/>
  <c r="C35" i="4"/>
  <c r="D35" i="4"/>
  <c r="E35" i="4"/>
  <c r="F35" i="4"/>
  <c r="B35" i="4"/>
  <c r="C34" i="4"/>
  <c r="D34" i="4"/>
  <c r="E34" i="4"/>
  <c r="F34" i="4"/>
  <c r="B34" i="4"/>
  <c r="C33" i="4"/>
  <c r="D33" i="4"/>
  <c r="E33" i="4"/>
  <c r="F33" i="4"/>
  <c r="B33" i="4"/>
  <c r="C32" i="4"/>
  <c r="D32" i="4"/>
  <c r="E32" i="4"/>
  <c r="F32" i="4"/>
  <c r="B32" i="4"/>
  <c r="C28" i="4"/>
  <c r="D28" i="4"/>
  <c r="E28" i="4"/>
  <c r="F28" i="4"/>
  <c r="B28" i="4"/>
  <c r="C14" i="4"/>
  <c r="D14" i="4"/>
  <c r="E14" i="4"/>
  <c r="F14" i="4"/>
  <c r="B14" i="4"/>
  <c r="C13" i="4"/>
  <c r="D13" i="4"/>
  <c r="E13" i="4"/>
  <c r="F13" i="4"/>
  <c r="B13" i="4"/>
  <c r="C12" i="4"/>
  <c r="D12" i="4"/>
  <c r="E12" i="4"/>
  <c r="F12" i="4"/>
  <c r="B12" i="4"/>
  <c r="C11" i="4"/>
  <c r="D11" i="4"/>
  <c r="E11" i="4"/>
  <c r="F11" i="4"/>
  <c r="B11" i="4"/>
  <c r="C10" i="4"/>
  <c r="D10" i="4"/>
  <c r="E10" i="4"/>
  <c r="F10" i="4"/>
  <c r="B10" i="4"/>
  <c r="F19" i="4"/>
  <c r="E19" i="4"/>
  <c r="C19" i="4"/>
  <c r="D18" i="4"/>
  <c r="D19" i="4" s="1"/>
  <c r="C18" i="4"/>
  <c r="B18" i="4"/>
  <c r="B19" i="4" s="1"/>
  <c r="F5" i="4" l="1"/>
  <c r="E5" i="4"/>
  <c r="D5" i="4"/>
  <c r="C5" i="4"/>
  <c r="C6" i="4" s="1"/>
  <c r="B5" i="4"/>
  <c r="D6" i="4"/>
  <c r="E6" i="4"/>
  <c r="F6" i="4"/>
  <c r="B6" i="4"/>
  <c r="C23" i="3"/>
  <c r="D23" i="3"/>
  <c r="E23" i="3"/>
  <c r="F23" i="3"/>
  <c r="B23" i="3"/>
  <c r="C22" i="3"/>
  <c r="D22" i="3"/>
  <c r="E22" i="3"/>
  <c r="F22" i="3"/>
  <c r="B22" i="3"/>
  <c r="C21" i="3"/>
  <c r="D21" i="3"/>
  <c r="E21" i="3"/>
  <c r="F21" i="3"/>
  <c r="B21" i="3"/>
  <c r="C20" i="3"/>
  <c r="D20" i="3"/>
  <c r="E20" i="3"/>
  <c r="F20" i="3"/>
  <c r="B20" i="3"/>
  <c r="C19" i="3"/>
  <c r="D19" i="3"/>
  <c r="E19" i="3"/>
  <c r="F19" i="3"/>
  <c r="B19" i="3"/>
  <c r="C18" i="3"/>
  <c r="D18" i="3"/>
  <c r="E18" i="3"/>
  <c r="F18" i="3"/>
  <c r="B18" i="3"/>
  <c r="F14" i="3"/>
  <c r="E14" i="3"/>
  <c r="C14" i="3"/>
  <c r="D13" i="3"/>
  <c r="D14" i="3" s="1"/>
  <c r="C13" i="3"/>
  <c r="B13" i="3"/>
  <c r="B14" i="3" s="1"/>
  <c r="F24" i="2"/>
  <c r="F36" i="2" s="1"/>
  <c r="E24" i="2"/>
  <c r="E35" i="2" s="1"/>
  <c r="B24" i="2"/>
  <c r="B33" i="2" s="1"/>
  <c r="D23" i="2"/>
  <c r="D24" i="2" s="1"/>
  <c r="C23" i="2"/>
  <c r="C24" i="2" s="1"/>
  <c r="B23" i="2"/>
  <c r="D10" i="2"/>
  <c r="C10" i="2"/>
  <c r="B10" i="2"/>
  <c r="C4" i="3"/>
  <c r="B4" i="3"/>
  <c r="C3" i="3"/>
  <c r="C7" i="3"/>
  <c r="B7" i="3"/>
  <c r="D3" i="3"/>
  <c r="D2" i="3"/>
  <c r="E3" i="3"/>
  <c r="C8" i="2"/>
  <c r="B8" i="2"/>
  <c r="B34" i="2" s="1"/>
  <c r="B3" i="2"/>
  <c r="C3" i="2"/>
  <c r="C29" i="2" s="1"/>
  <c r="D3" i="2"/>
  <c r="E3" i="2"/>
  <c r="E29" i="2" s="1"/>
  <c r="E47" i="1"/>
  <c r="F47" i="1"/>
  <c r="D47" i="1"/>
  <c r="C21" i="1"/>
  <c r="B21" i="1"/>
  <c r="D23" i="1"/>
  <c r="C23" i="1"/>
  <c r="B23" i="1"/>
  <c r="F13" i="1"/>
  <c r="E13" i="1"/>
  <c r="F33" i="2" l="1"/>
  <c r="D36" i="2"/>
  <c r="D29" i="2"/>
  <c r="B36" i="2"/>
  <c r="B30" i="2"/>
  <c r="B29" i="2"/>
  <c r="F29" i="2"/>
  <c r="C33" i="2"/>
  <c r="C35" i="2"/>
  <c r="C30" i="2"/>
  <c r="C32" i="2"/>
  <c r="C28" i="2"/>
  <c r="C31" i="2"/>
  <c r="C34" i="2"/>
  <c r="C36" i="2"/>
  <c r="D34" i="2"/>
  <c r="D30" i="2"/>
  <c r="D32" i="2"/>
  <c r="D35" i="2"/>
  <c r="D33" i="2"/>
  <c r="D28" i="2"/>
  <c r="D31" i="2"/>
  <c r="E28" i="2"/>
  <c r="E36" i="2"/>
  <c r="F30" i="2"/>
  <c r="E33" i="2"/>
  <c r="B35" i="2"/>
  <c r="B28" i="2"/>
  <c r="E30" i="2"/>
  <c r="F31" i="2"/>
  <c r="B32" i="2"/>
  <c r="E34" i="2"/>
  <c r="F35" i="2"/>
  <c r="E32" i="2"/>
  <c r="B31" i="2"/>
  <c r="F34" i="2"/>
  <c r="F28" i="2"/>
  <c r="E31" i="2"/>
  <c r="F32" i="2"/>
  <c r="B47" i="1"/>
  <c r="C47" i="1"/>
  <c r="E6" i="1" l="1"/>
  <c r="F6" i="1"/>
  <c r="D4" i="1"/>
  <c r="D6" i="1" s="1"/>
  <c r="C4" i="1"/>
  <c r="C6" i="1" s="1"/>
  <c r="B4" i="1"/>
  <c r="B6" i="1" s="1"/>
  <c r="B52" i="1" s="1"/>
  <c r="F51" i="1" l="1"/>
  <c r="F50" i="1"/>
  <c r="F52" i="1"/>
  <c r="C50" i="1"/>
  <c r="C51" i="1"/>
  <c r="B50" i="1"/>
  <c r="B51" i="1"/>
  <c r="E51" i="1"/>
  <c r="E50" i="1"/>
  <c r="E52" i="1"/>
  <c r="D52" i="1"/>
  <c r="D51" i="1"/>
  <c r="D50" i="1"/>
  <c r="C52" i="1"/>
  <c r="D29" i="1"/>
  <c r="D37" i="1"/>
  <c r="D36" i="1"/>
  <c r="D35" i="1"/>
  <c r="D38" i="1"/>
  <c r="F36" i="1"/>
  <c r="F35" i="1"/>
  <c r="F38" i="1"/>
  <c r="F29" i="1"/>
  <c r="F37" i="1"/>
  <c r="C37" i="1"/>
  <c r="C36" i="1"/>
  <c r="C35" i="1"/>
  <c r="C29" i="1"/>
  <c r="C38" i="1"/>
  <c r="B37" i="1"/>
  <c r="B35" i="1"/>
  <c r="B39" i="1" s="1"/>
  <c r="B40" i="10" s="1"/>
  <c r="B38" i="1"/>
  <c r="B29" i="1"/>
  <c r="B36" i="1"/>
  <c r="E35" i="1"/>
  <c r="E38" i="1"/>
  <c r="E37" i="1"/>
  <c r="E36" i="1"/>
  <c r="E29" i="1"/>
  <c r="G6" i="1"/>
  <c r="H2" i="1" l="1"/>
  <c r="I2" i="1" s="1"/>
  <c r="G17" i="1"/>
  <c r="G17" i="5"/>
  <c r="G14" i="5"/>
  <c r="G21" i="1"/>
  <c r="J2" i="1"/>
  <c r="I6" i="1"/>
  <c r="G4" i="4"/>
  <c r="G25" i="4"/>
  <c r="H6" i="1"/>
  <c r="G23" i="1"/>
  <c r="G7" i="2"/>
  <c r="G46" i="1"/>
  <c r="G3" i="3"/>
  <c r="G2" i="3"/>
  <c r="G35" i="1"/>
  <c r="G8" i="2"/>
  <c r="G10" i="2"/>
  <c r="G6" i="3"/>
  <c r="G5" i="4"/>
  <c r="G3" i="2"/>
  <c r="G24" i="4"/>
  <c r="G7" i="1"/>
  <c r="G4" i="2"/>
  <c r="G15" i="1"/>
  <c r="G9" i="2"/>
  <c r="G26" i="4"/>
  <c r="G5" i="3"/>
  <c r="G6" i="2"/>
  <c r="G40" i="4" s="1"/>
  <c r="G45" i="1"/>
  <c r="G2" i="4"/>
  <c r="G13" i="1"/>
  <c r="G18" i="1" s="1"/>
  <c r="G16" i="1"/>
  <c r="G14" i="2" l="1"/>
  <c r="G16" i="5"/>
  <c r="F126" i="5"/>
  <c r="H126" i="5"/>
  <c r="I126" i="5"/>
  <c r="G126" i="5"/>
  <c r="G132" i="5" s="1"/>
  <c r="G44" i="4"/>
  <c r="G45" i="4" s="1"/>
  <c r="F46" i="4" s="1"/>
  <c r="F47" i="4" s="1"/>
  <c r="F48" i="4" s="1"/>
  <c r="F65" i="1" s="1"/>
  <c r="F66" i="1" s="1"/>
  <c r="I14" i="5"/>
  <c r="I17" i="5"/>
  <c r="I28" i="5" s="1"/>
  <c r="G21" i="5"/>
  <c r="G20" i="5"/>
  <c r="G19" i="5"/>
  <c r="G47" i="1"/>
  <c r="G52" i="1" s="1"/>
  <c r="H17" i="5"/>
  <c r="H14" i="5"/>
  <c r="G4" i="3"/>
  <c r="G7" i="3"/>
  <c r="H7" i="2"/>
  <c r="H16" i="1"/>
  <c r="H8" i="2"/>
  <c r="H7" i="1"/>
  <c r="H5" i="3"/>
  <c r="H13" i="1"/>
  <c r="H18" i="1" s="1"/>
  <c r="H6" i="3"/>
  <c r="H10" i="2"/>
  <c r="H4" i="4"/>
  <c r="H17" i="1"/>
  <c r="H46" i="1"/>
  <c r="H23" i="1"/>
  <c r="H25" i="4"/>
  <c r="H5" i="4"/>
  <c r="H15" i="1"/>
  <c r="H35" i="1"/>
  <c r="H2" i="3"/>
  <c r="H2" i="4"/>
  <c r="H4" i="2"/>
  <c r="H21" i="1"/>
  <c r="H3" i="2"/>
  <c r="H28" i="5"/>
  <c r="H24" i="4"/>
  <c r="H9" i="2"/>
  <c r="H45" i="1"/>
  <c r="H3" i="3"/>
  <c r="H6" i="2"/>
  <c r="H26" i="4"/>
  <c r="I17" i="1"/>
  <c r="I7" i="1"/>
  <c r="I16" i="1"/>
  <c r="I4" i="4"/>
  <c r="I2" i="3"/>
  <c r="I2" i="4"/>
  <c r="I7" i="2"/>
  <c r="I10" i="2"/>
  <c r="I23" i="1"/>
  <c r="I26" i="4"/>
  <c r="I5" i="3"/>
  <c r="I9" i="2"/>
  <c r="I6" i="3"/>
  <c r="I8" i="2"/>
  <c r="I46" i="1"/>
  <c r="I35" i="1"/>
  <c r="I4" i="2"/>
  <c r="I3" i="2"/>
  <c r="I5" i="4"/>
  <c r="I45" i="1"/>
  <c r="I24" i="4"/>
  <c r="I25" i="4"/>
  <c r="I3" i="3"/>
  <c r="I6" i="2"/>
  <c r="I15" i="1"/>
  <c r="I13" i="1"/>
  <c r="I21" i="1"/>
  <c r="J6" i="1"/>
  <c r="K2" i="1"/>
  <c r="K6" i="1" s="1"/>
  <c r="G3" i="4"/>
  <c r="G11" i="4" s="1"/>
  <c r="G41" i="4"/>
  <c r="G53" i="1" l="1"/>
  <c r="H4" i="3"/>
  <c r="I47" i="1"/>
  <c r="I52" i="1" s="1"/>
  <c r="H16" i="5"/>
  <c r="F127" i="5"/>
  <c r="I7" i="3"/>
  <c r="H40" i="4"/>
  <c r="H44" i="4"/>
  <c r="H45" i="4" s="1"/>
  <c r="G46" i="4" s="1"/>
  <c r="G47" i="4" s="1"/>
  <c r="G48" i="4" s="1"/>
  <c r="G65" i="1" s="1"/>
  <c r="G6" i="4"/>
  <c r="H20" i="5"/>
  <c r="H21" i="5"/>
  <c r="H19" i="5"/>
  <c r="G134" i="5"/>
  <c r="J126" i="5"/>
  <c r="J17" i="5"/>
  <c r="J28" i="5" s="1"/>
  <c r="J14" i="5"/>
  <c r="I16" i="5"/>
  <c r="F128" i="5"/>
  <c r="I44" i="4"/>
  <c r="I45" i="4" s="1"/>
  <c r="H46" i="4" s="1"/>
  <c r="H47" i="4" s="1"/>
  <c r="I40" i="4"/>
  <c r="K17" i="5"/>
  <c r="K28" i="5" s="1"/>
  <c r="K14" i="5"/>
  <c r="I19" i="5"/>
  <c r="I20" i="5"/>
  <c r="I21" i="5"/>
  <c r="F150" i="5"/>
  <c r="F138" i="5"/>
  <c r="F162" i="5"/>
  <c r="J46" i="1"/>
  <c r="J6" i="3"/>
  <c r="J4" i="4"/>
  <c r="J7" i="1"/>
  <c r="J5" i="3"/>
  <c r="J35" i="1"/>
  <c r="J10" i="2"/>
  <c r="J17" i="1"/>
  <c r="J4" i="2"/>
  <c r="J16" i="1"/>
  <c r="J15" i="1"/>
  <c r="J45" i="1"/>
  <c r="J25" i="4"/>
  <c r="J23" i="1"/>
  <c r="J8" i="2"/>
  <c r="J26" i="4"/>
  <c r="J13" i="1"/>
  <c r="J18" i="1" s="1"/>
  <c r="J2" i="3"/>
  <c r="J3" i="3"/>
  <c r="J3" i="2"/>
  <c r="J5" i="4"/>
  <c r="J21" i="1"/>
  <c r="J2" i="4"/>
  <c r="J24" i="4"/>
  <c r="J7" i="2"/>
  <c r="J6" i="2"/>
  <c r="J9" i="2"/>
  <c r="I3" i="4"/>
  <c r="I11" i="4" s="1"/>
  <c r="G65" i="5"/>
  <c r="H7" i="3"/>
  <c r="H41" i="4"/>
  <c r="H3" i="4"/>
  <c r="H11" i="4" s="1"/>
  <c r="K46" i="1"/>
  <c r="K8" i="2"/>
  <c r="K16" i="1"/>
  <c r="K7" i="1"/>
  <c r="K2" i="3"/>
  <c r="K35" i="1"/>
  <c r="K9" i="2"/>
  <c r="K4" i="4"/>
  <c r="K5" i="4"/>
  <c r="K17" i="1"/>
  <c r="K7" i="2"/>
  <c r="K25" i="4"/>
  <c r="K3" i="3"/>
  <c r="K26" i="4"/>
  <c r="K6" i="3"/>
  <c r="K5" i="3"/>
  <c r="K7" i="3" s="1"/>
  <c r="K4" i="2"/>
  <c r="K6" i="2"/>
  <c r="K3" i="2"/>
  <c r="K45" i="1"/>
  <c r="K10" i="2"/>
  <c r="K13" i="1"/>
  <c r="K24" i="4"/>
  <c r="K21" i="1"/>
  <c r="K2" i="4"/>
  <c r="K23" i="1"/>
  <c r="K15" i="1"/>
  <c r="I18" i="1"/>
  <c r="I14" i="2"/>
  <c r="I4" i="3"/>
  <c r="H47" i="1"/>
  <c r="H14" i="2"/>
  <c r="K18" i="1" l="1"/>
  <c r="H48" i="4"/>
  <c r="H65" i="1" s="1"/>
  <c r="H52" i="1"/>
  <c r="H53" i="1"/>
  <c r="K44" i="4"/>
  <c r="K45" i="4" s="1"/>
  <c r="J46" i="4" s="1"/>
  <c r="J47" i="4" s="1"/>
  <c r="K16" i="5"/>
  <c r="F130" i="5"/>
  <c r="K130" i="5" s="1"/>
  <c r="K128" i="5"/>
  <c r="J128" i="5"/>
  <c r="I128" i="5"/>
  <c r="J127" i="5"/>
  <c r="H127" i="5"/>
  <c r="H132" i="5" s="1"/>
  <c r="I127" i="5"/>
  <c r="K40" i="4"/>
  <c r="K21" i="5"/>
  <c r="K19" i="5"/>
  <c r="K20" i="5"/>
  <c r="G51" i="5"/>
  <c r="G38" i="5"/>
  <c r="I53" i="1"/>
  <c r="J21" i="5"/>
  <c r="J19" i="5"/>
  <c r="J20" i="5"/>
  <c r="H6" i="4"/>
  <c r="I6" i="4"/>
  <c r="J16" i="5"/>
  <c r="F129" i="5"/>
  <c r="K47" i="1"/>
  <c r="K52" i="1" s="1"/>
  <c r="J44" i="4"/>
  <c r="J40" i="4"/>
  <c r="J41" i="4" s="1"/>
  <c r="F152" i="5"/>
  <c r="I31" i="5"/>
  <c r="F140" i="5"/>
  <c r="I30" i="5"/>
  <c r="F164" i="5"/>
  <c r="I32" i="5"/>
  <c r="F151" i="5"/>
  <c r="H31" i="5"/>
  <c r="F163" i="5"/>
  <c r="H32" i="5"/>
  <c r="F139" i="5"/>
  <c r="H30" i="5"/>
  <c r="J138" i="5"/>
  <c r="K138" i="5"/>
  <c r="H138" i="5"/>
  <c r="G138" i="5"/>
  <c r="G144" i="5" s="1"/>
  <c r="I138" i="5"/>
  <c r="I162" i="5"/>
  <c r="G162" i="5"/>
  <c r="G168" i="5" s="1"/>
  <c r="G170" i="5" s="1"/>
  <c r="J162" i="5"/>
  <c r="K162" i="5"/>
  <c r="H162" i="5"/>
  <c r="I150" i="5"/>
  <c r="J150" i="5"/>
  <c r="K150" i="5"/>
  <c r="H150" i="5"/>
  <c r="G150" i="5"/>
  <c r="G156" i="5" s="1"/>
  <c r="G158" i="5" s="1"/>
  <c r="J3" i="4"/>
  <c r="J11" i="4" s="1"/>
  <c r="K4" i="3"/>
  <c r="I41" i="4"/>
  <c r="J4" i="3"/>
  <c r="J47" i="1"/>
  <c r="K3" i="4"/>
  <c r="K11" i="4" s="1"/>
  <c r="H65" i="5"/>
  <c r="J7" i="3"/>
  <c r="K14" i="2"/>
  <c r="I65" i="5"/>
  <c r="J14" i="2"/>
  <c r="K127" i="5" l="1"/>
  <c r="G146" i="5"/>
  <c r="G120" i="5" s="1"/>
  <c r="G122" i="5"/>
  <c r="H134" i="5"/>
  <c r="H51" i="5" s="1"/>
  <c r="H38" i="5"/>
  <c r="G40" i="5"/>
  <c r="G27" i="5" s="1"/>
  <c r="G25" i="5" s="1"/>
  <c r="J129" i="5"/>
  <c r="J132" i="5" s="1"/>
  <c r="K129" i="5"/>
  <c r="J6" i="4"/>
  <c r="I132" i="5"/>
  <c r="F154" i="5"/>
  <c r="K154" i="5" s="1"/>
  <c r="K31" i="5"/>
  <c r="F166" i="5"/>
  <c r="K166" i="5" s="1"/>
  <c r="K32" i="5"/>
  <c r="F142" i="5"/>
  <c r="K142" i="5" s="1"/>
  <c r="K30" i="5"/>
  <c r="F153" i="5"/>
  <c r="J31" i="5"/>
  <c r="F165" i="5"/>
  <c r="J32" i="5"/>
  <c r="F141" i="5"/>
  <c r="J30" i="5"/>
  <c r="K41" i="4"/>
  <c r="J48" i="4"/>
  <c r="J65" i="1" s="1"/>
  <c r="J45" i="4"/>
  <c r="I46" i="4" s="1"/>
  <c r="I47" i="4" s="1"/>
  <c r="I48" i="4" s="1"/>
  <c r="I65" i="1" s="1"/>
  <c r="J52" i="1"/>
  <c r="J53" i="1"/>
  <c r="K53" i="1"/>
  <c r="J140" i="5"/>
  <c r="I140" i="5"/>
  <c r="K140" i="5"/>
  <c r="I164" i="5"/>
  <c r="J164" i="5"/>
  <c r="K164" i="5"/>
  <c r="K152" i="5"/>
  <c r="I152" i="5"/>
  <c r="J152" i="5"/>
  <c r="K163" i="5"/>
  <c r="H163" i="5"/>
  <c r="H168" i="5" s="1"/>
  <c r="H170" i="5" s="1"/>
  <c r="I163" i="5"/>
  <c r="J163" i="5"/>
  <c r="I139" i="5"/>
  <c r="J139" i="5"/>
  <c r="K139" i="5"/>
  <c r="H139" i="5"/>
  <c r="H144" i="5" s="1"/>
  <c r="H146" i="5" s="1"/>
  <c r="H151" i="5"/>
  <c r="H156" i="5" s="1"/>
  <c r="H158" i="5" s="1"/>
  <c r="I151" i="5"/>
  <c r="J151" i="5"/>
  <c r="K151" i="5"/>
  <c r="G56" i="5"/>
  <c r="G57" i="5"/>
  <c r="G44" i="5"/>
  <c r="G58" i="5"/>
  <c r="G45" i="5"/>
  <c r="J65" i="5"/>
  <c r="K6" i="4"/>
  <c r="K65" i="5"/>
  <c r="K132" i="5" l="1"/>
  <c r="G43" i="5"/>
  <c r="I156" i="5"/>
  <c r="I158" i="5" s="1"/>
  <c r="I57" i="5" s="1"/>
  <c r="K134" i="5"/>
  <c r="K51" i="5" s="1"/>
  <c r="J134" i="5"/>
  <c r="J51" i="5" s="1"/>
  <c r="H40" i="5"/>
  <c r="H27" i="5" s="1"/>
  <c r="H25" i="5" s="1"/>
  <c r="I134" i="5"/>
  <c r="I51" i="5" s="1"/>
  <c r="H57" i="5"/>
  <c r="H58" i="5"/>
  <c r="H122" i="5"/>
  <c r="J165" i="5"/>
  <c r="J168" i="5" s="1"/>
  <c r="J170" i="5" s="1"/>
  <c r="K165" i="5"/>
  <c r="K168" i="5" s="1"/>
  <c r="K170" i="5" s="1"/>
  <c r="J141" i="5"/>
  <c r="K141" i="5"/>
  <c r="K144" i="5" s="1"/>
  <c r="K146" i="5" s="1"/>
  <c r="K153" i="5"/>
  <c r="K156" i="5" s="1"/>
  <c r="K158" i="5" s="1"/>
  <c r="J153" i="5"/>
  <c r="J156" i="5" s="1"/>
  <c r="J158" i="5" s="1"/>
  <c r="J144" i="5"/>
  <c r="J146" i="5" s="1"/>
  <c r="I168" i="5"/>
  <c r="I170" i="5" s="1"/>
  <c r="I144" i="5"/>
  <c r="I146" i="5" s="1"/>
  <c r="H120" i="5"/>
  <c r="H22" i="1" s="1"/>
  <c r="H27" i="4" s="1"/>
  <c r="H28" i="4" s="1"/>
  <c r="H56" i="5"/>
  <c r="H45" i="5"/>
  <c r="G32" i="5"/>
  <c r="G30" i="5"/>
  <c r="G41" i="5"/>
  <c r="G28" i="2" s="1"/>
  <c r="H43" i="5"/>
  <c r="H44" i="5"/>
  <c r="I44" i="5" s="1"/>
  <c r="G31" i="5"/>
  <c r="G22" i="1"/>
  <c r="G63" i="1"/>
  <c r="H37" i="1"/>
  <c r="H35" i="4" s="1"/>
  <c r="H24" i="1" l="1"/>
  <c r="H58" i="1" s="1"/>
  <c r="J58" i="5"/>
  <c r="I122" i="5"/>
  <c r="J122" i="5"/>
  <c r="J120" i="5"/>
  <c r="J56" i="5"/>
  <c r="I120" i="5"/>
  <c r="I22" i="1" s="1"/>
  <c r="I38" i="5"/>
  <c r="K122" i="5"/>
  <c r="K57" i="5"/>
  <c r="K56" i="5"/>
  <c r="K120" i="5"/>
  <c r="K58" i="5"/>
  <c r="J44" i="5"/>
  <c r="K44" i="5" s="1"/>
  <c r="J57" i="5"/>
  <c r="I45" i="5"/>
  <c r="J45" i="5" s="1"/>
  <c r="K45" i="5" s="1"/>
  <c r="I58" i="5"/>
  <c r="I56" i="5"/>
  <c r="G31" i="2"/>
  <c r="G5" i="2" s="1"/>
  <c r="G2" i="2"/>
  <c r="G12" i="2" s="1"/>
  <c r="G28" i="5"/>
  <c r="G27" i="4"/>
  <c r="G28" i="4" s="1"/>
  <c r="G37" i="1"/>
  <c r="G35" i="4" s="1"/>
  <c r="G24" i="1"/>
  <c r="H25" i="1" s="1"/>
  <c r="I43" i="5"/>
  <c r="H41" i="5"/>
  <c r="H39" i="1"/>
  <c r="H54" i="5"/>
  <c r="H62" i="1"/>
  <c r="H36" i="4"/>
  <c r="H64" i="1"/>
  <c r="I37" i="1"/>
  <c r="I35" i="4" s="1"/>
  <c r="I27" i="4"/>
  <c r="I28" i="4" s="1"/>
  <c r="I24" i="1"/>
  <c r="I58" i="1" s="1"/>
  <c r="I59" i="1" s="1"/>
  <c r="G13" i="2" l="1"/>
  <c r="J38" i="5"/>
  <c r="I40" i="5"/>
  <c r="I27" i="5" s="1"/>
  <c r="I25" i="5" s="1"/>
  <c r="J43" i="5"/>
  <c r="I41" i="5"/>
  <c r="G64" i="1"/>
  <c r="G66" i="1" s="1"/>
  <c r="G36" i="4"/>
  <c r="G58" i="1"/>
  <c r="G62" i="1"/>
  <c r="G25" i="1"/>
  <c r="G54" i="5"/>
  <c r="G39" i="1"/>
  <c r="G15" i="2"/>
  <c r="G16" i="2"/>
  <c r="I25" i="1"/>
  <c r="I62" i="1"/>
  <c r="I39" i="1"/>
  <c r="I54" i="5"/>
  <c r="I36" i="4"/>
  <c r="I64" i="1"/>
  <c r="K38" i="5" l="1"/>
  <c r="K40" i="5" s="1"/>
  <c r="J40" i="5"/>
  <c r="J27" i="5" s="1"/>
  <c r="J25" i="5" s="1"/>
  <c r="G59" i="1"/>
  <c r="H59" i="1"/>
  <c r="K43" i="5"/>
  <c r="K41" i="5" s="1"/>
  <c r="J41" i="5"/>
  <c r="H63" i="1"/>
  <c r="H66" i="1" s="1"/>
  <c r="I63" i="1"/>
  <c r="I66" i="1" s="1"/>
  <c r="K27" i="5" l="1"/>
  <c r="K25" i="5" s="1"/>
  <c r="H28" i="2"/>
  <c r="J63" i="1" l="1"/>
  <c r="J22" i="1"/>
  <c r="H31" i="2"/>
  <c r="H5" i="2" s="1"/>
  <c r="H2" i="2"/>
  <c r="H12" i="2" s="1"/>
  <c r="I28" i="2"/>
  <c r="H13" i="2" l="1"/>
  <c r="J37" i="1"/>
  <c r="J35" i="4" s="1"/>
  <c r="J24" i="1"/>
  <c r="J58" i="1" s="1"/>
  <c r="J59" i="1" s="1"/>
  <c r="J27" i="4"/>
  <c r="J28" i="4" s="1"/>
  <c r="I2" i="2"/>
  <c r="I12" i="2" s="1"/>
  <c r="I31" i="2"/>
  <c r="I5" i="2" s="1"/>
  <c r="J28" i="2"/>
  <c r="H16" i="2"/>
  <c r="H15" i="2"/>
  <c r="K63" i="1" l="1"/>
  <c r="K22" i="1"/>
  <c r="J64" i="1"/>
  <c r="J36" i="4"/>
  <c r="J25" i="1"/>
  <c r="J62" i="1"/>
  <c r="J39" i="1"/>
  <c r="J54" i="5"/>
  <c r="J31" i="2"/>
  <c r="J5" i="2" s="1"/>
  <c r="J2" i="2"/>
  <c r="J12" i="2" s="1"/>
  <c r="J13" i="2" s="1"/>
  <c r="K28" i="2"/>
  <c r="I15" i="2"/>
  <c r="I13" i="2"/>
  <c r="J66" i="1" l="1"/>
  <c r="K37" i="1"/>
  <c r="K35" i="4" s="1"/>
  <c r="K27" i="4"/>
  <c r="K28" i="4" s="1"/>
  <c r="K24" i="1"/>
  <c r="K58" i="1" s="1"/>
  <c r="K59" i="1" s="1"/>
  <c r="K31" i="2"/>
  <c r="K5" i="2" s="1"/>
  <c r="K2" i="2"/>
  <c r="K12" i="2" s="1"/>
  <c r="J15" i="2"/>
  <c r="J16" i="2"/>
  <c r="K62" i="1" l="1"/>
  <c r="K25" i="1"/>
  <c r="K64" i="1"/>
  <c r="K36" i="4"/>
  <c r="K54" i="5"/>
  <c r="K39" i="1"/>
  <c r="K13" i="2"/>
  <c r="K16" i="2"/>
  <c r="K15" i="2"/>
  <c r="K66" i="1" l="1"/>
</calcChain>
</file>

<file path=xl/sharedStrings.xml><?xml version="1.0" encoding="utf-8"?>
<sst xmlns="http://schemas.openxmlformats.org/spreadsheetml/2006/main" count="437" uniqueCount="273">
  <si>
    <t>čisti prihodki od prodaje</t>
  </si>
  <si>
    <t>drugi prihodki (+finančni prihodki iz poslovnih tertjatev + usredstveni lastni proizvodi in storitve)</t>
  </si>
  <si>
    <t>prihodki skupaj</t>
  </si>
  <si>
    <t>PRIHODKI</t>
  </si>
  <si>
    <t>STROŠKI</t>
  </si>
  <si>
    <t>stroški blaga, materiala in storitev</t>
  </si>
  <si>
    <t>stroški dela</t>
  </si>
  <si>
    <t>drugi poslovni odhodki</t>
  </si>
  <si>
    <t>amortizacija</t>
  </si>
  <si>
    <t>prevrednotovalni poslovni odhodki</t>
  </si>
  <si>
    <t>STROŠKI V DELEŽU PRIHODKOV</t>
  </si>
  <si>
    <t>zaloge</t>
  </si>
  <si>
    <t>opredmetena osnovna</t>
  </si>
  <si>
    <t>kratkoročne obveznosti</t>
  </si>
  <si>
    <t>kratkoročne terjatve</t>
  </si>
  <si>
    <t>denarna sredstva</t>
  </si>
  <si>
    <t>OBRATNI KAPITAL</t>
  </si>
  <si>
    <t>kratkoročna sredstva</t>
  </si>
  <si>
    <t>dolgoročne finančne naložbe</t>
  </si>
  <si>
    <t>dolgoročna sredstva skupaj</t>
  </si>
  <si>
    <t>kratkoročne finančne naložbe</t>
  </si>
  <si>
    <t>kratkoročna sredstva skupaj</t>
  </si>
  <si>
    <t>dolgoročne terjatve</t>
  </si>
  <si>
    <t>AKTIVA - SREDSTVA</t>
  </si>
  <si>
    <t>PASIVA - OBVEZNOSTI</t>
  </si>
  <si>
    <t>rezervacije</t>
  </si>
  <si>
    <t>dolgoročne obveznosti</t>
  </si>
  <si>
    <t>kratk. posl. obveznosti</t>
  </si>
  <si>
    <t>kratk. fin. obveznosti</t>
  </si>
  <si>
    <t>kratk. obveznosti skupaj</t>
  </si>
  <si>
    <t>dolgoročne obveznosti skupaj</t>
  </si>
  <si>
    <t>obr. kapital v prihodkih (%)</t>
  </si>
  <si>
    <t>SREDSTVA V PRIHODKIH</t>
  </si>
  <si>
    <t>OBVEZNOSTI V PRIHODKIH</t>
  </si>
  <si>
    <t>spr. terjatev do kupcev</t>
  </si>
  <si>
    <t>+ spr. zalog</t>
  </si>
  <si>
    <t>- spr obveznosti do dobaviteljev</t>
  </si>
  <si>
    <t>SKUPAJ NALOŽBE</t>
  </si>
  <si>
    <t>- spr. ostalih kratk. obveznosti in razmejitev</t>
  </si>
  <si>
    <t>NALOŽBE V ČISTA OBRATNA SREDTVA</t>
  </si>
  <si>
    <t>skupaj naložbe</t>
  </si>
  <si>
    <t xml:space="preserve"> N. V Č.OBR.SR. V PRIHODKIH</t>
  </si>
  <si>
    <t>NALOŽBE V OSNOVNA SREDSTVA</t>
  </si>
  <si>
    <t>čiste naložbe skupaj</t>
  </si>
  <si>
    <t>-nakup osnovnih sredstev</t>
  </si>
  <si>
    <t>-nakup neopredmetenih sredstev</t>
  </si>
  <si>
    <t>+prejemki od prodaje osn. Sred.</t>
  </si>
  <si>
    <t>+amortizacija</t>
  </si>
  <si>
    <t>NAL. V OSN. SR. V PRIHODKIH</t>
  </si>
  <si>
    <t>DOBIČEK IZ POSLOVANJA</t>
  </si>
  <si>
    <t>poslovni izid iz poslovanja</t>
  </si>
  <si>
    <t>-obračunani davek</t>
  </si>
  <si>
    <t>*samo davek iz dobička, brez odloženega davka</t>
  </si>
  <si>
    <t>dobiček</t>
  </si>
  <si>
    <t>FCF</t>
  </si>
  <si>
    <t>dobiček iz poslovanja</t>
  </si>
  <si>
    <t>-naložbe v obratni kapital</t>
  </si>
  <si>
    <t>-naložbe v osn. sredstva</t>
  </si>
  <si>
    <t>prosti denarni tok</t>
  </si>
  <si>
    <t>od tega:</t>
  </si>
  <si>
    <t>nab. vr. prodanega blaga in mat.</t>
  </si>
  <si>
    <t>stroški materiala</t>
  </si>
  <si>
    <t>stroški storitev</t>
  </si>
  <si>
    <t>dolgoročne finančne naložbe (za prodajo razpoložljiva sredstva)</t>
  </si>
  <si>
    <t>stalna sredstva skupaj</t>
  </si>
  <si>
    <t>gibljiva sredstva skupaj</t>
  </si>
  <si>
    <t>v deležu sredstev</t>
  </si>
  <si>
    <t>AMORTIZACIJA</t>
  </si>
  <si>
    <t>neopr. dolg. sredstva</t>
  </si>
  <si>
    <t>programska oprema</t>
  </si>
  <si>
    <t>proizvajalne naprave in stroji</t>
  </si>
  <si>
    <t>druga oprema</t>
  </si>
  <si>
    <t>opredm. osn. sred.</t>
  </si>
  <si>
    <t>gradbeni objekti - zgradbe</t>
  </si>
  <si>
    <t>OBSTOJEČA SREDSTVA</t>
  </si>
  <si>
    <t>INVESTICIJE</t>
  </si>
  <si>
    <t>NETO SPREMEMBA</t>
  </si>
  <si>
    <t>*INVESTICIJE - AMORTIZACIJA</t>
  </si>
  <si>
    <t>VREDNOST (31.12.)</t>
  </si>
  <si>
    <t>DELEŽ VREDNOSTI</t>
  </si>
  <si>
    <t>obratni kapital</t>
  </si>
  <si>
    <t>stopnja rasti v %</t>
  </si>
  <si>
    <t>GOSPODARSTVO SLO</t>
  </si>
  <si>
    <t>bruto investicije v osn. Sr.</t>
  </si>
  <si>
    <t>državna potrošnja</t>
  </si>
  <si>
    <t>zasebna potrošnja</t>
  </si>
  <si>
    <t>bruto plače na zaposlenega - zasebni sektor</t>
  </si>
  <si>
    <t>povprečna inflacija v letu</t>
  </si>
  <si>
    <t>BDP v evrskem območju</t>
  </si>
  <si>
    <t>razmerje USD za 1 euro</t>
  </si>
  <si>
    <t xml:space="preserve">BDP </t>
  </si>
  <si>
    <t xml:space="preserve">zaposlenost </t>
  </si>
  <si>
    <t xml:space="preserve">tuje povpraševanje </t>
  </si>
  <si>
    <t>cena nafte v USD</t>
  </si>
  <si>
    <t>cene neenergetskih surovin v USD</t>
  </si>
  <si>
    <t>izvoz proizvodov in storitev</t>
  </si>
  <si>
    <t>uvoz proizvodov in storitev</t>
  </si>
  <si>
    <t>uvoz proizvodov</t>
  </si>
  <si>
    <t>uvoz storitev</t>
  </si>
  <si>
    <t>izvoz proizvodov</t>
  </si>
  <si>
    <t>izvoz storitev</t>
  </si>
  <si>
    <t>dodana vrednost v C - predelovalnih dejavnostih (mio eur)</t>
  </si>
  <si>
    <t>delež v BDP</t>
  </si>
  <si>
    <t>stopnja rasti predel.dejav.</t>
  </si>
  <si>
    <t>TUJINA</t>
  </si>
  <si>
    <t>rast v %</t>
  </si>
  <si>
    <t>BDP</t>
  </si>
  <si>
    <t>BDP (RAST V %)</t>
  </si>
  <si>
    <t>uvoz blaga (rast v %)</t>
  </si>
  <si>
    <t>zasebna potrošnja (rast v %)</t>
  </si>
  <si>
    <t>javna potrošnja (rast v %)</t>
  </si>
  <si>
    <t>investicije (rast v %)</t>
  </si>
  <si>
    <t>vrednost avtomobilskega trga (rast v %)</t>
  </si>
  <si>
    <t>uvoz blaga</t>
  </si>
  <si>
    <t>javna potrošnja</t>
  </si>
  <si>
    <t>investicije</t>
  </si>
  <si>
    <t>inflacija (letno povprečje)</t>
  </si>
  <si>
    <t>inflacija (povprečje letno)</t>
  </si>
  <si>
    <t>ZDA (3% izvoza)</t>
  </si>
  <si>
    <t>NEMČIJA (31,1% izvoza)</t>
  </si>
  <si>
    <t>ROMUNIJA (16,4% izvoza)</t>
  </si>
  <si>
    <t>MADŽARSKA (13,1% izvoza)</t>
  </si>
  <si>
    <t>AVSTRIJA (12,4% izvoza)</t>
  </si>
  <si>
    <t>ELEKTROINDUSTRIJA</t>
  </si>
  <si>
    <t>delež prodaje v tujino</t>
  </si>
  <si>
    <t>ROE</t>
  </si>
  <si>
    <t>sredstva</t>
  </si>
  <si>
    <t>rast proizvodnje v industriji v EU</t>
  </si>
  <si>
    <t>rast proizvodnje v Sloveniji</t>
  </si>
  <si>
    <t>PRIMERLJIVA PODJETJA</t>
  </si>
  <si>
    <t>stroški poslovni</t>
  </si>
  <si>
    <t>delež v prihodkih</t>
  </si>
  <si>
    <t>KOLEKTOR SIKOM</t>
  </si>
  <si>
    <t>BOSCH REXROTH D.O.O.</t>
  </si>
  <si>
    <t>sredstva skupaj</t>
  </si>
  <si>
    <t>EBM-PAPST SLOVENIJA proizvodnja elektromotorjev d.o.o.</t>
  </si>
  <si>
    <t>SKUPAJ DELEŽ V PRIHODKIH</t>
  </si>
  <si>
    <t>skupaj stroški v prihodkih</t>
  </si>
  <si>
    <t>X</t>
  </si>
  <si>
    <t>rast sredstev v %</t>
  </si>
  <si>
    <t>*upoštevana nekoliko bolj umirjena rast + uvoz na 4 glavne trge po napovedih rahlo upade</t>
  </si>
  <si>
    <t xml:space="preserve">RAST V % </t>
  </si>
  <si>
    <t>*delež prodaje v tujino navadno višji od ostalih slovenskih podjetij - večja odvisnost od tujine</t>
  </si>
  <si>
    <t>*uvoz na najpomembnejšem trg naj bi se znižal, a ostal razmeroma konstanten</t>
  </si>
  <si>
    <t>*zaznan upad hitrosti razvoja na najpomembnejšem trgu</t>
  </si>
  <si>
    <t>*precejšnji upad uvoza blaga - drug najpomembnejši trg podjetja X</t>
  </si>
  <si>
    <t>*počasnejši razvoj v prihodnosti</t>
  </si>
  <si>
    <t>*umirjanje kopičenja zalog, po manjšem upadu prodaje</t>
  </si>
  <si>
    <t>*umirjanje porasta prodaje</t>
  </si>
  <si>
    <t>*začetni porast potrošnje na najpomembnejšem izvoznem trgu</t>
  </si>
  <si>
    <t>*umirjanje investicij</t>
  </si>
  <si>
    <t>*porast vrednosti pomembnega trga - področje prihodnjega delovanja podjetja X</t>
  </si>
  <si>
    <t>*precejšnji padec uvoza v prihodnosti</t>
  </si>
  <si>
    <t>*manjša potrošnja v splošnem</t>
  </si>
  <si>
    <t>*napoved rasti cen surovin - večje povpraševanje za gradbene projekte po Aziji</t>
  </si>
  <si>
    <t>*umirjanje rasti prihodkov, manjše kopičenje zalog</t>
  </si>
  <si>
    <t>*zmerne investicije, z rahlim povečanjem po napovedih za slovensko gospodarstvo</t>
  </si>
  <si>
    <t>*vse določeno s povprečnimi investicijami!</t>
  </si>
  <si>
    <t>*povsod končno minus začetno!</t>
  </si>
  <si>
    <t>*povečani stroški surovin</t>
  </si>
  <si>
    <t>*najprej naj bi se prodaja še povečevala, potem počasi umirjanje</t>
  </si>
  <si>
    <t>*umirjanje stopnje rasti v napovedih</t>
  </si>
  <si>
    <t>OBRATNA SREDSTVA</t>
  </si>
  <si>
    <t>vrednost</t>
  </si>
  <si>
    <t>naložba v obratna sredstva</t>
  </si>
  <si>
    <t>programska oprema 33%</t>
  </si>
  <si>
    <t>gradbeni objekti - zgradbe 4%</t>
  </si>
  <si>
    <t>proizvajalne naprave in stroji 35%</t>
  </si>
  <si>
    <t>druga oprema 13%</t>
  </si>
  <si>
    <t>*po gospodarskih napovedih rasti investicij</t>
  </si>
  <si>
    <t>*upoštevano rahlo povečanje investicij po napovedih, prihodki pa se večajo</t>
  </si>
  <si>
    <t>DOLGOROČNA SREDSTVA</t>
  </si>
  <si>
    <t>finančne naložbe</t>
  </si>
  <si>
    <t>odložene terjatve za davek</t>
  </si>
  <si>
    <t>terjatve</t>
  </si>
  <si>
    <t>neopredmetena sredstva</t>
  </si>
  <si>
    <t>opredmetena osnovna sredstva</t>
  </si>
  <si>
    <t>KRATKOROČNA SREDSTVA</t>
  </si>
  <si>
    <t>finančne terjatve</t>
  </si>
  <si>
    <t>poslovne terjatve</t>
  </si>
  <si>
    <t>denar</t>
  </si>
  <si>
    <t>druga sredstva</t>
  </si>
  <si>
    <t>NETO OBRATNI KAPITAL</t>
  </si>
  <si>
    <t>-kratkoročne obveznosti</t>
  </si>
  <si>
    <t>vrednost neto obratnega kapitala</t>
  </si>
  <si>
    <t>poslovni izid iz poslovanja (EBIT)</t>
  </si>
  <si>
    <t>prišteta amortizacija (EBITDA)</t>
  </si>
  <si>
    <t>KAZALCI LIKVIDNOSTI</t>
  </si>
  <si>
    <t>KRATKOROČNI KOEFICIENT</t>
  </si>
  <si>
    <t>kratk. sredstva/kratk. obveznosti</t>
  </si>
  <si>
    <t>POSPEŠENI KOEFICIENT</t>
  </si>
  <si>
    <t>kratk. sredstva brez zalog/kratk. obveznosti</t>
  </si>
  <si>
    <t>HITRI KOEFICIENT</t>
  </si>
  <si>
    <t>denarna sredstva/kratk. obveznosti</t>
  </si>
  <si>
    <t>KAZALCI SOLVENTNOSTI</t>
  </si>
  <si>
    <t>DELEŽ OBVEZNOSTI V SREDSTVIH</t>
  </si>
  <si>
    <t>vse obveznosti/sredstva</t>
  </si>
  <si>
    <t>KAZALCI DONOSNOSTI</t>
  </si>
  <si>
    <t>ROA (dobičkonosnost sredstev)</t>
  </si>
  <si>
    <t>čisti dobiček/povprečna sredstva</t>
  </si>
  <si>
    <t>povprečna sredstva</t>
  </si>
  <si>
    <t>2013-2017</t>
  </si>
  <si>
    <t>ROE (dobičkonosnost kapitala)</t>
  </si>
  <si>
    <t>čisti dobiček/kapital</t>
  </si>
  <si>
    <t>VREDNOST KAPITALA</t>
  </si>
  <si>
    <t>kapital skupaj</t>
  </si>
  <si>
    <t>povprečni kapital</t>
  </si>
  <si>
    <t>čisti prihodki od prodaje (rast)</t>
  </si>
  <si>
    <t>stroški blaga, materiala, storitev (rast)</t>
  </si>
  <si>
    <t>EBIT (rast)</t>
  </si>
  <si>
    <t>EBITDA (rast)</t>
  </si>
  <si>
    <t>sredstva (rast)</t>
  </si>
  <si>
    <t>*upoštevana napoved investicij v opredmetena osnovna sredstva</t>
  </si>
  <si>
    <t>*če so napovedane kakšne večje investicije in odhodki, se povečajo</t>
  </si>
  <si>
    <t>*z višjimi investicijami potrebna prilagoditev, če se zadolžijo</t>
  </si>
  <si>
    <t>*poplačilo večjih posojil v 2016, zmerno zadolževanje</t>
  </si>
  <si>
    <t>*povečana prodaja v 2015, majhen porast tudi po napovedih, nato umiritev</t>
  </si>
  <si>
    <t>rast EBIT</t>
  </si>
  <si>
    <t>rast EBITDA</t>
  </si>
  <si>
    <t>Stroški dela na zaposlenega</t>
  </si>
  <si>
    <t>število zaposlenih</t>
  </si>
  <si>
    <t>rast zaposlovanja</t>
  </si>
  <si>
    <t>*napoved umirjanja zaposlovanja, a glede na razpise je politika podjetja še vedno rast zaposlovanja</t>
  </si>
  <si>
    <t xml:space="preserve">*napovedana rast bruto plače na zaposlenega </t>
  </si>
  <si>
    <t>*brez kratkoročnih finančnih naložb</t>
  </si>
  <si>
    <t>*brez kratkoročnih finančnih obveznosti</t>
  </si>
  <si>
    <t>naložbe v obr.kap.</t>
  </si>
  <si>
    <t>ciljna stopnja obr. kap.</t>
  </si>
  <si>
    <t>potreben obseg</t>
  </si>
  <si>
    <t>potrebne naložbe v obr. kap.</t>
  </si>
  <si>
    <t>vrednost v začetku amortiziranja</t>
  </si>
  <si>
    <t>neopredmetena dolg. sredstva</t>
  </si>
  <si>
    <t>skupaj nove amortizacije neopr.d.sr.</t>
  </si>
  <si>
    <t>stare amortizacije</t>
  </si>
  <si>
    <t>SKUPAJ AMORTIZACIJA</t>
  </si>
  <si>
    <t>gradbeni objekti in zgradbe</t>
  </si>
  <si>
    <t>skupaj nove amort.objektov</t>
  </si>
  <si>
    <t>skupaj nove amort.naprav</t>
  </si>
  <si>
    <t>skupaj nove amorti.druge opreme</t>
  </si>
  <si>
    <t>AMORTIZACIJA NOVIH INVESTICIJ</t>
  </si>
  <si>
    <t>KAZALCI OBRAČANJA</t>
  </si>
  <si>
    <t>koef.obračanja terjatev do kupcev</t>
  </si>
  <si>
    <t>skupaj</t>
  </si>
  <si>
    <t>obstoječa</t>
  </si>
  <si>
    <t>nova</t>
  </si>
  <si>
    <t>rast prihodkov v %</t>
  </si>
  <si>
    <t>čisti dobiček po davku</t>
  </si>
  <si>
    <t>čisti poslovni izid</t>
  </si>
  <si>
    <t>ROA EBM-PAPST</t>
  </si>
  <si>
    <t>ROA BOSCH REXROTH</t>
  </si>
  <si>
    <t>ROA KOLEKTOR</t>
  </si>
  <si>
    <t>ROA X</t>
  </si>
  <si>
    <t>rast stroškov v %</t>
  </si>
  <si>
    <t>od tega delež prihodkov:</t>
  </si>
  <si>
    <t>AMORT. OBSTOJEČIH SREDSTEV</t>
  </si>
  <si>
    <t>amort. stopnja</t>
  </si>
  <si>
    <t xml:space="preserve">*vse realne stopnje rasti </t>
  </si>
  <si>
    <t>*rasti v %</t>
  </si>
  <si>
    <t>rast čistih prihodkov od prodaje</t>
  </si>
  <si>
    <t>rast stroškov blaga, materiala in storitev</t>
  </si>
  <si>
    <t>doba vezave terjatev (št. dni)</t>
  </si>
  <si>
    <t>STROŠKI DELA</t>
  </si>
  <si>
    <t>Skupna vrednost</t>
  </si>
  <si>
    <t>VREDNOST ROA KOEF.</t>
  </si>
  <si>
    <t>EBIT IN EBITDA</t>
  </si>
  <si>
    <t>delež v letnih prihodkih</t>
  </si>
  <si>
    <t>odhodki skupaj</t>
  </si>
  <si>
    <t>rast prihodkov</t>
  </si>
  <si>
    <t>rast odhodkov</t>
  </si>
  <si>
    <t>prihodki od prodaje/povprečne terjatve do kupcev</t>
  </si>
  <si>
    <t>AMORTIZACIJA V DELEŽU PRIHODKOV</t>
  </si>
  <si>
    <t>INVESTICIJE V PRIHODKIH</t>
  </si>
  <si>
    <t xml:space="preserve">drugi prihodki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</si>
</sst>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0.0%"/>
    <numFmt numFmtId="165" formatCode="0.000%"/>
    <numFmt numFmtId="166" formatCode="_-* #,##0.000_-;\-* #,##0.000_-;_-* &quot;-&quot;??_-;_-@_-"/>
    <numFmt numFmtId="170" formatCode="_-* #,##0\ &quot;€&quot;_-;\-* #,##0\ &quot;€&quot;_-;_-* &quot;-&quot;??\ &quot;€&quot;_-;_-@_-"/>
  </numFmts>
  <fonts count="1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1"/>
      <color rgb="FF92D050"/>
      <name val="Calibri"/>
      <family val="2"/>
      <charset val="238"/>
      <scheme val="minor"/>
    </font>
    <font>
      <b/>
      <i/>
      <sz val="11"/>
      <color rgb="FF92D05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i/>
      <sz val="11"/>
      <color rgb="FFFF0000"/>
      <name val="Calibri"/>
      <family val="2"/>
      <charset val="238"/>
      <scheme val="minor"/>
    </font>
    <font>
      <b/>
      <sz val="11"/>
      <color theme="9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5">
    <xf numFmtId="0" fontId="0" fillId="0" borderId="0" xfId="0"/>
    <xf numFmtId="0" fontId="2" fillId="0" borderId="0" xfId="0" applyFont="1"/>
    <xf numFmtId="44" fontId="0" fillId="0" borderId="0" xfId="0" applyNumberFormat="1"/>
    <xf numFmtId="9" fontId="0" fillId="0" borderId="0" xfId="1" applyFont="1"/>
    <xf numFmtId="49" fontId="0" fillId="0" borderId="0" xfId="0" applyNumberFormat="1"/>
    <xf numFmtId="49" fontId="2" fillId="0" borderId="0" xfId="0" applyNumberFormat="1" applyFont="1"/>
    <xf numFmtId="9" fontId="2" fillId="0" borderId="0" xfId="1" applyFont="1"/>
    <xf numFmtId="0" fontId="3" fillId="0" borderId="0" xfId="0" applyFont="1"/>
    <xf numFmtId="0" fontId="4" fillId="0" borderId="0" xfId="0" applyFont="1"/>
    <xf numFmtId="44" fontId="4" fillId="0" borderId="0" xfId="0" applyNumberFormat="1" applyFont="1"/>
    <xf numFmtId="9" fontId="4" fillId="0" borderId="0" xfId="1" applyFont="1"/>
    <xf numFmtId="10" fontId="0" fillId="0" borderId="0" xfId="0" applyNumberFormat="1"/>
    <xf numFmtId="2" fontId="0" fillId="0" borderId="0" xfId="0" applyNumberFormat="1"/>
    <xf numFmtId="10" fontId="4" fillId="0" borderId="0" xfId="0" applyNumberFormat="1" applyFont="1"/>
    <xf numFmtId="164" fontId="4" fillId="0" borderId="0" xfId="1" applyNumberFormat="1" applyFont="1"/>
    <xf numFmtId="10" fontId="4" fillId="0" borderId="0" xfId="1" applyNumberFormat="1" applyFont="1"/>
    <xf numFmtId="164" fontId="1" fillId="0" borderId="0" xfId="1" applyNumberFormat="1"/>
    <xf numFmtId="10" fontId="1" fillId="0" borderId="0" xfId="1" applyNumberFormat="1"/>
    <xf numFmtId="10" fontId="0" fillId="0" borderId="0" xfId="2" applyNumberFormat="1" applyFont="1"/>
    <xf numFmtId="9" fontId="0" fillId="0" borderId="0" xfId="2" applyNumberFormat="1" applyFont="1"/>
    <xf numFmtId="9" fontId="0" fillId="0" borderId="0" xfId="0" applyNumberFormat="1"/>
    <xf numFmtId="0" fontId="2" fillId="0" borderId="1" xfId="0" applyFont="1" applyBorder="1"/>
    <xf numFmtId="0" fontId="0" fillId="0" borderId="1" xfId="0" applyBorder="1"/>
    <xf numFmtId="9" fontId="4" fillId="0" borderId="1" xfId="1" applyFont="1" applyBorder="1"/>
    <xf numFmtId="9" fontId="0" fillId="0" borderId="1" xfId="1" applyFont="1" applyBorder="1"/>
    <xf numFmtId="9" fontId="2" fillId="0" borderId="1" xfId="1" applyFont="1" applyBorder="1"/>
    <xf numFmtId="44" fontId="0" fillId="0" borderId="1" xfId="0" applyNumberFormat="1" applyBorder="1"/>
    <xf numFmtId="44" fontId="4" fillId="0" borderId="1" xfId="0" applyNumberFormat="1" applyFont="1" applyBorder="1"/>
    <xf numFmtId="0" fontId="2" fillId="0" borderId="0" xfId="0" applyFont="1" applyAlignment="1">
      <alignment horizontal="left" indent="4"/>
    </xf>
    <xf numFmtId="9" fontId="5" fillId="0" borderId="0" xfId="0" applyNumberFormat="1" applyFont="1"/>
    <xf numFmtId="0" fontId="5" fillId="0" borderId="0" xfId="0" applyFont="1"/>
    <xf numFmtId="0" fontId="0" fillId="0" borderId="0" xfId="2" applyNumberFormat="1" applyFont="1"/>
    <xf numFmtId="9" fontId="1" fillId="0" borderId="0" xfId="1"/>
    <xf numFmtId="0" fontId="1" fillId="0" borderId="0" xfId="2" applyNumberFormat="1"/>
    <xf numFmtId="10" fontId="1" fillId="0" borderId="0" xfId="2" applyNumberFormat="1"/>
    <xf numFmtId="0" fontId="6" fillId="0" borderId="0" xfId="0" applyFont="1"/>
    <xf numFmtId="0" fontId="3" fillId="0" borderId="1" xfId="0" applyFont="1" applyBorder="1"/>
    <xf numFmtId="164" fontId="2" fillId="0" borderId="0" xfId="1" applyNumberFormat="1" applyFont="1"/>
    <xf numFmtId="164" fontId="0" fillId="0" borderId="0" xfId="1" applyNumberFormat="1" applyFont="1"/>
    <xf numFmtId="10" fontId="0" fillId="0" borderId="0" xfId="1" applyNumberFormat="1" applyFont="1"/>
    <xf numFmtId="165" fontId="2" fillId="0" borderId="0" xfId="1" applyNumberFormat="1" applyFont="1"/>
    <xf numFmtId="165" fontId="0" fillId="0" borderId="0" xfId="1" applyNumberFormat="1" applyFont="1"/>
    <xf numFmtId="165" fontId="0" fillId="0" borderId="0" xfId="0" applyNumberFormat="1"/>
    <xf numFmtId="0" fontId="4" fillId="0" borderId="1" xfId="0" applyFont="1" applyBorder="1"/>
    <xf numFmtId="165" fontId="2" fillId="0" borderId="1" xfId="1" applyNumberFormat="1" applyFont="1" applyBorder="1"/>
    <xf numFmtId="164" fontId="2" fillId="0" borderId="1" xfId="1" applyNumberFormat="1" applyFont="1" applyBorder="1"/>
    <xf numFmtId="165" fontId="0" fillId="0" borderId="1" xfId="0" applyNumberFormat="1" applyBorder="1"/>
    <xf numFmtId="10" fontId="0" fillId="0" borderId="1" xfId="1" applyNumberFormat="1" applyFont="1" applyBorder="1"/>
    <xf numFmtId="164" fontId="0" fillId="0" borderId="1" xfId="1" applyNumberFormat="1" applyFont="1" applyBorder="1"/>
    <xf numFmtId="164" fontId="0" fillId="0" borderId="0" xfId="0" applyNumberFormat="1"/>
    <xf numFmtId="0" fontId="0" fillId="0" borderId="2" xfId="0" applyBorder="1"/>
    <xf numFmtId="0" fontId="6" fillId="0" borderId="1" xfId="0" applyFont="1" applyBorder="1"/>
    <xf numFmtId="0" fontId="4" fillId="0" borderId="2" xfId="0" applyFont="1" applyBorder="1"/>
    <xf numFmtId="0" fontId="2" fillId="0" borderId="3" xfId="0" applyFont="1" applyBorder="1"/>
    <xf numFmtId="0" fontId="7" fillId="0" borderId="0" xfId="0" applyFont="1"/>
    <xf numFmtId="0" fontId="8" fillId="0" borderId="0" xfId="0" applyFont="1"/>
    <xf numFmtId="0" fontId="0" fillId="0" borderId="4" xfId="0" applyBorder="1"/>
    <xf numFmtId="0" fontId="2" fillId="0" borderId="5" xfId="0" applyFont="1" applyBorder="1"/>
    <xf numFmtId="0" fontId="9" fillId="0" borderId="0" xfId="0" applyFont="1"/>
    <xf numFmtId="9" fontId="9" fillId="0" borderId="0" xfId="0" applyNumberFormat="1" applyFont="1"/>
    <xf numFmtId="0" fontId="0" fillId="3" borderId="0" xfId="0" applyFill="1"/>
    <xf numFmtId="9" fontId="9" fillId="3" borderId="0" xfId="0" applyNumberFormat="1" applyFont="1" applyFill="1"/>
    <xf numFmtId="9" fontId="0" fillId="3" borderId="0" xfId="1" applyFont="1" applyFill="1"/>
    <xf numFmtId="165" fontId="9" fillId="0" borderId="0" xfId="1" applyNumberFormat="1" applyFont="1"/>
    <xf numFmtId="164" fontId="9" fillId="0" borderId="0" xfId="1" applyNumberFormat="1" applyFont="1"/>
    <xf numFmtId="9" fontId="9" fillId="0" borderId="0" xfId="1" applyFont="1"/>
    <xf numFmtId="9" fontId="9" fillId="3" borderId="0" xfId="1" applyFont="1" applyFill="1"/>
    <xf numFmtId="165" fontId="9" fillId="0" borderId="0" xfId="0" applyNumberFormat="1" applyFont="1"/>
    <xf numFmtId="9" fontId="0" fillId="3" borderId="0" xfId="0" applyNumberFormat="1" applyFill="1"/>
    <xf numFmtId="0" fontId="0" fillId="0" borderId="8" xfId="0" applyBorder="1"/>
    <xf numFmtId="9" fontId="0" fillId="0" borderId="1" xfId="0" applyNumberFormat="1" applyBorder="1"/>
    <xf numFmtId="9" fontId="10" fillId="0" borderId="0" xfId="0" applyNumberFormat="1" applyFont="1"/>
    <xf numFmtId="165" fontId="5" fillId="0" borderId="2" xfId="1" applyNumberFormat="1" applyFont="1" applyBorder="1"/>
    <xf numFmtId="165" fontId="5" fillId="0" borderId="0" xfId="1" applyNumberFormat="1" applyFont="1"/>
    <xf numFmtId="10" fontId="5" fillId="0" borderId="0" xfId="1" applyNumberFormat="1" applyFont="1"/>
    <xf numFmtId="164" fontId="5" fillId="0" borderId="0" xfId="1" applyNumberFormat="1" applyFont="1"/>
    <xf numFmtId="9" fontId="5" fillId="0" borderId="0" xfId="1" applyFont="1"/>
    <xf numFmtId="10" fontId="2" fillId="0" borderId="0" xfId="0" applyNumberFormat="1" applyFont="1"/>
    <xf numFmtId="0" fontId="11" fillId="0" borderId="0" xfId="0" applyFont="1"/>
    <xf numFmtId="165" fontId="9" fillId="3" borderId="0" xfId="1" applyNumberFormat="1" applyFont="1" applyFill="1"/>
    <xf numFmtId="164" fontId="9" fillId="3" borderId="0" xfId="1" applyNumberFormat="1" applyFont="1" applyFill="1"/>
    <xf numFmtId="0" fontId="11" fillId="0" borderId="1" xfId="0" applyFont="1" applyBorder="1"/>
    <xf numFmtId="0" fontId="2" fillId="0" borderId="9" xfId="0" applyFont="1" applyBorder="1"/>
    <xf numFmtId="9" fontId="11" fillId="0" borderId="0" xfId="1" applyFont="1"/>
    <xf numFmtId="43" fontId="0" fillId="0" borderId="0" xfId="2" applyFont="1"/>
    <xf numFmtId="43" fontId="4" fillId="0" borderId="0" xfId="2" applyFont="1"/>
    <xf numFmtId="166" fontId="0" fillId="0" borderId="0" xfId="2" applyNumberFormat="1" applyFont="1"/>
    <xf numFmtId="43" fontId="4" fillId="0" borderId="1" xfId="2" applyFont="1" applyBorder="1"/>
    <xf numFmtId="43" fontId="10" fillId="0" borderId="0" xfId="2" applyFont="1"/>
    <xf numFmtId="43" fontId="0" fillId="0" borderId="1" xfId="2" applyFont="1" applyBorder="1"/>
    <xf numFmtId="43" fontId="5" fillId="0" borderId="0" xfId="2" applyFont="1"/>
    <xf numFmtId="43" fontId="2" fillId="0" borderId="0" xfId="2" applyFont="1"/>
    <xf numFmtId="43" fontId="2" fillId="0" borderId="1" xfId="2" applyFont="1" applyBorder="1"/>
    <xf numFmtId="43" fontId="5" fillId="3" borderId="0" xfId="2" applyFont="1" applyFill="1"/>
    <xf numFmtId="0" fontId="0" fillId="0" borderId="0" xfId="0" applyBorder="1"/>
    <xf numFmtId="170" fontId="0" fillId="0" borderId="0" xfId="0" applyNumberFormat="1"/>
    <xf numFmtId="170" fontId="0" fillId="0" borderId="1" xfId="0" applyNumberFormat="1" applyBorder="1"/>
    <xf numFmtId="170" fontId="2" fillId="0" borderId="0" xfId="0" applyNumberFormat="1" applyFont="1"/>
    <xf numFmtId="170" fontId="2" fillId="0" borderId="1" xfId="0" applyNumberFormat="1" applyFont="1" applyBorder="1"/>
    <xf numFmtId="170" fontId="4" fillId="0" borderId="0" xfId="0" applyNumberFormat="1" applyFont="1"/>
    <xf numFmtId="170" fontId="4" fillId="0" borderId="1" xfId="0" applyNumberFormat="1" applyFont="1" applyBorder="1"/>
    <xf numFmtId="170" fontId="0" fillId="3" borderId="0" xfId="0" applyNumberFormat="1" applyFill="1"/>
    <xf numFmtId="170" fontId="2" fillId="0" borderId="0" xfId="3" applyNumberFormat="1" applyFont="1"/>
    <xf numFmtId="170" fontId="3" fillId="0" borderId="0" xfId="0" applyNumberFormat="1" applyFont="1"/>
    <xf numFmtId="170" fontId="3" fillId="0" borderId="1" xfId="0" applyNumberFormat="1" applyFont="1" applyBorder="1"/>
    <xf numFmtId="170" fontId="3" fillId="2" borderId="0" xfId="0" applyNumberFormat="1" applyFont="1" applyFill="1"/>
    <xf numFmtId="170" fontId="0" fillId="0" borderId="3" xfId="0" applyNumberFormat="1" applyBorder="1"/>
    <xf numFmtId="170" fontId="0" fillId="3" borderId="9" xfId="0" applyNumberFormat="1" applyFill="1" applyBorder="1"/>
    <xf numFmtId="170" fontId="0" fillId="0" borderId="3" xfId="2" applyNumberFormat="1" applyFont="1" applyBorder="1"/>
    <xf numFmtId="170" fontId="3" fillId="0" borderId="3" xfId="0" applyNumberFormat="1" applyFont="1" applyBorder="1"/>
    <xf numFmtId="170" fontId="3" fillId="0" borderId="9" xfId="0" applyNumberFormat="1" applyFont="1" applyBorder="1"/>
    <xf numFmtId="170" fontId="0" fillId="0" borderId="0" xfId="1" applyNumberFormat="1" applyFont="1"/>
    <xf numFmtId="170" fontId="2" fillId="3" borderId="0" xfId="0" applyNumberFormat="1" applyFont="1" applyFill="1"/>
    <xf numFmtId="170" fontId="6" fillId="0" borderId="0" xfId="0" applyNumberFormat="1" applyFont="1"/>
    <xf numFmtId="170" fontId="6" fillId="0" borderId="1" xfId="0" applyNumberFormat="1" applyFont="1" applyBorder="1"/>
    <xf numFmtId="170" fontId="6" fillId="3" borderId="0" xfId="0" applyNumberFormat="1" applyFont="1" applyFill="1"/>
    <xf numFmtId="170" fontId="5" fillId="0" borderId="0" xfId="0" applyNumberFormat="1" applyFont="1"/>
    <xf numFmtId="170" fontId="3" fillId="3" borderId="0" xfId="0" applyNumberFormat="1" applyFont="1" applyFill="1"/>
    <xf numFmtId="170" fontId="9" fillId="0" borderId="0" xfId="0" applyNumberFormat="1" applyFont="1"/>
    <xf numFmtId="170" fontId="9" fillId="0" borderId="1" xfId="0" applyNumberFormat="1" applyFont="1" applyBorder="1"/>
    <xf numFmtId="170" fontId="9" fillId="3" borderId="0" xfId="0" applyNumberFormat="1" applyFont="1" applyFill="1"/>
    <xf numFmtId="170" fontId="4" fillId="3" borderId="0" xfId="0" applyNumberFormat="1" applyFont="1" applyFill="1"/>
    <xf numFmtId="170" fontId="2" fillId="0" borderId="6" xfId="0" applyNumberFormat="1" applyFont="1" applyBorder="1"/>
    <xf numFmtId="170" fontId="0" fillId="0" borderId="7" xfId="0" applyNumberFormat="1" applyBorder="1"/>
    <xf numFmtId="9" fontId="0" fillId="3" borderId="2" xfId="0" applyNumberFormat="1" applyFill="1" applyBorder="1"/>
    <xf numFmtId="43" fontId="4" fillId="3" borderId="2" xfId="2" applyFont="1" applyFill="1" applyBorder="1"/>
    <xf numFmtId="170" fontId="2" fillId="3" borderId="2" xfId="2" applyNumberFormat="1" applyFont="1" applyFill="1" applyBorder="1"/>
    <xf numFmtId="43" fontId="2" fillId="3" borderId="2" xfId="2" applyFont="1" applyFill="1" applyBorder="1"/>
    <xf numFmtId="170" fontId="0" fillId="3" borderId="0" xfId="2" applyNumberFormat="1" applyFont="1" applyFill="1"/>
    <xf numFmtId="43" fontId="2" fillId="3" borderId="0" xfId="2" applyFont="1" applyFill="1"/>
    <xf numFmtId="170" fontId="2" fillId="3" borderId="2" xfId="0" applyNumberFormat="1" applyFont="1" applyFill="1" applyBorder="1"/>
    <xf numFmtId="9" fontId="0" fillId="3" borderId="2" xfId="1" applyFont="1" applyFill="1" applyBorder="1"/>
    <xf numFmtId="170" fontId="0" fillId="0" borderId="0" xfId="0" applyNumberFormat="1" applyFill="1"/>
    <xf numFmtId="9" fontId="2" fillId="3" borderId="0" xfId="1" applyFont="1" applyFill="1"/>
    <xf numFmtId="165" fontId="9" fillId="3" borderId="0" xfId="0" applyNumberFormat="1" applyFont="1" applyFill="1"/>
  </cellXfs>
  <cellStyles count="4">
    <cellStyle name="Navadno" xfId="0" builtinId="0"/>
    <cellStyle name="Odstotek" xfId="1" builtinId="5"/>
    <cellStyle name="Valuta" xfId="3" builtinId="4"/>
    <cellStyle name="Vejic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Rast poslovnih prihodkov in odhodkov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FCF!$A$6</c:f>
              <c:strCache>
                <c:ptCount val="1"/>
                <c:pt idx="0">
                  <c:v> prihodki skupaj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FCF!$B$1:$K$1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FCF!$B$6:$K$6</c:f>
              <c:numCache>
                <c:formatCode>_-* #,##0\ "€"_-;\-* #,##0\ "€"_-;_-* "-"??\ "€"_-;_-@_-</c:formatCode>
                <c:ptCount val="10"/>
                <c:pt idx="0">
                  <c:v>86874930</c:v>
                </c:pt>
                <c:pt idx="1">
                  <c:v>96022397</c:v>
                </c:pt>
                <c:pt idx="2">
                  <c:v>111940958</c:v>
                </c:pt>
                <c:pt idx="3">
                  <c:v>127620993</c:v>
                </c:pt>
                <c:pt idx="4">
                  <c:v>146513096</c:v>
                </c:pt>
                <c:pt idx="5">
                  <c:v>163593805.62</c:v>
                </c:pt>
                <c:pt idx="6">
                  <c:v>182699157.29940003</c:v>
                </c:pt>
                <c:pt idx="7">
                  <c:v>200574644.28309005</c:v>
                </c:pt>
                <c:pt idx="8">
                  <c:v>214449209.30948135</c:v>
                </c:pt>
                <c:pt idx="9">
                  <c:v>229286710.88404879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7B-4115-B91C-FB43073C5E95}"/>
            </c:ext>
          </c:extLst>
        </c:ser>
        <c:ser>
          <c:idx val="3"/>
          <c:order val="3"/>
          <c:tx>
            <c:strRef>
              <c:f>FCF!$A$24</c:f>
              <c:strCache>
                <c:ptCount val="1"/>
                <c:pt idx="0">
                  <c:v> odhodki skupaj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FCF!$B$24:$K$24</c:f>
              <c:numCache>
                <c:formatCode>_-* #,##0\ "€"_-;\-* #,##0\ "€"_-;_-* "-"??\ "€"_-;_-@_-</c:formatCode>
                <c:ptCount val="10"/>
                <c:pt idx="0">
                  <c:v>84260931</c:v>
                </c:pt>
                <c:pt idx="1">
                  <c:v>90935185</c:v>
                </c:pt>
                <c:pt idx="2">
                  <c:v>102489596</c:v>
                </c:pt>
                <c:pt idx="3">
                  <c:v>118089539</c:v>
                </c:pt>
                <c:pt idx="4">
                  <c:v>135524369</c:v>
                </c:pt>
                <c:pt idx="5">
                  <c:v>145919838.3668139</c:v>
                </c:pt>
                <c:pt idx="6">
                  <c:v>160911780.9403412</c:v>
                </c:pt>
                <c:pt idx="7">
                  <c:v>178729129.50306821</c:v>
                </c:pt>
                <c:pt idx="8">
                  <c:v>190142425.15680808</c:v>
                </c:pt>
                <c:pt idx="9">
                  <c:v>202356497.2697548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7B-4115-B91C-FB43073C5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8549008"/>
        <c:axId val="588548368"/>
      </c:barChart>
      <c:lineChart>
        <c:grouping val="standard"/>
        <c:varyColors val="0"/>
        <c:ser>
          <c:idx val="1"/>
          <c:order val="1"/>
          <c:tx>
            <c:strRef>
              <c:f>FCF!$A$7</c:f>
              <c:strCache>
                <c:ptCount val="1"/>
                <c:pt idx="0">
                  <c:v> rast prihodkov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FCF!$B$7:$K$7</c:f>
              <c:numCache>
                <c:formatCode>_(* #,##0.00_);_(* \(#,##0.00\);_(* "-"??_);_(@_)</c:formatCode>
                <c:ptCount val="10"/>
                <c:pt idx="1">
                  <c:v>1.1052946690144096</c:v>
                </c:pt>
                <c:pt idx="2">
                  <c:v>1.1657796670083127</c:v>
                </c:pt>
                <c:pt idx="3">
                  <c:v>1.1400741540911237</c:v>
                </c:pt>
                <c:pt idx="4">
                  <c:v>1.1480328788853726</c:v>
                </c:pt>
                <c:pt idx="5">
                  <c:v>1.1165814530327036</c:v>
                </c:pt>
                <c:pt idx="6">
                  <c:v>1.116785300072904</c:v>
                </c:pt>
                <c:pt idx="7">
                  <c:v>1.0978411025421229</c:v>
                </c:pt>
                <c:pt idx="8">
                  <c:v>1.0691740727048669</c:v>
                </c:pt>
                <c:pt idx="9">
                  <c:v>1.0691888845025059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7B-4115-B91C-FB43073C5E95}"/>
            </c:ext>
          </c:extLst>
        </c:ser>
        <c:ser>
          <c:idx val="2"/>
          <c:order val="2"/>
          <c:tx>
            <c:strRef>
              <c:f>FCF!$A$25</c:f>
              <c:strCache>
                <c:ptCount val="1"/>
                <c:pt idx="0">
                  <c:v> rast odhodkov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FCF!$B$25:$K$25</c:f>
              <c:numCache>
                <c:formatCode>_(* #,##0.00_);_(* \(#,##0.00\);_(* "-"??_);_(@_)</c:formatCode>
                <c:ptCount val="10"/>
                <c:pt idx="1">
                  <c:v>1.0792093550449853</c:v>
                </c:pt>
                <c:pt idx="2">
                  <c:v>1.1270620497445516</c:v>
                </c:pt>
                <c:pt idx="3">
                  <c:v>1.1522100155414798</c:v>
                </c:pt>
                <c:pt idx="4">
                  <c:v>1.1476407660461778</c:v>
                </c:pt>
                <c:pt idx="5">
                  <c:v>1.0767055360118585</c:v>
                </c:pt>
                <c:pt idx="6">
                  <c:v>1.1027409483269883</c:v>
                </c:pt>
                <c:pt idx="7">
                  <c:v>1.1107274337441637</c:v>
                </c:pt>
                <c:pt idx="8">
                  <c:v>1.0638580609969566</c:v>
                </c:pt>
                <c:pt idx="9">
                  <c:v>1.0642364380430822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7B-4115-B91C-FB43073C5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882960"/>
        <c:axId val="598882320"/>
      </c:lineChart>
      <c:catAx>
        <c:axId val="58854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88548368"/>
        <c:crosses val="autoZero"/>
        <c:auto val="1"/>
        <c:lblAlgn val="ctr"/>
        <c:lblOffset val="100"/>
        <c:noMultiLvlLbl val="0"/>
      </c:catAx>
      <c:valAx>
        <c:axId val="58854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88549008"/>
        <c:crosses val="autoZero"/>
        <c:crossBetween val="between"/>
      </c:valAx>
      <c:valAx>
        <c:axId val="5988823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koef. rasti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98882960"/>
        <c:crosses val="max"/>
        <c:crossBetween val="between"/>
      </c:valAx>
      <c:catAx>
        <c:axId val="598882960"/>
        <c:scaling>
          <c:orientation val="minMax"/>
        </c:scaling>
        <c:delete val="1"/>
        <c:axPos val="b"/>
        <c:majorTickMark val="out"/>
        <c:minorTickMark val="none"/>
        <c:tickLblPos val="nextTo"/>
        <c:crossAx val="598882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Gibanje obratnega kapitala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NALOŽBE!$A$44</c:f>
              <c:strCache>
                <c:ptCount val="1"/>
                <c:pt idx="0">
                  <c:v> vrednost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NALOŽBE!$B$43:$K$43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NALOŽBE!$B$44:$K$44</c:f>
              <c:numCache>
                <c:formatCode>_-* #,##0\ "€"_-;\-* #,##0\ "€"_-;_-* "-"??\ "€"_-;_-@_-</c:formatCode>
                <c:ptCount val="10"/>
                <c:pt idx="0">
                  <c:v>18013035</c:v>
                </c:pt>
                <c:pt idx="1">
                  <c:v>21308387</c:v>
                </c:pt>
                <c:pt idx="2">
                  <c:v>20077108</c:v>
                </c:pt>
                <c:pt idx="3">
                  <c:v>20016248</c:v>
                </c:pt>
                <c:pt idx="4">
                  <c:v>22951001</c:v>
                </c:pt>
                <c:pt idx="5">
                  <c:v>22903132.786800005</c:v>
                </c:pt>
                <c:pt idx="6">
                  <c:v>21923898.875928003</c:v>
                </c:pt>
                <c:pt idx="7">
                  <c:v>26074703.756801702</c:v>
                </c:pt>
                <c:pt idx="8">
                  <c:v>27878397.210232571</c:v>
                </c:pt>
                <c:pt idx="9">
                  <c:v>27514405.306085855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2-4B4D-82B2-D151C7742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3080184"/>
        <c:axId val="563080504"/>
      </c:barChart>
      <c:lineChart>
        <c:grouping val="standard"/>
        <c:varyColors val="0"/>
        <c:ser>
          <c:idx val="1"/>
          <c:order val="1"/>
          <c:tx>
            <c:strRef>
              <c:f>NALOŽBE!$A$45</c:f>
              <c:strCache>
                <c:ptCount val="1"/>
                <c:pt idx="0">
                  <c:v>delež v letnih prihodkih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NALOŽBE!$B$45:$K$45</c:f>
              <c:numCache>
                <c:formatCode>0%</c:formatCode>
                <c:ptCount val="10"/>
                <c:pt idx="0">
                  <c:v>0.20734445483869743</c:v>
                </c:pt>
                <c:pt idx="1">
                  <c:v>0.22191059237981739</c:v>
                </c:pt>
                <c:pt idx="2">
                  <c:v>0.17935444147261989</c:v>
                </c:pt>
                <c:pt idx="3">
                  <c:v>0.15684134349275905</c:v>
                </c:pt>
                <c:pt idx="4">
                  <c:v>0.15664811970119039</c:v>
                </c:pt>
                <c:pt idx="5">
                  <c:v>0.14000000000000001</c:v>
                </c:pt>
                <c:pt idx="6">
                  <c:v>0.12</c:v>
                </c:pt>
                <c:pt idx="7">
                  <c:v>0.12999999999999998</c:v>
                </c:pt>
                <c:pt idx="8">
                  <c:v>0.12999999999999998</c:v>
                </c:pt>
                <c:pt idx="9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22-4B4D-82B2-D151C7742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763000"/>
        <c:axId val="541056056"/>
      </c:lineChart>
      <c:catAx>
        <c:axId val="563080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63080504"/>
        <c:crosses val="autoZero"/>
        <c:auto val="1"/>
        <c:lblAlgn val="ctr"/>
        <c:lblOffset val="100"/>
        <c:noMultiLvlLbl val="0"/>
      </c:catAx>
      <c:valAx>
        <c:axId val="56308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63080184"/>
        <c:crosses val="autoZero"/>
        <c:crossBetween val="between"/>
      </c:valAx>
      <c:valAx>
        <c:axId val="541056056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58763000"/>
        <c:crosses val="max"/>
        <c:crossBetween val="between"/>
      </c:valAx>
      <c:catAx>
        <c:axId val="458763000"/>
        <c:scaling>
          <c:orientation val="minMax"/>
        </c:scaling>
        <c:delete val="1"/>
        <c:axPos val="b"/>
        <c:majorTickMark val="none"/>
        <c:minorTickMark val="none"/>
        <c:tickLblPos val="nextTo"/>
        <c:crossAx val="541056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Napoved amortizacije</a:t>
            </a:r>
          </a:p>
        </c:rich>
      </c:tx>
      <c:layout>
        <c:manualLayout>
          <c:xMode val="edge"/>
          <c:yMode val="edge"/>
          <c:x val="0.3807222222222222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obstoječa sredstva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'STARE AMORT. IN INVEST.'!$G$119:$K$119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'STARE AMORT. IN INVEST.'!$G$121:$K$121</c:f>
              <c:numCache>
                <c:formatCode>_-* #,##0\ "€"_-;\-* #,##0\ "€"_-;_-* "-"??\ "€"_-;_-@_-</c:formatCode>
                <c:ptCount val="5"/>
                <c:pt idx="0">
                  <c:v>4326964.3599999994</c:v>
                </c:pt>
                <c:pt idx="1">
                  <c:v>4326964.3599999994</c:v>
                </c:pt>
                <c:pt idx="2">
                  <c:v>4326964.3599999994</c:v>
                </c:pt>
                <c:pt idx="3">
                  <c:v>4272406.8</c:v>
                </c:pt>
                <c:pt idx="4">
                  <c:v>4272242.47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FC-406F-A97A-D9176C25D5CE}"/>
            </c:ext>
          </c:extLst>
        </c:ser>
        <c:ser>
          <c:idx val="1"/>
          <c:order val="1"/>
          <c:tx>
            <c:v>nove investicije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'STARE AMORT. IN INVEST.'!$G$119:$K$119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'STARE AMORT. IN INVEST.'!$G$122:$K$122</c:f>
              <c:numCache>
                <c:formatCode>_-* #,##0\ "€"_-;\-* #,##0\ "€"_-;_-* "-"??\ "€"_-;_-@_-</c:formatCode>
                <c:ptCount val="5"/>
                <c:pt idx="0">
                  <c:v>923748.782813892</c:v>
                </c:pt>
                <c:pt idx="1">
                  <c:v>1868230.3463888704</c:v>
                </c:pt>
                <c:pt idx="2">
                  <c:v>2707093.681174038</c:v>
                </c:pt>
                <c:pt idx="3">
                  <c:v>3429375.4055994456</c:v>
                </c:pt>
                <c:pt idx="4">
                  <c:v>4198332.551130848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FC-406F-A97A-D9176C25D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083064"/>
        <c:axId val="563083384"/>
      </c:lineChart>
      <c:catAx>
        <c:axId val="563083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63083384"/>
        <c:crosses val="autoZero"/>
        <c:auto val="1"/>
        <c:lblAlgn val="ctr"/>
        <c:lblOffset val="100"/>
        <c:noMultiLvlLbl val="0"/>
      </c:catAx>
      <c:valAx>
        <c:axId val="56308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6308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Primerjava rasti čistih prihodkov od prodaje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ELEKTROINDUSTRIJA V SLO.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'MAKRO ANALIZA'!$C$72:$F$72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'MAKRO ANALIZA'!$C$73:$F$73</c:f>
              <c:numCache>
                <c:formatCode>_(* #,##0.00_);_(* \(#,##0.00\);_(* "-"??_);_(@_)</c:formatCode>
                <c:ptCount val="4"/>
                <c:pt idx="1">
                  <c:v>1.044</c:v>
                </c:pt>
                <c:pt idx="2">
                  <c:v>1.0760000000000001</c:v>
                </c:pt>
                <c:pt idx="3">
                  <c:v>1.111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4A-48B9-B77B-F356BB30D958}"/>
            </c:ext>
          </c:extLst>
        </c:ser>
        <c:ser>
          <c:idx val="1"/>
          <c:order val="1"/>
          <c:tx>
            <c:v>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'MAKRO ANALIZA'!$C$85:$F$85</c:f>
              <c:numCache>
                <c:formatCode>_(* #,##0.00_);_(* \(#,##0.00\);_(* "-"??_);_(@_)</c:formatCode>
                <c:ptCount val="4"/>
                <c:pt idx="1">
                  <c:v>1.1472344288252005</c:v>
                </c:pt>
                <c:pt idx="2">
                  <c:v>1.1422186649394754</c:v>
                </c:pt>
                <c:pt idx="3">
                  <c:v>1.1517389566623668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4A-48B9-B77B-F356BB30D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050928"/>
        <c:axId val="503053488"/>
      </c:barChart>
      <c:catAx>
        <c:axId val="50305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3053488"/>
        <c:crosses val="autoZero"/>
        <c:auto val="1"/>
        <c:lblAlgn val="ctr"/>
        <c:lblOffset val="100"/>
        <c:noMultiLvlLbl val="0"/>
      </c:catAx>
      <c:valAx>
        <c:axId val="5030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 koeficienta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305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Primerjava</a:t>
            </a:r>
            <a:r>
              <a:rPr lang="sl-SI" baseline="0"/>
              <a:t> rasti stroškov blaga, materiala in storitev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ELEKTROINDUSTRIJA V SLO.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'MAKRO ANALIZA'!$C$84:$F$84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'MAKRO ANALIZA'!$C$74:$F$74</c:f>
              <c:numCache>
                <c:formatCode>_(* #,##0.00_);_(* \(#,##0.00\);_(* "-"??_);_(@_)</c:formatCode>
                <c:ptCount val="4"/>
                <c:pt idx="1">
                  <c:v>1.04</c:v>
                </c:pt>
                <c:pt idx="2">
                  <c:v>1.08</c:v>
                </c:pt>
                <c:pt idx="3">
                  <c:v>1.133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EE-4C0C-BBE9-D36CCD3599F9}"/>
            </c:ext>
          </c:extLst>
        </c:ser>
        <c:ser>
          <c:idx val="1"/>
          <c:order val="1"/>
          <c:tx>
            <c:v>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'MAKRO ANALIZA'!$C$84:$F$84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'MAKRO ANALIZA'!$C$86:$F$86</c:f>
              <c:numCache>
                <c:formatCode>_(* #,##0.00_);_(* \(#,##0.00\);_(* "-"??_);_(@_)</c:formatCode>
                <c:ptCount val="4"/>
                <c:pt idx="1">
                  <c:v>1.1480646140270654</c:v>
                </c:pt>
                <c:pt idx="2">
                  <c:v>1.1456369739449577</c:v>
                </c:pt>
                <c:pt idx="3">
                  <c:v>1.1519952651333045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EE-4C0C-BBE9-D36CCD359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972216"/>
        <c:axId val="482970296"/>
      </c:barChart>
      <c:catAx>
        <c:axId val="482972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82970296"/>
        <c:crosses val="autoZero"/>
        <c:auto val="1"/>
        <c:lblAlgn val="ctr"/>
        <c:lblOffset val="100"/>
        <c:noMultiLvlLbl val="0"/>
      </c:catAx>
      <c:valAx>
        <c:axId val="48297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</a:t>
                </a:r>
                <a:r>
                  <a:rPr lang="sl-SI" baseline="0"/>
                  <a:t> </a:t>
                </a:r>
                <a:r>
                  <a:rPr lang="sl-SI"/>
                  <a:t>koeficienta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82972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Dobičkonosnost kapitala - ROE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Slovenija (EEI)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'MAKRO ANALIZA'!$B$84:$F$84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'MAKRO ANALIZA'!$B$78:$F$78</c:f>
              <c:numCache>
                <c:formatCode>0%</c:formatCode>
                <c:ptCount val="5"/>
                <c:pt idx="0">
                  <c:v>0.10730000000000001</c:v>
                </c:pt>
                <c:pt idx="1">
                  <c:v>9.74E-2</c:v>
                </c:pt>
                <c:pt idx="2">
                  <c:v>0.1249</c:v>
                </c:pt>
                <c:pt idx="3">
                  <c:v>0.14319999999999999</c:v>
                </c:pt>
                <c:pt idx="4">
                  <c:v>0.13200000000000001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7B-4EB1-B7C4-65AD55711CAD}"/>
            </c:ext>
          </c:extLst>
        </c:ser>
        <c:ser>
          <c:idx val="1"/>
          <c:order val="1"/>
          <c:tx>
            <c:v>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KAZALNIKI!$B$58:$F$58</c:f>
              <c:numCache>
                <c:formatCode>_(* #,##0.00_);_(* \(#,##0.00\);_(* "-"??_);_(@_)</c:formatCode>
                <c:ptCount val="5"/>
                <c:pt idx="0">
                  <c:v>7.6440562317114547E-2</c:v>
                </c:pt>
                <c:pt idx="1">
                  <c:v>0.16629641163394035</c:v>
                </c:pt>
                <c:pt idx="2">
                  <c:v>0.22230030033180678</c:v>
                </c:pt>
                <c:pt idx="3">
                  <c:v>0.27070576093516113</c:v>
                </c:pt>
                <c:pt idx="4">
                  <c:v>0.28732206496914736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7B-4EB1-B7C4-65AD55711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596280"/>
        <c:axId val="504597240"/>
      </c:lineChart>
      <c:catAx>
        <c:axId val="504596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4597240"/>
        <c:crosses val="autoZero"/>
        <c:auto val="1"/>
        <c:lblAlgn val="ctr"/>
        <c:lblOffset val="100"/>
        <c:noMultiLvlLbl val="0"/>
      </c:catAx>
      <c:valAx>
        <c:axId val="50459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delež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4596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EBIT in EBITDA slovenske EEI in podjetja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EBIT (EEI)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'MAKRO ANALIZA'!$D$72:$F$72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'MAKRO ANALIZA'!$D$75:$F$75</c:f>
              <c:numCache>
                <c:formatCode>_(* #,##0.00_);_(* \(#,##0.00\);_(* "-"??_);_(@_)</c:formatCode>
                <c:ptCount val="3"/>
                <c:pt idx="0">
                  <c:v>1.218</c:v>
                </c:pt>
                <c:pt idx="1">
                  <c:v>1.121</c:v>
                </c:pt>
                <c:pt idx="2">
                  <c:v>1.0640000000000001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57-4FBB-B8CE-32206A4D38EC}"/>
            </c:ext>
          </c:extLst>
        </c:ser>
        <c:ser>
          <c:idx val="1"/>
          <c:order val="1"/>
          <c:tx>
            <c:v>EBIT (X)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'MAKRO ANALIZA'!$D$72:$F$72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KAZALNIKI!$D$30:$F$30</c:f>
              <c:numCache>
                <c:formatCode>_(* #,##0.00_);_(* \(#,##0.00\);_(* "-"??_);_(@_)</c:formatCode>
                <c:ptCount val="3"/>
                <c:pt idx="0">
                  <c:v>1.3174317752687759</c:v>
                </c:pt>
                <c:pt idx="1">
                  <c:v>1.2707279182999562</c:v>
                </c:pt>
                <c:pt idx="2">
                  <c:v>1.0632706096283764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57-4FBB-B8CE-32206A4D38EC}"/>
            </c:ext>
          </c:extLst>
        </c:ser>
        <c:ser>
          <c:idx val="2"/>
          <c:order val="2"/>
          <c:tx>
            <c:v>EBITDA (EEI)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'MAKRO ANALIZA'!$D$72:$F$72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'MAKRO ANALIZA'!$D$76:$F$76</c:f>
              <c:numCache>
                <c:formatCode>_(* #,##0.00_);_(* \(#,##0.00\);_(* "-"??_);_(@_)</c:formatCode>
                <c:ptCount val="3"/>
                <c:pt idx="0">
                  <c:v>1.1579999999999999</c:v>
                </c:pt>
                <c:pt idx="1">
                  <c:v>1.0960000000000001</c:v>
                </c:pt>
                <c:pt idx="2">
                  <c:v>1.032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57-4FBB-B8CE-32206A4D38EC}"/>
            </c:ext>
          </c:extLst>
        </c:ser>
        <c:ser>
          <c:idx val="3"/>
          <c:order val="3"/>
          <c:tx>
            <c:v>EBITDA (X)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'MAKRO ANALIZA'!$D$72:$F$72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KAZALNIKI!$D$31:$F$31</c:f>
              <c:numCache>
                <c:formatCode>_(* #,##0.00_);_(* \(#,##0.00\);_(* "-"??_);_(@_)</c:formatCode>
                <c:ptCount val="3"/>
                <c:pt idx="0">
                  <c:v>1.1918148970371207</c:v>
                </c:pt>
                <c:pt idx="1">
                  <c:v>1.2220134423132025</c:v>
                </c:pt>
                <c:pt idx="2">
                  <c:v>1.1096668233542433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57-4FBB-B8CE-32206A4D3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052048"/>
        <c:axId val="587054288"/>
      </c:lineChart>
      <c:catAx>
        <c:axId val="58705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87054288"/>
        <c:crosses val="autoZero"/>
        <c:auto val="1"/>
        <c:lblAlgn val="ctr"/>
        <c:lblOffset val="100"/>
        <c:noMultiLvlLbl val="0"/>
      </c:catAx>
      <c:valAx>
        <c:axId val="58705428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rast v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8705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Dolgoročna</a:t>
            </a:r>
            <a:r>
              <a:rPr lang="sl-SI" baseline="0"/>
              <a:t> sredstva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KAZALNIKI!$A$3</c:f>
              <c:strCache>
                <c:ptCount val="1"/>
                <c:pt idx="0">
                  <c:v> neopredmetena sredstva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KAZALNIKI!$B$2:$F$2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KAZALNIKI!$B$3:$F$3</c:f>
              <c:numCache>
                <c:formatCode>_-* #,##0\ "€"_-;\-* #,##0\ "€"_-;_-* "-"??\ "€"_-;_-@_-</c:formatCode>
                <c:ptCount val="5"/>
                <c:pt idx="0">
                  <c:v>240390</c:v>
                </c:pt>
                <c:pt idx="1">
                  <c:v>211090</c:v>
                </c:pt>
                <c:pt idx="2">
                  <c:v>443644</c:v>
                </c:pt>
                <c:pt idx="3">
                  <c:v>244397</c:v>
                </c:pt>
                <c:pt idx="4">
                  <c:v>164330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30-4123-A715-D15693FBF27F}"/>
            </c:ext>
          </c:extLst>
        </c:ser>
        <c:ser>
          <c:idx val="1"/>
          <c:order val="1"/>
          <c:tx>
            <c:strRef>
              <c:f>KAZALNIKI!$A$4</c:f>
              <c:strCache>
                <c:ptCount val="1"/>
                <c:pt idx="0">
                  <c:v> opredmetena osnovna sredstva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KAZALNIKI!$B$2:$F$2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KAZALNIKI!$B$4:$F$4</c:f>
              <c:numCache>
                <c:formatCode>_-* #,##0\ "€"_-;\-* #,##0\ "€"_-;_-* "-"??\ "€"_-;_-@_-</c:formatCode>
                <c:ptCount val="5"/>
                <c:pt idx="0">
                  <c:v>18180447</c:v>
                </c:pt>
                <c:pt idx="1">
                  <c:v>18789288</c:v>
                </c:pt>
                <c:pt idx="2">
                  <c:v>22800397</c:v>
                </c:pt>
                <c:pt idx="3">
                  <c:v>41740919</c:v>
                </c:pt>
                <c:pt idx="4">
                  <c:v>51032572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30-4123-A715-D15693FBF27F}"/>
            </c:ext>
          </c:extLst>
        </c:ser>
        <c:ser>
          <c:idx val="2"/>
          <c:order val="2"/>
          <c:tx>
            <c:strRef>
              <c:f>KAZALNIKI!$A$5</c:f>
              <c:strCache>
                <c:ptCount val="1"/>
                <c:pt idx="0">
                  <c:v> finančne naložbe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KAZALNIKI!$B$5:$F$5</c:f>
              <c:numCache>
                <c:formatCode>_-* #,##0\ "€"_-;\-* #,##0\ "€"_-;_-* "-"??\ "€"_-;_-@_-</c:formatCode>
                <c:ptCount val="5"/>
                <c:pt idx="0">
                  <c:v>2443353</c:v>
                </c:pt>
                <c:pt idx="1">
                  <c:v>2751131</c:v>
                </c:pt>
                <c:pt idx="2">
                  <c:v>2500624</c:v>
                </c:pt>
                <c:pt idx="3">
                  <c:v>2200931</c:v>
                </c:pt>
                <c:pt idx="4">
                  <c:v>2202223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30-4123-A715-D15693FBF27F}"/>
            </c:ext>
          </c:extLst>
        </c:ser>
        <c:ser>
          <c:idx val="3"/>
          <c:order val="3"/>
          <c:tx>
            <c:strRef>
              <c:f>KAZALNIKI!$A$6</c:f>
              <c:strCache>
                <c:ptCount val="1"/>
                <c:pt idx="0">
                  <c:v> terjatve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KAZALNIKI!$B$6:$F$6</c:f>
              <c:numCache>
                <c:formatCode>_-* #,##0\ "€"_-;\-* #,##0\ "€"_-;_-* "-"??\ "€"_-;_-@_-</c:formatCode>
                <c:ptCount val="5"/>
                <c:pt idx="0">
                  <c:v>5074</c:v>
                </c:pt>
                <c:pt idx="1">
                  <c:v>5058</c:v>
                </c:pt>
                <c:pt idx="2">
                  <c:v>5011</c:v>
                </c:pt>
                <c:pt idx="3">
                  <c:v>304768</c:v>
                </c:pt>
                <c:pt idx="4">
                  <c:v>431298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30-4123-A715-D15693FBF27F}"/>
            </c:ext>
          </c:extLst>
        </c:ser>
        <c:ser>
          <c:idx val="4"/>
          <c:order val="4"/>
          <c:tx>
            <c:strRef>
              <c:f>KAZALNIKI!$A$7</c:f>
              <c:strCache>
                <c:ptCount val="1"/>
                <c:pt idx="0">
                  <c:v> odložene terjatve za davek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KAZALNIKI!$B$7:$F$7</c:f>
              <c:numCache>
                <c:formatCode>_-* #,##0\ "€"_-;\-* #,##0\ "€"_-;_-* "-"??\ "€"_-;_-@_-</c:formatCode>
                <c:ptCount val="5"/>
                <c:pt idx="0">
                  <c:v>781060</c:v>
                </c:pt>
                <c:pt idx="1">
                  <c:v>608142</c:v>
                </c:pt>
                <c:pt idx="2">
                  <c:v>333989</c:v>
                </c:pt>
                <c:pt idx="3">
                  <c:v>411787</c:v>
                </c:pt>
                <c:pt idx="4">
                  <c:v>455819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30-4123-A715-D15693FBF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4324144"/>
        <c:axId val="374324784"/>
        <c:axId val="0"/>
      </c:bar3DChart>
      <c:catAx>
        <c:axId val="37432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374324784"/>
        <c:crosses val="autoZero"/>
        <c:auto val="1"/>
        <c:lblAlgn val="ctr"/>
        <c:lblOffset val="100"/>
        <c:noMultiLvlLbl val="0"/>
      </c:catAx>
      <c:valAx>
        <c:axId val="37432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37432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Kratkoročna sredstva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1913415604248818"/>
          <c:y val="0.14814814814814814"/>
          <c:w val="0.55464129483814528"/>
          <c:h val="0.68426727909011376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KAZALNIKI!$A$11</c:f>
              <c:strCache>
                <c:ptCount val="1"/>
                <c:pt idx="0">
                  <c:v> zaloge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KAZALNIKI!$B$10:$F$10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KAZALNIKI!$B$11:$F$11</c:f>
              <c:numCache>
                <c:formatCode>_-* #,##0\ "€"_-;\-* #,##0\ "€"_-;_-* "-"??\ "€"_-;_-@_-</c:formatCode>
                <c:ptCount val="5"/>
                <c:pt idx="0">
                  <c:v>12903579</c:v>
                </c:pt>
                <c:pt idx="1">
                  <c:v>14302025</c:v>
                </c:pt>
                <c:pt idx="2">
                  <c:v>14059978</c:v>
                </c:pt>
                <c:pt idx="3">
                  <c:v>18341310</c:v>
                </c:pt>
                <c:pt idx="4">
                  <c:v>20723229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F-48FD-AAAE-9863EECA10F2}"/>
            </c:ext>
          </c:extLst>
        </c:ser>
        <c:ser>
          <c:idx val="1"/>
          <c:order val="1"/>
          <c:tx>
            <c:strRef>
              <c:f>KAZALNIKI!$A$12</c:f>
              <c:strCache>
                <c:ptCount val="1"/>
                <c:pt idx="0">
                  <c:v> finančne terjatve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KAZALNIKI!$B$10:$F$10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KAZALNIKI!$B$12:$F$12</c:f>
              <c:numCache>
                <c:formatCode>_-* #,##0\ "€"_-;\-* #,##0\ "€"_-;_-* "-"??\ "€"_-;_-@_-</c:formatCode>
                <c:ptCount val="5"/>
                <c:pt idx="0">
                  <c:v>1440000</c:v>
                </c:pt>
                <c:pt idx="1">
                  <c:v>750000</c:v>
                </c:pt>
                <c:pt idx="4">
                  <c:v>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2F-48FD-AAAE-9863EECA10F2}"/>
            </c:ext>
          </c:extLst>
        </c:ser>
        <c:ser>
          <c:idx val="2"/>
          <c:order val="2"/>
          <c:tx>
            <c:strRef>
              <c:f>KAZALNIKI!$A$13</c:f>
              <c:strCache>
                <c:ptCount val="1"/>
                <c:pt idx="0">
                  <c:v> poslovne terjatve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KAZALNIKI!$B$10:$F$10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KAZALNIKI!$B$13:$F$13</c:f>
              <c:numCache>
                <c:formatCode>_-* #,##0\ "€"_-;\-* #,##0\ "€"_-;_-* "-"??\ "€"_-;_-@_-</c:formatCode>
                <c:ptCount val="5"/>
                <c:pt idx="0">
                  <c:v>15775257</c:v>
                </c:pt>
                <c:pt idx="1">
                  <c:v>18220528</c:v>
                </c:pt>
                <c:pt idx="2">
                  <c:v>22004872</c:v>
                </c:pt>
                <c:pt idx="3">
                  <c:v>21242290</c:v>
                </c:pt>
                <c:pt idx="4">
                  <c:v>25008015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2F-48FD-AAAE-9863EECA10F2}"/>
            </c:ext>
          </c:extLst>
        </c:ser>
        <c:ser>
          <c:idx val="3"/>
          <c:order val="3"/>
          <c:tx>
            <c:strRef>
              <c:f>KAZALNIKI!$A$15</c:f>
              <c:strCache>
                <c:ptCount val="1"/>
                <c:pt idx="0">
                  <c:v> denar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KAZALNIKI!$B$10:$F$10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KAZALNIKI!$B$15:$F$15</c:f>
              <c:numCache>
                <c:formatCode>_-* #,##0\ "€"_-;\-* #,##0\ "€"_-;_-* "-"??\ "€"_-;_-@_-</c:formatCode>
                <c:ptCount val="5"/>
                <c:pt idx="0">
                  <c:v>2064881</c:v>
                </c:pt>
                <c:pt idx="1">
                  <c:v>1974808</c:v>
                </c:pt>
                <c:pt idx="2">
                  <c:v>3502250</c:v>
                </c:pt>
                <c:pt idx="3">
                  <c:v>3392418</c:v>
                </c:pt>
                <c:pt idx="4">
                  <c:v>3296221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2F-48FD-AAAE-9863EECA10F2}"/>
            </c:ext>
          </c:extLst>
        </c:ser>
        <c:ser>
          <c:idx val="4"/>
          <c:order val="4"/>
          <c:tx>
            <c:strRef>
              <c:f>KAZALNIKI!$A$14</c:f>
              <c:strCache>
                <c:ptCount val="1"/>
                <c:pt idx="0">
                  <c:v> druga sredstva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KAZALNIKI!$B$10:$F$10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KAZALNIKI!$B$14:$F$14</c:f>
              <c:numCache>
                <c:formatCode>_-* #,##0\ "€"_-;\-* #,##0\ "€"_-;_-* "-"??\ "€"_-;_-@_-</c:formatCode>
                <c:ptCount val="5"/>
                <c:pt idx="0">
                  <c:v>804271</c:v>
                </c:pt>
                <c:pt idx="1">
                  <c:v>911213</c:v>
                </c:pt>
                <c:pt idx="2">
                  <c:v>3631954</c:v>
                </c:pt>
                <c:pt idx="3">
                  <c:v>3281088</c:v>
                </c:pt>
                <c:pt idx="4">
                  <c:v>2842084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2F-48FD-AAAE-9863EECA1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3052664"/>
        <c:axId val="503054904"/>
        <c:axId val="0"/>
      </c:bar3DChart>
      <c:catAx>
        <c:axId val="503052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3054904"/>
        <c:crosses val="autoZero"/>
        <c:auto val="1"/>
        <c:lblAlgn val="ctr"/>
        <c:lblOffset val="100"/>
        <c:noMultiLvlLbl val="0"/>
      </c:catAx>
      <c:valAx>
        <c:axId val="50305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</a:t>
                </a:r>
              </a:p>
            </c:rich>
          </c:tx>
          <c:layout>
            <c:manualLayout>
              <c:xMode val="edge"/>
              <c:yMode val="edge"/>
              <c:x val="1.6895527848322038E-2"/>
              <c:y val="0.394433872849227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305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V</a:t>
            </a:r>
            <a:r>
              <a:rPr lang="en-US"/>
              <a:t>rednost </a:t>
            </a:r>
            <a:r>
              <a:rPr lang="sl-SI"/>
              <a:t>neto </a:t>
            </a:r>
            <a:r>
              <a:rPr lang="en-US"/>
              <a:t>obratnega kapitala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KAZALNIKI!$A$23</c:f>
              <c:strCache>
                <c:ptCount val="1"/>
                <c:pt idx="0">
                  <c:v> vrednost neto obratnega kapitala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KAZALNIKI!$B$20:$F$20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KAZALNIKI!$B$23:$F$23</c:f>
              <c:numCache>
                <c:formatCode>_-* #,##0\ "€"_-;\-* #,##0\ "€"_-;_-* "-"??\ "€"_-;_-@_-</c:formatCode>
                <c:ptCount val="5"/>
                <c:pt idx="0">
                  <c:v>15978662</c:v>
                </c:pt>
                <c:pt idx="1">
                  <c:v>19986008</c:v>
                </c:pt>
                <c:pt idx="2">
                  <c:v>20954969</c:v>
                </c:pt>
                <c:pt idx="3">
                  <c:v>19483832</c:v>
                </c:pt>
                <c:pt idx="4">
                  <c:v>22637900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B-45E3-8D70-AA9858370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057784"/>
        <c:axId val="496162800"/>
      </c:lineChart>
      <c:catAx>
        <c:axId val="503057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96162800"/>
        <c:crosses val="autoZero"/>
        <c:auto val="1"/>
        <c:lblAlgn val="ctr"/>
        <c:lblOffset val="100"/>
        <c:noMultiLvlLbl val="0"/>
      </c:catAx>
      <c:valAx>
        <c:axId val="4961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3057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Gibanje skupin</a:t>
            </a:r>
            <a:r>
              <a:rPr lang="sl-SI" baseline="0"/>
              <a:t> denarnih tokov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[1]List1!$A$52</c:f>
              <c:strCache>
                <c:ptCount val="1"/>
                <c:pt idx="0">
                  <c:v>financiranje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[1]List1!$B$51:$F$51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[1]List1!$B$52:$F$52</c:f>
              <c:numCache>
                <c:formatCode>_("€"* #,##0.00_);_("€"* \(#,##0.00\);_("€"* "-"??_);_(@_)</c:formatCode>
                <c:ptCount val="5"/>
                <c:pt idx="0">
                  <c:v>-5230700</c:v>
                </c:pt>
                <c:pt idx="1">
                  <c:v>-2239693</c:v>
                </c:pt>
                <c:pt idx="2">
                  <c:v>-3437619</c:v>
                </c:pt>
                <c:pt idx="3">
                  <c:v>7341469</c:v>
                </c:pt>
                <c:pt idx="4">
                  <c:v>1397655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51-4129-AE10-7EB3AF9AEA05}"/>
            </c:ext>
          </c:extLst>
        </c:ser>
        <c:ser>
          <c:idx val="1"/>
          <c:order val="1"/>
          <c:tx>
            <c:strRef>
              <c:f>[1]List1!$A$53</c:f>
              <c:strCache>
                <c:ptCount val="1"/>
                <c:pt idx="0">
                  <c:v>poslovanje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[1]List1!$B$51:$F$51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[1]List1!$B$53:$F$53</c:f>
              <c:numCache>
                <c:formatCode>_("€"* #,##0.00_);_("€"* \(#,##0.00\);_("€"* "-"??_);_(@_)</c:formatCode>
                <c:ptCount val="5"/>
                <c:pt idx="0">
                  <c:v>9315030</c:v>
                </c:pt>
                <c:pt idx="1">
                  <c:v>7550620</c:v>
                </c:pt>
                <c:pt idx="2">
                  <c:v>15131458</c:v>
                </c:pt>
                <c:pt idx="3">
                  <c:v>16893333</c:v>
                </c:pt>
                <c:pt idx="4">
                  <c:v>15428908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51-4129-AE10-7EB3AF9AEA05}"/>
            </c:ext>
          </c:extLst>
        </c:ser>
        <c:ser>
          <c:idx val="2"/>
          <c:order val="2"/>
          <c:tx>
            <c:strRef>
              <c:f>[1]List1!$A$54</c:f>
              <c:strCache>
                <c:ptCount val="1"/>
                <c:pt idx="0">
                  <c:v>naložbenje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[1]List1!$B$51:$F$51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[1]List1!$B$54:$F$54</c:f>
              <c:numCache>
                <c:formatCode>_("€"* #,##0.00_);_("€"* \(#,##0.00\);_("€"* "-"??_);_(@_)</c:formatCode>
                <c:ptCount val="5"/>
                <c:pt idx="0">
                  <c:v>-4096778</c:v>
                </c:pt>
                <c:pt idx="1">
                  <c:v>-5464822</c:v>
                </c:pt>
                <c:pt idx="2">
                  <c:v>-10065144</c:v>
                </c:pt>
                <c:pt idx="3">
                  <c:v>-24344004</c:v>
                </c:pt>
                <c:pt idx="4">
                  <c:v>-16922760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51-4129-AE10-7EB3AF9AEA05}"/>
            </c:ext>
          </c:extLst>
        </c:ser>
        <c:ser>
          <c:idx val="3"/>
          <c:order val="3"/>
          <c:tx>
            <c:strRef>
              <c:f>[1]List1!$A$55</c:f>
              <c:strCache>
                <c:ptCount val="1"/>
                <c:pt idx="0">
                  <c:v>denarni izid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[1]List1!$B$55:$F$55</c:f>
              <c:numCache>
                <c:formatCode>_("€"* #,##0.00_);_("€"* \(#,##0.00\);_("€"* "-"??_);_(@_)</c:formatCode>
                <c:ptCount val="5"/>
                <c:pt idx="0">
                  <c:v>-12448</c:v>
                </c:pt>
                <c:pt idx="1">
                  <c:v>-152895</c:v>
                </c:pt>
                <c:pt idx="2">
                  <c:v>1628695</c:v>
                </c:pt>
                <c:pt idx="3">
                  <c:v>-109202</c:v>
                </c:pt>
                <c:pt idx="4">
                  <c:v>-96197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51-4129-AE10-7EB3AF9AE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249720"/>
        <c:axId val="502248760"/>
      </c:lineChart>
      <c:catAx>
        <c:axId val="502249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  <a:p>
                <a:pPr>
                  <a:defRPr/>
                </a:pPr>
                <a:endParaRPr lang="sl-SI"/>
              </a:p>
            </c:rich>
          </c:tx>
          <c:layout>
            <c:manualLayout>
              <c:xMode val="edge"/>
              <c:yMode val="edge"/>
              <c:x val="0.53472783605398611"/>
              <c:y val="0.501707897199872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2248760"/>
        <c:crosses val="autoZero"/>
        <c:auto val="1"/>
        <c:lblAlgn val="ctr"/>
        <c:lblOffset val="100"/>
        <c:noMultiLvlLbl val="0"/>
      </c:catAx>
      <c:valAx>
        <c:axId val="50224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&quot;€&quot;* #,##0_);_(&quot;€&quot;* \(#,##0\);_(&quot;€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22497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Gibanje</a:t>
            </a:r>
            <a:r>
              <a:rPr lang="sl-SI" baseline="0"/>
              <a:t> poslovnih odhodkov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FCF!$A$15</c:f>
              <c:strCache>
                <c:ptCount val="1"/>
                <c:pt idx="0">
                  <c:v> nab. vr. prodanega blaga in mat.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FCF!$B$12:$K$12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FCF!$B$15:$K$15</c:f>
              <c:numCache>
                <c:formatCode>_-* #,##0\ "€"_-;\-* #,##0\ "€"_-;_-* "-"??\ "€"_-;_-@_-</c:formatCode>
                <c:ptCount val="10"/>
                <c:pt idx="0">
                  <c:v>1356622</c:v>
                </c:pt>
                <c:pt idx="1">
                  <c:v>2588237</c:v>
                </c:pt>
                <c:pt idx="2">
                  <c:v>2690153</c:v>
                </c:pt>
                <c:pt idx="3">
                  <c:v>2350632</c:v>
                </c:pt>
                <c:pt idx="4">
                  <c:v>3245365</c:v>
                </c:pt>
                <c:pt idx="5">
                  <c:v>3271876.1124</c:v>
                </c:pt>
                <c:pt idx="6">
                  <c:v>3653983.1459880006</c:v>
                </c:pt>
                <c:pt idx="7">
                  <c:v>4011492.8856618013</c:v>
                </c:pt>
                <c:pt idx="8">
                  <c:v>4288984.1861896273</c:v>
                </c:pt>
                <c:pt idx="9">
                  <c:v>4585734.2176809758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48-4350-BF13-3F3BB0E14D6B}"/>
            </c:ext>
          </c:extLst>
        </c:ser>
        <c:ser>
          <c:idx val="1"/>
          <c:order val="1"/>
          <c:tx>
            <c:strRef>
              <c:f>FCF!$A$16</c:f>
              <c:strCache>
                <c:ptCount val="1"/>
                <c:pt idx="0">
                  <c:v> stroški materiala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FCF!$B$12:$K$12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FCF!$B$16:$K$16</c:f>
              <c:numCache>
                <c:formatCode>_-* #,##0\ "€"_-;\-* #,##0\ "€"_-;_-* "-"??\ "€"_-;_-@_-</c:formatCode>
                <c:ptCount val="10"/>
                <c:pt idx="0">
                  <c:v>46523776</c:v>
                </c:pt>
                <c:pt idx="1">
                  <c:v>49303597</c:v>
                </c:pt>
                <c:pt idx="2">
                  <c:v>56421307</c:v>
                </c:pt>
                <c:pt idx="3">
                  <c:v>65746330</c:v>
                </c:pt>
                <c:pt idx="4">
                  <c:v>77918197</c:v>
                </c:pt>
                <c:pt idx="5">
                  <c:v>86704716.97860001</c:v>
                </c:pt>
                <c:pt idx="6">
                  <c:v>96830553.368682027</c:v>
                </c:pt>
                <c:pt idx="7">
                  <c:v>106304561.47003773</c:v>
                </c:pt>
                <c:pt idx="8">
                  <c:v>115802573.02711993</c:v>
                </c:pt>
                <c:pt idx="9">
                  <c:v>123814823.87738636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48-4350-BF13-3F3BB0E14D6B}"/>
            </c:ext>
          </c:extLst>
        </c:ser>
        <c:ser>
          <c:idx val="2"/>
          <c:order val="2"/>
          <c:tx>
            <c:strRef>
              <c:f>FCF!$A$17</c:f>
              <c:strCache>
                <c:ptCount val="1"/>
                <c:pt idx="0">
                  <c:v> stroški storitev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FCF!$B$12:$K$12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FCF!$B$17:$K$17</c:f>
              <c:numCache>
                <c:formatCode>_-* #,##0\ "€"_-;\-* #,##0\ "€"_-;_-* "-"??\ "€"_-;_-@_-</c:formatCode>
                <c:ptCount val="10"/>
                <c:pt idx="0">
                  <c:v>6678346</c:v>
                </c:pt>
                <c:pt idx="1">
                  <c:v>8084988</c:v>
                </c:pt>
                <c:pt idx="2">
                  <c:v>9745807</c:v>
                </c:pt>
                <c:pt idx="3">
                  <c:v>10788469</c:v>
                </c:pt>
                <c:pt idx="4">
                  <c:v>9712081</c:v>
                </c:pt>
                <c:pt idx="5">
                  <c:v>11451566.393400002</c:v>
                </c:pt>
                <c:pt idx="6">
                  <c:v>12788941.010958003</c:v>
                </c:pt>
                <c:pt idx="7">
                  <c:v>16045971.542647205</c:v>
                </c:pt>
                <c:pt idx="8">
                  <c:v>17155936.744758509</c:v>
                </c:pt>
                <c:pt idx="9">
                  <c:v>18342936.870723903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48-4350-BF13-3F3BB0E14D6B}"/>
            </c:ext>
          </c:extLst>
        </c:ser>
        <c:ser>
          <c:idx val="3"/>
          <c:order val="3"/>
          <c:tx>
            <c:strRef>
              <c:f>FCF!$A$20</c:f>
              <c:strCache>
                <c:ptCount val="1"/>
                <c:pt idx="0">
                  <c:v> stroški dela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FCF!$B$12:$K$12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FCF!$B$20:$K$20</c:f>
              <c:numCache>
                <c:formatCode>_-* #,##0\ "€"_-;\-* #,##0\ "€"_-;_-* "-"??\ "€"_-;_-@_-</c:formatCode>
                <c:ptCount val="10"/>
                <c:pt idx="0">
                  <c:v>22166278</c:v>
                </c:pt>
                <c:pt idx="1">
                  <c:v>24145924</c:v>
                </c:pt>
                <c:pt idx="2">
                  <c:v>26083022</c:v>
                </c:pt>
                <c:pt idx="3">
                  <c:v>30776943</c:v>
                </c:pt>
                <c:pt idx="4">
                  <c:v>34236712</c:v>
                </c:pt>
                <c:pt idx="5">
                  <c:v>35969089.6272</c:v>
                </c:pt>
                <c:pt idx="6">
                  <c:v>37789125.562336326</c:v>
                </c:pt>
                <c:pt idx="7">
                  <c:v>39315806.235054716</c:v>
                </c:pt>
                <c:pt idx="8">
                  <c:v>40904164.806950927</c:v>
                </c:pt>
                <c:pt idx="9">
                  <c:v>42556693.065151744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48-4350-BF13-3F3BB0E14D6B}"/>
            </c:ext>
          </c:extLst>
        </c:ser>
        <c:ser>
          <c:idx val="4"/>
          <c:order val="4"/>
          <c:tx>
            <c:strRef>
              <c:f>FCF!$A$22</c:f>
              <c:strCache>
                <c:ptCount val="1"/>
                <c:pt idx="0">
                  <c:v> amortizacija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FCF!$B$12:$K$12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FCF!$B$22:$K$22</c:f>
              <c:numCache>
                <c:formatCode>_-* #,##0\ "€"_-;\-* #,##0\ "€"_-;_-* "-"??\ "€"_-;_-@_-</c:formatCode>
                <c:ptCount val="10"/>
                <c:pt idx="0">
                  <c:v>5566172</c:v>
                </c:pt>
                <c:pt idx="1">
                  <c:v>5240166</c:v>
                </c:pt>
                <c:pt idx="2">
                  <c:v>5430337</c:v>
                </c:pt>
                <c:pt idx="3">
                  <c:v>6219574</c:v>
                </c:pt>
                <c:pt idx="4">
                  <c:v>7405570</c:v>
                </c:pt>
                <c:pt idx="5">
                  <c:v>5250713.1428138912</c:v>
                </c:pt>
                <c:pt idx="6">
                  <c:v>6195194.7063888703</c:v>
                </c:pt>
                <c:pt idx="7">
                  <c:v>7034058.0411740383</c:v>
                </c:pt>
                <c:pt idx="8">
                  <c:v>7701782.2055994458</c:v>
                </c:pt>
                <c:pt idx="9">
                  <c:v>8470575.0211308487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48-4350-BF13-3F3BB0E14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042936"/>
        <c:axId val="541041976"/>
      </c:barChart>
      <c:catAx>
        <c:axId val="541042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41041976"/>
        <c:crosses val="autoZero"/>
        <c:auto val="1"/>
        <c:lblAlgn val="ctr"/>
        <c:lblOffset val="100"/>
        <c:noMultiLvlLbl val="0"/>
      </c:catAx>
      <c:valAx>
        <c:axId val="54104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41042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Poslovni prihodki in odhodki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[1]List1!$A$103</c:f>
              <c:strCache>
                <c:ptCount val="1"/>
                <c:pt idx="0">
                  <c:v>Poslovni prihodki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[1]List1!$B$100:$F$100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[1]List1!$B$103:$F$103</c:f>
              <c:numCache>
                <c:formatCode>_("€"* #,##0.00_);_("€"* \(#,##0.00\);_("€"* "-"??_);_(@_)</c:formatCode>
                <c:ptCount val="5"/>
                <c:pt idx="0">
                  <c:v>86991224</c:v>
                </c:pt>
                <c:pt idx="1">
                  <c:v>96894219</c:v>
                </c:pt>
                <c:pt idx="2">
                  <c:v>110468653</c:v>
                </c:pt>
                <c:pt idx="3">
                  <c:v>128950664</c:v>
                </c:pt>
                <c:pt idx="4">
                  <c:v>147072684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9-4B02-8467-88C2EC603F0A}"/>
            </c:ext>
          </c:extLst>
        </c:ser>
        <c:ser>
          <c:idx val="1"/>
          <c:order val="1"/>
          <c:tx>
            <c:strRef>
              <c:f>[1]List1!$A$104</c:f>
              <c:strCache>
                <c:ptCount val="1"/>
                <c:pt idx="0">
                  <c:v>Poslovni odhodki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[1]List1!$B$100:$F$100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[1]List1!$B$104:$F$104</c:f>
              <c:numCache>
                <c:formatCode>_("€"* #,##0.00_);_("€"* \(#,##0.00\);_("€"* "-"??_);_(@_)</c:formatCode>
                <c:ptCount val="5"/>
                <c:pt idx="0">
                  <c:v>83979601</c:v>
                </c:pt>
                <c:pt idx="1">
                  <c:v>90406469</c:v>
                </c:pt>
                <c:pt idx="2">
                  <c:v>101921485</c:v>
                </c:pt>
                <c:pt idx="3">
                  <c:v>118089539</c:v>
                </c:pt>
                <c:pt idx="4">
                  <c:v>135524369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A9-4B02-8467-88C2EC603F0A}"/>
            </c:ext>
          </c:extLst>
        </c:ser>
        <c:ser>
          <c:idx val="2"/>
          <c:order val="2"/>
          <c:tx>
            <c:strRef>
              <c:f>[1]List1!$A$102</c:f>
              <c:strCache>
                <c:ptCount val="1"/>
                <c:pt idx="0">
                  <c:v>izid iz poslovanja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[1]List1!$B$100:$F$100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[1]List1!$B$102:$F$102</c:f>
              <c:numCache>
                <c:formatCode>_("€"* #,##0.00_);_("€"* \(#,##0.00\);_("€"* "-"??_);_(@_)</c:formatCode>
                <c:ptCount val="5"/>
                <c:pt idx="0">
                  <c:v>3011623</c:v>
                </c:pt>
                <c:pt idx="1">
                  <c:v>6487750</c:v>
                </c:pt>
                <c:pt idx="2">
                  <c:v>8547168</c:v>
                </c:pt>
                <c:pt idx="3">
                  <c:v>10861125</c:v>
                </c:pt>
                <c:pt idx="4">
                  <c:v>11548315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A9-4B02-8467-88C2EC603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1504400"/>
        <c:axId val="501513680"/>
        <c:axId val="0"/>
      </c:bar3DChart>
      <c:catAx>
        <c:axId val="501504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1513680"/>
        <c:crosses val="autoZero"/>
        <c:auto val="1"/>
        <c:lblAlgn val="ctr"/>
        <c:lblOffset val="100"/>
        <c:noMultiLvlLbl val="0"/>
      </c:catAx>
      <c:valAx>
        <c:axId val="50151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&quot;€&quot;* #,##0_);_(&quot;€&quot;* \(#,##0\);_(&quot;€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150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EBIT in EBITDA</a:t>
            </a:r>
            <a:endParaRPr lang="sl-SI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>
        <c:manualLayout>
          <c:layoutTarget val="inner"/>
          <c:xMode val="edge"/>
          <c:yMode val="edge"/>
          <c:x val="0.22869203849518807"/>
          <c:y val="0.13425925925925927"/>
          <c:w val="0.59908573928258968"/>
          <c:h val="0.66111913094196562"/>
        </c:manualLayout>
      </c:layout>
      <c:lineChart>
        <c:grouping val="standard"/>
        <c:varyColors val="0"/>
        <c:ser>
          <c:idx val="0"/>
          <c:order val="0"/>
          <c:tx>
            <c:v>EBIT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KAZALNIKI!$B$27:$F$27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KAZALNIKI!$B$28:$F$28</c:f>
              <c:numCache>
                <c:formatCode>_-* #,##0\ "€"_-;\-* #,##0\ "€"_-;_-* "-"??\ "€"_-;_-@_-</c:formatCode>
                <c:ptCount val="5"/>
                <c:pt idx="0">
                  <c:v>3011623</c:v>
                </c:pt>
                <c:pt idx="1">
                  <c:v>6487750</c:v>
                </c:pt>
                <c:pt idx="2">
                  <c:v>8547168</c:v>
                </c:pt>
                <c:pt idx="3">
                  <c:v>10861125</c:v>
                </c:pt>
                <c:pt idx="4">
                  <c:v>11548315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47-42EE-9E75-A316430DCFCB}"/>
            </c:ext>
          </c:extLst>
        </c:ser>
        <c:ser>
          <c:idx val="1"/>
          <c:order val="1"/>
          <c:tx>
            <c:v>EBITDA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KAZALNIKI!$B$27:$F$27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KAZALNIKI!$B$29:$F$29</c:f>
              <c:numCache>
                <c:formatCode>_-* #,##0\ "€"_-;\-* #,##0\ "€"_-;_-* "-"??\ "€"_-;_-@_-</c:formatCode>
                <c:ptCount val="5"/>
                <c:pt idx="0">
                  <c:v>8577795</c:v>
                </c:pt>
                <c:pt idx="1">
                  <c:v>11727916</c:v>
                </c:pt>
                <c:pt idx="2">
                  <c:v>13977505</c:v>
                </c:pt>
                <c:pt idx="3">
                  <c:v>17080699</c:v>
                </c:pt>
                <c:pt idx="4">
                  <c:v>18953885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47-42EE-9E75-A316430DC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118544"/>
        <c:axId val="556119184"/>
      </c:lineChart>
      <c:catAx>
        <c:axId val="55611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56119184"/>
        <c:crosses val="autoZero"/>
        <c:auto val="1"/>
        <c:lblAlgn val="ctr"/>
        <c:lblOffset val="100"/>
        <c:noMultiLvlLbl val="0"/>
      </c:catAx>
      <c:valAx>
        <c:axId val="55611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5611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ROA</a:t>
            </a:r>
            <a:r>
              <a:rPr lang="sl-SI" baseline="0"/>
              <a:t> IN ROE dobičkonosnosti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KAZALNIKI!$A$54</c:f>
              <c:strCache>
                <c:ptCount val="1"/>
                <c:pt idx="0">
                  <c:v>ROA (dobičkonosnost sredstev)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KAZALNIKI!$B$53:$F$53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KAZALNIKI!$B$55:$F$55</c:f>
              <c:numCache>
                <c:formatCode>_(* #,##0.00_);_(* \(#,##0.00\);_(* "-"??_);_(@_)</c:formatCode>
                <c:ptCount val="5"/>
                <c:pt idx="0">
                  <c:v>3.7947073618181934E-2</c:v>
                </c:pt>
                <c:pt idx="1">
                  <c:v>8.2553842926136475E-2</c:v>
                </c:pt>
                <c:pt idx="2">
                  <c:v>0.11035562280454785</c:v>
                </c:pt>
                <c:pt idx="3">
                  <c:v>0.13438534630942367</c:v>
                </c:pt>
                <c:pt idx="4">
                  <c:v>0.14263410970579907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71-446B-B810-4316E8576714}"/>
            </c:ext>
          </c:extLst>
        </c:ser>
        <c:ser>
          <c:idx val="1"/>
          <c:order val="1"/>
          <c:tx>
            <c:strRef>
              <c:f>KAZALNIKI!$A$57</c:f>
              <c:strCache>
                <c:ptCount val="1"/>
                <c:pt idx="0">
                  <c:v>ROE (dobičkonosnost kapitala)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KAZALNIKI!$B$53:$F$53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KAZALNIKI!$B$58:$F$58</c:f>
              <c:numCache>
                <c:formatCode>_(* #,##0.00_);_(* \(#,##0.00\);_(* "-"??_);_(@_)</c:formatCode>
                <c:ptCount val="5"/>
                <c:pt idx="0">
                  <c:v>7.6440562317114547E-2</c:v>
                </c:pt>
                <c:pt idx="1">
                  <c:v>0.16629641163394035</c:v>
                </c:pt>
                <c:pt idx="2">
                  <c:v>0.22230030033180678</c:v>
                </c:pt>
                <c:pt idx="3">
                  <c:v>0.27070576093516113</c:v>
                </c:pt>
                <c:pt idx="4">
                  <c:v>0.28732206496914736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71-446B-B810-4316E8576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307536"/>
        <c:axId val="504304016"/>
      </c:lineChart>
      <c:catAx>
        <c:axId val="50430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4304016"/>
        <c:crosses val="autoZero"/>
        <c:auto val="1"/>
        <c:lblAlgn val="ctr"/>
        <c:lblOffset val="100"/>
        <c:noMultiLvlLbl val="0"/>
      </c:catAx>
      <c:valAx>
        <c:axId val="50430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 koeficienta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430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Likvidnost</a:t>
            </a:r>
            <a:r>
              <a:rPr lang="sl-SI" baseline="0"/>
              <a:t> podjetja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KAZALNIKI!$A$35</c:f>
              <c:strCache>
                <c:ptCount val="1"/>
                <c:pt idx="0">
                  <c:v>KRATKOROČNI KOEFICIENT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KAZALNIKI!$B$34:$F$34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KAZALNIKI!$B$36:$F$36</c:f>
              <c:numCache>
                <c:formatCode>_(* #,##0.00_);_(* \(#,##0.00\);_(* "-"??_);_(@_)</c:formatCode>
                <c:ptCount val="5"/>
                <c:pt idx="0">
                  <c:v>2.0461551495505148</c:v>
                </c:pt>
                <c:pt idx="1">
                  <c:v>2.3294173208653115</c:v>
                </c:pt>
                <c:pt idx="2">
                  <c:v>2.0236247870070829</c:v>
                </c:pt>
                <c:pt idx="3">
                  <c:v>1.792917142659127</c:v>
                </c:pt>
                <c:pt idx="4">
                  <c:v>1.8253143904651887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27-4F5A-A2E4-9E624237202C}"/>
            </c:ext>
          </c:extLst>
        </c:ser>
        <c:ser>
          <c:idx val="0"/>
          <c:order val="1"/>
          <c:tx>
            <c:strRef>
              <c:f>KAZALNIKI!$A$38</c:f>
              <c:strCache>
                <c:ptCount val="1"/>
                <c:pt idx="0">
                  <c:v>POSPEŠENI KOEFICIENT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KAZALNIKI!$B$39:$F$39</c:f>
              <c:numCache>
                <c:formatCode>_(* #,##0.00_);_(* \(#,##0.00\);_(* "-"??_);_(@_)</c:formatCode>
                <c:ptCount val="5"/>
                <c:pt idx="0">
                  <c:v>1.2013318709504741</c:v>
                </c:pt>
                <c:pt idx="1">
                  <c:v>1.3780837799976853</c:v>
                </c:pt>
                <c:pt idx="2">
                  <c:v>1.3368119367673965</c:v>
                </c:pt>
                <c:pt idx="3">
                  <c:v>1.0464962580084447</c:v>
                </c:pt>
                <c:pt idx="4">
                  <c:v>1.0698035387251632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27-4F5A-A2E4-9E624237202C}"/>
            </c:ext>
          </c:extLst>
        </c:ser>
        <c:ser>
          <c:idx val="1"/>
          <c:order val="2"/>
          <c:tx>
            <c:strRef>
              <c:f>KAZALNIKI!$A$41</c:f>
              <c:strCache>
                <c:ptCount val="1"/>
                <c:pt idx="0">
                  <c:v>HITRI KOEFICIENT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KAZALNIKI!$B$42:$F$42</c:f>
              <c:numCache>
                <c:formatCode>_(* #,##0.00_);_(* \(#,##0.00\);_(* "-"??_);_(@_)</c:formatCode>
                <c:ptCount val="5"/>
                <c:pt idx="0">
                  <c:v>0.13519191352561416</c:v>
                </c:pt>
                <c:pt idx="1">
                  <c:v>0.13135909685332781</c:v>
                </c:pt>
                <c:pt idx="2">
                  <c:v>0.17108065921240712</c:v>
                </c:pt>
                <c:pt idx="3">
                  <c:v>0.13805838539694812</c:v>
                </c:pt>
                <c:pt idx="4">
                  <c:v>0.12017097988124141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27-4F5A-A2E4-9E6242372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879760"/>
        <c:axId val="552880080"/>
      </c:lineChart>
      <c:catAx>
        <c:axId val="552879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52880080"/>
        <c:crosses val="autoZero"/>
        <c:auto val="1"/>
        <c:lblAlgn val="ctr"/>
        <c:lblOffset val="100"/>
        <c:noMultiLvlLbl val="0"/>
      </c:catAx>
      <c:valAx>
        <c:axId val="55288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 koeficienta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12109944590259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5287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sl-SI"/>
              <a:t>D</a:t>
            </a:r>
            <a:r>
              <a:rPr lang="en-US"/>
              <a:t>oba vezave terjatev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KAZALNIKI!$A$71</c:f>
              <c:strCache>
                <c:ptCount val="1"/>
                <c:pt idx="0">
                  <c:v> doba vezave terjatev (št. dni)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KAZALNIKI!$B$68:$F$68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KAZALNIKI!$B$71:$F$71</c:f>
              <c:numCache>
                <c:formatCode>_(* #,##0.00_);_(* \(#,##0.00\);_(* "-"??_);_(@_)</c:formatCode>
                <c:ptCount val="5"/>
                <c:pt idx="0">
                  <c:v>76.265037505907173</c:v>
                </c:pt>
                <c:pt idx="1">
                  <c:v>77.561345553312421</c:v>
                </c:pt>
                <c:pt idx="2">
                  <c:v>76.886377922289995</c:v>
                </c:pt>
                <c:pt idx="3">
                  <c:v>64.998484022524693</c:v>
                </c:pt>
                <c:pt idx="4">
                  <c:v>65.775657747661938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96-463D-A1C1-77FED05EA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793104"/>
        <c:axId val="535790224"/>
      </c:barChart>
      <c:catAx>
        <c:axId val="535793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35790224"/>
        <c:crosses val="autoZero"/>
        <c:auto val="1"/>
        <c:lblAlgn val="ctr"/>
        <c:lblOffset val="100"/>
        <c:noMultiLvlLbl val="0"/>
      </c:catAx>
      <c:valAx>
        <c:axId val="53579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število dni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3579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Gibanje</a:t>
            </a:r>
            <a:r>
              <a:rPr lang="sl-SI" baseline="0"/>
              <a:t> rasti prihodkov od prodaje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KOLEKTOR SIKOM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'PRIMERJAVA S PODJETJI'!$B$15:$F$15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PODJETJI'!$B$6:$F$6</c:f>
              <c:numCache>
                <c:formatCode>_(* #,##0.00_);_(* \(#,##0.00\);_(* "-"??_);_(@_)</c:formatCode>
                <c:ptCount val="5"/>
                <c:pt idx="1">
                  <c:v>1.0551396026953157</c:v>
                </c:pt>
                <c:pt idx="2">
                  <c:v>0.99280589116397544</c:v>
                </c:pt>
                <c:pt idx="3">
                  <c:v>0.92846185572732176</c:v>
                </c:pt>
                <c:pt idx="4">
                  <c:v>1.0345616619575888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DD-491D-8A38-8EAF65BDD2AE}"/>
            </c:ext>
          </c:extLst>
        </c:ser>
        <c:ser>
          <c:idx val="1"/>
          <c:order val="1"/>
          <c:tx>
            <c:v>BOSCH REXROTH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'PRIMERJAVA S PODJETJI'!$B$15:$F$15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PODJETJI'!$B$17:$F$17</c:f>
              <c:numCache>
                <c:formatCode>_(* #,##0.00_);_(* \(#,##0.00\);_(* "-"??_);_(@_)</c:formatCode>
                <c:ptCount val="5"/>
                <c:pt idx="1">
                  <c:v>1.1166941938762547</c:v>
                </c:pt>
                <c:pt idx="2">
                  <c:v>0.9456169292906309</c:v>
                </c:pt>
                <c:pt idx="3">
                  <c:v>1.0270107682127174</c:v>
                </c:pt>
                <c:pt idx="4">
                  <c:v>1.1906923617619494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DD-491D-8A38-8EAF65BDD2AE}"/>
            </c:ext>
          </c:extLst>
        </c:ser>
        <c:ser>
          <c:idx val="2"/>
          <c:order val="2"/>
          <c:tx>
            <c:v>EBM-PAPST SLO.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'PRIMERJAVA S PODJETJI'!$B$15:$F$15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PODJETJI'!$B$28:$F$28</c:f>
              <c:numCache>
                <c:formatCode>_(* #,##0.00_);_(* \(#,##0.00\);_(* "-"??_);_(@_)</c:formatCode>
                <c:ptCount val="5"/>
                <c:pt idx="1">
                  <c:v>1.0324522909184173</c:v>
                </c:pt>
                <c:pt idx="2">
                  <c:v>1.0016016538012162</c:v>
                </c:pt>
                <c:pt idx="3">
                  <c:v>1.0667014406132587</c:v>
                </c:pt>
                <c:pt idx="4">
                  <c:v>1.0942599525838124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FDD-491D-8A38-8EAF65BDD2AE}"/>
            </c:ext>
          </c:extLst>
        </c:ser>
        <c:ser>
          <c:idx val="3"/>
          <c:order val="3"/>
          <c:tx>
            <c:v>X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'PRIMERJAVA S PODJETJI'!$B$39:$F$39</c:f>
              <c:numCache>
                <c:formatCode>_(* #,##0.00_);_(* \(#,##0.00\);_(* "-"??_);_(@_)</c:formatCode>
                <c:ptCount val="5"/>
                <c:pt idx="1">
                  <c:v>1.1023375748322939</c:v>
                </c:pt>
                <c:pt idx="2">
                  <c:v>1.1472344288252005</c:v>
                </c:pt>
                <c:pt idx="3">
                  <c:v>1.1422186649394754</c:v>
                </c:pt>
                <c:pt idx="4">
                  <c:v>1.1517389566623668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FDD-491D-8A38-8EAF65BDD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303920"/>
        <c:axId val="537302640"/>
      </c:lineChart>
      <c:catAx>
        <c:axId val="53730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37302640"/>
        <c:crosses val="autoZero"/>
        <c:auto val="1"/>
        <c:lblAlgn val="ctr"/>
        <c:lblOffset val="100"/>
        <c:noMultiLvlLbl val="0"/>
      </c:catAx>
      <c:valAx>
        <c:axId val="537302640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stopnja</a:t>
                </a:r>
                <a:r>
                  <a:rPr lang="sl-SI" baseline="0"/>
                  <a:t> rasti </a:t>
                </a:r>
                <a:endParaRPr lang="sl-S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3730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Delež stroškov v prihodkih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KOLEKTOR SIKOM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'PRIMERJAVA S PODJETJI'!$B$15:$F$15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PODJETJI'!$B$11:$F$11</c:f>
              <c:numCache>
                <c:formatCode>0%</c:formatCode>
                <c:ptCount val="5"/>
                <c:pt idx="0">
                  <c:v>0.87451607116141283</c:v>
                </c:pt>
                <c:pt idx="1">
                  <c:v>0.86593234218027149</c:v>
                </c:pt>
                <c:pt idx="2">
                  <c:v>0.85299544348917078</c:v>
                </c:pt>
                <c:pt idx="3">
                  <c:v>0.86526540258533602</c:v>
                </c:pt>
                <c:pt idx="4">
                  <c:v>0.89853550442961805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C2-427E-B319-AF45ED02B3D1}"/>
            </c:ext>
          </c:extLst>
        </c:ser>
        <c:ser>
          <c:idx val="1"/>
          <c:order val="1"/>
          <c:tx>
            <c:v>BOSCH REXROTH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'PRIMERJAVA S PODJETJI'!$B$22:$F$22</c:f>
              <c:numCache>
                <c:formatCode>0%</c:formatCode>
                <c:ptCount val="5"/>
                <c:pt idx="0">
                  <c:v>0.97319273281666874</c:v>
                </c:pt>
                <c:pt idx="1">
                  <c:v>0.98148358837248995</c:v>
                </c:pt>
                <c:pt idx="2">
                  <c:v>1.0167238163989654</c:v>
                </c:pt>
                <c:pt idx="3">
                  <c:v>0.96740276476101217</c:v>
                </c:pt>
                <c:pt idx="4">
                  <c:v>0.96671996064444721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C2-427E-B319-AF45ED02B3D1}"/>
            </c:ext>
          </c:extLst>
        </c:ser>
        <c:ser>
          <c:idx val="2"/>
          <c:order val="2"/>
          <c:tx>
            <c:v>EBM-PAPST SLO.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'PRIMERJAVA S PODJETJI'!$B$33:$F$33</c:f>
              <c:numCache>
                <c:formatCode>0%</c:formatCode>
                <c:ptCount val="5"/>
                <c:pt idx="0">
                  <c:v>0.98041583287898859</c:v>
                </c:pt>
                <c:pt idx="1">
                  <c:v>0.94858603660323881</c:v>
                </c:pt>
                <c:pt idx="2">
                  <c:v>0.98788711278811636</c:v>
                </c:pt>
                <c:pt idx="3">
                  <c:v>0.99145340433732798</c:v>
                </c:pt>
                <c:pt idx="4">
                  <c:v>1.0044209633938084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C2-427E-B319-AF45ED02B3D1}"/>
            </c:ext>
          </c:extLst>
        </c:ser>
        <c:ser>
          <c:idx val="3"/>
          <c:order val="3"/>
          <c:tx>
            <c:v>X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'PRIMERJAVA S PODJETJI'!$B$40:$F$40</c:f>
              <c:numCache>
                <c:formatCode>0%</c:formatCode>
                <c:ptCount val="5"/>
                <c:pt idx="0">
                  <c:v>0.96991077863314534</c:v>
                </c:pt>
                <c:pt idx="1">
                  <c:v>0.94702056854506556</c:v>
                </c:pt>
                <c:pt idx="2">
                  <c:v>0.91556833022636819</c:v>
                </c:pt>
                <c:pt idx="3">
                  <c:v>0.92531437206416345</c:v>
                </c:pt>
                <c:pt idx="4">
                  <c:v>0.92499832915959956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C2-427E-B319-AF45ED02B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056688"/>
        <c:axId val="537308400"/>
      </c:barChart>
      <c:catAx>
        <c:axId val="503056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37308400"/>
        <c:crosses val="autoZero"/>
        <c:auto val="1"/>
        <c:lblAlgn val="ctr"/>
        <c:lblOffset val="100"/>
        <c:noMultiLvlLbl val="0"/>
      </c:catAx>
      <c:valAx>
        <c:axId val="53730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delež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305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Gibanje</a:t>
            </a:r>
            <a:r>
              <a:rPr lang="sl-SI" baseline="0"/>
              <a:t> rasti poslovnih stroškov 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KOLEKTOR SIKOM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'PRIMERJAVA S PODJETJI'!$B$15:$F$15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PODJETJI'!$B$10:$F$10</c:f>
              <c:numCache>
                <c:formatCode>_(* #,##0.00_);_(* \(#,##0.00\);_(* "-"??_);_(@_)</c:formatCode>
                <c:ptCount val="5"/>
                <c:pt idx="1">
                  <c:v>1.0447829806897559</c:v>
                </c:pt>
                <c:pt idx="2">
                  <c:v>0.97797352077164468</c:v>
                </c:pt>
                <c:pt idx="3">
                  <c:v>0.94181736551237316</c:v>
                </c:pt>
                <c:pt idx="4">
                  <c:v>1.074341331588057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E-493A-97AF-845A80D19D95}"/>
            </c:ext>
          </c:extLst>
        </c:ser>
        <c:ser>
          <c:idx val="1"/>
          <c:order val="1"/>
          <c:tx>
            <c:v>BOSCH REXROTH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'PRIMERJAVA S PODJETJI'!$B$15:$F$15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PODJETJI'!$B$21:$F$21</c:f>
              <c:numCache>
                <c:formatCode>_(* #,##0.00_);_(* \(#,##0.00\);_(* "-"??_);_(@_)</c:formatCode>
                <c:ptCount val="5"/>
                <c:pt idx="1">
                  <c:v>1.1262075718015665</c:v>
                </c:pt>
                <c:pt idx="2">
                  <c:v>0.97956936273799522</c:v>
                </c:pt>
                <c:pt idx="3">
                  <c:v>0.97719069877522036</c:v>
                </c:pt>
                <c:pt idx="4">
                  <c:v>1.1898519572522781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6E-493A-97AF-845A80D19D95}"/>
            </c:ext>
          </c:extLst>
        </c:ser>
        <c:ser>
          <c:idx val="2"/>
          <c:order val="2"/>
          <c:tx>
            <c:v>EBM-PAPST SLO.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'PRIMERJAVA S PODJETJI'!$B$15:$F$15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PODJETJI'!$B$32:$F$32</c:f>
              <c:numCache>
                <c:formatCode>_(* #,##0.00_);_(* \(#,##0.00\);_(* "-"??_);_(@_)</c:formatCode>
                <c:ptCount val="5"/>
                <c:pt idx="1">
                  <c:v>0.99893309938530728</c:v>
                </c:pt>
                <c:pt idx="2">
                  <c:v>1.0430992316528769</c:v>
                </c:pt>
                <c:pt idx="3">
                  <c:v>1.0705522534075</c:v>
                </c:pt>
                <c:pt idx="4">
                  <c:v>1.1085721537383955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6E-493A-97AF-845A80D19D95}"/>
            </c:ext>
          </c:extLst>
        </c:ser>
        <c:ser>
          <c:idx val="3"/>
          <c:order val="3"/>
          <c:tx>
            <c:v>X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'PRIMERJAVA S PODJETJI'!$B$41:$F$41</c:f>
              <c:numCache>
                <c:formatCode>_(* #,##0.00_);_(* \(#,##0.00\);_(* "-"??_);_(@_)</c:formatCode>
                <c:ptCount val="5"/>
                <c:pt idx="1">
                  <c:v>1.0792093550449853</c:v>
                </c:pt>
                <c:pt idx="2">
                  <c:v>1.1270620497445516</c:v>
                </c:pt>
                <c:pt idx="3">
                  <c:v>1.1522100155414798</c:v>
                </c:pt>
                <c:pt idx="4">
                  <c:v>1.1476407660461778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6E-493A-97AF-845A80D19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057968"/>
        <c:axId val="503056368"/>
      </c:lineChart>
      <c:catAx>
        <c:axId val="50305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3056368"/>
        <c:crosses val="autoZero"/>
        <c:auto val="1"/>
        <c:lblAlgn val="ctr"/>
        <c:lblOffset val="100"/>
        <c:noMultiLvlLbl val="0"/>
      </c:catAx>
      <c:valAx>
        <c:axId val="503056368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 stopnja</a:t>
                </a:r>
                <a:r>
                  <a:rPr lang="sl-SI" baseline="0"/>
                  <a:t> rasti </a:t>
                </a:r>
                <a:endParaRPr lang="sl-S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305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Gibanje</a:t>
            </a:r>
            <a:r>
              <a:rPr lang="sl-SI" baseline="0"/>
              <a:t> rasti sredstev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KOLEKTOR SIKOM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'PRIMERJAVA S PODJETJI'!$B$26:$F$26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PODJETJI'!$B$8:$F$8</c:f>
              <c:numCache>
                <c:formatCode>_(* #,##0.00_);_(* \(#,##0.00\);_(* "-"??_);_(@_)</c:formatCode>
                <c:ptCount val="5"/>
                <c:pt idx="1">
                  <c:v>1.2246263632117289</c:v>
                </c:pt>
                <c:pt idx="2">
                  <c:v>0.97489525362924201</c:v>
                </c:pt>
                <c:pt idx="3">
                  <c:v>0.95214675262267656</c:v>
                </c:pt>
                <c:pt idx="4">
                  <c:v>0.91950605687563414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13-41BF-9261-CC377F868079}"/>
            </c:ext>
          </c:extLst>
        </c:ser>
        <c:ser>
          <c:idx val="1"/>
          <c:order val="1"/>
          <c:tx>
            <c:v>BOSCH REXROTH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'PRIMERJAVA S PODJETJI'!$B$26:$F$26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PODJETJI'!$B$19:$F$19</c:f>
              <c:numCache>
                <c:formatCode>_(* #,##0.00_);_(* \(#,##0.00\);_(* "-"??_);_(@_)</c:formatCode>
                <c:ptCount val="5"/>
                <c:pt idx="1">
                  <c:v>1.1555702043506921</c:v>
                </c:pt>
                <c:pt idx="2">
                  <c:v>1.0645559992393991</c:v>
                </c:pt>
                <c:pt idx="3">
                  <c:v>1.0200053585781905</c:v>
                </c:pt>
                <c:pt idx="4">
                  <c:v>1.0218019437877595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13-41BF-9261-CC377F868079}"/>
            </c:ext>
          </c:extLst>
        </c:ser>
        <c:ser>
          <c:idx val="2"/>
          <c:order val="2"/>
          <c:tx>
            <c:v>EBM-PAPST SLO.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'PRIMERJAVA S PODJETJI'!$B$26:$F$26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PODJETJI'!$B$30:$F$30</c:f>
              <c:numCache>
                <c:formatCode>_(* #,##0.00_);_(* \(#,##0.00\);_(* "-"??_);_(@_)</c:formatCode>
                <c:ptCount val="5"/>
                <c:pt idx="1">
                  <c:v>1.0454851081292085</c:v>
                </c:pt>
                <c:pt idx="2">
                  <c:v>1.022068630033603</c:v>
                </c:pt>
                <c:pt idx="3">
                  <c:v>1.058670660457288</c:v>
                </c:pt>
                <c:pt idx="4">
                  <c:v>1.1066184352668058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13-41BF-9261-CC377F868079}"/>
            </c:ext>
          </c:extLst>
        </c:ser>
        <c:ser>
          <c:idx val="3"/>
          <c:order val="3"/>
          <c:tx>
            <c:v>X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'PRIMERJAVA S PODJETJI'!$B$26:$F$26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PODJETJI'!$B$43:$F$43</c:f>
              <c:numCache>
                <c:formatCode>_(* #,##0.00_);_(* \(#,##0.00\);_(* "-"??_);_(@_)</c:formatCode>
                <c:ptCount val="5"/>
                <c:pt idx="1">
                  <c:v>1.0711034228143799</c:v>
                </c:pt>
                <c:pt idx="2">
                  <c:v>1.1838488110791734</c:v>
                </c:pt>
                <c:pt idx="3">
                  <c:v>1.3157668941947847</c:v>
                </c:pt>
                <c:pt idx="4">
                  <c:v>1.1688887509627588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13-41BF-9261-CC377F868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342896"/>
        <c:axId val="482342576"/>
      </c:lineChart>
      <c:catAx>
        <c:axId val="48234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82342576"/>
        <c:crosses val="autoZero"/>
        <c:auto val="1"/>
        <c:lblAlgn val="ctr"/>
        <c:lblOffset val="100"/>
        <c:noMultiLvlLbl val="0"/>
      </c:catAx>
      <c:valAx>
        <c:axId val="482342576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Stopnja</a:t>
                </a:r>
                <a:r>
                  <a:rPr lang="sl-SI" baseline="0"/>
                  <a:t> rasti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8234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Primerjava dobičkonosnosti sredstev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'PRIMERJAVA S PODJETJI'!$A$48</c:f>
              <c:strCache>
                <c:ptCount val="1"/>
                <c:pt idx="0">
                  <c:v> ROA EBM-PAPST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'PRIMERJAVA S PODJETJI'!$B$37:$F$37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PODJETJI'!$B$48:$F$48</c:f>
              <c:numCache>
                <c:formatCode>_-* #,##0.000_-;\-* #,##0.000_-;_-* "-"??_-;_-@_-</c:formatCode>
                <c:ptCount val="5"/>
                <c:pt idx="0">
                  <c:v>4.908774363423795E-2</c:v>
                </c:pt>
                <c:pt idx="1">
                  <c:v>6.1673752099237138E-2</c:v>
                </c:pt>
                <c:pt idx="2">
                  <c:v>4.8841099192152758E-2</c:v>
                </c:pt>
                <c:pt idx="3">
                  <c:v>3.8824577375435945E-2</c:v>
                </c:pt>
                <c:pt idx="4">
                  <c:v>1.9347343058457232E-2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BC-46E0-AEBF-B34BE390FCA5}"/>
            </c:ext>
          </c:extLst>
        </c:ser>
        <c:ser>
          <c:idx val="1"/>
          <c:order val="1"/>
          <c:tx>
            <c:strRef>
              <c:f>'PRIMERJAVA S PODJETJI'!$A$49</c:f>
              <c:strCache>
                <c:ptCount val="1"/>
                <c:pt idx="0">
                  <c:v> ROA BOSCH REXROTH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'PRIMERJAVA S PODJETJI'!$B$37:$F$37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PODJETJI'!$B$49:$F$49</c:f>
              <c:numCache>
                <c:formatCode>_-* #,##0.000_-;\-* #,##0.000_-;_-* "-"??_-;_-@_-</c:formatCode>
                <c:ptCount val="5"/>
                <c:pt idx="0">
                  <c:v>9.182310603249981E-2</c:v>
                </c:pt>
                <c:pt idx="1">
                  <c:v>6.8264450545373598E-2</c:v>
                </c:pt>
                <c:pt idx="2">
                  <c:v>8.2548044817095795E-3</c:v>
                </c:pt>
                <c:pt idx="3">
                  <c:v>9.9428656229131107E-2</c:v>
                </c:pt>
                <c:pt idx="4">
                  <c:v>9.5069377457891222E-2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BC-46E0-AEBF-B34BE390FCA5}"/>
            </c:ext>
          </c:extLst>
        </c:ser>
        <c:ser>
          <c:idx val="2"/>
          <c:order val="2"/>
          <c:tx>
            <c:strRef>
              <c:f>'PRIMERJAVA S PODJETJI'!$A$50</c:f>
              <c:strCache>
                <c:ptCount val="1"/>
                <c:pt idx="0">
                  <c:v> ROA KOLEKTOR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'PRIMERJAVA S PODJETJI'!$B$37:$F$37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PODJETJI'!$B$50:$F$50</c:f>
              <c:numCache>
                <c:formatCode>_-* #,##0.000_-;\-* #,##0.000_-;_-* "-"??_-;_-@_-</c:formatCode>
                <c:ptCount val="5"/>
                <c:pt idx="0">
                  <c:v>0.16836663251478595</c:v>
                </c:pt>
                <c:pt idx="1">
                  <c:v>0.18873142462472406</c:v>
                </c:pt>
                <c:pt idx="2">
                  <c:v>0.19241064506514391</c:v>
                </c:pt>
                <c:pt idx="3">
                  <c:v>0.19478259666107459</c:v>
                </c:pt>
                <c:pt idx="4">
                  <c:v>0.13669697372435857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BC-46E0-AEBF-B34BE390FCA5}"/>
            </c:ext>
          </c:extLst>
        </c:ser>
        <c:ser>
          <c:idx val="3"/>
          <c:order val="3"/>
          <c:tx>
            <c:strRef>
              <c:f>'PRIMERJAVA S PODJETJI'!$A$51</c:f>
              <c:strCache>
                <c:ptCount val="1"/>
                <c:pt idx="0">
                  <c:v> ROA X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'PRIMERJAVA S PODJETJI'!$B$37:$F$37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PODJETJI'!$B$51:$F$51</c:f>
              <c:numCache>
                <c:formatCode>_-* #,##0.000_-;\-* #,##0.000_-;_-* "-"??_-;_-@_-</c:formatCode>
                <c:ptCount val="5"/>
                <c:pt idx="0">
                  <c:v>3.7947073618181934E-2</c:v>
                </c:pt>
                <c:pt idx="1">
                  <c:v>8.2553842926136475E-2</c:v>
                </c:pt>
                <c:pt idx="2">
                  <c:v>0.11035562280454785</c:v>
                </c:pt>
                <c:pt idx="3">
                  <c:v>0.13438534630942367</c:v>
                </c:pt>
                <c:pt idx="4">
                  <c:v>0.14263410970579907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BC-46E0-AEBF-B34BE390F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537488"/>
        <c:axId val="588538128"/>
      </c:lineChart>
      <c:catAx>
        <c:axId val="58853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88538128"/>
        <c:crosses val="autoZero"/>
        <c:auto val="1"/>
        <c:lblAlgn val="ctr"/>
        <c:lblOffset val="100"/>
        <c:noMultiLvlLbl val="0"/>
      </c:catAx>
      <c:valAx>
        <c:axId val="58853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koeficient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-* #,##0.000_-;\-* #,##0.0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8853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Gibanje sredstev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>
        <c:manualLayout>
          <c:layoutTarget val="inner"/>
          <c:xMode val="edge"/>
          <c:yMode val="edge"/>
          <c:x val="0.23529422371821843"/>
          <c:y val="0.21296296296296297"/>
          <c:w val="0.45081685400012023"/>
          <c:h val="0.53148950131233597"/>
        </c:manualLayout>
      </c:layout>
      <c:lineChart>
        <c:grouping val="standard"/>
        <c:varyColors val="0"/>
        <c:ser>
          <c:idx val="0"/>
          <c:order val="0"/>
          <c:tx>
            <c:strRef>
              <c:f>AKTIVA!$A$5</c:f>
              <c:strCache>
                <c:ptCount val="1"/>
                <c:pt idx="0">
                  <c:v> dolgoročna sredstva skupaj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AKTIVA!$B$1:$K$1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AKTIVA!$B$5:$K$5</c:f>
              <c:numCache>
                <c:formatCode>_-* #,##0\ "€"_-;\-* #,##0\ "€"_-;_-* "-"??\ "€"_-;_-@_-</c:formatCode>
                <c:ptCount val="10"/>
                <c:pt idx="0">
                  <c:v>21945948</c:v>
                </c:pt>
                <c:pt idx="1">
                  <c:v>22753615</c:v>
                </c:pt>
                <c:pt idx="2">
                  <c:v>27856412</c:v>
                </c:pt>
                <c:pt idx="3">
                  <c:v>44902802</c:v>
                </c:pt>
                <c:pt idx="4">
                  <c:v>54286242</c:v>
                </c:pt>
                <c:pt idx="5">
                  <c:v>58992058.562511861</c:v>
                </c:pt>
                <c:pt idx="6">
                  <c:v>71641987.177633598</c:v>
                </c:pt>
                <c:pt idx="7">
                  <c:v>81277981.468964055</c:v>
                </c:pt>
                <c:pt idx="8">
                  <c:v>89083384.520280674</c:v>
                </c:pt>
                <c:pt idx="9">
                  <c:v>97181083.085138679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CD-40C0-AD22-850FEF6979CE}"/>
            </c:ext>
          </c:extLst>
        </c:ser>
        <c:ser>
          <c:idx val="1"/>
          <c:order val="1"/>
          <c:tx>
            <c:strRef>
              <c:f>AKTIVA!$A$10</c:f>
              <c:strCache>
                <c:ptCount val="1"/>
                <c:pt idx="0">
                  <c:v> kratkoročna sredstva skupaj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AKTIVA!$B$1:$K$1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AKTIVA!$B$10:$K$10</c:f>
              <c:numCache>
                <c:formatCode>_-* #,##0\ "€"_-;\-* #,##0\ "€"_-;_-* "-"??\ "€"_-;_-@_-</c:formatCode>
                <c:ptCount val="10"/>
                <c:pt idx="0">
                  <c:v>32692364</c:v>
                </c:pt>
                <c:pt idx="1">
                  <c:v>35769668</c:v>
                </c:pt>
                <c:pt idx="2">
                  <c:v>41426307</c:v>
                </c:pt>
                <c:pt idx="3">
                  <c:v>46257106</c:v>
                </c:pt>
                <c:pt idx="4">
                  <c:v>52269549</c:v>
                </c:pt>
                <c:pt idx="5">
                  <c:v>53985955.854600012</c:v>
                </c:pt>
                <c:pt idx="6">
                  <c:v>54809747.189820014</c:v>
                </c:pt>
                <c:pt idx="7">
                  <c:v>60172393.284927025</c:v>
                </c:pt>
                <c:pt idx="8">
                  <c:v>64334762.792844415</c:v>
                </c:pt>
                <c:pt idx="9">
                  <c:v>64200279.047533669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CD-40C0-AD22-850FEF697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652344"/>
        <c:axId val="511652664"/>
      </c:lineChart>
      <c:catAx>
        <c:axId val="511652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2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11652664"/>
        <c:crosses val="autoZero"/>
        <c:auto val="1"/>
        <c:lblAlgn val="ctr"/>
        <c:lblOffset val="100"/>
        <c:noMultiLvlLbl val="0"/>
      </c:catAx>
      <c:valAx>
        <c:axId val="51165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 </a:t>
                </a:r>
              </a:p>
            </c:rich>
          </c:tx>
          <c:layout>
            <c:manualLayout>
              <c:xMode val="edge"/>
              <c:yMode val="edge"/>
              <c:x val="2.2900763358778626E-2"/>
              <c:y val="0.335235491396908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11652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376590330788808"/>
          <c:y val="0.55171223388743074"/>
          <c:w val="0.34096692111959287"/>
          <c:h val="0.15625109361329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N</a:t>
            </a:r>
            <a:r>
              <a:rPr lang="en-US"/>
              <a:t>aložbe v osnovna sredstva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naložbe v osnovna sredstva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NALOŽBE!$B$23:$K$23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NALOŽBE!$B$28:$K$28</c:f>
              <c:numCache>
                <c:formatCode>_-* #,##0\ "€"_-;\-* #,##0\ "€"_-;_-* "-"??\ "€"_-;_-@_-</c:formatCode>
                <c:ptCount val="10"/>
                <c:pt idx="0">
                  <c:v>2779620</c:v>
                </c:pt>
                <c:pt idx="1">
                  <c:v>-704149</c:v>
                </c:pt>
                <c:pt idx="2">
                  <c:v>-5671900</c:v>
                </c:pt>
                <c:pt idx="3">
                  <c:v>-18162580</c:v>
                </c:pt>
                <c:pt idx="4">
                  <c:v>-9211658</c:v>
                </c:pt>
                <c:pt idx="5">
                  <c:v>-12744605.475386109</c:v>
                </c:pt>
                <c:pt idx="6">
                  <c:v>-12074721.023551134</c:v>
                </c:pt>
                <c:pt idx="7">
                  <c:v>-9011913.501473166</c:v>
                </c:pt>
                <c:pt idx="8">
                  <c:v>-7309662.4460642505</c:v>
                </c:pt>
                <c:pt idx="9">
                  <c:v>-7579494.7407525685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AC-47F0-B524-E762C122D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072184"/>
        <c:axId val="563072504"/>
      </c:lineChart>
      <c:catAx>
        <c:axId val="563072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63072504"/>
        <c:crosses val="autoZero"/>
        <c:auto val="1"/>
        <c:lblAlgn val="ctr"/>
        <c:lblOffset val="100"/>
        <c:noMultiLvlLbl val="0"/>
      </c:catAx>
      <c:valAx>
        <c:axId val="56307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</a:t>
                </a:r>
                <a:r>
                  <a:rPr lang="sl-SI" baseline="0"/>
                  <a:t> denarnega toka</a:t>
                </a:r>
                <a:endParaRPr lang="sl-SI"/>
              </a:p>
            </c:rich>
          </c:tx>
          <c:layout>
            <c:manualLayout>
              <c:xMode val="edge"/>
              <c:yMode val="edge"/>
              <c:x val="3.0555555555555555E-2"/>
              <c:y val="0.274120370370370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63072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</xdr:colOff>
      <xdr:row>8</xdr:row>
      <xdr:rowOff>99060</xdr:rowOff>
    </xdr:from>
    <xdr:to>
      <xdr:col>20</xdr:col>
      <xdr:colOff>236220</xdr:colOff>
      <xdr:row>26</xdr:row>
      <xdr:rowOff>7620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F8CD29AB-9D61-410F-8F50-4269E8B28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228600</xdr:colOff>
      <xdr:row>61</xdr:row>
      <xdr:rowOff>76200</xdr:rowOff>
    </xdr:from>
    <xdr:to>
      <xdr:col>22</xdr:col>
      <xdr:colOff>601980</xdr:colOff>
      <xdr:row>76</xdr:row>
      <xdr:rowOff>53340</xdr:rowOff>
    </xdr:to>
    <xdr:graphicFrame macro="">
      <xdr:nvGraphicFramePr>
        <xdr:cNvPr id="5" name="Grafikon 4">
          <a:extLst>
            <a:ext uri="{FF2B5EF4-FFF2-40B4-BE49-F238E27FC236}">
              <a16:creationId xmlns:a16="http://schemas.microsoft.com/office/drawing/2014/main" id="{7A28ACC2-CF32-43DF-9124-08A070EC5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198120</xdr:colOff>
      <xdr:row>41</xdr:row>
      <xdr:rowOff>106680</xdr:rowOff>
    </xdr:from>
    <xdr:to>
      <xdr:col>26</xdr:col>
      <xdr:colOff>564387</xdr:colOff>
      <xdr:row>59</xdr:row>
      <xdr:rowOff>137448</xdr:rowOff>
    </xdr:to>
    <xdr:pic>
      <xdr:nvPicPr>
        <xdr:cNvPr id="4" name="Slika 3">
          <a:extLst>
            <a:ext uri="{FF2B5EF4-FFF2-40B4-BE49-F238E27FC236}">
              <a16:creationId xmlns:a16="http://schemas.microsoft.com/office/drawing/2014/main" id="{7BA67653-0F1A-4B6D-9137-6F93E18A58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984980" y="7604760"/>
          <a:ext cx="5852667" cy="33226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4</xdr:row>
      <xdr:rowOff>137160</xdr:rowOff>
    </xdr:from>
    <xdr:to>
      <xdr:col>13</xdr:col>
      <xdr:colOff>525780</xdr:colOff>
      <xdr:row>17</xdr:row>
      <xdr:rowOff>137160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C47B44F5-8515-4818-B9AE-0D09E7942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236220</xdr:colOff>
      <xdr:row>19</xdr:row>
      <xdr:rowOff>160020</xdr:rowOff>
    </xdr:from>
    <xdr:to>
      <xdr:col>13</xdr:col>
      <xdr:colOff>541020</xdr:colOff>
      <xdr:row>34</xdr:row>
      <xdr:rowOff>160020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7479CD26-5696-4C72-8124-16EDF6B25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266700</xdr:colOff>
      <xdr:row>36</xdr:row>
      <xdr:rowOff>0</xdr:rowOff>
    </xdr:from>
    <xdr:to>
      <xdr:col>13</xdr:col>
      <xdr:colOff>571500</xdr:colOff>
      <xdr:row>51</xdr:row>
      <xdr:rowOff>0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63079FE8-29AE-45AE-8799-35ABC4942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259080</xdr:colOff>
      <xdr:row>52</xdr:row>
      <xdr:rowOff>30480</xdr:rowOff>
    </xdr:from>
    <xdr:to>
      <xdr:col>13</xdr:col>
      <xdr:colOff>563880</xdr:colOff>
      <xdr:row>67</xdr:row>
      <xdr:rowOff>30480</xdr:rowOff>
    </xdr:to>
    <xdr:graphicFrame macro="">
      <xdr:nvGraphicFramePr>
        <xdr:cNvPr id="5" name="Grafikon 4">
          <a:extLst>
            <a:ext uri="{FF2B5EF4-FFF2-40B4-BE49-F238E27FC236}">
              <a16:creationId xmlns:a16="http://schemas.microsoft.com/office/drawing/2014/main" id="{0414B5E4-6546-45C6-B5F5-EBCDC4469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198120</xdr:colOff>
      <xdr:row>36</xdr:row>
      <xdr:rowOff>15240</xdr:rowOff>
    </xdr:from>
    <xdr:to>
      <xdr:col>21</xdr:col>
      <xdr:colOff>502920</xdr:colOff>
      <xdr:row>51</xdr:row>
      <xdr:rowOff>15240</xdr:rowOff>
    </xdr:to>
    <xdr:graphicFrame macro="">
      <xdr:nvGraphicFramePr>
        <xdr:cNvPr id="6" name="Grafikon 5">
          <a:extLst>
            <a:ext uri="{FF2B5EF4-FFF2-40B4-BE49-F238E27FC236}">
              <a16:creationId xmlns:a16="http://schemas.microsoft.com/office/drawing/2014/main" id="{86EF9C85-E819-4ED8-9428-22454B01F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556260</xdr:colOff>
      <xdr:row>9</xdr:row>
      <xdr:rowOff>99060</xdr:rowOff>
    </xdr:from>
    <xdr:to>
      <xdr:col>20</xdr:col>
      <xdr:colOff>60960</xdr:colOff>
      <xdr:row>24</xdr:row>
      <xdr:rowOff>99060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BD5D1209-CD24-489B-B1FB-31E5B0C9E5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426720</xdr:colOff>
      <xdr:row>22</xdr:row>
      <xdr:rowOff>68580</xdr:rowOff>
    </xdr:from>
    <xdr:to>
      <xdr:col>19</xdr:col>
      <xdr:colOff>121920</xdr:colOff>
      <xdr:row>37</xdr:row>
      <xdr:rowOff>68580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F852BBFA-A753-49AD-A87D-C360A0826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441960</xdr:colOff>
      <xdr:row>39</xdr:row>
      <xdr:rowOff>30480</xdr:rowOff>
    </xdr:from>
    <xdr:to>
      <xdr:col>19</xdr:col>
      <xdr:colOff>137160</xdr:colOff>
      <xdr:row>54</xdr:row>
      <xdr:rowOff>30480</xdr:rowOff>
    </xdr:to>
    <xdr:graphicFrame macro="">
      <xdr:nvGraphicFramePr>
        <xdr:cNvPr id="5" name="Grafikon 4">
          <a:extLst>
            <a:ext uri="{FF2B5EF4-FFF2-40B4-BE49-F238E27FC236}">
              <a16:creationId xmlns:a16="http://schemas.microsoft.com/office/drawing/2014/main" id="{F99E15B9-6CAE-4BAA-9164-AD5AE3091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297180</xdr:colOff>
      <xdr:row>70</xdr:row>
      <xdr:rowOff>175260</xdr:rowOff>
    </xdr:from>
    <xdr:to>
      <xdr:col>18</xdr:col>
      <xdr:colOff>457200</xdr:colOff>
      <xdr:row>106</xdr:row>
      <xdr:rowOff>175260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ACCD2C81-8D72-4AF5-8A7F-14C39335E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548640</xdr:colOff>
      <xdr:row>0</xdr:row>
      <xdr:rowOff>137160</xdr:rowOff>
    </xdr:from>
    <xdr:to>
      <xdr:col>24</xdr:col>
      <xdr:colOff>243840</xdr:colOff>
      <xdr:row>14</xdr:row>
      <xdr:rowOff>137160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5EE675E3-60C8-4D0D-AF63-282E56E45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533400</xdr:colOff>
      <xdr:row>16</xdr:row>
      <xdr:rowOff>7620</xdr:rowOff>
    </xdr:from>
    <xdr:to>
      <xdr:col>25</xdr:col>
      <xdr:colOff>350520</xdr:colOff>
      <xdr:row>32</xdr:row>
      <xdr:rowOff>129540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115F8233-987C-4E87-A1A7-BDB230A7A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518160</xdr:colOff>
      <xdr:row>33</xdr:row>
      <xdr:rowOff>137160</xdr:rowOff>
    </xdr:from>
    <xdr:to>
      <xdr:col>24</xdr:col>
      <xdr:colOff>213360</xdr:colOff>
      <xdr:row>48</xdr:row>
      <xdr:rowOff>137160</xdr:rowOff>
    </xdr:to>
    <xdr:graphicFrame macro="">
      <xdr:nvGraphicFramePr>
        <xdr:cNvPr id="5" name="Grafikon 4">
          <a:extLst>
            <a:ext uri="{FF2B5EF4-FFF2-40B4-BE49-F238E27FC236}">
              <a16:creationId xmlns:a16="http://schemas.microsoft.com/office/drawing/2014/main" id="{6A0141E9-97AE-4C02-8738-A8C2AEE90D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388620</xdr:colOff>
      <xdr:row>70</xdr:row>
      <xdr:rowOff>53340</xdr:rowOff>
    </xdr:from>
    <xdr:to>
      <xdr:col>20</xdr:col>
      <xdr:colOff>83820</xdr:colOff>
      <xdr:row>85</xdr:row>
      <xdr:rowOff>53340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3DDA0B41-031D-4DBD-A6D7-E5D88FFA34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1</xdr:row>
      <xdr:rowOff>175260</xdr:rowOff>
    </xdr:from>
    <xdr:to>
      <xdr:col>14</xdr:col>
      <xdr:colOff>327660</xdr:colOff>
      <xdr:row>16</xdr:row>
      <xdr:rowOff>175260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45FA2CB5-1E90-4D4A-9365-8F7C25AB5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487680</xdr:colOff>
      <xdr:row>1</xdr:row>
      <xdr:rowOff>167640</xdr:rowOff>
    </xdr:from>
    <xdr:to>
      <xdr:col>22</xdr:col>
      <xdr:colOff>312420</xdr:colOff>
      <xdr:row>16</xdr:row>
      <xdr:rowOff>167640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A190DB26-5CCD-4999-9BAA-4E552AEB9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</xdr:colOff>
      <xdr:row>17</xdr:row>
      <xdr:rowOff>91440</xdr:rowOff>
    </xdr:from>
    <xdr:to>
      <xdr:col>14</xdr:col>
      <xdr:colOff>342900</xdr:colOff>
      <xdr:row>32</xdr:row>
      <xdr:rowOff>91440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A04F7A96-C50B-48EA-B0B1-A5E0EC8D9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586740</xdr:colOff>
      <xdr:row>33</xdr:row>
      <xdr:rowOff>160020</xdr:rowOff>
    </xdr:from>
    <xdr:to>
      <xdr:col>16</xdr:col>
      <xdr:colOff>64770</xdr:colOff>
      <xdr:row>52</xdr:row>
      <xdr:rowOff>179070</xdr:rowOff>
    </xdr:to>
    <xdr:graphicFrame macro="">
      <xdr:nvGraphicFramePr>
        <xdr:cNvPr id="6" name="Grafikon 5">
          <a:extLst>
            <a:ext uri="{FF2B5EF4-FFF2-40B4-BE49-F238E27FC236}">
              <a16:creationId xmlns:a16="http://schemas.microsoft.com/office/drawing/2014/main" id="{1571AEBA-97D2-48ED-A527-B5C6BE9203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281940</xdr:colOff>
      <xdr:row>34</xdr:row>
      <xdr:rowOff>0</xdr:rowOff>
    </xdr:from>
    <xdr:to>
      <xdr:col>25</xdr:col>
      <xdr:colOff>15240</xdr:colOff>
      <xdr:row>53</xdr:row>
      <xdr:rowOff>91440</xdr:rowOff>
    </xdr:to>
    <xdr:graphicFrame macro="">
      <xdr:nvGraphicFramePr>
        <xdr:cNvPr id="8" name="Grafikon 7">
          <a:extLst>
            <a:ext uri="{FF2B5EF4-FFF2-40B4-BE49-F238E27FC236}">
              <a16:creationId xmlns:a16="http://schemas.microsoft.com/office/drawing/2014/main" id="{EEFC24FF-5A2B-4D88-9FBF-26301A5AD8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83820</xdr:colOff>
      <xdr:row>17</xdr:row>
      <xdr:rowOff>114300</xdr:rowOff>
    </xdr:from>
    <xdr:to>
      <xdr:col>22</xdr:col>
      <xdr:colOff>388620</xdr:colOff>
      <xdr:row>32</xdr:row>
      <xdr:rowOff>114300</xdr:rowOff>
    </xdr:to>
    <xdr:graphicFrame macro="">
      <xdr:nvGraphicFramePr>
        <xdr:cNvPr id="9" name="Grafikon 8">
          <a:extLst>
            <a:ext uri="{FF2B5EF4-FFF2-40B4-BE49-F238E27FC236}">
              <a16:creationId xmlns:a16="http://schemas.microsoft.com/office/drawing/2014/main" id="{66EDDA50-04A1-49B3-905E-2DFCDBD7B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83820</xdr:colOff>
      <xdr:row>54</xdr:row>
      <xdr:rowOff>53340</xdr:rowOff>
    </xdr:from>
    <xdr:to>
      <xdr:col>15</xdr:col>
      <xdr:colOff>388620</xdr:colOff>
      <xdr:row>69</xdr:row>
      <xdr:rowOff>53340</xdr:rowOff>
    </xdr:to>
    <xdr:graphicFrame macro="">
      <xdr:nvGraphicFramePr>
        <xdr:cNvPr id="5" name="Grafikon 4">
          <a:extLst>
            <a:ext uri="{FF2B5EF4-FFF2-40B4-BE49-F238E27FC236}">
              <a16:creationId xmlns:a16="http://schemas.microsoft.com/office/drawing/2014/main" id="{32BB571C-79CD-43C4-83EE-43A20E849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99060</xdr:colOff>
      <xdr:row>54</xdr:row>
      <xdr:rowOff>76200</xdr:rowOff>
    </xdr:from>
    <xdr:to>
      <xdr:col>23</xdr:col>
      <xdr:colOff>403860</xdr:colOff>
      <xdr:row>69</xdr:row>
      <xdr:rowOff>76200</xdr:rowOff>
    </xdr:to>
    <xdr:graphicFrame macro="">
      <xdr:nvGraphicFramePr>
        <xdr:cNvPr id="7" name="Grafikon 6">
          <a:extLst>
            <a:ext uri="{FF2B5EF4-FFF2-40B4-BE49-F238E27FC236}">
              <a16:creationId xmlns:a16="http://schemas.microsoft.com/office/drawing/2014/main" id="{7E7BF6D8-2BFC-4CC3-906A-378F1E8CB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7620</xdr:colOff>
      <xdr:row>69</xdr:row>
      <xdr:rowOff>129540</xdr:rowOff>
    </xdr:from>
    <xdr:to>
      <xdr:col>15</xdr:col>
      <xdr:colOff>312420</xdr:colOff>
      <xdr:row>84</xdr:row>
      <xdr:rowOff>129540</xdr:rowOff>
    </xdr:to>
    <xdr:graphicFrame macro="">
      <xdr:nvGraphicFramePr>
        <xdr:cNvPr id="10" name="Grafikon 9">
          <a:extLst>
            <a:ext uri="{FF2B5EF4-FFF2-40B4-BE49-F238E27FC236}">
              <a16:creationId xmlns:a16="http://schemas.microsoft.com/office/drawing/2014/main" id="{EAB85252-5B1C-4B6E-B6DF-C096D7975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aliza%20ra&#269;unovodskih%20izkazov%20-%20graf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1"/>
    </sheetNames>
    <sheetDataSet>
      <sheetData sheetId="0">
        <row r="51">
          <cell r="B51">
            <v>2013</v>
          </cell>
          <cell r="C51">
            <v>2014</v>
          </cell>
          <cell r="D51">
            <v>2015</v>
          </cell>
          <cell r="E51">
            <v>2016</v>
          </cell>
          <cell r="F51">
            <v>2017</v>
          </cell>
        </row>
        <row r="52">
          <cell r="A52" t="str">
            <v>financiranje</v>
          </cell>
          <cell r="B52">
            <v>-5230700</v>
          </cell>
          <cell r="C52">
            <v>-2239693</v>
          </cell>
          <cell r="D52">
            <v>-3437619</v>
          </cell>
          <cell r="E52">
            <v>7341469</v>
          </cell>
          <cell r="F52">
            <v>1397655</v>
          </cell>
        </row>
        <row r="53">
          <cell r="A53" t="str">
            <v>poslovanje</v>
          </cell>
          <cell r="B53">
            <v>9315030</v>
          </cell>
          <cell r="C53">
            <v>7550620</v>
          </cell>
          <cell r="D53">
            <v>15131458</v>
          </cell>
          <cell r="E53">
            <v>16893333</v>
          </cell>
          <cell r="F53">
            <v>15428908</v>
          </cell>
        </row>
        <row r="54">
          <cell r="A54" t="str">
            <v>naložbenje</v>
          </cell>
          <cell r="B54">
            <v>-4096778</v>
          </cell>
          <cell r="C54">
            <v>-5464822</v>
          </cell>
          <cell r="D54">
            <v>-10065144</v>
          </cell>
          <cell r="E54">
            <v>-24344004</v>
          </cell>
          <cell r="F54">
            <v>-16922760</v>
          </cell>
        </row>
        <row r="55">
          <cell r="A55" t="str">
            <v>denarni izid</v>
          </cell>
          <cell r="B55">
            <v>-12448</v>
          </cell>
          <cell r="C55">
            <v>-152895</v>
          </cell>
          <cell r="D55">
            <v>1628695</v>
          </cell>
          <cell r="E55">
            <v>-109202</v>
          </cell>
          <cell r="F55">
            <v>-96197</v>
          </cell>
        </row>
        <row r="100">
          <cell r="B100">
            <v>2013</v>
          </cell>
          <cell r="C100">
            <v>2014</v>
          </cell>
          <cell r="D100">
            <v>2015</v>
          </cell>
          <cell r="E100">
            <v>2016</v>
          </cell>
          <cell r="F100">
            <v>2017</v>
          </cell>
        </row>
        <row r="102">
          <cell r="A102" t="str">
            <v>izid iz poslovanja</v>
          </cell>
          <cell r="B102">
            <v>3011623</v>
          </cell>
          <cell r="C102">
            <v>6487750</v>
          </cell>
          <cell r="D102">
            <v>8547168</v>
          </cell>
          <cell r="E102">
            <v>10861125</v>
          </cell>
          <cell r="F102">
            <v>11548315</v>
          </cell>
        </row>
        <row r="103">
          <cell r="A103" t="str">
            <v>Poslovni prihodki</v>
          </cell>
          <cell r="B103">
            <v>86991224</v>
          </cell>
          <cell r="C103">
            <v>96894219</v>
          </cell>
          <cell r="D103">
            <v>110468653</v>
          </cell>
          <cell r="E103">
            <v>128950664</v>
          </cell>
          <cell r="F103">
            <v>147072684</v>
          </cell>
        </row>
        <row r="104">
          <cell r="A104" t="str">
            <v>Poslovni odhodki</v>
          </cell>
          <cell r="B104">
            <v>83979601</v>
          </cell>
          <cell r="C104">
            <v>90406469</v>
          </cell>
          <cell r="D104">
            <v>101921485</v>
          </cell>
          <cell r="E104">
            <v>118089539</v>
          </cell>
          <cell r="F104">
            <v>135524369</v>
          </cell>
        </row>
      </sheetData>
    </sheetDataSet>
  </externalBook>
</externalLink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D7642-BBF9-4387-A8CD-51A290FE3C82}">
  <dimension ref="A1:M144"/>
  <sheetViews>
    <sheetView tabSelected="1" workbookViewId="0">
      <selection activeCell="G1" sqref="G1:K7"/>
    </sheetView>
  </sheetViews>
  <sheetFormatPr defaultRowHeight="14.4" x14ac:dyDescent="0.3"/>
  <cols>
    <col min="1" max="1" width="26.6640625" customWidth="1"/>
    <col min="2" max="11" width="13.77734375" customWidth="1"/>
  </cols>
  <sheetData>
    <row r="1" spans="1:12" s="1" customFormat="1" x14ac:dyDescent="0.3">
      <c r="A1" s="35" t="s">
        <v>3</v>
      </c>
      <c r="B1" s="1">
        <v>2013</v>
      </c>
      <c r="C1" s="1">
        <v>2014</v>
      </c>
      <c r="D1" s="1">
        <v>2015</v>
      </c>
      <c r="E1" s="1">
        <v>2016</v>
      </c>
      <c r="F1" s="21">
        <v>2017</v>
      </c>
      <c r="G1" s="1">
        <v>2018</v>
      </c>
      <c r="H1" s="1">
        <v>2019</v>
      </c>
      <c r="I1" s="1">
        <v>2020</v>
      </c>
      <c r="J1" s="1">
        <v>2021</v>
      </c>
      <c r="K1" s="1">
        <v>2022</v>
      </c>
    </row>
    <row r="2" spans="1:12" s="95" customFormat="1" x14ac:dyDescent="0.3">
      <c r="A2" s="95" t="s">
        <v>0</v>
      </c>
      <c r="B2" s="95">
        <v>83764805</v>
      </c>
      <c r="C2" s="95">
        <v>92337092</v>
      </c>
      <c r="D2" s="95">
        <v>105932291</v>
      </c>
      <c r="E2" s="95">
        <v>120997840</v>
      </c>
      <c r="F2" s="96">
        <v>139357926</v>
      </c>
      <c r="G2" s="128">
        <f>F2*G3</f>
        <v>156080877.12</v>
      </c>
      <c r="H2" s="95">
        <f t="shared" ref="H2:K2" si="0">G2*H3</f>
        <v>174810582.37440002</v>
      </c>
      <c r="I2" s="95">
        <f t="shared" si="0"/>
        <v>192291640.61184004</v>
      </c>
      <c r="J2" s="95">
        <f t="shared" si="0"/>
        <v>205752055.45466885</v>
      </c>
      <c r="K2" s="95">
        <f t="shared" si="0"/>
        <v>220154699.33649567</v>
      </c>
      <c r="L2" s="95" t="s">
        <v>140</v>
      </c>
    </row>
    <row r="3" spans="1:12" s="85" customFormat="1" x14ac:dyDescent="0.3">
      <c r="A3" s="85" t="s">
        <v>81</v>
      </c>
      <c r="C3" s="85">
        <f>C2/B2</f>
        <v>1.1023375748322939</v>
      </c>
      <c r="D3" s="85">
        <f t="shared" ref="D3:F3" si="1">D2/C2</f>
        <v>1.1472344288252005</v>
      </c>
      <c r="E3" s="85">
        <f t="shared" si="1"/>
        <v>1.1422186649394754</v>
      </c>
      <c r="F3" s="87">
        <f t="shared" si="1"/>
        <v>1.1517389566623668</v>
      </c>
      <c r="G3" s="88">
        <v>1.1200000000000001</v>
      </c>
      <c r="H3" s="88">
        <v>1.1200000000000001</v>
      </c>
      <c r="I3" s="88">
        <v>1.1000000000000001</v>
      </c>
      <c r="J3" s="88">
        <v>1.07</v>
      </c>
      <c r="K3" s="88">
        <v>1.07</v>
      </c>
    </row>
    <row r="4" spans="1:12" s="95" customFormat="1" x14ac:dyDescent="0.3">
      <c r="A4" s="95" t="s">
        <v>272</v>
      </c>
      <c r="B4" s="95">
        <f>1262977+1685332+161816</f>
        <v>3110125</v>
      </c>
      <c r="C4" s="95">
        <f>1162820+2290650+231835</f>
        <v>3685305</v>
      </c>
      <c r="D4" s="95">
        <f>1043412+4437933+527322</f>
        <v>6008667</v>
      </c>
      <c r="E4" s="95">
        <v>6623153</v>
      </c>
      <c r="F4" s="96">
        <v>7155170</v>
      </c>
      <c r="G4" s="101">
        <f>F4*G5</f>
        <v>7512928.5</v>
      </c>
      <c r="H4" s="95">
        <f t="shared" ref="H4:K4" si="2">G4*H5</f>
        <v>7888574.9250000007</v>
      </c>
      <c r="I4" s="95">
        <f t="shared" si="2"/>
        <v>8283003.6712500015</v>
      </c>
      <c r="J4" s="95">
        <f t="shared" si="2"/>
        <v>8697153.8548125029</v>
      </c>
      <c r="K4" s="95">
        <f t="shared" si="2"/>
        <v>9132011.5475531276</v>
      </c>
    </row>
    <row r="5" spans="1:12" s="84" customFormat="1" x14ac:dyDescent="0.3">
      <c r="A5" s="84" t="s">
        <v>81</v>
      </c>
      <c r="C5" s="84">
        <f>C4/B4</f>
        <v>1.1849379044250632</v>
      </c>
      <c r="D5" s="84">
        <f t="shared" ref="D5:F5" si="3">D4/C4</f>
        <v>1.630439542995763</v>
      </c>
      <c r="E5" s="84">
        <f t="shared" si="3"/>
        <v>1.1022666092163202</v>
      </c>
      <c r="F5" s="89">
        <f t="shared" si="3"/>
        <v>1.0803268473489893</v>
      </c>
      <c r="G5" s="90">
        <v>1.05</v>
      </c>
      <c r="H5" s="90">
        <v>1.05</v>
      </c>
      <c r="I5" s="90">
        <v>1.05</v>
      </c>
      <c r="J5" s="90">
        <v>1.05</v>
      </c>
      <c r="K5" s="90">
        <v>1.05</v>
      </c>
    </row>
    <row r="6" spans="1:12" s="97" customFormat="1" x14ac:dyDescent="0.3">
      <c r="A6" s="97" t="s">
        <v>2</v>
      </c>
      <c r="B6" s="97">
        <f>B2+B4</f>
        <v>86874930</v>
      </c>
      <c r="C6" s="97">
        <f t="shared" ref="C6:F6" si="4">C2+C4</f>
        <v>96022397</v>
      </c>
      <c r="D6" s="97">
        <f t="shared" si="4"/>
        <v>111940958</v>
      </c>
      <c r="E6" s="97">
        <f t="shared" si="4"/>
        <v>127620993</v>
      </c>
      <c r="F6" s="98">
        <f t="shared" si="4"/>
        <v>146513096</v>
      </c>
      <c r="G6" s="112">
        <f>G2+G4</f>
        <v>163593805.62</v>
      </c>
      <c r="H6" s="97">
        <f t="shared" ref="H6:K6" si="5">H2+H4</f>
        <v>182699157.29940003</v>
      </c>
      <c r="I6" s="97">
        <f t="shared" si="5"/>
        <v>200574644.28309005</v>
      </c>
      <c r="J6" s="97">
        <f t="shared" si="5"/>
        <v>214449209.30948135</v>
      </c>
      <c r="K6" s="97">
        <f t="shared" si="5"/>
        <v>229286710.88404879</v>
      </c>
    </row>
    <row r="7" spans="1:12" s="91" customFormat="1" x14ac:dyDescent="0.3">
      <c r="A7" s="91" t="s">
        <v>267</v>
      </c>
      <c r="C7" s="91">
        <f>C6/B6</f>
        <v>1.1052946690144096</v>
      </c>
      <c r="D7" s="91">
        <f t="shared" ref="D7:F7" si="6">D6/C6</f>
        <v>1.1657796670083127</v>
      </c>
      <c r="E7" s="91">
        <f t="shared" si="6"/>
        <v>1.1400741540911237</v>
      </c>
      <c r="F7" s="92">
        <f t="shared" si="6"/>
        <v>1.1480328788853726</v>
      </c>
      <c r="G7" s="129">
        <f>G6/F6</f>
        <v>1.1165814530327036</v>
      </c>
      <c r="H7" s="91">
        <f t="shared" ref="H7:K7" si="7">H6/G6</f>
        <v>1.116785300072904</v>
      </c>
      <c r="I7" s="91">
        <f t="shared" si="7"/>
        <v>1.0978411025421229</v>
      </c>
      <c r="J7" s="91">
        <f t="shared" si="7"/>
        <v>1.0691740727048669</v>
      </c>
      <c r="K7" s="91">
        <f t="shared" si="7"/>
        <v>1.0691888845025059</v>
      </c>
    </row>
    <row r="8" spans="1:12" s="1" customFormat="1" x14ac:dyDescent="0.3">
      <c r="F8" s="21"/>
    </row>
    <row r="9" spans="1:12" x14ac:dyDescent="0.3">
      <c r="F9" s="22"/>
    </row>
    <row r="10" spans="1:12" x14ac:dyDescent="0.3">
      <c r="B10" s="2"/>
      <c r="C10" s="2"/>
      <c r="D10" s="2"/>
      <c r="E10" s="2"/>
      <c r="F10" s="26"/>
      <c r="G10" s="94"/>
    </row>
    <row r="11" spans="1:12" x14ac:dyDescent="0.3">
      <c r="F11" s="22"/>
    </row>
    <row r="12" spans="1:12" x14ac:dyDescent="0.3">
      <c r="A12" s="54" t="s">
        <v>4</v>
      </c>
      <c r="B12" s="1">
        <v>2013</v>
      </c>
      <c r="C12" s="1">
        <v>2014</v>
      </c>
      <c r="D12" s="1">
        <v>2015</v>
      </c>
      <c r="E12" s="1">
        <v>2016</v>
      </c>
      <c r="F12" s="21">
        <v>2017</v>
      </c>
      <c r="G12" s="1">
        <v>2018</v>
      </c>
      <c r="H12" s="1">
        <v>2019</v>
      </c>
      <c r="I12" s="1">
        <v>2020</v>
      </c>
      <c r="J12" s="1">
        <v>2021</v>
      </c>
      <c r="K12" s="1">
        <v>2022</v>
      </c>
    </row>
    <row r="13" spans="1:12" s="95" customFormat="1" x14ac:dyDescent="0.3">
      <c r="A13" s="95" t="s">
        <v>5</v>
      </c>
      <c r="B13" s="95">
        <v>54558744</v>
      </c>
      <c r="C13" s="95">
        <v>59976822</v>
      </c>
      <c r="D13" s="95">
        <v>68857267</v>
      </c>
      <c r="E13" s="95">
        <f>78885431</f>
        <v>78885431</v>
      </c>
      <c r="F13" s="96">
        <f>90875643</f>
        <v>90875643</v>
      </c>
      <c r="G13" s="101">
        <f>G6*G29</f>
        <v>101428159.4844</v>
      </c>
      <c r="H13" s="95">
        <f t="shared" ref="H13:K13" si="8">H6*H29</f>
        <v>113273477.52562802</v>
      </c>
      <c r="I13" s="95">
        <f t="shared" si="8"/>
        <v>128367772.34117764</v>
      </c>
      <c r="J13" s="95">
        <f t="shared" si="8"/>
        <v>137247493.95806807</v>
      </c>
      <c r="K13" s="95">
        <f t="shared" si="8"/>
        <v>146743494.96579123</v>
      </c>
    </row>
    <row r="14" spans="1:12" x14ac:dyDescent="0.3">
      <c r="A14" t="s">
        <v>59</v>
      </c>
      <c r="B14" s="2"/>
      <c r="C14" s="2"/>
      <c r="D14" s="2"/>
      <c r="E14" s="2"/>
      <c r="F14" s="26"/>
    </row>
    <row r="15" spans="1:12" s="99" customFormat="1" x14ac:dyDescent="0.3">
      <c r="A15" s="99" t="s">
        <v>60</v>
      </c>
      <c r="B15" s="99">
        <v>1356622</v>
      </c>
      <c r="C15" s="99">
        <v>2588237</v>
      </c>
      <c r="D15" s="99">
        <v>2690153</v>
      </c>
      <c r="E15" s="99">
        <v>2350632</v>
      </c>
      <c r="F15" s="100">
        <v>3245365</v>
      </c>
      <c r="G15" s="121">
        <f>G31*G6</f>
        <v>3271876.1124</v>
      </c>
      <c r="H15" s="99">
        <f t="shared" ref="H15:K15" si="9">H31*H6</f>
        <v>3653983.1459880006</v>
      </c>
      <c r="I15" s="99">
        <f t="shared" si="9"/>
        <v>4011492.8856618013</v>
      </c>
      <c r="J15" s="99">
        <f t="shared" si="9"/>
        <v>4288984.1861896273</v>
      </c>
      <c r="K15" s="99">
        <f t="shared" si="9"/>
        <v>4585734.2176809758</v>
      </c>
    </row>
    <row r="16" spans="1:12" s="99" customFormat="1" x14ac:dyDescent="0.3">
      <c r="A16" s="99" t="s">
        <v>61</v>
      </c>
      <c r="B16" s="99">
        <v>46523776</v>
      </c>
      <c r="C16" s="99">
        <v>49303597</v>
      </c>
      <c r="D16" s="99">
        <v>56421307</v>
      </c>
      <c r="E16" s="99">
        <v>65746330</v>
      </c>
      <c r="F16" s="100">
        <v>77918197</v>
      </c>
      <c r="G16" s="121">
        <f>G32*G6</f>
        <v>86704716.97860001</v>
      </c>
      <c r="H16" s="99">
        <f t="shared" ref="H16:K16" si="10">H32*H6</f>
        <v>96830553.368682027</v>
      </c>
      <c r="I16" s="99">
        <f t="shared" si="10"/>
        <v>106304561.47003773</v>
      </c>
      <c r="J16" s="99">
        <f t="shared" si="10"/>
        <v>115802573.02711993</v>
      </c>
      <c r="K16" s="99">
        <f t="shared" si="10"/>
        <v>123814823.87738636</v>
      </c>
    </row>
    <row r="17" spans="1:12" s="99" customFormat="1" x14ac:dyDescent="0.3">
      <c r="A17" s="99" t="s">
        <v>62</v>
      </c>
      <c r="B17" s="99">
        <v>6678346</v>
      </c>
      <c r="C17" s="99">
        <v>8084988</v>
      </c>
      <c r="D17" s="99">
        <v>9745807</v>
      </c>
      <c r="E17" s="99">
        <v>10788469</v>
      </c>
      <c r="F17" s="100">
        <v>9712081</v>
      </c>
      <c r="G17" s="121">
        <f>G33*G6</f>
        <v>11451566.393400002</v>
      </c>
      <c r="H17" s="99">
        <f t="shared" ref="H17:K17" si="11">H33*H6</f>
        <v>12788941.010958003</v>
      </c>
      <c r="I17" s="99">
        <f t="shared" si="11"/>
        <v>16045971.542647205</v>
      </c>
      <c r="J17" s="99">
        <f t="shared" si="11"/>
        <v>17155936.744758509</v>
      </c>
      <c r="K17" s="99">
        <f t="shared" si="11"/>
        <v>18342936.870723903</v>
      </c>
    </row>
    <row r="18" spans="1:12" s="85" customFormat="1" x14ac:dyDescent="0.3">
      <c r="A18" s="85" t="s">
        <v>141</v>
      </c>
      <c r="C18" s="85">
        <f>C13/B13</f>
        <v>1.099307234785317</v>
      </c>
      <c r="D18" s="85">
        <f t="shared" ref="D18:K18" si="12">D13/C13</f>
        <v>1.1480646140270654</v>
      </c>
      <c r="E18" s="85">
        <f t="shared" si="12"/>
        <v>1.1456369739449577</v>
      </c>
      <c r="F18" s="85">
        <f t="shared" si="12"/>
        <v>1.1519952651333045</v>
      </c>
      <c r="G18" s="125">
        <f t="shared" si="12"/>
        <v>1.1161204051607096</v>
      </c>
      <c r="H18" s="85">
        <f t="shared" si="12"/>
        <v>1.116785300072904</v>
      </c>
      <c r="I18" s="85">
        <f t="shared" si="12"/>
        <v>1.1332553316563849</v>
      </c>
      <c r="J18" s="85">
        <f t="shared" si="12"/>
        <v>1.0691740727048669</v>
      </c>
      <c r="K18" s="85">
        <f t="shared" si="12"/>
        <v>1.0691888845025059</v>
      </c>
    </row>
    <row r="19" spans="1:12" s="8" customFormat="1" x14ac:dyDescent="0.3">
      <c r="B19" s="9"/>
      <c r="C19" s="9"/>
      <c r="D19" s="9"/>
      <c r="E19" s="9"/>
      <c r="F19" s="27"/>
    </row>
    <row r="20" spans="1:12" s="95" customFormat="1" x14ac:dyDescent="0.3">
      <c r="A20" s="95" t="s">
        <v>6</v>
      </c>
      <c r="B20" s="95">
        <v>22166278</v>
      </c>
      <c r="C20" s="95">
        <v>24145924</v>
      </c>
      <c r="D20" s="95">
        <v>26083022</v>
      </c>
      <c r="E20" s="95">
        <v>30776943</v>
      </c>
      <c r="F20" s="96">
        <v>34236712</v>
      </c>
      <c r="G20" s="101">
        <f>G70</f>
        <v>35969089.6272</v>
      </c>
      <c r="H20" s="95">
        <f t="shared" ref="H20:K20" si="13">H70</f>
        <v>37789125.562336326</v>
      </c>
      <c r="I20" s="95">
        <f t="shared" si="13"/>
        <v>39315806.235054716</v>
      </c>
      <c r="J20" s="95">
        <f t="shared" si="13"/>
        <v>40904164.806950927</v>
      </c>
      <c r="K20" s="95">
        <f t="shared" si="13"/>
        <v>42556693.065151744</v>
      </c>
    </row>
    <row r="21" spans="1:12" s="95" customFormat="1" x14ac:dyDescent="0.3">
      <c r="A21" s="95" t="s">
        <v>9</v>
      </c>
      <c r="B21" s="95">
        <f>195274+31326</f>
        <v>226600</v>
      </c>
      <c r="C21" s="95">
        <f>233139+7384</f>
        <v>240523</v>
      </c>
      <c r="D21" s="95">
        <v>189623</v>
      </c>
      <c r="E21" s="95">
        <v>272484</v>
      </c>
      <c r="F21" s="96">
        <v>156879</v>
      </c>
      <c r="G21" s="101">
        <f>G36*G6</f>
        <v>0</v>
      </c>
      <c r="H21" s="95">
        <f t="shared" ref="H21:K21" si="14">H36*H6</f>
        <v>0</v>
      </c>
      <c r="I21" s="95">
        <f t="shared" si="14"/>
        <v>0</v>
      </c>
      <c r="J21" s="95">
        <f t="shared" si="14"/>
        <v>0</v>
      </c>
      <c r="K21" s="95">
        <f t="shared" si="14"/>
        <v>0</v>
      </c>
    </row>
    <row r="22" spans="1:12" s="95" customFormat="1" x14ac:dyDescent="0.3">
      <c r="A22" s="95" t="s">
        <v>8</v>
      </c>
      <c r="B22" s="95">
        <v>5566172</v>
      </c>
      <c r="C22" s="95">
        <v>5240166</v>
      </c>
      <c r="D22" s="95">
        <v>5430337</v>
      </c>
      <c r="E22" s="95">
        <v>6219574</v>
      </c>
      <c r="F22" s="96">
        <v>7405570</v>
      </c>
      <c r="G22" s="101">
        <f>'STARE AMORT. IN INVEST.'!G120</f>
        <v>5250713.1428138912</v>
      </c>
      <c r="H22" s="95">
        <f>'STARE AMORT. IN INVEST.'!H120</f>
        <v>6195194.7063888703</v>
      </c>
      <c r="I22" s="95">
        <f>'STARE AMORT. IN INVEST.'!I120</f>
        <v>7034058.0411740383</v>
      </c>
      <c r="J22" s="95">
        <f>'STARE AMORT. IN INVEST.'!J120</f>
        <v>7701782.2055994458</v>
      </c>
      <c r="K22" s="95">
        <f>'STARE AMORT. IN INVEST.'!K120</f>
        <v>8470575.0211308487</v>
      </c>
    </row>
    <row r="23" spans="1:12" s="95" customFormat="1" x14ac:dyDescent="0.3">
      <c r="A23" s="95" t="s">
        <v>7</v>
      </c>
      <c r="B23" s="95">
        <f>1447884+184191+111062</f>
        <v>1743137</v>
      </c>
      <c r="C23" s="95">
        <f>816957+278847+235946</f>
        <v>1331750</v>
      </c>
      <c r="D23" s="95">
        <f>1361236+475197+92914</f>
        <v>1929347</v>
      </c>
      <c r="E23" s="95">
        <v>1935107</v>
      </c>
      <c r="F23" s="96">
        <v>2849565</v>
      </c>
      <c r="G23" s="101">
        <f>G38*G6</f>
        <v>3271876.1124</v>
      </c>
      <c r="H23" s="95">
        <f t="shared" ref="H23:K23" si="15">H38*H6</f>
        <v>3653983.1459880006</v>
      </c>
      <c r="I23" s="95">
        <f t="shared" si="15"/>
        <v>4011492.8856618013</v>
      </c>
      <c r="J23" s="95">
        <f t="shared" si="15"/>
        <v>4288984.1861896273</v>
      </c>
      <c r="K23" s="95">
        <f t="shared" si="15"/>
        <v>4585734.2176809758</v>
      </c>
    </row>
    <row r="24" spans="1:12" s="97" customFormat="1" x14ac:dyDescent="0.3">
      <c r="A24" s="97" t="s">
        <v>266</v>
      </c>
      <c r="B24" s="97">
        <f>SUM(B20:B23)+B13</f>
        <v>84260931</v>
      </c>
      <c r="C24" s="97">
        <f t="shared" ref="C24:F24" si="16">SUM(C20:C23)+C13</f>
        <v>90935185</v>
      </c>
      <c r="D24" s="97">
        <f t="shared" si="16"/>
        <v>102489596</v>
      </c>
      <c r="E24" s="97">
        <f t="shared" si="16"/>
        <v>118089539</v>
      </c>
      <c r="F24" s="97">
        <f t="shared" si="16"/>
        <v>135524369</v>
      </c>
      <c r="G24" s="126">
        <f t="shared" ref="G24" si="17">SUM(G20:G23)+G13</f>
        <v>145919838.3668139</v>
      </c>
      <c r="H24" s="102">
        <f t="shared" ref="H24" si="18">SUM(H20:H23)+H13</f>
        <v>160911780.9403412</v>
      </c>
      <c r="I24" s="97">
        <f t="shared" ref="I24" si="19">SUM(I20:I23)+I13</f>
        <v>178729129.50306821</v>
      </c>
      <c r="J24" s="97">
        <f t="shared" ref="J24" si="20">SUM(J20:J23)+J13</f>
        <v>190142425.15680808</v>
      </c>
      <c r="K24" s="97">
        <f t="shared" ref="K24" si="21">SUM(K20:K23)+K13</f>
        <v>202356497.2697548</v>
      </c>
    </row>
    <row r="25" spans="1:12" s="91" customFormat="1" x14ac:dyDescent="0.3">
      <c r="A25" s="91" t="s">
        <v>268</v>
      </c>
      <c r="C25" s="91">
        <f>C24/B24</f>
        <v>1.0792093550449853</v>
      </c>
      <c r="D25" s="91">
        <f t="shared" ref="D25:F25" si="22">D24/C24</f>
        <v>1.1270620497445516</v>
      </c>
      <c r="E25" s="91">
        <f t="shared" si="22"/>
        <v>1.1522100155414798</v>
      </c>
      <c r="F25" s="91">
        <f t="shared" si="22"/>
        <v>1.1476407660461778</v>
      </c>
      <c r="G25" s="127">
        <f>G24/F24</f>
        <v>1.0767055360118585</v>
      </c>
      <c r="H25" s="91">
        <f t="shared" ref="H25:K25" si="23">H24/G24</f>
        <v>1.1027409483269883</v>
      </c>
      <c r="I25" s="91">
        <f t="shared" si="23"/>
        <v>1.1107274337441637</v>
      </c>
      <c r="J25" s="91">
        <f t="shared" si="23"/>
        <v>1.0638580609969566</v>
      </c>
      <c r="K25" s="91">
        <f t="shared" si="23"/>
        <v>1.0642364380430822</v>
      </c>
    </row>
    <row r="26" spans="1:12" x14ac:dyDescent="0.3">
      <c r="B26" s="2"/>
      <c r="C26" s="2"/>
      <c r="D26" s="2"/>
      <c r="E26" s="2"/>
      <c r="F26" s="26"/>
    </row>
    <row r="27" spans="1:12" x14ac:dyDescent="0.3">
      <c r="F27" s="22"/>
    </row>
    <row r="28" spans="1:12" x14ac:dyDescent="0.3">
      <c r="A28" s="1" t="s">
        <v>10</v>
      </c>
      <c r="B28" s="1">
        <v>2013</v>
      </c>
      <c r="C28" s="1">
        <v>2014</v>
      </c>
      <c r="D28" s="1">
        <v>2015</v>
      </c>
      <c r="E28" s="1">
        <v>2016</v>
      </c>
      <c r="F28" s="21">
        <v>2017</v>
      </c>
      <c r="G28" s="1">
        <v>2018</v>
      </c>
      <c r="H28" s="1">
        <v>2019</v>
      </c>
      <c r="I28" s="1">
        <v>2020</v>
      </c>
      <c r="J28" s="1">
        <v>2021</v>
      </c>
      <c r="K28" s="1">
        <v>2022</v>
      </c>
    </row>
    <row r="29" spans="1:12" x14ac:dyDescent="0.3">
      <c r="A29" t="s">
        <v>5</v>
      </c>
      <c r="B29" s="3">
        <f>B13/B6</f>
        <v>0.62801482545079457</v>
      </c>
      <c r="C29" s="3">
        <f>C13/C6</f>
        <v>0.62461283902337905</v>
      </c>
      <c r="D29" s="3">
        <f>D13/D6</f>
        <v>0.61512129456673048</v>
      </c>
      <c r="E29" s="3">
        <f>E13/E6</f>
        <v>0.61812268613205357</v>
      </c>
      <c r="F29" s="24">
        <f>F13/F6</f>
        <v>0.62025611007496562</v>
      </c>
      <c r="G29" s="29">
        <v>0.62</v>
      </c>
      <c r="H29" s="29">
        <v>0.62</v>
      </c>
      <c r="I29" s="29">
        <v>0.64</v>
      </c>
      <c r="J29" s="29">
        <v>0.64</v>
      </c>
      <c r="K29" s="29">
        <v>0.64</v>
      </c>
    </row>
    <row r="30" spans="1:12" x14ac:dyDescent="0.3">
      <c r="A30" t="s">
        <v>253</v>
      </c>
      <c r="B30" s="3"/>
      <c r="C30" s="3"/>
      <c r="D30" s="3"/>
      <c r="E30" s="3"/>
      <c r="F30" s="24"/>
      <c r="G30" s="30"/>
      <c r="H30" s="30"/>
      <c r="I30" s="30"/>
      <c r="J30" s="30"/>
      <c r="K30" s="30"/>
    </row>
    <row r="31" spans="1:12" s="8" customFormat="1" x14ac:dyDescent="0.3">
      <c r="A31" s="8" t="s">
        <v>60</v>
      </c>
      <c r="B31" s="10">
        <f>B15/B6</f>
        <v>1.5615805388274845E-2</v>
      </c>
      <c r="C31" s="10">
        <f t="shared" ref="C31:F31" si="24">C15/C6</f>
        <v>2.695451353916941E-2</v>
      </c>
      <c r="D31" s="10">
        <f t="shared" si="24"/>
        <v>2.4031891883576698E-2</v>
      </c>
      <c r="E31" s="10">
        <f t="shared" si="24"/>
        <v>1.8418850572648342E-2</v>
      </c>
      <c r="F31" s="23">
        <f t="shared" si="24"/>
        <v>2.2150682011388253E-2</v>
      </c>
      <c r="G31" s="71">
        <v>0.02</v>
      </c>
      <c r="H31" s="71">
        <v>0.02</v>
      </c>
      <c r="I31" s="71">
        <v>0.02</v>
      </c>
      <c r="J31" s="71">
        <v>0.02</v>
      </c>
      <c r="K31" s="71">
        <v>0.02</v>
      </c>
    </row>
    <row r="32" spans="1:12" s="8" customFormat="1" x14ac:dyDescent="0.3">
      <c r="A32" s="8" t="s">
        <v>61</v>
      </c>
      <c r="B32" s="10">
        <f>B16/B6</f>
        <v>0.53552591063958266</v>
      </c>
      <c r="C32" s="10">
        <f t="shared" ref="C32:F32" si="25">C16/C6</f>
        <v>0.51345934428193873</v>
      </c>
      <c r="D32" s="10">
        <f t="shared" si="25"/>
        <v>0.50402737307286583</v>
      </c>
      <c r="E32" s="10">
        <f t="shared" si="25"/>
        <v>0.51516861336441722</v>
      </c>
      <c r="F32" s="23">
        <f t="shared" si="25"/>
        <v>0.53181728546641316</v>
      </c>
      <c r="G32" s="71">
        <v>0.53</v>
      </c>
      <c r="H32" s="71">
        <v>0.53</v>
      </c>
      <c r="I32" s="71">
        <v>0.53</v>
      </c>
      <c r="J32" s="71">
        <v>0.54</v>
      </c>
      <c r="K32" s="71">
        <v>0.54</v>
      </c>
      <c r="L32" s="8" t="s">
        <v>154</v>
      </c>
    </row>
    <row r="33" spans="1:13" s="8" customFormat="1" x14ac:dyDescent="0.3">
      <c r="A33" s="8" t="s">
        <v>62</v>
      </c>
      <c r="B33" s="10">
        <f>B17/B6</f>
        <v>7.6873109422937083E-2</v>
      </c>
      <c r="C33" s="10">
        <f t="shared" ref="C33:F33" si="26">C17/C6</f>
        <v>8.419898120227097E-2</v>
      </c>
      <c r="D33" s="10">
        <f t="shared" si="26"/>
        <v>8.7062029610287958E-2</v>
      </c>
      <c r="E33" s="10">
        <f t="shared" si="26"/>
        <v>8.4535222194987936E-2</v>
      </c>
      <c r="F33" s="23">
        <f t="shared" si="26"/>
        <v>6.6288142597164146E-2</v>
      </c>
      <c r="G33" s="71">
        <v>7.0000000000000007E-2</v>
      </c>
      <c r="H33" s="71">
        <v>7.0000000000000007E-2</v>
      </c>
      <c r="I33" s="71">
        <v>0.08</v>
      </c>
      <c r="J33" s="71">
        <v>0.08</v>
      </c>
      <c r="K33" s="71">
        <v>0.08</v>
      </c>
    </row>
    <row r="34" spans="1:13" x14ac:dyDescent="0.3">
      <c r="B34" s="3"/>
      <c r="C34" s="3"/>
      <c r="D34" s="3"/>
      <c r="E34" s="3"/>
      <c r="F34" s="24"/>
      <c r="G34" s="58"/>
      <c r="H34" s="58"/>
      <c r="I34" s="58"/>
      <c r="J34" s="58"/>
      <c r="K34" s="58"/>
    </row>
    <row r="35" spans="1:13" x14ac:dyDescent="0.3">
      <c r="A35" t="s">
        <v>6</v>
      </c>
      <c r="B35" s="3">
        <f t="shared" ref="B35:G35" si="27">B20/B6</f>
        <v>0.25515160702863299</v>
      </c>
      <c r="C35" s="3">
        <f t="shared" si="27"/>
        <v>0.25146137520395373</v>
      </c>
      <c r="D35" s="3">
        <f t="shared" si="27"/>
        <v>0.23300695711394573</v>
      </c>
      <c r="E35" s="3">
        <f t="shared" si="27"/>
        <v>0.24115893691565304</v>
      </c>
      <c r="F35" s="24">
        <f t="shared" si="27"/>
        <v>0.2336768038810674</v>
      </c>
      <c r="G35" s="61">
        <f t="shared" si="27"/>
        <v>0.21986828591022539</v>
      </c>
      <c r="H35" s="59">
        <f t="shared" ref="H35:K35" si="28">H20/H6</f>
        <v>0.20683798502917572</v>
      </c>
      <c r="I35" s="59">
        <f t="shared" si="28"/>
        <v>0.1960158342824459</v>
      </c>
      <c r="J35" s="59">
        <f t="shared" si="28"/>
        <v>0.19074057180560772</v>
      </c>
      <c r="K35" s="59">
        <f t="shared" si="28"/>
        <v>0.18560470818857372</v>
      </c>
    </row>
    <row r="36" spans="1:13" x14ac:dyDescent="0.3">
      <c r="A36" t="s">
        <v>9</v>
      </c>
      <c r="B36" s="3">
        <f>B21/B6</f>
        <v>2.608347425431019E-3</v>
      </c>
      <c r="C36" s="3">
        <f>C21/C6</f>
        <v>2.5048635267874014E-3</v>
      </c>
      <c r="D36" s="3">
        <f>D21/D6</f>
        <v>1.6939554867843815E-3</v>
      </c>
      <c r="E36" s="3">
        <f>E21/E6</f>
        <v>2.1351032741141578E-3</v>
      </c>
      <c r="F36" s="24">
        <f>F21/F6</f>
        <v>1.0707506993095006E-3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</row>
    <row r="37" spans="1:13" x14ac:dyDescent="0.3">
      <c r="A37" t="s">
        <v>8</v>
      </c>
      <c r="B37" s="3">
        <f t="shared" ref="B37:G37" si="29">B22/B6</f>
        <v>6.4071096229948041E-2</v>
      </c>
      <c r="C37" s="3">
        <f t="shared" si="29"/>
        <v>5.4572330661564299E-2</v>
      </c>
      <c r="D37" s="3">
        <f t="shared" si="29"/>
        <v>4.8510724734015589E-2</v>
      </c>
      <c r="E37" s="3">
        <f t="shared" si="29"/>
        <v>4.8734725015029463E-2</v>
      </c>
      <c r="F37" s="24">
        <f t="shared" si="29"/>
        <v>5.0545447486823977E-2</v>
      </c>
      <c r="G37" s="61">
        <f t="shared" si="29"/>
        <v>3.2096038862317232E-2</v>
      </c>
      <c r="H37" s="59">
        <f t="shared" ref="H37:K37" si="30">H22/H6</f>
        <v>3.3909268099340133E-2</v>
      </c>
      <c r="I37" s="59">
        <f t="shared" si="30"/>
        <v>3.5069527687887625E-2</v>
      </c>
      <c r="J37" s="59">
        <f t="shared" si="30"/>
        <v>3.5914248555165597E-2</v>
      </c>
      <c r="K37" s="59">
        <f t="shared" si="30"/>
        <v>3.6943157274450383E-2</v>
      </c>
    </row>
    <row r="38" spans="1:13" x14ac:dyDescent="0.3">
      <c r="A38" t="s">
        <v>7</v>
      </c>
      <c r="B38" s="3">
        <f>B23/B6</f>
        <v>2.0064902498338703E-2</v>
      </c>
      <c r="C38" s="3">
        <f>C23/C6</f>
        <v>1.3869160129381065E-2</v>
      </c>
      <c r="D38" s="3">
        <f>D23/D6</f>
        <v>1.7235398324891949E-2</v>
      </c>
      <c r="E38" s="3">
        <f>E23/E6</f>
        <v>1.5162920727313256E-2</v>
      </c>
      <c r="F38" s="24">
        <f>F23/F6</f>
        <v>1.9449217017433035E-2</v>
      </c>
      <c r="G38" s="29">
        <v>0.02</v>
      </c>
      <c r="H38" s="29">
        <v>0.02</v>
      </c>
      <c r="I38" s="29">
        <v>0.02</v>
      </c>
      <c r="J38" s="29">
        <v>0.02</v>
      </c>
      <c r="K38" s="29">
        <v>0.02</v>
      </c>
    </row>
    <row r="39" spans="1:13" x14ac:dyDescent="0.3">
      <c r="A39" t="s">
        <v>136</v>
      </c>
      <c r="B39" s="20">
        <f>SUM(B35:B38)+B29</f>
        <v>0.96991077863314534</v>
      </c>
      <c r="C39" s="20">
        <f t="shared" ref="C39:F39" si="31">SUM(C35:C38)+C29</f>
        <v>0.94702056854506556</v>
      </c>
      <c r="D39" s="20">
        <f t="shared" si="31"/>
        <v>0.91556833022636819</v>
      </c>
      <c r="E39" s="20">
        <f t="shared" si="31"/>
        <v>0.92531437206416345</v>
      </c>
      <c r="F39" s="20">
        <f t="shared" si="31"/>
        <v>0.92499832915959956</v>
      </c>
      <c r="G39" s="124">
        <f t="shared" ref="G39" si="32">SUM(G35:G38)+G29</f>
        <v>0.89196432477254262</v>
      </c>
      <c r="H39" s="20">
        <f t="shared" ref="H39" si="33">SUM(H35:H38)+H29</f>
        <v>0.88074725312851587</v>
      </c>
      <c r="I39" s="20">
        <f t="shared" ref="I39" si="34">SUM(I35:I38)+I29</f>
        <v>0.89108536197033361</v>
      </c>
      <c r="J39" s="20">
        <f t="shared" ref="J39" si="35">SUM(J35:J38)+J29</f>
        <v>0.88665482036077337</v>
      </c>
      <c r="K39" s="20">
        <f t="shared" ref="K39" si="36">SUM(K35:K38)+K29</f>
        <v>0.88254786546302411</v>
      </c>
    </row>
    <row r="40" spans="1:13" x14ac:dyDescent="0.3">
      <c r="B40" s="20"/>
      <c r="C40" s="20"/>
      <c r="D40" s="20"/>
      <c r="E40" s="20"/>
      <c r="F40" s="20"/>
      <c r="G40" s="50"/>
    </row>
    <row r="41" spans="1:13" x14ac:dyDescent="0.3">
      <c r="B41" s="20"/>
      <c r="C41" s="20"/>
      <c r="D41" s="20"/>
      <c r="E41" s="20"/>
      <c r="F41" s="20"/>
      <c r="G41" s="50"/>
    </row>
    <row r="42" spans="1:13" x14ac:dyDescent="0.3">
      <c r="B42" s="20"/>
      <c r="C42" s="20"/>
      <c r="D42" s="20"/>
      <c r="E42" s="20"/>
      <c r="F42" s="20"/>
      <c r="G42" s="50"/>
    </row>
    <row r="43" spans="1:13" x14ac:dyDescent="0.3">
      <c r="F43" s="22"/>
    </row>
    <row r="44" spans="1:13" s="1" customFormat="1" x14ac:dyDescent="0.3">
      <c r="A44" s="1" t="s">
        <v>182</v>
      </c>
      <c r="B44" s="1">
        <v>2013</v>
      </c>
      <c r="C44" s="1">
        <v>2014</v>
      </c>
      <c r="D44" s="1">
        <v>2015</v>
      </c>
      <c r="E44" s="1">
        <v>2016</v>
      </c>
      <c r="F44" s="21">
        <v>2017</v>
      </c>
      <c r="G44" s="28">
        <v>2018</v>
      </c>
      <c r="H44" s="1">
        <v>2019</v>
      </c>
      <c r="I44" s="28">
        <v>2020</v>
      </c>
      <c r="J44" s="1">
        <v>2021</v>
      </c>
      <c r="K44" s="28">
        <v>2022</v>
      </c>
    </row>
    <row r="45" spans="1:13" s="95" customFormat="1" x14ac:dyDescent="0.3">
      <c r="A45" s="95" t="s">
        <v>17</v>
      </c>
      <c r="B45" s="95">
        <f>32183717+508647-1440000</f>
        <v>31252364</v>
      </c>
      <c r="C45" s="95">
        <f>35247361+522307-750000</f>
        <v>35019668</v>
      </c>
      <c r="D45" s="95">
        <f>39567100+1859207</f>
        <v>41426307</v>
      </c>
      <c r="E45" s="95">
        <f>46257106-2200931</f>
        <v>44056175</v>
      </c>
      <c r="F45" s="96">
        <f>52269549-2202223</f>
        <v>50067326</v>
      </c>
      <c r="G45" s="101">
        <f>G50*G6</f>
        <v>53985955.854600012</v>
      </c>
      <c r="H45" s="95">
        <f t="shared" ref="H45:K45" si="37">H50*H6</f>
        <v>54809747.189820014</v>
      </c>
      <c r="I45" s="95">
        <f t="shared" si="37"/>
        <v>60172393.284927025</v>
      </c>
      <c r="J45" s="95">
        <f t="shared" si="37"/>
        <v>64334762.792844415</v>
      </c>
      <c r="K45" s="95">
        <f t="shared" si="37"/>
        <v>64200279.047533669</v>
      </c>
      <c r="M45" s="95" t="s">
        <v>224</v>
      </c>
    </row>
    <row r="46" spans="1:13" s="95" customFormat="1" x14ac:dyDescent="0.3">
      <c r="A46" s="95" t="s">
        <v>13</v>
      </c>
      <c r="B46" s="95">
        <f>20629665+857946-6213909</f>
        <v>15273702</v>
      </c>
      <c r="C46" s="95">
        <f>21812316+549628-7328284</f>
        <v>15033660</v>
      </c>
      <c r="D46" s="95">
        <f>26043988+676335-6248985</f>
        <v>20471338</v>
      </c>
      <c r="E46" s="95">
        <f>33763356-9191013</f>
        <v>24572343</v>
      </c>
      <c r="F46" s="96">
        <f>41434412-14004986</f>
        <v>27429426</v>
      </c>
      <c r="G46" s="101">
        <f>G51*G6</f>
        <v>42534389.461200006</v>
      </c>
      <c r="H46" s="95">
        <f t="shared" ref="H46:K46" si="38">H51*H6</f>
        <v>45674789.324850008</v>
      </c>
      <c r="I46" s="95">
        <f t="shared" si="38"/>
        <v>48137914.627941616</v>
      </c>
      <c r="J46" s="95">
        <f t="shared" si="38"/>
        <v>51467810.234275527</v>
      </c>
      <c r="K46" s="95">
        <f t="shared" si="38"/>
        <v>52735943.503331222</v>
      </c>
      <c r="M46" s="95" t="s">
        <v>225</v>
      </c>
    </row>
    <row r="47" spans="1:13" s="97" customFormat="1" x14ac:dyDescent="0.3">
      <c r="A47" s="97" t="s">
        <v>80</v>
      </c>
      <c r="B47" s="97">
        <f>B45-B46</f>
        <v>15978662</v>
      </c>
      <c r="C47" s="97">
        <f t="shared" ref="C47:F47" si="39">C45-C46</f>
        <v>19986008</v>
      </c>
      <c r="D47" s="97">
        <f t="shared" si="39"/>
        <v>20954969</v>
      </c>
      <c r="E47" s="97">
        <f t="shared" si="39"/>
        <v>19483832</v>
      </c>
      <c r="F47" s="98">
        <f t="shared" si="39"/>
        <v>22637900</v>
      </c>
      <c r="G47" s="112">
        <f>G45-G46</f>
        <v>11451566.393400006</v>
      </c>
      <c r="H47" s="97">
        <f t="shared" ref="H47:K47" si="40">H45-H46</f>
        <v>9134957.864970006</v>
      </c>
      <c r="I47" s="97">
        <f t="shared" si="40"/>
        <v>12034478.65698541</v>
      </c>
      <c r="J47" s="97">
        <f t="shared" si="40"/>
        <v>12866952.558568887</v>
      </c>
      <c r="K47" s="97">
        <f t="shared" si="40"/>
        <v>11464335.544202447</v>
      </c>
    </row>
    <row r="48" spans="1:13" x14ac:dyDescent="0.3">
      <c r="F48" s="22"/>
    </row>
    <row r="49" spans="1:13" s="1" customFormat="1" x14ac:dyDescent="0.3">
      <c r="A49" s="1" t="s">
        <v>31</v>
      </c>
      <c r="B49" s="1">
        <v>2013</v>
      </c>
      <c r="C49" s="1">
        <v>2014</v>
      </c>
      <c r="D49" s="1">
        <v>2015</v>
      </c>
      <c r="E49" s="1">
        <v>2016</v>
      </c>
      <c r="F49" s="21">
        <v>2017</v>
      </c>
      <c r="G49" s="1">
        <v>2018</v>
      </c>
      <c r="H49" s="1">
        <v>2019</v>
      </c>
      <c r="I49" s="1">
        <v>2020</v>
      </c>
      <c r="J49" s="1">
        <v>2021</v>
      </c>
      <c r="K49" s="1">
        <v>2022</v>
      </c>
    </row>
    <row r="50" spans="1:13" x14ac:dyDescent="0.3">
      <c r="A50" t="s">
        <v>17</v>
      </c>
      <c r="B50" s="3">
        <f>B45/B6</f>
        <v>0.35973973158884848</v>
      </c>
      <c r="C50" s="3">
        <f>C45/C6</f>
        <v>0.36470312233509439</v>
      </c>
      <c r="D50" s="3">
        <f>D45/D6</f>
        <v>0.37007282892826415</v>
      </c>
      <c r="E50" s="3">
        <f>E45/E6</f>
        <v>0.34521103436328848</v>
      </c>
      <c r="F50" s="24">
        <f>F45/F6</f>
        <v>0.34172594373406728</v>
      </c>
      <c r="G50" s="61">
        <f>AKTIVA!G36</f>
        <v>0.33000000000000007</v>
      </c>
      <c r="H50" s="59">
        <f>AKTIVA!H36</f>
        <v>0.30000000000000004</v>
      </c>
      <c r="I50" s="59">
        <f>AKTIVA!I36</f>
        <v>0.30000000000000004</v>
      </c>
      <c r="J50" s="59">
        <f>AKTIVA!J36</f>
        <v>0.30000000000000004</v>
      </c>
      <c r="K50" s="59">
        <f>AKTIVA!K36</f>
        <v>0.28000000000000003</v>
      </c>
      <c r="M50" t="s">
        <v>155</v>
      </c>
    </row>
    <row r="51" spans="1:13" x14ac:dyDescent="0.3">
      <c r="A51" t="s">
        <v>13</v>
      </c>
      <c r="B51" s="3">
        <f>B46/B6</f>
        <v>0.17581253878420391</v>
      </c>
      <c r="C51" s="3">
        <f>C46/C6</f>
        <v>0.15656409826969847</v>
      </c>
      <c r="D51" s="3">
        <f>D46/D6</f>
        <v>0.18287620872424551</v>
      </c>
      <c r="E51" s="3">
        <f>E46/E6</f>
        <v>0.19254154369414755</v>
      </c>
      <c r="F51" s="24">
        <f>F46/F6</f>
        <v>0.18721484119071513</v>
      </c>
      <c r="G51" s="61">
        <f>PASIVA!G23</f>
        <v>0.26</v>
      </c>
      <c r="H51" s="59">
        <f>PASIVA!H23</f>
        <v>0.25</v>
      </c>
      <c r="I51" s="59">
        <f>PASIVA!I23</f>
        <v>0.24000000000000002</v>
      </c>
      <c r="J51" s="59">
        <f>PASIVA!J23</f>
        <v>0.24000000000000002</v>
      </c>
      <c r="K51" s="59">
        <f>PASIVA!K23</f>
        <v>0.23</v>
      </c>
    </row>
    <row r="52" spans="1:13" x14ac:dyDescent="0.3">
      <c r="A52" s="1" t="s">
        <v>80</v>
      </c>
      <c r="B52" s="3">
        <f t="shared" ref="B52:G52" si="41">B47/B6</f>
        <v>0.18392719280464456</v>
      </c>
      <c r="C52" s="3">
        <f t="shared" si="41"/>
        <v>0.20813902406539592</v>
      </c>
      <c r="D52" s="3">
        <f t="shared" si="41"/>
        <v>0.18719662020401862</v>
      </c>
      <c r="E52" s="3">
        <f t="shared" si="41"/>
        <v>0.15266949066914093</v>
      </c>
      <c r="F52" s="24">
        <f t="shared" si="41"/>
        <v>0.15451110254335215</v>
      </c>
      <c r="G52" s="62">
        <f t="shared" si="41"/>
        <v>7.0000000000000034E-2</v>
      </c>
      <c r="H52" s="3">
        <f t="shared" ref="H52:K52" si="42">H47/H6</f>
        <v>5.0000000000000024E-2</v>
      </c>
      <c r="I52" s="3">
        <f t="shared" si="42"/>
        <v>6.0000000000000032E-2</v>
      </c>
      <c r="J52" s="3">
        <f t="shared" si="42"/>
        <v>6.0000000000000032E-2</v>
      </c>
      <c r="K52" s="3">
        <f t="shared" si="42"/>
        <v>5.0000000000000031E-2</v>
      </c>
    </row>
    <row r="53" spans="1:13" s="95" customFormat="1" x14ac:dyDescent="0.3">
      <c r="A53" s="95" t="s">
        <v>226</v>
      </c>
      <c r="C53" s="95">
        <f>C47-B47</f>
        <v>4007346</v>
      </c>
      <c r="D53" s="95">
        <f t="shared" ref="D53:K53" si="43">D47-C47</f>
        <v>968961</v>
      </c>
      <c r="E53" s="95">
        <f t="shared" si="43"/>
        <v>-1471137</v>
      </c>
      <c r="F53" s="96">
        <f t="shared" si="43"/>
        <v>3154068</v>
      </c>
      <c r="G53" s="95">
        <f t="shared" si="43"/>
        <v>-11186333.606599994</v>
      </c>
      <c r="H53" s="95">
        <f t="shared" si="43"/>
        <v>-2316608.5284299999</v>
      </c>
      <c r="I53" s="95">
        <f t="shared" si="43"/>
        <v>2899520.7920154035</v>
      </c>
      <c r="J53" s="95">
        <f t="shared" si="43"/>
        <v>832473.90158347785</v>
      </c>
      <c r="K53" s="95">
        <f t="shared" si="43"/>
        <v>-1402617.0143664405</v>
      </c>
    </row>
    <row r="54" spans="1:13" x14ac:dyDescent="0.3">
      <c r="F54" s="22"/>
    </row>
    <row r="55" spans="1:13" s="1" customFormat="1" x14ac:dyDescent="0.3">
      <c r="A55" s="1" t="s">
        <v>49</v>
      </c>
      <c r="B55" s="1">
        <v>2013</v>
      </c>
      <c r="C55" s="1">
        <v>2014</v>
      </c>
      <c r="D55" s="1">
        <v>2015</v>
      </c>
      <c r="E55" s="1">
        <v>2016</v>
      </c>
      <c r="F55" s="21">
        <v>2017</v>
      </c>
      <c r="G55" s="1">
        <v>2018</v>
      </c>
      <c r="H55" s="1">
        <v>2019</v>
      </c>
      <c r="I55" s="1">
        <v>2020</v>
      </c>
      <c r="J55" s="1">
        <v>2021</v>
      </c>
      <c r="K55" s="1">
        <v>2022</v>
      </c>
    </row>
    <row r="56" spans="1:13" s="95" customFormat="1" x14ac:dyDescent="0.3">
      <c r="A56" s="95" t="s">
        <v>50</v>
      </c>
      <c r="B56" s="95">
        <v>3011623</v>
      </c>
      <c r="C56" s="95">
        <v>6487750</v>
      </c>
      <c r="D56" s="95">
        <v>8547168</v>
      </c>
      <c r="E56" s="95">
        <v>10861125</v>
      </c>
      <c r="F56" s="96">
        <v>11548315</v>
      </c>
    </row>
    <row r="57" spans="1:13" s="95" customFormat="1" x14ac:dyDescent="0.3">
      <c r="A57" s="95" t="s">
        <v>51</v>
      </c>
      <c r="B57" s="95">
        <v>126431</v>
      </c>
      <c r="C57" s="95">
        <v>211016</v>
      </c>
      <c r="D57" s="95">
        <v>156609</v>
      </c>
      <c r="E57" s="95">
        <v>643538</v>
      </c>
      <c r="F57" s="96">
        <v>703558</v>
      </c>
      <c r="M57" s="95" t="s">
        <v>52</v>
      </c>
    </row>
    <row r="58" spans="1:13" s="103" customFormat="1" x14ac:dyDescent="0.3">
      <c r="A58" s="103" t="s">
        <v>53</v>
      </c>
      <c r="B58" s="103">
        <f>B56-B57</f>
        <v>2885192</v>
      </c>
      <c r="C58" s="103">
        <f t="shared" ref="C58:F58" si="44">C56-C57</f>
        <v>6276734</v>
      </c>
      <c r="D58" s="103">
        <f t="shared" si="44"/>
        <v>8390559</v>
      </c>
      <c r="E58" s="103">
        <f t="shared" si="44"/>
        <v>10217587</v>
      </c>
      <c r="F58" s="104">
        <f t="shared" si="44"/>
        <v>10844757</v>
      </c>
      <c r="G58" s="105">
        <f>G6-G24</f>
        <v>17673967.253186107</v>
      </c>
      <c r="H58" s="103">
        <f t="shared" ref="H58:K58" si="45">H6-H24</f>
        <v>21787376.359058827</v>
      </c>
      <c r="I58" s="103">
        <f t="shared" si="45"/>
        <v>21845514.780021846</v>
      </c>
      <c r="J58" s="103">
        <f t="shared" si="45"/>
        <v>24306784.152673274</v>
      </c>
      <c r="K58" s="103">
        <f t="shared" si="45"/>
        <v>26930213.614293993</v>
      </c>
    </row>
    <row r="59" spans="1:13" s="84" customFormat="1" x14ac:dyDescent="0.3">
      <c r="A59" s="84" t="s">
        <v>105</v>
      </c>
      <c r="C59" s="84">
        <f>C58/B58</f>
        <v>2.1754995854695287</v>
      </c>
      <c r="D59" s="84">
        <f t="shared" ref="D59:F59" si="46">D58/C58</f>
        <v>1.3367714801997344</v>
      </c>
      <c r="E59" s="84">
        <f t="shared" si="46"/>
        <v>1.2177480666067659</v>
      </c>
      <c r="F59" s="89">
        <f t="shared" si="46"/>
        <v>1.0613814200945879</v>
      </c>
      <c r="G59" s="93">
        <f>G58/F58</f>
        <v>1.62972459901002</v>
      </c>
      <c r="H59" s="90">
        <f t="shared" ref="H59:K59" si="47">H58/G58</f>
        <v>1.2327383007417982</v>
      </c>
      <c r="I59" s="90">
        <f t="shared" si="47"/>
        <v>1.0026684452503547</v>
      </c>
      <c r="J59" s="90">
        <f t="shared" si="47"/>
        <v>1.1126670347408021</v>
      </c>
      <c r="K59" s="90">
        <f t="shared" si="47"/>
        <v>1.1079299279222912</v>
      </c>
      <c r="L59" s="84" t="s">
        <v>161</v>
      </c>
    </row>
    <row r="60" spans="1:13" ht="15" thickBot="1" x14ac:dyDescent="0.35">
      <c r="F60" s="22"/>
    </row>
    <row r="61" spans="1:13" s="1" customFormat="1" ht="15" thickBot="1" x14ac:dyDescent="0.35">
      <c r="A61" s="53" t="s">
        <v>54</v>
      </c>
      <c r="B61" s="53">
        <v>2013</v>
      </c>
      <c r="C61" s="53">
        <v>2014</v>
      </c>
      <c r="D61" s="53">
        <v>2015</v>
      </c>
      <c r="E61" s="53">
        <v>2016</v>
      </c>
      <c r="F61" s="53">
        <v>2017</v>
      </c>
      <c r="G61" s="82">
        <v>2018</v>
      </c>
      <c r="H61" s="53">
        <v>2019</v>
      </c>
      <c r="I61" s="53">
        <v>2020</v>
      </c>
      <c r="J61" s="53">
        <v>2021</v>
      </c>
      <c r="K61" s="53">
        <v>2022</v>
      </c>
    </row>
    <row r="62" spans="1:13" s="95" customFormat="1" ht="15" thickBot="1" x14ac:dyDescent="0.35">
      <c r="A62" s="106" t="s">
        <v>55</v>
      </c>
      <c r="B62" s="106">
        <f>B58</f>
        <v>2885192</v>
      </c>
      <c r="C62" s="106">
        <f t="shared" ref="C62:F62" si="48">C58</f>
        <v>6276734</v>
      </c>
      <c r="D62" s="106">
        <f t="shared" si="48"/>
        <v>8390559</v>
      </c>
      <c r="E62" s="106">
        <f t="shared" si="48"/>
        <v>10217587</v>
      </c>
      <c r="F62" s="106">
        <f t="shared" si="48"/>
        <v>10844757</v>
      </c>
      <c r="G62" s="107">
        <f>G6-G24</f>
        <v>17673967.253186107</v>
      </c>
      <c r="H62" s="106">
        <f t="shared" ref="H62:K62" si="49">H6-H24</f>
        <v>21787376.359058827</v>
      </c>
      <c r="I62" s="106">
        <f t="shared" si="49"/>
        <v>21845514.780021846</v>
      </c>
      <c r="J62" s="106">
        <f t="shared" si="49"/>
        <v>24306784.152673274</v>
      </c>
      <c r="K62" s="106">
        <f t="shared" si="49"/>
        <v>26930213.614293993</v>
      </c>
    </row>
    <row r="63" spans="1:13" s="95" customFormat="1" ht="15" thickBot="1" x14ac:dyDescent="0.35">
      <c r="A63" s="108" t="s">
        <v>47</v>
      </c>
      <c r="B63" s="106">
        <f>B22</f>
        <v>5566172</v>
      </c>
      <c r="C63" s="106">
        <f t="shared" ref="C63:F63" si="50">C22</f>
        <v>5240166</v>
      </c>
      <c r="D63" s="106">
        <f t="shared" si="50"/>
        <v>5430337</v>
      </c>
      <c r="E63" s="106">
        <f t="shared" si="50"/>
        <v>6219574</v>
      </c>
      <c r="F63" s="106">
        <f t="shared" si="50"/>
        <v>7405570</v>
      </c>
      <c r="G63" s="107">
        <f>'STARE AMORT. IN INVEST.'!G120</f>
        <v>5250713.1428138912</v>
      </c>
      <c r="H63" s="106">
        <f>'STARE AMORT. IN INVEST.'!H120</f>
        <v>6195194.7063888703</v>
      </c>
      <c r="I63" s="106">
        <f>'STARE AMORT. IN INVEST.'!I120</f>
        <v>7034058.0411740383</v>
      </c>
      <c r="J63" s="106">
        <f>'STARE AMORT. IN INVEST.'!J120</f>
        <v>7701782.2055994458</v>
      </c>
      <c r="K63" s="106">
        <f>'STARE AMORT. IN INVEST.'!K120</f>
        <v>8470575.0211308487</v>
      </c>
    </row>
    <row r="64" spans="1:13" s="95" customFormat="1" ht="15" thickBot="1" x14ac:dyDescent="0.35">
      <c r="A64" s="106" t="s">
        <v>57</v>
      </c>
      <c r="B64" s="106">
        <f>-NALOŽBE!B28</f>
        <v>-2779620</v>
      </c>
      <c r="C64" s="106">
        <f>-NALOŽBE!C28</f>
        <v>704149</v>
      </c>
      <c r="D64" s="106">
        <f>-NALOŽBE!D28</f>
        <v>5671900</v>
      </c>
      <c r="E64" s="106">
        <f>-NALOŽBE!E28</f>
        <v>18162580</v>
      </c>
      <c r="F64" s="106">
        <f>-NALOŽBE!F28</f>
        <v>9211658</v>
      </c>
      <c r="G64" s="107">
        <f>-NALOŽBE!G28</f>
        <v>12744605.475386109</v>
      </c>
      <c r="H64" s="106">
        <f>-NALOŽBE!H28</f>
        <v>12074721.023551134</v>
      </c>
      <c r="I64" s="106">
        <f>-NALOŽBE!I28</f>
        <v>9011913.501473166</v>
      </c>
      <c r="J64" s="106">
        <f>-NALOŽBE!J28</f>
        <v>7309662.4460642505</v>
      </c>
      <c r="K64" s="106">
        <f>-NALOŽBE!K28</f>
        <v>7579494.7407525685</v>
      </c>
    </row>
    <row r="65" spans="1:12" s="95" customFormat="1" ht="15" thickBot="1" x14ac:dyDescent="0.35">
      <c r="A65" s="106" t="s">
        <v>56</v>
      </c>
      <c r="B65" s="106">
        <f>NALOŽBE!B48</f>
        <v>1265432.1792551689</v>
      </c>
      <c r="C65" s="106">
        <f>NALOŽBE!C48</f>
        <v>-4086343.6172028296</v>
      </c>
      <c r="D65" s="106">
        <f>NALOŽBE!D48</f>
        <v>-2520137.7554134876</v>
      </c>
      <c r="E65" s="106">
        <f>NALOŽBE!E48</f>
        <v>-24659.412151221186</v>
      </c>
      <c r="F65" s="106">
        <f>NALOŽBE!F48</f>
        <v>-2439167.5599999987</v>
      </c>
      <c r="G65" s="107">
        <f>NALOŽBE!G48</f>
        <v>-3271876.1124000065</v>
      </c>
      <c r="H65" s="106">
        <f>NALOŽBE!H48</f>
        <v>1826991.5729939975</v>
      </c>
      <c r="I65" s="106">
        <f>NALOŽBE!I48</f>
        <v>0</v>
      </c>
      <c r="J65" s="106">
        <f>NALOŽBE!J48</f>
        <v>-2144492.0930948108</v>
      </c>
      <c r="K65" s="106">
        <f>NALOŽBE!K48</f>
        <v>0</v>
      </c>
    </row>
    <row r="66" spans="1:12" s="103" customFormat="1" ht="15" thickBot="1" x14ac:dyDescent="0.35">
      <c r="A66" s="109" t="s">
        <v>58</v>
      </c>
      <c r="B66" s="109">
        <f>B62+B63-B64-B65</f>
        <v>9965551.8207448311</v>
      </c>
      <c r="C66" s="109">
        <f>C62+C63-C64-C65</f>
        <v>14899094.61720283</v>
      </c>
      <c r="D66" s="109">
        <f>D62+D63-D64-D65</f>
        <v>10669133.755413488</v>
      </c>
      <c r="E66" s="109">
        <f>E62+E63-E64-E65</f>
        <v>-1700759.5878487788</v>
      </c>
      <c r="F66" s="109">
        <f t="shared" ref="F66:K66" si="51">F62+F63-F64-F65</f>
        <v>11477836.559999999</v>
      </c>
      <c r="G66" s="110">
        <f t="shared" si="51"/>
        <v>13451951.033013895</v>
      </c>
      <c r="H66" s="109">
        <f t="shared" si="51"/>
        <v>14080858.468902564</v>
      </c>
      <c r="I66" s="109">
        <f t="shared" si="51"/>
        <v>19867659.319722719</v>
      </c>
      <c r="J66" s="109">
        <f t="shared" si="51"/>
        <v>26843396.005303279</v>
      </c>
      <c r="K66" s="109">
        <f t="shared" si="51"/>
        <v>27821293.894672267</v>
      </c>
    </row>
    <row r="67" spans="1:12" x14ac:dyDescent="0.3">
      <c r="F67" s="69"/>
    </row>
    <row r="68" spans="1:12" x14ac:dyDescent="0.3">
      <c r="F68" s="22"/>
    </row>
    <row r="69" spans="1:12" s="1" customFormat="1" x14ac:dyDescent="0.3">
      <c r="A69" s="1" t="s">
        <v>261</v>
      </c>
      <c r="B69" s="1">
        <v>2013</v>
      </c>
      <c r="C69" s="1">
        <v>2014</v>
      </c>
      <c r="D69" s="1">
        <v>2015</v>
      </c>
      <c r="E69" s="1">
        <v>2016</v>
      </c>
      <c r="F69" s="21">
        <v>2017</v>
      </c>
      <c r="G69" s="1">
        <v>2018</v>
      </c>
      <c r="H69" s="1">
        <v>2019</v>
      </c>
      <c r="I69" s="1">
        <v>2020</v>
      </c>
      <c r="J69" s="1">
        <v>2021</v>
      </c>
      <c r="K69" s="1">
        <v>2022</v>
      </c>
    </row>
    <row r="70" spans="1:12" s="97" customFormat="1" x14ac:dyDescent="0.3">
      <c r="A70" s="97" t="s">
        <v>262</v>
      </c>
      <c r="B70" s="97">
        <v>22166278</v>
      </c>
      <c r="C70" s="97">
        <v>24145924</v>
      </c>
      <c r="D70" s="97">
        <v>26083022</v>
      </c>
      <c r="E70" s="97">
        <v>30776943</v>
      </c>
      <c r="F70" s="98">
        <v>34236712</v>
      </c>
      <c r="G70" s="112">
        <f>G71*G72</f>
        <v>35969089.6272</v>
      </c>
      <c r="H70" s="97">
        <f t="shared" ref="H70:K70" si="52">H71*H72</f>
        <v>37789125.562336326</v>
      </c>
      <c r="I70" s="97">
        <f t="shared" si="52"/>
        <v>39315806.235054716</v>
      </c>
      <c r="J70" s="97">
        <f t="shared" si="52"/>
        <v>40904164.806950927</v>
      </c>
      <c r="K70" s="97">
        <f t="shared" si="52"/>
        <v>42556693.065151744</v>
      </c>
    </row>
    <row r="71" spans="1:12" x14ac:dyDescent="0.3">
      <c r="A71" t="s">
        <v>220</v>
      </c>
      <c r="B71">
        <v>1014</v>
      </c>
      <c r="C71">
        <v>1068</v>
      </c>
      <c r="D71">
        <v>1086</v>
      </c>
      <c r="E71">
        <v>1225</v>
      </c>
      <c r="F71" s="22">
        <v>1265</v>
      </c>
      <c r="G71" s="60">
        <f>G73*F71</f>
        <v>1302.95</v>
      </c>
      <c r="H71">
        <f t="shared" ref="H71:K71" si="53">H73*G71</f>
        <v>1342.0385000000001</v>
      </c>
      <c r="I71">
        <f t="shared" si="53"/>
        <v>1368.8792700000001</v>
      </c>
      <c r="J71">
        <f t="shared" si="53"/>
        <v>1396.2568554000002</v>
      </c>
      <c r="K71">
        <f t="shared" si="53"/>
        <v>1424.1819925080001</v>
      </c>
    </row>
    <row r="72" spans="1:12" s="95" customFormat="1" x14ac:dyDescent="0.3">
      <c r="A72" s="95" t="s">
        <v>219</v>
      </c>
      <c r="B72" s="95">
        <f>B70/B71</f>
        <v>21860.234714003946</v>
      </c>
      <c r="C72" s="95">
        <f t="shared" ref="C72:F72" si="54">C70/C71</f>
        <v>22608.54307116105</v>
      </c>
      <c r="D72" s="95">
        <f t="shared" si="54"/>
        <v>24017.515653775321</v>
      </c>
      <c r="E72" s="95">
        <f t="shared" si="54"/>
        <v>25124.035102040816</v>
      </c>
      <c r="F72" s="96">
        <f t="shared" si="54"/>
        <v>27064.594466403163</v>
      </c>
      <c r="G72" s="101">
        <f>F72*1.02</f>
        <v>27605.886355731225</v>
      </c>
      <c r="H72" s="95">
        <f>G72*1.02</f>
        <v>28158.004082845851</v>
      </c>
      <c r="I72" s="95">
        <f>H72*1.02</f>
        <v>28721.16416450277</v>
      </c>
      <c r="J72" s="95">
        <f t="shared" ref="J72:K72" si="55">I72*1.02</f>
        <v>29295.587447792826</v>
      </c>
      <c r="K72" s="95">
        <f t="shared" si="55"/>
        <v>29881.499196748682</v>
      </c>
      <c r="L72" s="95" t="s">
        <v>223</v>
      </c>
    </row>
    <row r="73" spans="1:12" s="84" customFormat="1" x14ac:dyDescent="0.3">
      <c r="A73" s="84" t="s">
        <v>221</v>
      </c>
      <c r="C73" s="84">
        <f>C71/B71</f>
        <v>1.0532544378698225</v>
      </c>
      <c r="D73" s="84">
        <f t="shared" ref="D73:F73" si="56">D71/C71</f>
        <v>1.0168539325842696</v>
      </c>
      <c r="E73" s="84">
        <f t="shared" si="56"/>
        <v>1.1279926335174955</v>
      </c>
      <c r="F73" s="89">
        <f t="shared" si="56"/>
        <v>1.0326530612244897</v>
      </c>
      <c r="G73" s="84">
        <v>1.03</v>
      </c>
      <c r="H73" s="84">
        <v>1.03</v>
      </c>
      <c r="I73" s="84">
        <v>1.02</v>
      </c>
      <c r="J73" s="84">
        <v>1.02</v>
      </c>
      <c r="K73" s="84">
        <v>1.02</v>
      </c>
      <c r="L73" s="84" t="s">
        <v>222</v>
      </c>
    </row>
    <row r="74" spans="1:12" x14ac:dyDescent="0.3">
      <c r="F74" s="22"/>
    </row>
    <row r="75" spans="1:12" x14ac:dyDescent="0.3">
      <c r="F75" s="22"/>
    </row>
    <row r="76" spans="1:12" x14ac:dyDescent="0.3">
      <c r="F76" s="22"/>
    </row>
    <row r="77" spans="1:12" x14ac:dyDescent="0.3">
      <c r="F77" s="22"/>
    </row>
    <row r="78" spans="1:12" x14ac:dyDescent="0.3">
      <c r="F78" s="22"/>
    </row>
    <row r="79" spans="1:12" x14ac:dyDescent="0.3">
      <c r="F79" s="22"/>
    </row>
    <row r="80" spans="1:12" x14ac:dyDescent="0.3">
      <c r="F80" s="22"/>
    </row>
    <row r="81" spans="6:6" x14ac:dyDescent="0.3">
      <c r="F81" s="22"/>
    </row>
    <row r="82" spans="6:6" x14ac:dyDescent="0.3">
      <c r="F82" s="22"/>
    </row>
    <row r="83" spans="6:6" x14ac:dyDescent="0.3">
      <c r="F83" s="22"/>
    </row>
    <row r="84" spans="6:6" x14ac:dyDescent="0.3">
      <c r="F84" s="22"/>
    </row>
    <row r="85" spans="6:6" x14ac:dyDescent="0.3">
      <c r="F85" s="22"/>
    </row>
    <row r="86" spans="6:6" x14ac:dyDescent="0.3">
      <c r="F86" s="22"/>
    </row>
    <row r="87" spans="6:6" x14ac:dyDescent="0.3">
      <c r="F87" s="22"/>
    </row>
    <row r="88" spans="6:6" x14ac:dyDescent="0.3">
      <c r="F88" s="22"/>
    </row>
    <row r="89" spans="6:6" x14ac:dyDescent="0.3">
      <c r="F89" s="22"/>
    </row>
    <row r="90" spans="6:6" x14ac:dyDescent="0.3">
      <c r="F90" s="22"/>
    </row>
    <row r="91" spans="6:6" x14ac:dyDescent="0.3">
      <c r="F91" s="22"/>
    </row>
    <row r="92" spans="6:6" x14ac:dyDescent="0.3">
      <c r="F92" s="22"/>
    </row>
    <row r="93" spans="6:6" x14ac:dyDescent="0.3">
      <c r="F93" s="22"/>
    </row>
    <row r="94" spans="6:6" x14ac:dyDescent="0.3">
      <c r="F94" s="22"/>
    </row>
    <row r="95" spans="6:6" x14ac:dyDescent="0.3">
      <c r="F95" s="22"/>
    </row>
    <row r="96" spans="6:6" x14ac:dyDescent="0.3">
      <c r="F96" s="22"/>
    </row>
    <row r="97" spans="6:6" x14ac:dyDescent="0.3">
      <c r="F97" s="22"/>
    </row>
    <row r="98" spans="6:6" x14ac:dyDescent="0.3">
      <c r="F98" s="22"/>
    </row>
    <row r="99" spans="6:6" x14ac:dyDescent="0.3">
      <c r="F99" s="22"/>
    </row>
    <row r="100" spans="6:6" x14ac:dyDescent="0.3">
      <c r="F100" s="22"/>
    </row>
    <row r="101" spans="6:6" x14ac:dyDescent="0.3">
      <c r="F101" s="22"/>
    </row>
    <row r="102" spans="6:6" x14ac:dyDescent="0.3">
      <c r="F102" s="22"/>
    </row>
    <row r="103" spans="6:6" x14ac:dyDescent="0.3">
      <c r="F103" s="22"/>
    </row>
    <row r="104" spans="6:6" x14ac:dyDescent="0.3">
      <c r="F104" s="22"/>
    </row>
    <row r="105" spans="6:6" x14ac:dyDescent="0.3">
      <c r="F105" s="22"/>
    </row>
    <row r="106" spans="6:6" x14ac:dyDescent="0.3">
      <c r="F106" s="22"/>
    </row>
    <row r="107" spans="6:6" x14ac:dyDescent="0.3">
      <c r="F107" s="22"/>
    </row>
    <row r="108" spans="6:6" x14ac:dyDescent="0.3">
      <c r="F108" s="22"/>
    </row>
    <row r="109" spans="6:6" x14ac:dyDescent="0.3">
      <c r="F109" s="22"/>
    </row>
    <row r="110" spans="6:6" x14ac:dyDescent="0.3">
      <c r="F110" s="22"/>
    </row>
    <row r="111" spans="6:6" x14ac:dyDescent="0.3">
      <c r="F111" s="22"/>
    </row>
    <row r="112" spans="6:6" x14ac:dyDescent="0.3">
      <c r="F112" s="22"/>
    </row>
    <row r="113" spans="6:6" x14ac:dyDescent="0.3">
      <c r="F113" s="22"/>
    </row>
    <row r="114" spans="6:6" x14ac:dyDescent="0.3">
      <c r="F114" s="22"/>
    </row>
    <row r="115" spans="6:6" x14ac:dyDescent="0.3">
      <c r="F115" s="22"/>
    </row>
    <row r="116" spans="6:6" x14ac:dyDescent="0.3">
      <c r="F116" s="22"/>
    </row>
    <row r="117" spans="6:6" x14ac:dyDescent="0.3">
      <c r="F117" s="22"/>
    </row>
    <row r="118" spans="6:6" x14ac:dyDescent="0.3">
      <c r="F118" s="22"/>
    </row>
    <row r="119" spans="6:6" x14ac:dyDescent="0.3">
      <c r="F119" s="22"/>
    </row>
    <row r="120" spans="6:6" x14ac:dyDescent="0.3">
      <c r="F120" s="22"/>
    </row>
    <row r="121" spans="6:6" x14ac:dyDescent="0.3">
      <c r="F121" s="22"/>
    </row>
    <row r="122" spans="6:6" x14ac:dyDescent="0.3">
      <c r="F122" s="22"/>
    </row>
    <row r="123" spans="6:6" x14ac:dyDescent="0.3">
      <c r="F123" s="22"/>
    </row>
    <row r="124" spans="6:6" x14ac:dyDescent="0.3">
      <c r="F124" s="22"/>
    </row>
    <row r="125" spans="6:6" x14ac:dyDescent="0.3">
      <c r="F125" s="22"/>
    </row>
    <row r="126" spans="6:6" x14ac:dyDescent="0.3">
      <c r="F126" s="22"/>
    </row>
    <row r="127" spans="6:6" x14ac:dyDescent="0.3">
      <c r="F127" s="22"/>
    </row>
    <row r="128" spans="6:6" x14ac:dyDescent="0.3">
      <c r="F128" s="22"/>
    </row>
    <row r="129" spans="6:6" x14ac:dyDescent="0.3">
      <c r="F129" s="22"/>
    </row>
    <row r="130" spans="6:6" x14ac:dyDescent="0.3">
      <c r="F130" s="22"/>
    </row>
    <row r="131" spans="6:6" x14ac:dyDescent="0.3">
      <c r="F131" s="22"/>
    </row>
    <row r="132" spans="6:6" x14ac:dyDescent="0.3">
      <c r="F132" s="22"/>
    </row>
    <row r="133" spans="6:6" x14ac:dyDescent="0.3">
      <c r="F133" s="22"/>
    </row>
    <row r="134" spans="6:6" x14ac:dyDescent="0.3">
      <c r="F134" s="22"/>
    </row>
    <row r="135" spans="6:6" x14ac:dyDescent="0.3">
      <c r="F135" s="22"/>
    </row>
    <row r="136" spans="6:6" x14ac:dyDescent="0.3">
      <c r="F136" s="22"/>
    </row>
    <row r="137" spans="6:6" x14ac:dyDescent="0.3">
      <c r="F137" s="22"/>
    </row>
    <row r="138" spans="6:6" x14ac:dyDescent="0.3">
      <c r="F138" s="22"/>
    </row>
    <row r="139" spans="6:6" x14ac:dyDescent="0.3">
      <c r="F139" s="22"/>
    </row>
    <row r="140" spans="6:6" x14ac:dyDescent="0.3">
      <c r="F140" s="22"/>
    </row>
    <row r="141" spans="6:6" x14ac:dyDescent="0.3">
      <c r="F141" s="22"/>
    </row>
    <row r="142" spans="6:6" x14ac:dyDescent="0.3">
      <c r="F142" s="22"/>
    </row>
    <row r="143" spans="6:6" x14ac:dyDescent="0.3">
      <c r="F143" s="22"/>
    </row>
    <row r="144" spans="6:6" x14ac:dyDescent="0.3">
      <c r="F144" s="2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9A4B6-CF9E-42E8-BF6E-0A0861B52BD3}">
  <dimension ref="A1:F51"/>
  <sheetViews>
    <sheetView workbookViewId="0">
      <selection activeCell="B55" sqref="B55"/>
    </sheetView>
  </sheetViews>
  <sheetFormatPr defaultRowHeight="14.4" x14ac:dyDescent="0.3"/>
  <cols>
    <col min="1" max="1" width="20.6640625" customWidth="1"/>
    <col min="2" max="6" width="16.44140625" bestFit="1" customWidth="1"/>
  </cols>
  <sheetData>
    <row r="1" spans="1:6" s="1" customFormat="1" x14ac:dyDescent="0.3">
      <c r="A1" s="54" t="s">
        <v>129</v>
      </c>
    </row>
    <row r="2" spans="1:6" s="1" customFormat="1" x14ac:dyDescent="0.3"/>
    <row r="3" spans="1:6" s="95" customFormat="1" x14ac:dyDescent="0.3">
      <c r="A3" s="95" t="s">
        <v>200</v>
      </c>
      <c r="B3" s="95">
        <f>SUM(B7:F7)/5</f>
        <v>84567914.599999994</v>
      </c>
    </row>
    <row r="4" spans="1:6" s="1" customFormat="1" x14ac:dyDescent="0.3">
      <c r="A4" s="1" t="s">
        <v>132</v>
      </c>
      <c r="B4" s="1">
        <v>2013</v>
      </c>
      <c r="C4" s="1">
        <v>2014</v>
      </c>
      <c r="D4" s="1">
        <v>2015</v>
      </c>
      <c r="E4" s="1">
        <v>2016</v>
      </c>
      <c r="F4" s="1">
        <v>2017</v>
      </c>
    </row>
    <row r="5" spans="1:6" s="95" customFormat="1" x14ac:dyDescent="0.3">
      <c r="A5" s="95" t="s">
        <v>0</v>
      </c>
      <c r="B5" s="95">
        <v>122185320</v>
      </c>
      <c r="C5" s="95">
        <v>128922570</v>
      </c>
      <c r="D5" s="95">
        <v>127995087</v>
      </c>
      <c r="E5" s="95">
        <v>118838556</v>
      </c>
      <c r="F5" s="95">
        <v>122945814</v>
      </c>
    </row>
    <row r="6" spans="1:6" s="84" customFormat="1" x14ac:dyDescent="0.3">
      <c r="A6" s="84" t="s">
        <v>105</v>
      </c>
      <c r="C6" s="84">
        <f t="shared" ref="C6:E6" si="0">C5/B5</f>
        <v>1.0551396026953157</v>
      </c>
      <c r="D6" s="84">
        <f t="shared" si="0"/>
        <v>0.99280589116397544</v>
      </c>
      <c r="E6" s="84">
        <f t="shared" si="0"/>
        <v>0.92846185572732176</v>
      </c>
      <c r="F6" s="84">
        <f>F5/E5</f>
        <v>1.0345616619575888</v>
      </c>
    </row>
    <row r="7" spans="1:6" s="95" customFormat="1" x14ac:dyDescent="0.3">
      <c r="A7" s="111" t="s">
        <v>126</v>
      </c>
      <c r="B7" s="95">
        <v>75500194</v>
      </c>
      <c r="C7" s="95">
        <v>92459528</v>
      </c>
      <c r="D7" s="95">
        <v>90138355</v>
      </c>
      <c r="E7" s="95">
        <v>85824942</v>
      </c>
      <c r="F7" s="95">
        <v>78916554</v>
      </c>
    </row>
    <row r="8" spans="1:6" s="84" customFormat="1" x14ac:dyDescent="0.3">
      <c r="A8" s="84" t="s">
        <v>105</v>
      </c>
      <c r="C8" s="84">
        <f>C7/B7</f>
        <v>1.2246263632117289</v>
      </c>
      <c r="D8" s="84">
        <f t="shared" ref="D8:F8" si="1">D7/C7</f>
        <v>0.97489525362924201</v>
      </c>
      <c r="E8" s="84">
        <f t="shared" si="1"/>
        <v>0.95214675262267656</v>
      </c>
      <c r="F8" s="84">
        <f t="shared" si="1"/>
        <v>0.91950605687563414</v>
      </c>
    </row>
    <row r="9" spans="1:6" s="95" customFormat="1" x14ac:dyDescent="0.3">
      <c r="A9" s="95" t="s">
        <v>130</v>
      </c>
      <c r="B9" s="95">
        <v>106853026</v>
      </c>
      <c r="C9" s="95">
        <v>111638223</v>
      </c>
      <c r="D9" s="95">
        <v>109179226</v>
      </c>
      <c r="E9" s="95">
        <v>102826891</v>
      </c>
      <c r="F9" s="95">
        <v>110471179</v>
      </c>
    </row>
    <row r="10" spans="1:6" s="84" customFormat="1" x14ac:dyDescent="0.3">
      <c r="A10" s="84" t="s">
        <v>105</v>
      </c>
      <c r="C10" s="84">
        <f t="shared" ref="C10:E10" si="2">C9/B9</f>
        <v>1.0447829806897559</v>
      </c>
      <c r="D10" s="84">
        <f t="shared" si="2"/>
        <v>0.97797352077164468</v>
      </c>
      <c r="E10" s="84">
        <f t="shared" si="2"/>
        <v>0.94181736551237316</v>
      </c>
      <c r="F10" s="84">
        <f>F9/E9</f>
        <v>1.074341331588057</v>
      </c>
    </row>
    <row r="11" spans="1:6" s="3" customFormat="1" x14ac:dyDescent="0.3">
      <c r="A11" s="3" t="s">
        <v>131</v>
      </c>
      <c r="B11" s="3">
        <f>B9/B5</f>
        <v>0.87451607116141283</v>
      </c>
      <c r="C11" s="3">
        <f>C9/C5</f>
        <v>0.86593234218027149</v>
      </c>
      <c r="D11" s="3">
        <f>D9/D5</f>
        <v>0.85299544348917078</v>
      </c>
      <c r="E11" s="3">
        <f>E9/E5</f>
        <v>0.86526540258533602</v>
      </c>
      <c r="F11" s="3">
        <f>F9/F5</f>
        <v>0.89853550442961805</v>
      </c>
    </row>
    <row r="12" spans="1:6" s="95" customFormat="1" x14ac:dyDescent="0.3">
      <c r="A12" s="95" t="s">
        <v>55</v>
      </c>
      <c r="B12" s="95">
        <v>16291964</v>
      </c>
      <c r="C12" s="95">
        <v>16866641</v>
      </c>
      <c r="D12" s="95">
        <v>18373591</v>
      </c>
      <c r="E12" s="95">
        <v>17099318</v>
      </c>
      <c r="F12" s="95">
        <v>13357337</v>
      </c>
    </row>
    <row r="13" spans="1:6" s="84" customFormat="1" x14ac:dyDescent="0.3">
      <c r="A13" s="84" t="s">
        <v>105</v>
      </c>
      <c r="C13" s="84">
        <f>C12/B12</f>
        <v>1.0352736477934765</v>
      </c>
      <c r="D13" s="84">
        <f t="shared" ref="D13:F13" si="3">D12/C12</f>
        <v>1.0893449976198581</v>
      </c>
      <c r="E13" s="84">
        <f t="shared" si="3"/>
        <v>0.93064649147790435</v>
      </c>
      <c r="F13" s="84">
        <f t="shared" si="3"/>
        <v>0.78116197382842989</v>
      </c>
    </row>
    <row r="14" spans="1:6" s="95" customFormat="1" x14ac:dyDescent="0.3">
      <c r="A14" s="95" t="s">
        <v>246</v>
      </c>
      <c r="B14" s="95">
        <v>14238415</v>
      </c>
      <c r="C14" s="95">
        <v>15960623</v>
      </c>
      <c r="D14" s="95">
        <v>16271767</v>
      </c>
      <c r="E14" s="95">
        <v>16472358</v>
      </c>
      <c r="F14" s="95">
        <v>11560178</v>
      </c>
    </row>
    <row r="15" spans="1:6" s="1" customFormat="1" x14ac:dyDescent="0.3">
      <c r="A15" s="1" t="s">
        <v>133</v>
      </c>
      <c r="B15" s="1">
        <v>2013</v>
      </c>
      <c r="C15" s="1">
        <v>2014</v>
      </c>
      <c r="D15" s="1">
        <v>2015</v>
      </c>
      <c r="E15" s="1">
        <v>2016</v>
      </c>
      <c r="F15" s="1">
        <v>2017</v>
      </c>
    </row>
    <row r="16" spans="1:6" s="95" customFormat="1" x14ac:dyDescent="0.3">
      <c r="A16" s="95" t="s">
        <v>0</v>
      </c>
      <c r="B16" s="95">
        <v>31484000</v>
      </c>
      <c r="C16" s="95">
        <v>35158000</v>
      </c>
      <c r="D16" s="95">
        <v>33246000</v>
      </c>
      <c r="E16" s="95">
        <v>34144000</v>
      </c>
      <c r="F16" s="95">
        <v>40655000</v>
      </c>
    </row>
    <row r="17" spans="1:6" s="84" customFormat="1" x14ac:dyDescent="0.3">
      <c r="A17" s="84" t="s">
        <v>105</v>
      </c>
      <c r="C17" s="84">
        <f>C16/B16</f>
        <v>1.1166941938762547</v>
      </c>
      <c r="D17" s="84">
        <f t="shared" ref="D17:F17" si="4">D16/C16</f>
        <v>0.9456169292906309</v>
      </c>
      <c r="E17" s="84">
        <f t="shared" si="4"/>
        <v>1.0270107682127174</v>
      </c>
      <c r="F17" s="84">
        <f t="shared" si="4"/>
        <v>1.1906923617619494</v>
      </c>
    </row>
    <row r="18" spans="1:6" s="95" customFormat="1" x14ac:dyDescent="0.3">
      <c r="A18" s="111" t="s">
        <v>134</v>
      </c>
      <c r="B18" s="95">
        <v>9102000</v>
      </c>
      <c r="C18" s="95">
        <v>10518000</v>
      </c>
      <c r="D18" s="95">
        <v>11197000</v>
      </c>
      <c r="E18" s="95">
        <v>11421000</v>
      </c>
      <c r="F18" s="95">
        <v>11670000</v>
      </c>
    </row>
    <row r="19" spans="1:6" s="84" customFormat="1" x14ac:dyDescent="0.3">
      <c r="A19" s="84" t="s">
        <v>105</v>
      </c>
      <c r="C19" s="84">
        <f>C18/B18</f>
        <v>1.1555702043506921</v>
      </c>
      <c r="D19" s="84">
        <f t="shared" ref="D19:F19" si="5">D18/C18</f>
        <v>1.0645559992393991</v>
      </c>
      <c r="E19" s="84">
        <f t="shared" si="5"/>
        <v>1.0200053585781905</v>
      </c>
      <c r="F19" s="84">
        <f t="shared" si="5"/>
        <v>1.0218019437877595</v>
      </c>
    </row>
    <row r="20" spans="1:6" s="95" customFormat="1" x14ac:dyDescent="0.3">
      <c r="A20" s="95" t="s">
        <v>130</v>
      </c>
      <c r="B20" s="95">
        <f>(22811+6564+1186+79)*1000</f>
        <v>30640000</v>
      </c>
      <c r="C20" s="95">
        <f>(26533+6633+1213+128)*1000</f>
        <v>34507000</v>
      </c>
      <c r="D20" s="95">
        <f>(25268+7237+1204+93)*1000</f>
        <v>33802000</v>
      </c>
      <c r="E20" s="95">
        <f>(24017+7398+1519+97)*1000</f>
        <v>33031000</v>
      </c>
      <c r="F20" s="95">
        <f>(29081+8237+1879+105)*1000</f>
        <v>39302000</v>
      </c>
    </row>
    <row r="21" spans="1:6" s="84" customFormat="1" x14ac:dyDescent="0.3">
      <c r="A21" s="84" t="s">
        <v>105</v>
      </c>
      <c r="C21" s="84">
        <f>C20/B20</f>
        <v>1.1262075718015665</v>
      </c>
      <c r="D21" s="84">
        <f t="shared" ref="D21:F21" si="6">D20/C20</f>
        <v>0.97956936273799522</v>
      </c>
      <c r="E21" s="84">
        <f t="shared" si="6"/>
        <v>0.97719069877522036</v>
      </c>
      <c r="F21" s="84">
        <f t="shared" si="6"/>
        <v>1.1898519572522781</v>
      </c>
    </row>
    <row r="22" spans="1:6" s="3" customFormat="1" x14ac:dyDescent="0.3">
      <c r="A22" s="3" t="s">
        <v>131</v>
      </c>
      <c r="B22" s="3">
        <f>B20/B16</f>
        <v>0.97319273281666874</v>
      </c>
      <c r="C22" s="3">
        <f>C20/C16</f>
        <v>0.98148358837248995</v>
      </c>
      <c r="D22" s="3">
        <f>D20/D16</f>
        <v>1.0167238163989654</v>
      </c>
      <c r="E22" s="3">
        <f>E20/E16</f>
        <v>0.96740276476101217</v>
      </c>
      <c r="F22" s="3">
        <f>F20/F16</f>
        <v>0.96671996064444721</v>
      </c>
    </row>
    <row r="23" spans="1:6" s="95" customFormat="1" x14ac:dyDescent="0.3">
      <c r="A23" s="95" t="s">
        <v>247</v>
      </c>
      <c r="B23" s="95">
        <v>990000</v>
      </c>
      <c r="C23" s="95">
        <v>736000</v>
      </c>
      <c r="D23" s="95">
        <v>89000</v>
      </c>
      <c r="E23" s="95">
        <v>1072000</v>
      </c>
      <c r="F23" s="95">
        <v>1025000</v>
      </c>
    </row>
    <row r="24" spans="1:6" s="84" customFormat="1" x14ac:dyDescent="0.3">
      <c r="A24" s="84" t="s">
        <v>105</v>
      </c>
      <c r="C24" s="84">
        <f>C23/B23</f>
        <v>0.74343434343434345</v>
      </c>
      <c r="D24" s="84">
        <f t="shared" ref="D24:F24" si="7">D23/C23</f>
        <v>0.12092391304347826</v>
      </c>
      <c r="E24" s="84">
        <f t="shared" si="7"/>
        <v>12.044943820224718</v>
      </c>
      <c r="F24" s="84">
        <f t="shared" si="7"/>
        <v>0.95615671641791045</v>
      </c>
    </row>
    <row r="25" spans="1:6" s="95" customFormat="1" x14ac:dyDescent="0.3">
      <c r="A25" s="95" t="s">
        <v>200</v>
      </c>
      <c r="B25" s="95">
        <f>SUM(B18:F18)/5</f>
        <v>10781600</v>
      </c>
    </row>
    <row r="26" spans="1:6" s="1" customFormat="1" x14ac:dyDescent="0.3">
      <c r="A26" s="1" t="s">
        <v>135</v>
      </c>
      <c r="B26" s="1">
        <v>2013</v>
      </c>
      <c r="C26" s="1">
        <v>2014</v>
      </c>
      <c r="D26" s="1">
        <v>2015</v>
      </c>
      <c r="E26" s="1">
        <v>2016</v>
      </c>
      <c r="F26" s="1">
        <v>2017</v>
      </c>
    </row>
    <row r="27" spans="1:6" s="95" customFormat="1" x14ac:dyDescent="0.3">
      <c r="A27" s="95" t="s">
        <v>0</v>
      </c>
      <c r="B27" s="95">
        <v>65869587</v>
      </c>
      <c r="C27" s="95">
        <v>68007206</v>
      </c>
      <c r="D27" s="95">
        <v>68116130</v>
      </c>
      <c r="E27" s="95">
        <v>72659574</v>
      </c>
      <c r="F27" s="95">
        <v>79508462</v>
      </c>
    </row>
    <row r="28" spans="1:6" s="84" customFormat="1" x14ac:dyDescent="0.3">
      <c r="A28" s="84" t="s">
        <v>105</v>
      </c>
      <c r="C28" s="84">
        <f>C27/B27</f>
        <v>1.0324522909184173</v>
      </c>
      <c r="D28" s="84">
        <f t="shared" ref="D28:F28" si="8">D27/C27</f>
        <v>1.0016016538012162</v>
      </c>
      <c r="E28" s="84">
        <f t="shared" si="8"/>
        <v>1.0667014406132587</v>
      </c>
      <c r="F28" s="84">
        <f t="shared" si="8"/>
        <v>1.0942599525838124</v>
      </c>
    </row>
    <row r="29" spans="1:6" s="95" customFormat="1" x14ac:dyDescent="0.3">
      <c r="A29" s="111" t="s">
        <v>134</v>
      </c>
      <c r="B29" s="95">
        <v>23815443</v>
      </c>
      <c r="C29" s="95">
        <v>24898691</v>
      </c>
      <c r="D29" s="95">
        <v>25448171</v>
      </c>
      <c r="E29" s="95">
        <v>26941232</v>
      </c>
      <c r="F29" s="95">
        <v>29813664</v>
      </c>
    </row>
    <row r="30" spans="1:6" s="84" customFormat="1" x14ac:dyDescent="0.3">
      <c r="A30" s="84" t="s">
        <v>105</v>
      </c>
      <c r="C30" s="84">
        <f>C29/B29</f>
        <v>1.0454851081292085</v>
      </c>
      <c r="D30" s="84">
        <f t="shared" ref="D30:F30" si="9">D29/C29</f>
        <v>1.022068630033603</v>
      </c>
      <c r="E30" s="84">
        <f t="shared" si="9"/>
        <v>1.058670660457288</v>
      </c>
      <c r="F30" s="84">
        <f t="shared" si="9"/>
        <v>1.1066184352668058</v>
      </c>
    </row>
    <row r="31" spans="1:6" s="95" customFormat="1" x14ac:dyDescent="0.3">
      <c r="A31" s="95" t="s">
        <v>130</v>
      </c>
      <c r="B31" s="95">
        <f>52639585+9175984+2509426+254591</f>
        <v>64579586</v>
      </c>
      <c r="C31" s="95">
        <f>52605568+9364094+2255999+285025</f>
        <v>64510686</v>
      </c>
      <c r="D31" s="95">
        <f>55431948+9134321+2430202+294576</f>
        <v>67291047</v>
      </c>
      <c r="E31" s="95">
        <f>59968496+9376812+2403348+289926</f>
        <v>72038582</v>
      </c>
      <c r="F31" s="95">
        <f>67099481+10035906+2407055+317524</f>
        <v>79859966</v>
      </c>
    </row>
    <row r="32" spans="1:6" s="84" customFormat="1" x14ac:dyDescent="0.3">
      <c r="A32" s="84" t="s">
        <v>105</v>
      </c>
      <c r="C32" s="84">
        <f>C31/B31</f>
        <v>0.99893309938530728</v>
      </c>
      <c r="D32" s="84">
        <f t="shared" ref="D32:F32" si="10">D31/C31</f>
        <v>1.0430992316528769</v>
      </c>
      <c r="E32" s="84">
        <f t="shared" si="10"/>
        <v>1.0705522534075</v>
      </c>
      <c r="F32" s="84">
        <f t="shared" si="10"/>
        <v>1.1085721537383955</v>
      </c>
    </row>
    <row r="33" spans="1:6" x14ac:dyDescent="0.3">
      <c r="A33" s="3" t="s">
        <v>131</v>
      </c>
      <c r="B33" s="3">
        <f>B31/B27</f>
        <v>0.98041583287898859</v>
      </c>
      <c r="C33" s="3">
        <f>C31/C27</f>
        <v>0.94858603660323881</v>
      </c>
      <c r="D33" s="3">
        <f>D31/D27</f>
        <v>0.98788711278811636</v>
      </c>
      <c r="E33" s="3">
        <f>E31/E27</f>
        <v>0.99145340433732798</v>
      </c>
      <c r="F33" s="3">
        <f>F31/F27</f>
        <v>1.0044209633938084</v>
      </c>
    </row>
    <row r="34" spans="1:6" s="95" customFormat="1" x14ac:dyDescent="0.3">
      <c r="A34" s="95" t="s">
        <v>55</v>
      </c>
      <c r="B34" s="95">
        <v>1285286</v>
      </c>
      <c r="C34" s="95">
        <v>1614831</v>
      </c>
      <c r="D34" s="95">
        <v>1278828</v>
      </c>
      <c r="E34" s="95">
        <v>1016561</v>
      </c>
      <c r="F34" s="95">
        <v>506580</v>
      </c>
    </row>
    <row r="35" spans="1:6" s="84" customFormat="1" x14ac:dyDescent="0.3">
      <c r="A35" s="84" t="s">
        <v>105</v>
      </c>
      <c r="C35" s="84">
        <f>C34/B34</f>
        <v>1.2563981868626906</v>
      </c>
      <c r="D35" s="84">
        <f t="shared" ref="D35:F35" si="11">D34/C34</f>
        <v>0.79192683321041024</v>
      </c>
      <c r="E35" s="84">
        <f t="shared" si="11"/>
        <v>0.79491612632816921</v>
      </c>
      <c r="F35" s="84">
        <f t="shared" si="11"/>
        <v>0.4983272031880035</v>
      </c>
    </row>
    <row r="36" spans="1:6" s="95" customFormat="1" x14ac:dyDescent="0.3">
      <c r="A36" s="95" t="s">
        <v>200</v>
      </c>
      <c r="B36" s="95">
        <f>SUM(B29:F29)/5</f>
        <v>26183440.199999999</v>
      </c>
    </row>
    <row r="37" spans="1:6" x14ac:dyDescent="0.3">
      <c r="A37" s="1" t="s">
        <v>138</v>
      </c>
      <c r="B37" s="1">
        <v>2013</v>
      </c>
      <c r="C37" s="1">
        <v>2014</v>
      </c>
      <c r="D37" s="1">
        <v>2015</v>
      </c>
      <c r="E37" s="1">
        <v>2016</v>
      </c>
      <c r="F37" s="1">
        <v>2017</v>
      </c>
    </row>
    <row r="38" spans="1:6" s="95" customFormat="1" x14ac:dyDescent="0.3">
      <c r="A38" s="95" t="s">
        <v>0</v>
      </c>
      <c r="B38" s="95">
        <v>83764805</v>
      </c>
      <c r="C38" s="95">
        <v>92337092</v>
      </c>
      <c r="D38" s="95">
        <v>105932291</v>
      </c>
      <c r="E38" s="95">
        <v>120997840</v>
      </c>
      <c r="F38" s="95">
        <v>139357926</v>
      </c>
    </row>
    <row r="39" spans="1:6" s="84" customFormat="1" x14ac:dyDescent="0.3">
      <c r="A39" s="85" t="s">
        <v>245</v>
      </c>
      <c r="B39" s="85"/>
      <c r="C39" s="85">
        <f>C38/B38</f>
        <v>1.1023375748322939</v>
      </c>
      <c r="D39" s="85">
        <f t="shared" ref="D39:F39" si="12">D38/C38</f>
        <v>1.1472344288252005</v>
      </c>
      <c r="E39" s="85">
        <f t="shared" si="12"/>
        <v>1.1422186649394754</v>
      </c>
      <c r="F39" s="85">
        <f t="shared" si="12"/>
        <v>1.1517389566623668</v>
      </c>
    </row>
    <row r="40" spans="1:6" x14ac:dyDescent="0.3">
      <c r="A40" t="s">
        <v>137</v>
      </c>
      <c r="B40" s="20">
        <f>FCF!B39</f>
        <v>0.96991077863314534</v>
      </c>
      <c r="C40" s="20">
        <f>FCF!C39</f>
        <v>0.94702056854506556</v>
      </c>
      <c r="D40" s="20">
        <f>FCF!D39</f>
        <v>0.91556833022636819</v>
      </c>
      <c r="E40" s="20">
        <f>FCF!E39</f>
        <v>0.92531437206416345</v>
      </c>
      <c r="F40" s="20">
        <f>FCF!F39</f>
        <v>0.92499832915959956</v>
      </c>
    </row>
    <row r="41" spans="1:6" s="84" customFormat="1" x14ac:dyDescent="0.3">
      <c r="A41" s="84" t="s">
        <v>252</v>
      </c>
      <c r="C41" s="84">
        <f>FCF!C25</f>
        <v>1.0792093550449853</v>
      </c>
      <c r="D41" s="84">
        <f>FCF!D25</f>
        <v>1.1270620497445516</v>
      </c>
      <c r="E41" s="84">
        <f>FCF!E25</f>
        <v>1.1522100155414798</v>
      </c>
      <c r="F41" s="84">
        <f>FCF!F25</f>
        <v>1.1476407660461778</v>
      </c>
    </row>
    <row r="42" spans="1:6" s="95" customFormat="1" x14ac:dyDescent="0.3">
      <c r="A42" s="95" t="s">
        <v>134</v>
      </c>
      <c r="B42" s="95">
        <f>AKTIVA!B16</f>
        <v>54638312</v>
      </c>
      <c r="C42" s="95">
        <f>AKTIVA!C16</f>
        <v>58523283</v>
      </c>
      <c r="D42" s="95">
        <f>AKTIVA!D16</f>
        <v>69282719</v>
      </c>
      <c r="E42" s="95">
        <f>AKTIVA!E16</f>
        <v>91159908</v>
      </c>
      <c r="F42" s="95">
        <f>AKTIVA!F16</f>
        <v>106555791</v>
      </c>
    </row>
    <row r="43" spans="1:6" s="84" customFormat="1" x14ac:dyDescent="0.3">
      <c r="A43" s="84" t="s">
        <v>139</v>
      </c>
      <c r="C43" s="84">
        <f>C42/B42</f>
        <v>1.0711034228143799</v>
      </c>
      <c r="D43" s="84">
        <f t="shared" ref="D43:F43" si="13">D42/C42</f>
        <v>1.1838488110791734</v>
      </c>
      <c r="E43" s="84">
        <f t="shared" si="13"/>
        <v>1.3157668941947847</v>
      </c>
      <c r="F43" s="84">
        <f t="shared" si="13"/>
        <v>1.1688887509627588</v>
      </c>
    </row>
    <row r="47" spans="1:6" s="1" customFormat="1" x14ac:dyDescent="0.3">
      <c r="A47" s="1" t="s">
        <v>263</v>
      </c>
      <c r="B47" s="1">
        <v>2013</v>
      </c>
      <c r="C47" s="1">
        <v>2014</v>
      </c>
      <c r="D47" s="1">
        <v>2015</v>
      </c>
      <c r="E47" s="1">
        <v>2016</v>
      </c>
      <c r="F47" s="1">
        <v>2017</v>
      </c>
    </row>
    <row r="48" spans="1:6" s="86" customFormat="1" x14ac:dyDescent="0.3">
      <c r="A48" s="86" t="s">
        <v>248</v>
      </c>
      <c r="B48" s="86">
        <f>B34/$B36</f>
        <v>4.908774363423795E-2</v>
      </c>
      <c r="C48" s="86">
        <f t="shared" ref="C48:F48" si="14">C34/$B36</f>
        <v>6.1673752099237138E-2</v>
      </c>
      <c r="D48" s="86">
        <f t="shared" si="14"/>
        <v>4.8841099192152758E-2</v>
      </c>
      <c r="E48" s="86">
        <f t="shared" si="14"/>
        <v>3.8824577375435945E-2</v>
      </c>
      <c r="F48" s="86">
        <f t="shared" si="14"/>
        <v>1.9347343058457232E-2</v>
      </c>
    </row>
    <row r="49" spans="1:6" s="86" customFormat="1" x14ac:dyDescent="0.3">
      <c r="A49" s="86" t="s">
        <v>249</v>
      </c>
      <c r="B49" s="86">
        <f>B23/$B25</f>
        <v>9.182310603249981E-2</v>
      </c>
      <c r="C49" s="86">
        <f t="shared" ref="C49:F49" si="15">C23/$B25</f>
        <v>6.8264450545373598E-2</v>
      </c>
      <c r="D49" s="86">
        <f t="shared" si="15"/>
        <v>8.2548044817095795E-3</v>
      </c>
      <c r="E49" s="86">
        <f t="shared" si="15"/>
        <v>9.9428656229131107E-2</v>
      </c>
      <c r="F49" s="86">
        <f t="shared" si="15"/>
        <v>9.5069377457891222E-2</v>
      </c>
    </row>
    <row r="50" spans="1:6" s="86" customFormat="1" x14ac:dyDescent="0.3">
      <c r="A50" s="86" t="s">
        <v>250</v>
      </c>
      <c r="B50" s="86">
        <f>B14/$B3</f>
        <v>0.16836663251478595</v>
      </c>
      <c r="C50" s="86">
        <f t="shared" ref="C50:F50" si="16">C14/$B3</f>
        <v>0.18873142462472406</v>
      </c>
      <c r="D50" s="86">
        <f t="shared" si="16"/>
        <v>0.19241064506514391</v>
      </c>
      <c r="E50" s="86">
        <f t="shared" si="16"/>
        <v>0.19478259666107459</v>
      </c>
      <c r="F50" s="86">
        <f t="shared" si="16"/>
        <v>0.13669697372435857</v>
      </c>
    </row>
    <row r="51" spans="1:6" s="86" customFormat="1" x14ac:dyDescent="0.3">
      <c r="A51" s="86" t="s">
        <v>251</v>
      </c>
      <c r="B51" s="86">
        <f>KAZALNIKI!B55</f>
        <v>3.7947073618181934E-2</v>
      </c>
      <c r="C51" s="86">
        <f>KAZALNIKI!C55</f>
        <v>8.2553842926136475E-2</v>
      </c>
      <c r="D51" s="86">
        <f>KAZALNIKI!D55</f>
        <v>0.11035562280454785</v>
      </c>
      <c r="E51" s="86">
        <f>KAZALNIKI!E55</f>
        <v>0.13438534630942367</v>
      </c>
      <c r="F51" s="86">
        <f>KAZALNIKI!F55</f>
        <v>0.14263410970579907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5BDD1-17C4-4133-AF46-9D1C5CDC4E50}">
  <dimension ref="A1:L49"/>
  <sheetViews>
    <sheetView workbookViewId="0">
      <selection activeCell="B14" sqref="B14"/>
    </sheetView>
  </sheetViews>
  <sheetFormatPr defaultRowHeight="14.4" x14ac:dyDescent="0.3"/>
  <cols>
    <col min="1" max="1" width="26.6640625" customWidth="1"/>
    <col min="2" max="11" width="15.77734375" customWidth="1"/>
  </cols>
  <sheetData>
    <row r="1" spans="1:11" x14ac:dyDescent="0.3">
      <c r="A1" s="54" t="s">
        <v>23</v>
      </c>
      <c r="B1" s="1">
        <v>2013</v>
      </c>
      <c r="C1" s="1">
        <v>2014</v>
      </c>
      <c r="D1" s="1">
        <v>2015</v>
      </c>
      <c r="E1" s="1">
        <v>2016</v>
      </c>
      <c r="F1" s="21">
        <v>2017</v>
      </c>
      <c r="G1" s="1">
        <v>2018</v>
      </c>
      <c r="H1" s="1">
        <v>2019</v>
      </c>
      <c r="I1" s="1">
        <v>2020</v>
      </c>
      <c r="J1" s="1">
        <v>2021</v>
      </c>
      <c r="K1" s="1">
        <v>2022</v>
      </c>
    </row>
    <row r="2" spans="1:11" s="95" customFormat="1" x14ac:dyDescent="0.3">
      <c r="A2" s="95" t="s">
        <v>12</v>
      </c>
      <c r="B2" s="95">
        <v>18476071</v>
      </c>
      <c r="C2" s="95">
        <v>19178194</v>
      </c>
      <c r="D2" s="95">
        <v>24573144</v>
      </c>
      <c r="E2" s="95">
        <v>41740919</v>
      </c>
      <c r="F2" s="96">
        <v>51032572</v>
      </c>
      <c r="G2" s="101">
        <f>G28*FCF!G$6</f>
        <v>55720182.450111859</v>
      </c>
      <c r="H2" s="95">
        <f>H28*FCF!H$6</f>
        <v>67988004.031645596</v>
      </c>
      <c r="I2" s="95">
        <f>I28*FCF!I$6</f>
        <v>77266488.583302259</v>
      </c>
      <c r="J2" s="95">
        <f>J28*FCF!J$6</f>
        <v>84794400.334091038</v>
      </c>
      <c r="K2" s="95">
        <f>K28*FCF!K$6</f>
        <v>92595348.867457703</v>
      </c>
    </row>
    <row r="3" spans="1:11" s="95" customFormat="1" x14ac:dyDescent="0.3">
      <c r="A3" s="95" t="s">
        <v>22</v>
      </c>
      <c r="B3" s="95">
        <f>5074+240000</f>
        <v>245074</v>
      </c>
      <c r="C3" s="95">
        <f>5058+540000</f>
        <v>545058</v>
      </c>
      <c r="D3" s="95">
        <f>5011+300000</f>
        <v>305011</v>
      </c>
      <c r="E3" s="95">
        <f>4768+300000</f>
        <v>304768</v>
      </c>
      <c r="F3" s="96">
        <v>105298</v>
      </c>
      <c r="G3" s="101">
        <f>G29*FCF!G$6</f>
        <v>0</v>
      </c>
      <c r="H3" s="95">
        <f>H29*FCF!H$6</f>
        <v>0</v>
      </c>
      <c r="I3" s="95">
        <f>I29*FCF!I$6</f>
        <v>0</v>
      </c>
      <c r="J3" s="95">
        <f>J29*FCF!J$6</f>
        <v>0</v>
      </c>
      <c r="K3" s="95">
        <f>K29*FCF!K$6</f>
        <v>0</v>
      </c>
    </row>
    <row r="4" spans="1:11" s="95" customFormat="1" x14ac:dyDescent="0.3">
      <c r="A4" s="95" t="s">
        <v>63</v>
      </c>
      <c r="B4" s="95">
        <v>2203353</v>
      </c>
      <c r="C4" s="95">
        <v>2211131</v>
      </c>
      <c r="D4" s="95">
        <v>2200624</v>
      </c>
      <c r="E4" s="95">
        <v>2200931</v>
      </c>
      <c r="F4" s="96">
        <v>2202223</v>
      </c>
      <c r="G4" s="101">
        <f>G30*FCF!G$6</f>
        <v>3271876.1124</v>
      </c>
      <c r="H4" s="95">
        <f>H30*FCF!H$6</f>
        <v>3653983.1459880006</v>
      </c>
      <c r="I4" s="95">
        <f>I30*FCF!I$6</f>
        <v>4011492.8856618013</v>
      </c>
      <c r="J4" s="95">
        <f>J30*FCF!J$6</f>
        <v>4288984.1861896273</v>
      </c>
      <c r="K4" s="95">
        <f>K30*FCF!K$6</f>
        <v>4585734.2176809758</v>
      </c>
    </row>
    <row r="5" spans="1:11" s="97" customFormat="1" x14ac:dyDescent="0.3">
      <c r="A5" s="97" t="s">
        <v>19</v>
      </c>
      <c r="B5" s="97">
        <v>21945948</v>
      </c>
      <c r="C5" s="97">
        <v>22753615</v>
      </c>
      <c r="D5" s="97">
        <v>27856412</v>
      </c>
      <c r="E5" s="97">
        <v>44902802</v>
      </c>
      <c r="F5" s="98">
        <v>54286242</v>
      </c>
      <c r="G5" s="112">
        <f>G31*FCF!G$6</f>
        <v>58992058.562511861</v>
      </c>
      <c r="H5" s="97">
        <f>H31*FCF!H$6</f>
        <v>71641987.177633598</v>
      </c>
      <c r="I5" s="97">
        <f>I31*FCF!I$6</f>
        <v>81277981.468964055</v>
      </c>
      <c r="J5" s="97">
        <f>J31*FCF!J$6</f>
        <v>89083384.520280674</v>
      </c>
      <c r="K5" s="97">
        <f>K31*FCF!K$6</f>
        <v>97181083.085138679</v>
      </c>
    </row>
    <row r="6" spans="1:11" s="95" customFormat="1" x14ac:dyDescent="0.3">
      <c r="A6" s="95" t="s">
        <v>11</v>
      </c>
      <c r="B6" s="95">
        <v>12903579</v>
      </c>
      <c r="C6" s="95">
        <v>14302025</v>
      </c>
      <c r="D6" s="95">
        <v>14059978</v>
      </c>
      <c r="E6" s="95">
        <v>18341310</v>
      </c>
      <c r="F6" s="96">
        <v>20723229</v>
      </c>
      <c r="G6" s="101">
        <f>G32*FCF!G$6</f>
        <v>22903132.786800005</v>
      </c>
      <c r="H6" s="95">
        <f>H32*FCF!H$6</f>
        <v>23750890.448922005</v>
      </c>
      <c r="I6" s="95">
        <f>I32*FCF!I$6</f>
        <v>24068957.313970804</v>
      </c>
      <c r="J6" s="95">
        <f>J32*FCF!J$6</f>
        <v>25733905.11713776</v>
      </c>
      <c r="K6" s="95">
        <f>K32*FCF!K$6</f>
        <v>27514405.306085855</v>
      </c>
    </row>
    <row r="7" spans="1:11" s="95" customFormat="1" x14ac:dyDescent="0.3">
      <c r="A7" s="95" t="s">
        <v>20</v>
      </c>
      <c r="B7" s="95">
        <v>0</v>
      </c>
      <c r="C7" s="95">
        <v>0</v>
      </c>
      <c r="D7" s="95">
        <v>0</v>
      </c>
      <c r="E7" s="95">
        <v>0</v>
      </c>
      <c r="F7" s="96">
        <v>400000</v>
      </c>
      <c r="G7" s="101">
        <f>G33*FCF!G$6</f>
        <v>0</v>
      </c>
      <c r="H7" s="95">
        <f>H33*FCF!H$6</f>
        <v>0</v>
      </c>
      <c r="I7" s="95">
        <f>I33*FCF!I$6</f>
        <v>0</v>
      </c>
      <c r="J7" s="95">
        <f>J33*FCF!J$6</f>
        <v>0</v>
      </c>
      <c r="K7" s="95">
        <f>K33*FCF!K$6</f>
        <v>0</v>
      </c>
    </row>
    <row r="8" spans="1:11" s="95" customFormat="1" x14ac:dyDescent="0.3">
      <c r="A8" s="95" t="s">
        <v>14</v>
      </c>
      <c r="B8" s="95">
        <f>15817189+1440000</f>
        <v>17257189</v>
      </c>
      <c r="C8" s="95">
        <f>18326282+750000</f>
        <v>19076282</v>
      </c>
      <c r="D8" s="95">
        <v>22009373</v>
      </c>
      <c r="E8" s="95">
        <v>21242290</v>
      </c>
      <c r="F8" s="96">
        <v>25008015</v>
      </c>
      <c r="G8" s="101">
        <f>G34*FCF!G$6</f>
        <v>27810946.955400001</v>
      </c>
      <c r="H8" s="95">
        <f>H34*FCF!H$6</f>
        <v>27404873.594910003</v>
      </c>
      <c r="I8" s="95">
        <f>I34*FCF!I$6</f>
        <v>30086196.642463509</v>
      </c>
      <c r="J8" s="95">
        <f>J34*FCF!J$6</f>
        <v>32167381.3964222</v>
      </c>
      <c r="K8" s="95">
        <f>K34*FCF!K$6</f>
        <v>29807272.414926343</v>
      </c>
    </row>
    <row r="9" spans="1:11" s="95" customFormat="1" x14ac:dyDescent="0.3">
      <c r="A9" s="95" t="s">
        <v>15</v>
      </c>
      <c r="B9" s="95">
        <v>2022949</v>
      </c>
      <c r="C9" s="95">
        <v>1869054</v>
      </c>
      <c r="D9" s="95">
        <v>3497749</v>
      </c>
      <c r="E9" s="95">
        <v>3392418</v>
      </c>
      <c r="F9" s="96">
        <v>3296221</v>
      </c>
      <c r="G9" s="101">
        <f>G35*FCF!G$6</f>
        <v>3271876.1124</v>
      </c>
      <c r="H9" s="95">
        <f>H35*FCF!H$6</f>
        <v>3653983.1459880006</v>
      </c>
      <c r="I9" s="95">
        <f>I35*FCF!I$6</f>
        <v>6017239.3284927011</v>
      </c>
      <c r="J9" s="95">
        <f>J35*FCF!J$6</f>
        <v>6433476.27928444</v>
      </c>
      <c r="K9" s="95">
        <f>K35*FCF!K$6</f>
        <v>6878601.3265214637</v>
      </c>
    </row>
    <row r="10" spans="1:11" s="97" customFormat="1" x14ac:dyDescent="0.3">
      <c r="A10" s="97" t="s">
        <v>21</v>
      </c>
      <c r="B10" s="97">
        <f>32183717+508647</f>
        <v>32692364</v>
      </c>
      <c r="C10" s="97">
        <f>35247361+522307</f>
        <v>35769668</v>
      </c>
      <c r="D10" s="97">
        <f>39567100+1859207</f>
        <v>41426307</v>
      </c>
      <c r="E10" s="97">
        <v>46257106</v>
      </c>
      <c r="F10" s="98">
        <v>52269549</v>
      </c>
      <c r="G10" s="112">
        <f>G36*FCF!G$6</f>
        <v>53985955.854600012</v>
      </c>
      <c r="H10" s="97">
        <f>H36*FCF!H$6</f>
        <v>54809747.189820014</v>
      </c>
      <c r="I10" s="97">
        <f>I36*FCF!I$6</f>
        <v>60172393.284927025</v>
      </c>
      <c r="J10" s="97">
        <f>J36*FCF!J$6</f>
        <v>64334762.792844415</v>
      </c>
      <c r="K10" s="97">
        <f>K36*FCF!K$6</f>
        <v>64200279.047533669</v>
      </c>
    </row>
    <row r="11" spans="1:11" s="95" customFormat="1" x14ac:dyDescent="0.3">
      <c r="F11" s="96"/>
      <c r="G11" s="132"/>
    </row>
    <row r="12" spans="1:11" s="97" customFormat="1" x14ac:dyDescent="0.3">
      <c r="A12" s="97" t="s">
        <v>64</v>
      </c>
      <c r="B12" s="97">
        <f>B2+B4</f>
        <v>20679424</v>
      </c>
      <c r="C12" s="97">
        <f t="shared" ref="C12:K12" si="0">C2+C4</f>
        <v>21389325</v>
      </c>
      <c r="D12" s="97">
        <f t="shared" si="0"/>
        <v>26773768</v>
      </c>
      <c r="E12" s="97">
        <f t="shared" si="0"/>
        <v>43941850</v>
      </c>
      <c r="F12" s="97">
        <f t="shared" si="0"/>
        <v>53234795</v>
      </c>
      <c r="G12" s="130">
        <f t="shared" si="0"/>
        <v>58992058.562511861</v>
      </c>
      <c r="H12" s="97">
        <f t="shared" si="0"/>
        <v>71641987.177633598</v>
      </c>
      <c r="I12" s="97">
        <f t="shared" si="0"/>
        <v>81277981.468964055</v>
      </c>
      <c r="J12" s="97">
        <f t="shared" si="0"/>
        <v>89083384.520280659</v>
      </c>
      <c r="K12" s="97">
        <f t="shared" si="0"/>
        <v>97181083.085138679</v>
      </c>
    </row>
    <row r="13" spans="1:11" x14ac:dyDescent="0.3">
      <c r="A13" t="s">
        <v>66</v>
      </c>
      <c r="B13" s="3">
        <f>B12/(B5+B10)</f>
        <v>0.3784784566551031</v>
      </c>
      <c r="C13" s="3">
        <f t="shared" ref="C13:K13" si="1">C12/(C5+C10)</f>
        <v>0.36548402453772116</v>
      </c>
      <c r="D13" s="3">
        <f t="shared" si="1"/>
        <v>0.38644222378166193</v>
      </c>
      <c r="E13" s="3">
        <f t="shared" si="1"/>
        <v>0.4820304338174628</v>
      </c>
      <c r="F13" s="3">
        <f t="shared" si="1"/>
        <v>0.49959551236403471</v>
      </c>
      <c r="G13" s="131">
        <f t="shared" si="1"/>
        <v>0.5221552075142224</v>
      </c>
      <c r="H13" s="3">
        <f t="shared" si="1"/>
        <v>0.56655598704127341</v>
      </c>
      <c r="I13" s="3">
        <f t="shared" si="1"/>
        <v>0.57460421444891385</v>
      </c>
      <c r="J13" s="3">
        <f t="shared" si="1"/>
        <v>0.58065741296212026</v>
      </c>
      <c r="K13" s="3">
        <f t="shared" si="1"/>
        <v>0.60218281591430411</v>
      </c>
    </row>
    <row r="14" spans="1:11" s="97" customFormat="1" x14ac:dyDescent="0.3">
      <c r="A14" s="97" t="s">
        <v>65</v>
      </c>
      <c r="B14" s="97">
        <f>B3+B6+B7+B8+B9</f>
        <v>32428791</v>
      </c>
      <c r="C14" s="97">
        <f t="shared" ref="C14:K14" si="2">C3+C6+C7+C8+C9</f>
        <v>35792419</v>
      </c>
      <c r="D14" s="97">
        <f t="shared" si="2"/>
        <v>39872111</v>
      </c>
      <c r="E14" s="97">
        <f t="shared" si="2"/>
        <v>43280786</v>
      </c>
      <c r="F14" s="97">
        <f t="shared" si="2"/>
        <v>49532763</v>
      </c>
      <c r="G14" s="130">
        <f t="shared" si="2"/>
        <v>53985955.854600005</v>
      </c>
      <c r="H14" s="97">
        <f t="shared" si="2"/>
        <v>54809747.189820006</v>
      </c>
      <c r="I14" s="97">
        <f t="shared" si="2"/>
        <v>60172393.284927011</v>
      </c>
      <c r="J14" s="97">
        <f t="shared" si="2"/>
        <v>64334762.7928444</v>
      </c>
      <c r="K14" s="97">
        <f t="shared" si="2"/>
        <v>64200279.047533661</v>
      </c>
    </row>
    <row r="15" spans="1:11" x14ac:dyDescent="0.3">
      <c r="A15" t="s">
        <v>66</v>
      </c>
      <c r="B15" s="3">
        <f>B14/(B5+B10)</f>
        <v>0.59351743882570895</v>
      </c>
      <c r="C15" s="3">
        <f t="shared" ref="C15:K15" si="3">C14/(C5+C10)</f>
        <v>0.611592808284525</v>
      </c>
      <c r="D15" s="3">
        <f t="shared" si="3"/>
        <v>0.57549864635075887</v>
      </c>
      <c r="E15" s="3">
        <f t="shared" si="3"/>
        <v>0.4747787371615162</v>
      </c>
      <c r="F15" s="3">
        <f t="shared" si="3"/>
        <v>0.46485284877665634</v>
      </c>
      <c r="G15" s="131">
        <f t="shared" si="3"/>
        <v>0.47784479248577755</v>
      </c>
      <c r="H15" s="3">
        <f t="shared" si="3"/>
        <v>0.43344401295872653</v>
      </c>
      <c r="I15" s="3">
        <f t="shared" si="3"/>
        <v>0.42539578555108609</v>
      </c>
      <c r="J15" s="3">
        <f t="shared" si="3"/>
        <v>0.41934258703787969</v>
      </c>
      <c r="K15" s="3">
        <f t="shared" si="3"/>
        <v>0.39781718408569589</v>
      </c>
    </row>
    <row r="16" spans="1:11" s="97" customFormat="1" x14ac:dyDescent="0.3">
      <c r="A16" s="97" t="s">
        <v>134</v>
      </c>
      <c r="B16" s="97">
        <f>B5+B10</f>
        <v>54638312</v>
      </c>
      <c r="C16" s="97">
        <f t="shared" ref="C16:K16" si="4">C5+C10</f>
        <v>58523283</v>
      </c>
      <c r="D16" s="97">
        <f t="shared" si="4"/>
        <v>69282719</v>
      </c>
      <c r="E16" s="97">
        <f t="shared" si="4"/>
        <v>91159908</v>
      </c>
      <c r="F16" s="98">
        <f t="shared" si="4"/>
        <v>106555791</v>
      </c>
      <c r="G16" s="112">
        <f t="shared" si="4"/>
        <v>112978014.41711187</v>
      </c>
      <c r="H16" s="97">
        <f t="shared" si="4"/>
        <v>126451734.3674536</v>
      </c>
      <c r="I16" s="97">
        <f>I5+I10</f>
        <v>141450374.75389108</v>
      </c>
      <c r="J16" s="97">
        <f t="shared" si="4"/>
        <v>153418147.31312507</v>
      </c>
      <c r="K16" s="97">
        <f t="shared" si="4"/>
        <v>161381362.13267234</v>
      </c>
    </row>
    <row r="17" spans="1:12" s="1" customFormat="1" x14ac:dyDescent="0.3">
      <c r="F17" s="21"/>
    </row>
    <row r="18" spans="1:12" x14ac:dyDescent="0.3">
      <c r="F18" s="22"/>
    </row>
    <row r="19" spans="1:12" x14ac:dyDescent="0.3">
      <c r="F19" s="22"/>
    </row>
    <row r="20" spans="1:12" x14ac:dyDescent="0.3">
      <c r="F20" s="22"/>
    </row>
    <row r="21" spans="1:12" x14ac:dyDescent="0.3">
      <c r="A21" s="1" t="s">
        <v>3</v>
      </c>
      <c r="B21" s="1">
        <v>2013</v>
      </c>
      <c r="C21" s="1">
        <v>2014</v>
      </c>
      <c r="D21" s="1">
        <v>2015</v>
      </c>
      <c r="E21" s="1">
        <v>2016</v>
      </c>
      <c r="F21" s="21">
        <v>2017</v>
      </c>
    </row>
    <row r="22" spans="1:12" s="95" customFormat="1" x14ac:dyDescent="0.3">
      <c r="A22" s="95" t="s">
        <v>0</v>
      </c>
      <c r="B22" s="95">
        <v>83764805</v>
      </c>
      <c r="C22" s="95">
        <v>92337092</v>
      </c>
      <c r="D22" s="95">
        <v>105932291</v>
      </c>
      <c r="E22" s="95">
        <v>120997840</v>
      </c>
      <c r="F22" s="96">
        <v>139357926</v>
      </c>
    </row>
    <row r="23" spans="1:12" s="95" customFormat="1" x14ac:dyDescent="0.3">
      <c r="A23" s="95" t="s">
        <v>1</v>
      </c>
      <c r="B23" s="95">
        <f>1262977+1685332+161816</f>
        <v>3110125</v>
      </c>
      <c r="C23" s="95">
        <f>1162820+2290650+231835</f>
        <v>3685305</v>
      </c>
      <c r="D23" s="95">
        <f>1043412+4437933+527322</f>
        <v>6008667</v>
      </c>
      <c r="E23" s="95">
        <v>6623153</v>
      </c>
      <c r="F23" s="96">
        <v>7155170</v>
      </c>
    </row>
    <row r="24" spans="1:12" s="95" customFormat="1" x14ac:dyDescent="0.3">
      <c r="A24" s="97" t="s">
        <v>2</v>
      </c>
      <c r="B24" s="97">
        <f>B22+B23</f>
        <v>86874930</v>
      </c>
      <c r="C24" s="97">
        <f t="shared" ref="C24:F24" si="5">C22+C23</f>
        <v>96022397</v>
      </c>
      <c r="D24" s="97">
        <f t="shared" si="5"/>
        <v>111940958</v>
      </c>
      <c r="E24" s="97">
        <f t="shared" si="5"/>
        <v>127620993</v>
      </c>
      <c r="F24" s="98">
        <f t="shared" si="5"/>
        <v>146513096</v>
      </c>
    </row>
    <row r="25" spans="1:12" x14ac:dyDescent="0.3">
      <c r="F25" s="22"/>
    </row>
    <row r="26" spans="1:12" x14ac:dyDescent="0.3">
      <c r="F26" s="22"/>
    </row>
    <row r="27" spans="1:12" s="1" customFormat="1" x14ac:dyDescent="0.3">
      <c r="A27" s="1" t="s">
        <v>32</v>
      </c>
      <c r="B27" s="1">
        <v>2013</v>
      </c>
      <c r="C27" s="1">
        <v>2014</v>
      </c>
      <c r="D27" s="1">
        <v>2015</v>
      </c>
      <c r="E27" s="1">
        <v>2016</v>
      </c>
      <c r="F27" s="21">
        <v>2017</v>
      </c>
      <c r="G27" s="35">
        <v>2018</v>
      </c>
      <c r="H27" s="35">
        <v>2019</v>
      </c>
      <c r="I27" s="35">
        <v>2020</v>
      </c>
      <c r="J27" s="35">
        <v>2021</v>
      </c>
      <c r="K27" s="35">
        <v>2022</v>
      </c>
    </row>
    <row r="28" spans="1:12" x14ac:dyDescent="0.3">
      <c r="A28" t="s">
        <v>12</v>
      </c>
      <c r="B28" s="3">
        <f>B2/B24</f>
        <v>0.21267436992467217</v>
      </c>
      <c r="C28" s="3">
        <f>C2/C24</f>
        <v>0.19972625761466881</v>
      </c>
      <c r="D28" s="3">
        <f>D2/D24</f>
        <v>0.21951879311234768</v>
      </c>
      <c r="E28" s="3">
        <f>E2/E24</f>
        <v>0.32706937956516291</v>
      </c>
      <c r="F28" s="24">
        <f>F2/F24</f>
        <v>0.3483140647031307</v>
      </c>
      <c r="G28" s="61">
        <f>'STARE AMORT. IN INVEST.'!G41/FCF!G6</f>
        <v>0.34060080844100027</v>
      </c>
      <c r="H28" s="59">
        <f>'STARE AMORT. IN INVEST.'!H41/FCF!H6</f>
        <v>0.37213091202292514</v>
      </c>
      <c r="I28" s="59">
        <f>'STARE AMORT. IN INVEST.'!I41/FCF!I6</f>
        <v>0.38522560445999704</v>
      </c>
      <c r="J28" s="59">
        <f>'STARE AMORT. IN INVEST.'!J41/FCF!J6</f>
        <v>0.39540551633240301</v>
      </c>
      <c r="K28" s="59">
        <f>'STARE AMORT. IN INVEST.'!K41/FCF!K6</f>
        <v>0.40384088772717203</v>
      </c>
      <c r="L28" t="s">
        <v>212</v>
      </c>
    </row>
    <row r="29" spans="1:12" x14ac:dyDescent="0.3">
      <c r="A29" t="s">
        <v>22</v>
      </c>
      <c r="B29" s="3">
        <f>B3/B24</f>
        <v>2.8209979564875619E-3</v>
      </c>
      <c r="C29" s="3">
        <f>C3/C24</f>
        <v>5.6763631926414005E-3</v>
      </c>
      <c r="D29" s="3">
        <f>D3/D24</f>
        <v>2.7247488805661286E-3</v>
      </c>
      <c r="E29" s="3">
        <f>E3/E24</f>
        <v>2.388071059751118E-3</v>
      </c>
      <c r="F29" s="24">
        <f>F3/F24</f>
        <v>7.186934333842758E-4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</row>
    <row r="30" spans="1:12" x14ac:dyDescent="0.3">
      <c r="A30" t="s">
        <v>18</v>
      </c>
      <c r="B30" s="3">
        <f>B4/B24</f>
        <v>2.5362357126503584E-2</v>
      </c>
      <c r="C30" s="3">
        <f>C4/C24</f>
        <v>2.302724227973605E-2</v>
      </c>
      <c r="D30" s="3">
        <f>D4/D24</f>
        <v>1.9658791914216062E-2</v>
      </c>
      <c r="E30" s="3">
        <f>E4/E24</f>
        <v>1.7245838229765224E-2</v>
      </c>
      <c r="F30" s="24">
        <f>F4/F24</f>
        <v>1.5030895258673668E-2</v>
      </c>
      <c r="G30" s="29">
        <v>0.02</v>
      </c>
      <c r="H30" s="29">
        <v>0.02</v>
      </c>
      <c r="I30" s="29">
        <v>0.02</v>
      </c>
      <c r="J30" s="29">
        <v>0.02</v>
      </c>
      <c r="K30" s="29">
        <v>0.02</v>
      </c>
    </row>
    <row r="31" spans="1:12" x14ac:dyDescent="0.3">
      <c r="A31" s="1" t="s">
        <v>19</v>
      </c>
      <c r="B31" s="3">
        <f>B5/B24</f>
        <v>0.25261543232322603</v>
      </c>
      <c r="C31" s="3">
        <f>C5/C24</f>
        <v>0.23696153929587907</v>
      </c>
      <c r="D31" s="3">
        <f>D5/D24</f>
        <v>0.2488491477802075</v>
      </c>
      <c r="E31" s="3">
        <f>E5/E24</f>
        <v>0.35184495077545747</v>
      </c>
      <c r="F31" s="24">
        <f>F5/F24</f>
        <v>0.37052143106715868</v>
      </c>
      <c r="G31" s="61">
        <f>SUM(G28:G30)</f>
        <v>0.36060080844100029</v>
      </c>
      <c r="H31" s="59">
        <f t="shared" ref="H31:K31" si="6">SUM(H28:H30)</f>
        <v>0.39213091202292516</v>
      </c>
      <c r="I31" s="59">
        <f t="shared" si="6"/>
        <v>0.40522560445999706</v>
      </c>
      <c r="J31" s="59">
        <f t="shared" si="6"/>
        <v>0.41540551633240302</v>
      </c>
      <c r="K31" s="59">
        <f t="shared" si="6"/>
        <v>0.42384088772717204</v>
      </c>
    </row>
    <row r="32" spans="1:12" x14ac:dyDescent="0.3">
      <c r="A32" t="s">
        <v>11</v>
      </c>
      <c r="B32" s="3">
        <f>B6/B24</f>
        <v>0.14853052543466796</v>
      </c>
      <c r="C32" s="3">
        <f>C6/C24</f>
        <v>0.14894467797965927</v>
      </c>
      <c r="D32" s="3">
        <f>D6/D24</f>
        <v>0.12560173015492684</v>
      </c>
      <c r="E32" s="3">
        <f>E6/E24</f>
        <v>0.14371702937619363</v>
      </c>
      <c r="F32" s="24">
        <f>F6/F24</f>
        <v>0.14144284412637079</v>
      </c>
      <c r="G32" s="29">
        <v>0.14000000000000001</v>
      </c>
      <c r="H32" s="29">
        <v>0.13</v>
      </c>
      <c r="I32" s="29">
        <v>0.12</v>
      </c>
      <c r="J32" s="29">
        <v>0.12</v>
      </c>
      <c r="K32" s="29">
        <v>0.12</v>
      </c>
      <c r="L32" t="s">
        <v>147</v>
      </c>
    </row>
    <row r="33" spans="1:12" x14ac:dyDescent="0.3">
      <c r="A33" t="s">
        <v>20</v>
      </c>
      <c r="B33" s="3">
        <f>B7/B24</f>
        <v>0</v>
      </c>
      <c r="C33" s="3">
        <f>C7/C24</f>
        <v>0</v>
      </c>
      <c r="D33" s="3">
        <f>D7/D24</f>
        <v>0</v>
      </c>
      <c r="E33" s="3">
        <f>E7/E24</f>
        <v>0</v>
      </c>
      <c r="F33" s="24">
        <f>F7/F24</f>
        <v>2.7301313733756605E-3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</row>
    <row r="34" spans="1:12" x14ac:dyDescent="0.3">
      <c r="A34" t="s">
        <v>14</v>
      </c>
      <c r="B34" s="3">
        <f>B8/B24</f>
        <v>0.19864406221679834</v>
      </c>
      <c r="C34" s="3">
        <f>C8/C24</f>
        <v>0.19866492189317039</v>
      </c>
      <c r="D34" s="3">
        <f>D8/D24</f>
        <v>0.19661590711060378</v>
      </c>
      <c r="E34" s="3">
        <f>E8/E24</f>
        <v>0.16644824257087545</v>
      </c>
      <c r="F34" s="24">
        <f>F8/F24</f>
        <v>0.17068791584337281</v>
      </c>
      <c r="G34" s="29">
        <v>0.17</v>
      </c>
      <c r="H34" s="29">
        <v>0.15</v>
      </c>
      <c r="I34" s="29">
        <v>0.15</v>
      </c>
      <c r="J34" s="29">
        <v>0.15</v>
      </c>
      <c r="K34" s="29">
        <v>0.13</v>
      </c>
      <c r="L34" t="s">
        <v>148</v>
      </c>
    </row>
    <row r="35" spans="1:12" x14ac:dyDescent="0.3">
      <c r="A35" t="s">
        <v>15</v>
      </c>
      <c r="B35" s="3">
        <f>B9/B24</f>
        <v>2.3285762647520983E-2</v>
      </c>
      <c r="C35" s="3">
        <f>C9/C24</f>
        <v>1.9464771328297503E-2</v>
      </c>
      <c r="D35" s="3">
        <f>D9/D24</f>
        <v>3.1246373646364543E-2</v>
      </c>
      <c r="E35" s="3">
        <f>E9/E24</f>
        <v>2.6581974644249946E-2</v>
      </c>
      <c r="F35" s="24">
        <f>F9/F24</f>
        <v>2.2497790914199234E-2</v>
      </c>
      <c r="G35" s="29">
        <v>0.02</v>
      </c>
      <c r="H35" s="29">
        <v>0.02</v>
      </c>
      <c r="I35" s="29">
        <v>0.03</v>
      </c>
      <c r="J35" s="29">
        <v>0.03</v>
      </c>
      <c r="K35" s="29">
        <v>0.03</v>
      </c>
    </row>
    <row r="36" spans="1:12" x14ac:dyDescent="0.3">
      <c r="A36" s="1" t="s">
        <v>21</v>
      </c>
      <c r="B36" s="3">
        <f>B10/B24</f>
        <v>0.37631528451303503</v>
      </c>
      <c r="C36" s="3">
        <f t="shared" ref="C36:F36" si="7">C10/C24</f>
        <v>0.37251380008770246</v>
      </c>
      <c r="D36" s="3">
        <f t="shared" si="7"/>
        <v>0.37007282892826415</v>
      </c>
      <c r="E36" s="3">
        <f t="shared" si="7"/>
        <v>0.3624568725930537</v>
      </c>
      <c r="F36" s="24">
        <f t="shared" si="7"/>
        <v>0.35675683899274097</v>
      </c>
      <c r="G36" s="68">
        <f>SUM(G32:G35)</f>
        <v>0.33000000000000007</v>
      </c>
      <c r="H36" s="20">
        <f t="shared" ref="H36:K36" si="8">SUM(H32:H35)</f>
        <v>0.30000000000000004</v>
      </c>
      <c r="I36" s="20">
        <f t="shared" si="8"/>
        <v>0.30000000000000004</v>
      </c>
      <c r="J36" s="20">
        <f t="shared" si="8"/>
        <v>0.30000000000000004</v>
      </c>
      <c r="K36" s="20">
        <f t="shared" si="8"/>
        <v>0.28000000000000003</v>
      </c>
    </row>
    <row r="37" spans="1:12" x14ac:dyDescent="0.3">
      <c r="F37" s="22"/>
    </row>
    <row r="38" spans="1:12" x14ac:dyDescent="0.3">
      <c r="F38" s="22"/>
    </row>
    <row r="39" spans="1:12" s="1" customFormat="1" x14ac:dyDescent="0.3">
      <c r="F39" s="21"/>
    </row>
    <row r="40" spans="1:12" x14ac:dyDescent="0.3">
      <c r="F40" s="22"/>
    </row>
    <row r="41" spans="1:12" x14ac:dyDescent="0.3">
      <c r="F41" s="22"/>
    </row>
    <row r="42" spans="1:12" x14ac:dyDescent="0.3">
      <c r="F42" s="22"/>
    </row>
    <row r="43" spans="1:12" x14ac:dyDescent="0.3">
      <c r="F43" s="22"/>
    </row>
    <row r="44" spans="1:12" x14ac:dyDescent="0.3">
      <c r="F44" s="22"/>
    </row>
    <row r="45" spans="1:12" x14ac:dyDescent="0.3">
      <c r="F45" s="22"/>
    </row>
    <row r="46" spans="1:12" x14ac:dyDescent="0.3">
      <c r="F46" s="22"/>
    </row>
    <row r="47" spans="1:12" x14ac:dyDescent="0.3">
      <c r="F47" s="22"/>
    </row>
    <row r="48" spans="1:12" x14ac:dyDescent="0.3">
      <c r="F48" s="22"/>
    </row>
    <row r="49" spans="6:6" x14ac:dyDescent="0.3">
      <c r="F49" s="2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9B27-82CA-422A-9F3B-36F90BCF2BB1}">
  <dimension ref="A1:L29"/>
  <sheetViews>
    <sheetView workbookViewId="0">
      <selection activeCell="H28" sqref="H28"/>
    </sheetView>
  </sheetViews>
  <sheetFormatPr defaultRowHeight="14.4" x14ac:dyDescent="0.3"/>
  <cols>
    <col min="1" max="1" width="21.77734375" customWidth="1"/>
    <col min="2" max="3" width="15.5546875" bestFit="1" customWidth="1"/>
    <col min="4" max="4" width="14" customWidth="1"/>
    <col min="5" max="5" width="15" customWidth="1"/>
    <col min="6" max="6" width="14.109375" customWidth="1"/>
    <col min="7" max="11" width="15.5546875" bestFit="1" customWidth="1"/>
  </cols>
  <sheetData>
    <row r="1" spans="1:11" s="1" customFormat="1" x14ac:dyDescent="0.3">
      <c r="A1" s="54" t="s">
        <v>24</v>
      </c>
      <c r="B1" s="1">
        <v>2013</v>
      </c>
      <c r="C1" s="1">
        <v>2014</v>
      </c>
      <c r="D1" s="1">
        <v>2015</v>
      </c>
      <c r="E1" s="1">
        <v>2016</v>
      </c>
      <c r="F1" s="21">
        <v>2017</v>
      </c>
      <c r="G1" s="1">
        <v>2018</v>
      </c>
      <c r="H1" s="1">
        <v>2019</v>
      </c>
      <c r="I1" s="1">
        <v>2020</v>
      </c>
      <c r="J1" s="1">
        <v>2021</v>
      </c>
      <c r="K1" s="1">
        <v>2022</v>
      </c>
    </row>
    <row r="2" spans="1:11" s="95" customFormat="1" x14ac:dyDescent="0.3">
      <c r="A2" s="95" t="s">
        <v>25</v>
      </c>
      <c r="B2" s="95">
        <v>2605609</v>
      </c>
      <c r="C2" s="95">
        <v>2764587</v>
      </c>
      <c r="D2" s="95">
        <f>2737214+283458</f>
        <v>3020672</v>
      </c>
      <c r="E2" s="95">
        <v>3321215</v>
      </c>
      <c r="F2" s="96">
        <v>3515142</v>
      </c>
      <c r="G2" s="101">
        <f>G18*FCF!G$6</f>
        <v>3271876.1124</v>
      </c>
      <c r="H2" s="95">
        <f>H18*FCF!H$6</f>
        <v>3653983.1459880006</v>
      </c>
      <c r="I2" s="95">
        <f>I18*FCF!I$6</f>
        <v>4011492.8856618013</v>
      </c>
      <c r="J2" s="95">
        <f>J18*FCF!J$6</f>
        <v>4288984.1861896273</v>
      </c>
      <c r="K2" s="95">
        <f>K18*FCF!K$6</f>
        <v>4585734.2176809758</v>
      </c>
    </row>
    <row r="3" spans="1:11" s="95" customFormat="1" x14ac:dyDescent="0.3">
      <c r="A3" s="95" t="s">
        <v>26</v>
      </c>
      <c r="B3" s="95">
        <v>7210577</v>
      </c>
      <c r="C3" s="95">
        <f>4566545+22729</f>
        <v>4589274</v>
      </c>
      <c r="D3" s="95">
        <f>2730994+144719</f>
        <v>2875713</v>
      </c>
      <c r="E3" s="95">
        <f>8221704+66679</f>
        <v>8288383</v>
      </c>
      <c r="F3" s="96">
        <v>5979791</v>
      </c>
      <c r="G3" s="101">
        <f>G19*FCF!G$6</f>
        <v>6543752.2248</v>
      </c>
      <c r="H3" s="95">
        <f>H19*FCF!H$6</f>
        <v>7307966.2919760011</v>
      </c>
      <c r="I3" s="95">
        <f>I19*FCF!I$6</f>
        <v>8022985.7713236026</v>
      </c>
      <c r="J3" s="95">
        <f>J19*FCF!J$6</f>
        <v>8577968.3723792545</v>
      </c>
      <c r="K3" s="95">
        <f>K19*FCF!K$6</f>
        <v>9171468.4353619516</v>
      </c>
    </row>
    <row r="4" spans="1:11" s="97" customFormat="1" x14ac:dyDescent="0.3">
      <c r="A4" s="97" t="s">
        <v>30</v>
      </c>
      <c r="B4" s="97">
        <f>7210577+2930135</f>
        <v>10140712</v>
      </c>
      <c r="C4" s="97">
        <f>4589274+2987253</f>
        <v>7576527</v>
      </c>
      <c r="D4" s="97">
        <v>6294304</v>
      </c>
      <c r="E4" s="97">
        <v>11885886</v>
      </c>
      <c r="F4" s="98">
        <v>9773668</v>
      </c>
      <c r="G4" s="112">
        <f>G2+G3</f>
        <v>9815628.3372000009</v>
      </c>
      <c r="H4" s="97">
        <f t="shared" ref="H4:K4" si="0">H2+H3</f>
        <v>10961949.437964002</v>
      </c>
      <c r="I4" s="97">
        <f t="shared" si="0"/>
        <v>12034478.656985404</v>
      </c>
      <c r="J4" s="97">
        <f t="shared" si="0"/>
        <v>12866952.558568882</v>
      </c>
      <c r="K4" s="97">
        <f t="shared" si="0"/>
        <v>13757202.653042927</v>
      </c>
    </row>
    <row r="5" spans="1:11" s="95" customFormat="1" x14ac:dyDescent="0.3">
      <c r="A5" s="95" t="s">
        <v>28</v>
      </c>
      <c r="B5" s="95">
        <v>6213909</v>
      </c>
      <c r="C5" s="95">
        <v>7328284</v>
      </c>
      <c r="D5" s="95">
        <v>6248985</v>
      </c>
      <c r="E5" s="95">
        <v>9191013</v>
      </c>
      <c r="F5" s="96">
        <v>14004086</v>
      </c>
      <c r="G5" s="101">
        <f>G21*FCF!G$6</f>
        <v>11451566.393400002</v>
      </c>
      <c r="H5" s="95">
        <f>H21*FCF!H$6</f>
        <v>12788941.010958003</v>
      </c>
      <c r="I5" s="95">
        <f>I21*FCF!I$6</f>
        <v>14040225.099816306</v>
      </c>
      <c r="J5" s="95">
        <f>J21*FCF!J$6</f>
        <v>15011444.651663696</v>
      </c>
      <c r="K5" s="95">
        <f>K21*FCF!K$6</f>
        <v>16050069.761883417</v>
      </c>
    </row>
    <row r="6" spans="1:11" s="95" customFormat="1" x14ac:dyDescent="0.3">
      <c r="A6" s="95" t="s">
        <v>27</v>
      </c>
      <c r="B6" s="95">
        <v>14415756</v>
      </c>
      <c r="C6" s="95">
        <v>14484032</v>
      </c>
      <c r="D6" s="95">
        <v>19795003</v>
      </c>
      <c r="E6" s="95">
        <v>23264538</v>
      </c>
      <c r="F6" s="96">
        <v>26181762</v>
      </c>
      <c r="G6" s="101">
        <f>G22*FCF!G$6</f>
        <v>31082823.0678</v>
      </c>
      <c r="H6" s="95">
        <f>H22*FCF!H$6</f>
        <v>32885848.313892003</v>
      </c>
      <c r="I6" s="95">
        <f>I22*FCF!I$6</f>
        <v>34097689.528125308</v>
      </c>
      <c r="J6" s="95">
        <f>J22*FCF!J$6</f>
        <v>36456365.582611829</v>
      </c>
      <c r="K6" s="95">
        <f>K22*FCF!K$6</f>
        <v>36685873.741447806</v>
      </c>
    </row>
    <row r="7" spans="1:11" s="97" customFormat="1" x14ac:dyDescent="0.3">
      <c r="A7" s="97" t="s">
        <v>29</v>
      </c>
      <c r="B7" s="97">
        <f>20629665+857946</f>
        <v>21487611</v>
      </c>
      <c r="C7" s="97">
        <f>21812316+549628</f>
        <v>22361944</v>
      </c>
      <c r="D7" s="97">
        <v>26720323</v>
      </c>
      <c r="E7" s="97">
        <v>33763356</v>
      </c>
      <c r="F7" s="98">
        <v>41434412</v>
      </c>
      <c r="G7" s="112">
        <f>G5+G6</f>
        <v>42534389.461199999</v>
      </c>
      <c r="H7" s="97">
        <f t="shared" ref="H7:K7" si="1">H5+H6</f>
        <v>45674789.324850008</v>
      </c>
      <c r="I7" s="97">
        <f t="shared" si="1"/>
        <v>48137914.627941616</v>
      </c>
      <c r="J7" s="97">
        <f t="shared" si="1"/>
        <v>51467810.234275527</v>
      </c>
      <c r="K7" s="97">
        <f t="shared" si="1"/>
        <v>52735943.503331222</v>
      </c>
    </row>
    <row r="8" spans="1:11" x14ac:dyDescent="0.3">
      <c r="F8" s="22"/>
    </row>
    <row r="9" spans="1:11" x14ac:dyDescent="0.3">
      <c r="F9" s="22"/>
    </row>
    <row r="10" spans="1:11" x14ac:dyDescent="0.3">
      <c r="F10" s="22"/>
    </row>
    <row r="11" spans="1:11" x14ac:dyDescent="0.3">
      <c r="A11" s="1" t="s">
        <v>3</v>
      </c>
      <c r="B11" s="1">
        <v>2013</v>
      </c>
      <c r="C11" s="1">
        <v>2014</v>
      </c>
      <c r="D11" s="1">
        <v>2015</v>
      </c>
      <c r="E11" s="1">
        <v>2016</v>
      </c>
      <c r="F11" s="21">
        <v>2017</v>
      </c>
    </row>
    <row r="12" spans="1:11" s="95" customFormat="1" x14ac:dyDescent="0.3">
      <c r="A12" s="95" t="s">
        <v>0</v>
      </c>
      <c r="B12" s="95">
        <v>83764805</v>
      </c>
      <c r="C12" s="95">
        <v>92337092</v>
      </c>
      <c r="D12" s="95">
        <v>105932291</v>
      </c>
      <c r="E12" s="95">
        <v>120997840</v>
      </c>
      <c r="F12" s="96">
        <v>139357926</v>
      </c>
    </row>
    <row r="13" spans="1:11" s="95" customFormat="1" x14ac:dyDescent="0.3">
      <c r="A13" s="95" t="s">
        <v>1</v>
      </c>
      <c r="B13" s="95">
        <f>1262977+1685332+161816</f>
        <v>3110125</v>
      </c>
      <c r="C13" s="95">
        <f>1162820+2290650+231835</f>
        <v>3685305</v>
      </c>
      <c r="D13" s="95">
        <f>1043412+4437933+527322</f>
        <v>6008667</v>
      </c>
      <c r="E13" s="95">
        <v>6623153</v>
      </c>
      <c r="F13" s="96">
        <v>7155170</v>
      </c>
    </row>
    <row r="14" spans="1:11" s="95" customFormat="1" x14ac:dyDescent="0.3">
      <c r="A14" s="97" t="s">
        <v>2</v>
      </c>
      <c r="B14" s="97">
        <f>B12+B13</f>
        <v>86874930</v>
      </c>
      <c r="C14" s="97">
        <f t="shared" ref="C14:F14" si="2">C12+C13</f>
        <v>96022397</v>
      </c>
      <c r="D14" s="97">
        <f t="shared" si="2"/>
        <v>111940958</v>
      </c>
      <c r="E14" s="97">
        <f t="shared" si="2"/>
        <v>127620993</v>
      </c>
      <c r="F14" s="98">
        <f t="shared" si="2"/>
        <v>146513096</v>
      </c>
    </row>
    <row r="15" spans="1:11" x14ac:dyDescent="0.3">
      <c r="F15" s="22"/>
    </row>
    <row r="16" spans="1:11" x14ac:dyDescent="0.3">
      <c r="F16" s="22"/>
    </row>
    <row r="17" spans="1:12" s="1" customFormat="1" x14ac:dyDescent="0.3">
      <c r="A17" s="1" t="s">
        <v>33</v>
      </c>
      <c r="B17" s="1">
        <v>2013</v>
      </c>
      <c r="C17" s="1">
        <v>2014</v>
      </c>
      <c r="D17" s="1">
        <v>2015</v>
      </c>
      <c r="E17" s="1">
        <v>2016</v>
      </c>
      <c r="F17" s="21">
        <v>2017</v>
      </c>
      <c r="G17" s="1">
        <v>2018</v>
      </c>
      <c r="H17" s="1">
        <v>2019</v>
      </c>
      <c r="I17" s="1">
        <v>2020</v>
      </c>
      <c r="J17" s="1">
        <v>2021</v>
      </c>
      <c r="K17" s="1">
        <v>2022</v>
      </c>
    </row>
    <row r="18" spans="1:12" x14ac:dyDescent="0.3">
      <c r="A18" t="s">
        <v>25</v>
      </c>
      <c r="B18" s="3">
        <f>B2/B14</f>
        <v>2.9992645749469957E-2</v>
      </c>
      <c r="C18" s="3">
        <f t="shared" ref="C18:F18" si="3">C2/C14</f>
        <v>2.8791064234732652E-2</v>
      </c>
      <c r="D18" s="3">
        <f t="shared" si="3"/>
        <v>2.698451088832025E-2</v>
      </c>
      <c r="E18" s="3">
        <f t="shared" si="3"/>
        <v>2.6024049193850107E-2</v>
      </c>
      <c r="F18" s="24">
        <f t="shared" si="3"/>
        <v>2.3991998640176166E-2</v>
      </c>
      <c r="G18" s="29">
        <v>0.02</v>
      </c>
      <c r="H18" s="29">
        <v>0.02</v>
      </c>
      <c r="I18" s="29">
        <v>0.02</v>
      </c>
      <c r="J18" s="29">
        <v>0.02</v>
      </c>
      <c r="K18" s="29">
        <v>0.02</v>
      </c>
      <c r="L18" t="s">
        <v>213</v>
      </c>
    </row>
    <row r="19" spans="1:12" x14ac:dyDescent="0.3">
      <c r="A19" t="s">
        <v>26</v>
      </c>
      <c r="B19" s="3">
        <f>B3/B14</f>
        <v>8.2999514359320917E-2</v>
      </c>
      <c r="C19" s="3">
        <f t="shared" ref="C19:F19" si="4">C3/C14</f>
        <v>4.7793787109896874E-2</v>
      </c>
      <c r="D19" s="3">
        <f t="shared" si="4"/>
        <v>2.5689551450863945E-2</v>
      </c>
      <c r="E19" s="3">
        <f t="shared" si="4"/>
        <v>6.4945294697714817E-2</v>
      </c>
      <c r="F19" s="24">
        <f t="shared" si="4"/>
        <v>4.0814037538323536E-2</v>
      </c>
      <c r="G19" s="29">
        <v>0.04</v>
      </c>
      <c r="H19" s="29">
        <v>0.04</v>
      </c>
      <c r="I19" s="29">
        <v>0.04</v>
      </c>
      <c r="J19" s="29">
        <v>0.04</v>
      </c>
      <c r="K19" s="29">
        <v>0.04</v>
      </c>
      <c r="L19" t="s">
        <v>214</v>
      </c>
    </row>
    <row r="20" spans="1:12" x14ac:dyDescent="0.3">
      <c r="A20" s="1" t="s">
        <v>30</v>
      </c>
      <c r="B20" s="3">
        <f>B4/B14</f>
        <v>0.11672771419787044</v>
      </c>
      <c r="C20" s="3">
        <f t="shared" ref="C20:F20" si="5">C4/C14</f>
        <v>7.8903747841245833E-2</v>
      </c>
      <c r="D20" s="3">
        <f t="shared" si="5"/>
        <v>5.6228784463323959E-2</v>
      </c>
      <c r="E20" s="3">
        <f t="shared" si="5"/>
        <v>9.3134254173997844E-2</v>
      </c>
      <c r="F20" s="24">
        <f t="shared" si="5"/>
        <v>6.6708494099394361E-2</v>
      </c>
      <c r="G20" s="68">
        <f t="shared" ref="G20:K20" si="6">G18+G19</f>
        <v>0.06</v>
      </c>
      <c r="H20" s="20">
        <f t="shared" si="6"/>
        <v>0.06</v>
      </c>
      <c r="I20" s="20">
        <f t="shared" si="6"/>
        <v>0.06</v>
      </c>
      <c r="J20" s="20">
        <f t="shared" si="6"/>
        <v>0.06</v>
      </c>
      <c r="K20" s="20">
        <f t="shared" si="6"/>
        <v>0.06</v>
      </c>
    </row>
    <row r="21" spans="1:12" x14ac:dyDescent="0.3">
      <c r="A21" t="s">
        <v>28</v>
      </c>
      <c r="B21" s="3">
        <f>B5/B14</f>
        <v>7.1527067705263181E-2</v>
      </c>
      <c r="C21" s="3">
        <f t="shared" ref="C21:F21" si="7">C5/C14</f>
        <v>7.631848640479158E-2</v>
      </c>
      <c r="D21" s="3">
        <f t="shared" si="7"/>
        <v>5.5823937115135287E-2</v>
      </c>
      <c r="E21" s="3">
        <f t="shared" si="7"/>
        <v>7.2018033898231776E-2</v>
      </c>
      <c r="F21" s="24">
        <f t="shared" si="7"/>
        <v>9.5582486360127158E-2</v>
      </c>
      <c r="G21" s="29">
        <v>7.0000000000000007E-2</v>
      </c>
      <c r="H21" s="29">
        <v>7.0000000000000007E-2</v>
      </c>
      <c r="I21" s="29">
        <v>7.0000000000000007E-2</v>
      </c>
      <c r="J21" s="29">
        <v>7.0000000000000007E-2</v>
      </c>
      <c r="K21" s="29">
        <v>7.0000000000000007E-2</v>
      </c>
      <c r="L21" t="s">
        <v>215</v>
      </c>
    </row>
    <row r="22" spans="1:12" x14ac:dyDescent="0.3">
      <c r="A22" t="s">
        <v>27</v>
      </c>
      <c r="B22" s="3">
        <f>B6/B14</f>
        <v>0.16593689341677742</v>
      </c>
      <c r="C22" s="3">
        <f t="shared" ref="C22:F22" si="8">C6/C14</f>
        <v>0.15084014201395118</v>
      </c>
      <c r="D22" s="3">
        <f t="shared" si="8"/>
        <v>0.17683431831984142</v>
      </c>
      <c r="E22" s="3">
        <f t="shared" si="8"/>
        <v>0.18229397415831108</v>
      </c>
      <c r="F22" s="24">
        <f t="shared" si="8"/>
        <v>0.17869912461613671</v>
      </c>
      <c r="G22" s="29">
        <v>0.19</v>
      </c>
      <c r="H22" s="29">
        <v>0.18</v>
      </c>
      <c r="I22" s="29">
        <v>0.17</v>
      </c>
      <c r="J22" s="29">
        <v>0.17</v>
      </c>
      <c r="K22" s="29">
        <v>0.16</v>
      </c>
      <c r="L22" t="s">
        <v>216</v>
      </c>
    </row>
    <row r="23" spans="1:12" x14ac:dyDescent="0.3">
      <c r="A23" s="1" t="s">
        <v>29</v>
      </c>
      <c r="B23" s="3">
        <f>B7/B14</f>
        <v>0.2473396064894671</v>
      </c>
      <c r="C23" s="3">
        <f t="shared" ref="C23:F23" si="9">C7/C14</f>
        <v>0.23288258467449005</v>
      </c>
      <c r="D23" s="3">
        <f t="shared" si="9"/>
        <v>0.23870014583938079</v>
      </c>
      <c r="E23" s="3">
        <f t="shared" si="9"/>
        <v>0.26455957759237936</v>
      </c>
      <c r="F23" s="24">
        <f t="shared" si="9"/>
        <v>0.28280347034643238</v>
      </c>
      <c r="G23" s="68">
        <f>G21+G22</f>
        <v>0.26</v>
      </c>
      <c r="H23" s="20">
        <f t="shared" ref="H23:K23" si="10">H21+H22</f>
        <v>0.25</v>
      </c>
      <c r="I23" s="20">
        <f t="shared" si="10"/>
        <v>0.24000000000000002</v>
      </c>
      <c r="J23" s="20">
        <f t="shared" si="10"/>
        <v>0.24000000000000002</v>
      </c>
      <c r="K23" s="20">
        <f t="shared" si="10"/>
        <v>0.23</v>
      </c>
    </row>
    <row r="24" spans="1:12" x14ac:dyDescent="0.3">
      <c r="F24" s="22"/>
    </row>
    <row r="25" spans="1:12" x14ac:dyDescent="0.3">
      <c r="F25" s="36"/>
    </row>
    <row r="26" spans="1:12" s="1" customFormat="1" x14ac:dyDescent="0.3">
      <c r="A26" s="1" t="s">
        <v>204</v>
      </c>
      <c r="B26" s="1">
        <v>2013</v>
      </c>
      <c r="C26" s="1">
        <v>2014</v>
      </c>
      <c r="D26" s="1">
        <v>2015</v>
      </c>
      <c r="E26" s="1">
        <v>2016</v>
      </c>
      <c r="F26" s="21">
        <v>2017</v>
      </c>
    </row>
    <row r="27" spans="1:12" s="95" customFormat="1" x14ac:dyDescent="0.3">
      <c r="A27" s="95" t="s">
        <v>205</v>
      </c>
      <c r="B27" s="95">
        <v>23009989</v>
      </c>
      <c r="C27" s="95">
        <v>28584812</v>
      </c>
      <c r="D27" s="95">
        <v>36268092</v>
      </c>
      <c r="E27" s="95">
        <v>45510666</v>
      </c>
      <c r="F27" s="96">
        <v>55347711</v>
      </c>
    </row>
    <row r="28" spans="1:12" x14ac:dyDescent="0.3">
      <c r="F28" s="22"/>
    </row>
    <row r="29" spans="1:12" x14ac:dyDescent="0.3">
      <c r="F29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53FD4-637A-4644-86FC-A642BAC96299}">
  <dimension ref="A1:M52"/>
  <sheetViews>
    <sheetView topLeftCell="D31" workbookViewId="0">
      <selection activeCell="A43" sqref="A43:F48"/>
    </sheetView>
  </sheetViews>
  <sheetFormatPr defaultRowHeight="14.4" x14ac:dyDescent="0.3"/>
  <cols>
    <col min="1" max="1" width="26.77734375" customWidth="1"/>
    <col min="2" max="2" width="15.6640625" bestFit="1" customWidth="1"/>
    <col min="3" max="3" width="12.6640625" customWidth="1"/>
    <col min="4" max="4" width="15.44140625" customWidth="1"/>
    <col min="5" max="5" width="14.5546875" customWidth="1"/>
    <col min="6" max="6" width="15.77734375" customWidth="1"/>
    <col min="7" max="7" width="15.5546875" bestFit="1" customWidth="1"/>
    <col min="8" max="8" width="12.88671875" customWidth="1"/>
    <col min="9" max="9" width="13.33203125" customWidth="1"/>
    <col min="10" max="10" width="13.44140625" customWidth="1"/>
    <col min="11" max="11" width="13.21875" customWidth="1"/>
  </cols>
  <sheetData>
    <row r="1" spans="1:13" s="1" customFormat="1" x14ac:dyDescent="0.3">
      <c r="A1" s="1" t="s">
        <v>39</v>
      </c>
      <c r="B1" s="1">
        <v>2013</v>
      </c>
      <c r="C1" s="1">
        <v>2014</v>
      </c>
      <c r="D1" s="1">
        <v>2015</v>
      </c>
      <c r="E1" s="1">
        <v>2016</v>
      </c>
      <c r="F1" s="21">
        <v>2017</v>
      </c>
      <c r="G1" s="1">
        <v>2018</v>
      </c>
      <c r="H1" s="1">
        <v>2019</v>
      </c>
      <c r="I1" s="1">
        <v>2020</v>
      </c>
      <c r="J1" s="1">
        <v>2021</v>
      </c>
      <c r="K1" s="1">
        <v>2022</v>
      </c>
      <c r="M1" s="1" t="s">
        <v>158</v>
      </c>
    </row>
    <row r="2" spans="1:13" s="95" customFormat="1" x14ac:dyDescent="0.3">
      <c r="A2" s="95" t="s">
        <v>34</v>
      </c>
      <c r="B2" s="95">
        <v>193557</v>
      </c>
      <c r="C2" s="95">
        <v>2509077</v>
      </c>
      <c r="D2" s="95">
        <v>3683044</v>
      </c>
      <c r="E2" s="95">
        <v>-647140</v>
      </c>
      <c r="F2" s="96">
        <v>3881874</v>
      </c>
      <c r="G2" s="101">
        <f>G10*FCF!G6</f>
        <v>4907814.1685999995</v>
      </c>
      <c r="H2" s="95">
        <f>H10*FCF!H6</f>
        <v>3653983.1459880006</v>
      </c>
      <c r="I2" s="95">
        <f>I10*FCF!I6</f>
        <v>4011492.8856618013</v>
      </c>
      <c r="J2" s="95">
        <f>J10*FCF!J6</f>
        <v>2144492.0930948136</v>
      </c>
      <c r="K2" s="95">
        <f>K10*FCF!K6</f>
        <v>2292867.1088404879</v>
      </c>
    </row>
    <row r="3" spans="1:13" s="95" customFormat="1" x14ac:dyDescent="0.3">
      <c r="A3" s="95" t="s">
        <v>35</v>
      </c>
      <c r="B3" s="95">
        <v>-307473</v>
      </c>
      <c r="C3" s="95">
        <v>1398446</v>
      </c>
      <c r="D3" s="95">
        <v>-242047</v>
      </c>
      <c r="E3" s="95">
        <v>4301951</v>
      </c>
      <c r="F3" s="96">
        <v>2407626</v>
      </c>
      <c r="G3" s="101">
        <f>AKTIVA!G6-AKTIVA!F6</f>
        <v>2179903.7868000045</v>
      </c>
      <c r="H3" s="95">
        <f>AKTIVA!H6-AKTIVA!G6</f>
        <v>847757.66212200001</v>
      </c>
      <c r="I3" s="95">
        <f>AKTIVA!I6-AKTIVA!H6</f>
        <v>318066.86504879966</v>
      </c>
      <c r="J3" s="95">
        <f>AKTIVA!J6-AKTIVA!I6</f>
        <v>1664947.8031669557</v>
      </c>
      <c r="K3" s="95">
        <f>AKTIVA!K6-AKTIVA!J6</f>
        <v>1780500.1889480948</v>
      </c>
    </row>
    <row r="4" spans="1:13" s="95" customFormat="1" x14ac:dyDescent="0.3">
      <c r="A4" s="95" t="s">
        <v>36</v>
      </c>
      <c r="B4" s="95">
        <v>633442</v>
      </c>
      <c r="C4" s="95">
        <v>42080</v>
      </c>
      <c r="D4" s="95">
        <v>5432961</v>
      </c>
      <c r="E4" s="95">
        <v>3762408</v>
      </c>
      <c r="F4" s="96">
        <v>2612359</v>
      </c>
      <c r="G4" s="101">
        <f>G12*FCF!G6</f>
        <v>5235001.77984</v>
      </c>
      <c r="H4" s="95">
        <f>H12*FCF!H6</f>
        <v>5480974.7189820008</v>
      </c>
      <c r="I4" s="95">
        <f>I12*FCF!I6</f>
        <v>6017239.3284927011</v>
      </c>
      <c r="J4" s="95">
        <f>J12*FCF!J6</f>
        <v>6433476.27928444</v>
      </c>
      <c r="K4" s="95">
        <f>K12*FCF!K6</f>
        <v>6878601.3265214637</v>
      </c>
    </row>
    <row r="5" spans="1:13" s="95" customFormat="1" x14ac:dyDescent="0.3">
      <c r="A5" s="95" t="s">
        <v>38</v>
      </c>
      <c r="B5" s="95">
        <f>-1617+9989</f>
        <v>8372</v>
      </c>
      <c r="C5" s="95">
        <f>13660-251200</f>
        <v>-237540</v>
      </c>
      <c r="D5" s="95">
        <f>1336900+558045</f>
        <v>1894945</v>
      </c>
      <c r="E5" s="95">
        <f>-487798+439469</f>
        <v>-48329</v>
      </c>
      <c r="F5" s="96">
        <f>-443955+21765</f>
        <v>-422190</v>
      </c>
      <c r="G5" s="101">
        <f>G13*FCF!G6</f>
        <v>0</v>
      </c>
      <c r="H5" s="95">
        <f>H13*FCF!H6</f>
        <v>0</v>
      </c>
      <c r="I5" s="95">
        <f>I13*FCF!I6</f>
        <v>0</v>
      </c>
      <c r="J5" s="95">
        <f>J13*FCF!J6</f>
        <v>0</v>
      </c>
      <c r="K5" s="95">
        <f>K13*FCF!K6</f>
        <v>0</v>
      </c>
    </row>
    <row r="6" spans="1:13" s="113" customFormat="1" x14ac:dyDescent="0.3">
      <c r="A6" s="113" t="s">
        <v>37</v>
      </c>
      <c r="B6" s="113">
        <f>B2+B3-B4-B5</f>
        <v>-755730</v>
      </c>
      <c r="C6" s="113">
        <f t="shared" ref="C6:K6" si="0">C2+C3-C4-C5</f>
        <v>4102983</v>
      </c>
      <c r="D6" s="113">
        <f t="shared" si="0"/>
        <v>-3886909</v>
      </c>
      <c r="E6" s="113">
        <f t="shared" si="0"/>
        <v>-59268</v>
      </c>
      <c r="F6" s="114">
        <f t="shared" si="0"/>
        <v>4099331</v>
      </c>
      <c r="G6" s="115">
        <f t="shared" si="0"/>
        <v>1852716.1755600041</v>
      </c>
      <c r="H6" s="113">
        <f t="shared" si="0"/>
        <v>-979233.91087200027</v>
      </c>
      <c r="I6" s="113">
        <f t="shared" si="0"/>
        <v>-1687679.5777821001</v>
      </c>
      <c r="J6" s="113">
        <f t="shared" si="0"/>
        <v>-2624036.3830226706</v>
      </c>
      <c r="K6" s="113">
        <f t="shared" si="0"/>
        <v>-2805234.0287328809</v>
      </c>
    </row>
    <row r="7" spans="1:13" x14ac:dyDescent="0.3">
      <c r="A7" s="4"/>
      <c r="F7" s="22"/>
    </row>
    <row r="8" spans="1:13" x14ac:dyDescent="0.3">
      <c r="F8" s="22"/>
    </row>
    <row r="9" spans="1:13" s="1" customFormat="1" x14ac:dyDescent="0.3">
      <c r="A9" s="5" t="s">
        <v>41</v>
      </c>
      <c r="B9" s="1">
        <v>2013</v>
      </c>
      <c r="C9" s="1">
        <v>2014</v>
      </c>
      <c r="D9" s="1">
        <v>2015</v>
      </c>
      <c r="E9" s="1">
        <v>2016</v>
      </c>
      <c r="F9" s="21">
        <v>2017</v>
      </c>
      <c r="G9" s="1">
        <v>2018</v>
      </c>
      <c r="H9" s="1">
        <v>2019</v>
      </c>
      <c r="I9" s="1">
        <v>2020</v>
      </c>
      <c r="J9" s="1">
        <v>2021</v>
      </c>
      <c r="K9" s="1">
        <v>2022</v>
      </c>
    </row>
    <row r="10" spans="1:13" x14ac:dyDescent="0.3">
      <c r="A10" t="s">
        <v>34</v>
      </c>
      <c r="B10" s="3">
        <f>B2/B19</f>
        <v>2.2279960398241473E-3</v>
      </c>
      <c r="C10" s="3">
        <f t="shared" ref="C10:F10" si="1">C2/C19</f>
        <v>2.6130122537974136E-2</v>
      </c>
      <c r="D10" s="3">
        <f t="shared" si="1"/>
        <v>3.2901665894265436E-2</v>
      </c>
      <c r="E10" s="3">
        <f t="shared" si="1"/>
        <v>-5.0707958368573424E-3</v>
      </c>
      <c r="F10" s="24">
        <f t="shared" si="1"/>
        <v>2.6495064987228173E-2</v>
      </c>
      <c r="G10" s="29">
        <v>0.03</v>
      </c>
      <c r="H10" s="29">
        <v>0.02</v>
      </c>
      <c r="I10" s="29">
        <v>0.02</v>
      </c>
      <c r="J10" s="29">
        <v>0.01</v>
      </c>
      <c r="K10" s="29">
        <v>0.01</v>
      </c>
      <c r="L10" t="s">
        <v>160</v>
      </c>
    </row>
    <row r="11" spans="1:13" x14ac:dyDescent="0.3">
      <c r="A11" s="4" t="s">
        <v>35</v>
      </c>
      <c r="B11" s="3">
        <f>B3/B19</f>
        <v>-3.5392604057350031E-3</v>
      </c>
      <c r="C11" s="3">
        <f t="shared" ref="C11:F11" si="2">C3/C19</f>
        <v>1.4563748080564995E-2</v>
      </c>
      <c r="D11" s="3">
        <f t="shared" si="2"/>
        <v>-2.1622737943693495E-3</v>
      </c>
      <c r="E11" s="3">
        <f t="shared" si="2"/>
        <v>3.3708803691881631E-2</v>
      </c>
      <c r="F11" s="24">
        <f t="shared" si="2"/>
        <v>1.6432838194887372E-2</v>
      </c>
      <c r="G11" s="62">
        <f>G3/FCF!G6</f>
        <v>1.3325099801538589E-2</v>
      </c>
      <c r="H11" s="3">
        <f>H3/FCF!H6</f>
        <v>4.6401837570204489E-3</v>
      </c>
      <c r="I11" s="3">
        <f>I3/FCF!I6</f>
        <v>1.5857780338370271E-3</v>
      </c>
      <c r="J11" s="3">
        <f>J3/FCF!J6</f>
        <v>7.7638327906548454E-3</v>
      </c>
      <c r="K11" s="3">
        <f>K3/FCF!K6</f>
        <v>7.7653876322928321E-3</v>
      </c>
    </row>
    <row r="12" spans="1:13" x14ac:dyDescent="0.3">
      <c r="A12" s="4" t="s">
        <v>36</v>
      </c>
      <c r="B12" s="3">
        <f>B4/B19</f>
        <v>7.2914245801406685E-3</v>
      </c>
      <c r="C12" s="3">
        <f t="shared" ref="C12:F12" si="3">C4/C19</f>
        <v>4.3823109310633018E-4</v>
      </c>
      <c r="D12" s="3">
        <f t="shared" si="3"/>
        <v>4.8534165662580807E-2</v>
      </c>
      <c r="E12" s="3">
        <f t="shared" si="3"/>
        <v>2.9481105824023794E-2</v>
      </c>
      <c r="F12" s="24">
        <f t="shared" si="3"/>
        <v>1.7830208161050669E-2</v>
      </c>
      <c r="G12" s="29">
        <v>3.2000000000000001E-2</v>
      </c>
      <c r="H12" s="29">
        <v>0.03</v>
      </c>
      <c r="I12" s="29">
        <v>0.03</v>
      </c>
      <c r="J12" s="29">
        <v>0.03</v>
      </c>
      <c r="K12" s="29">
        <v>0.03</v>
      </c>
      <c r="L12" t="s">
        <v>159</v>
      </c>
    </row>
    <row r="13" spans="1:13" x14ac:dyDescent="0.3">
      <c r="A13" s="4" t="s">
        <v>38</v>
      </c>
      <c r="B13" s="3">
        <f>B5/B19</f>
        <v>9.636842297311779E-5</v>
      </c>
      <c r="C13" s="3">
        <f t="shared" ref="C13:F13" si="4">C5/C19</f>
        <v>-2.4737978578060283E-3</v>
      </c>
      <c r="D13" s="3">
        <f t="shared" si="4"/>
        <v>1.6928075602140193E-2</v>
      </c>
      <c r="E13" s="3">
        <f t="shared" si="4"/>
        <v>-3.7869161541471475E-4</v>
      </c>
      <c r="F13" s="24">
        <f t="shared" si="4"/>
        <v>-2.8815854113136753E-3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</row>
    <row r="14" spans="1:13" s="1" customFormat="1" x14ac:dyDescent="0.3">
      <c r="A14" s="5" t="s">
        <v>40</v>
      </c>
      <c r="B14" s="6">
        <f>B6/B19</f>
        <v>-8.6990573690246421E-3</v>
      </c>
      <c r="C14" s="6">
        <f t="shared" ref="C14:F14" si="5">C6/C19</f>
        <v>4.2729437383238832E-2</v>
      </c>
      <c r="D14" s="6">
        <f t="shared" si="5"/>
        <v>-3.4722849164824904E-2</v>
      </c>
      <c r="E14" s="6">
        <f t="shared" si="5"/>
        <v>-4.6440635358478992E-4</v>
      </c>
      <c r="F14" s="25">
        <f t="shared" si="5"/>
        <v>2.7979280432378548E-2</v>
      </c>
      <c r="G14" s="133">
        <f>G6/FCF!G6</f>
        <v>1.1325099801538585E-2</v>
      </c>
      <c r="H14" s="6">
        <f>H6/FCF!H6</f>
        <v>-5.3598162429795513E-3</v>
      </c>
      <c r="I14" s="6">
        <f>I6/FCF!I6</f>
        <v>-8.4142219661629686E-3</v>
      </c>
      <c r="J14" s="6">
        <f>J6/FCF!J6</f>
        <v>-1.2236167209345152E-2</v>
      </c>
      <c r="K14" s="6">
        <f>K6/FCF!K6</f>
        <v>-1.2234612367707167E-2</v>
      </c>
    </row>
    <row r="15" spans="1:13" x14ac:dyDescent="0.3">
      <c r="F15" s="22"/>
    </row>
    <row r="16" spans="1:13" x14ac:dyDescent="0.3">
      <c r="A16" s="1" t="s">
        <v>3</v>
      </c>
      <c r="B16" s="1">
        <v>2013</v>
      </c>
      <c r="C16" s="1">
        <v>2014</v>
      </c>
      <c r="D16" s="1">
        <v>2015</v>
      </c>
      <c r="E16" s="1">
        <v>2016</v>
      </c>
      <c r="F16" s="21">
        <v>2017</v>
      </c>
      <c r="G16" s="1"/>
      <c r="H16" s="1"/>
      <c r="I16" s="1"/>
      <c r="J16" s="1"/>
      <c r="K16" s="1"/>
    </row>
    <row r="17" spans="1:12" s="95" customFormat="1" x14ac:dyDescent="0.3">
      <c r="A17" s="95" t="s">
        <v>0</v>
      </c>
      <c r="B17" s="95">
        <v>83764805</v>
      </c>
      <c r="C17" s="95">
        <v>92337092</v>
      </c>
      <c r="D17" s="95">
        <v>105932291</v>
      </c>
      <c r="E17" s="95">
        <v>120997840</v>
      </c>
      <c r="F17" s="96">
        <v>139357926</v>
      </c>
    </row>
    <row r="18" spans="1:12" s="95" customFormat="1" x14ac:dyDescent="0.3">
      <c r="A18" s="95" t="s">
        <v>1</v>
      </c>
      <c r="B18" s="95">
        <f>1262977+1685332+161816</f>
        <v>3110125</v>
      </c>
      <c r="C18" s="95">
        <f>1162820+2290650+231835</f>
        <v>3685305</v>
      </c>
      <c r="D18" s="95">
        <f>1043412+4437933+527322</f>
        <v>6008667</v>
      </c>
      <c r="E18" s="95">
        <v>6623153</v>
      </c>
      <c r="F18" s="96">
        <v>7155170</v>
      </c>
    </row>
    <row r="19" spans="1:12" s="95" customFormat="1" x14ac:dyDescent="0.3">
      <c r="A19" s="97" t="s">
        <v>2</v>
      </c>
      <c r="B19" s="97">
        <f>B17+B18</f>
        <v>86874930</v>
      </c>
      <c r="C19" s="97">
        <f t="shared" ref="C19:F19" si="6">C17+C18</f>
        <v>96022397</v>
      </c>
      <c r="D19" s="97">
        <f t="shared" si="6"/>
        <v>111940958</v>
      </c>
      <c r="E19" s="97">
        <f t="shared" si="6"/>
        <v>127620993</v>
      </c>
      <c r="F19" s="98">
        <f t="shared" si="6"/>
        <v>146513096</v>
      </c>
    </row>
    <row r="20" spans="1:12" x14ac:dyDescent="0.3">
      <c r="F20" s="22"/>
    </row>
    <row r="21" spans="1:12" x14ac:dyDescent="0.3">
      <c r="F21" s="22"/>
    </row>
    <row r="22" spans="1:12" x14ac:dyDescent="0.3">
      <c r="F22" s="22"/>
    </row>
    <row r="23" spans="1:12" s="1" customFormat="1" x14ac:dyDescent="0.3">
      <c r="A23" s="54" t="s">
        <v>42</v>
      </c>
      <c r="B23" s="1">
        <v>2013</v>
      </c>
      <c r="C23" s="1">
        <v>2014</v>
      </c>
      <c r="D23" s="1">
        <v>2015</v>
      </c>
      <c r="E23" s="1">
        <v>2016</v>
      </c>
      <c r="F23" s="21">
        <v>2017</v>
      </c>
      <c r="G23" s="1">
        <v>2018</v>
      </c>
      <c r="H23" s="1">
        <v>2019</v>
      </c>
      <c r="I23" s="1">
        <v>2020</v>
      </c>
      <c r="J23" s="1">
        <v>2021</v>
      </c>
      <c r="K23" s="1">
        <v>2022</v>
      </c>
    </row>
    <row r="24" spans="1:12" s="95" customFormat="1" x14ac:dyDescent="0.3">
      <c r="A24" s="95" t="s">
        <v>45</v>
      </c>
      <c r="B24" s="95">
        <v>38833</v>
      </c>
      <c r="C24" s="95">
        <v>0</v>
      </c>
      <c r="D24" s="95">
        <v>232554</v>
      </c>
      <c r="E24" s="95">
        <v>0</v>
      </c>
      <c r="F24" s="96">
        <v>0</v>
      </c>
      <c r="G24" s="101">
        <f>G32*FCF!G6</f>
        <v>0</v>
      </c>
      <c r="H24" s="95">
        <f>H32*FCF!H6</f>
        <v>0</v>
      </c>
      <c r="I24" s="95">
        <f>I32*FCF!I6</f>
        <v>0</v>
      </c>
      <c r="J24" s="95">
        <f>J32*FCF!J6</f>
        <v>0</v>
      </c>
      <c r="K24" s="95">
        <f>K32*FCF!K6</f>
        <v>0</v>
      </c>
    </row>
    <row r="25" spans="1:12" s="95" customFormat="1" x14ac:dyDescent="0.3">
      <c r="A25" s="95" t="s">
        <v>44</v>
      </c>
      <c r="B25" s="95">
        <v>2747719</v>
      </c>
      <c r="C25" s="95">
        <v>5973615</v>
      </c>
      <c r="D25" s="95">
        <v>10869683</v>
      </c>
      <c r="E25" s="95">
        <v>24581401</v>
      </c>
      <c r="F25" s="96">
        <v>16697295</v>
      </c>
      <c r="G25" s="101">
        <f>G33*FCF!G6</f>
        <v>17995318.6182</v>
      </c>
      <c r="H25" s="95">
        <f>H33*FCF!H6</f>
        <v>18269915.729940005</v>
      </c>
      <c r="I25" s="95">
        <f>I33*FCF!I6</f>
        <v>16045971.542647205</v>
      </c>
      <c r="J25" s="95">
        <f>J33*FCF!J6</f>
        <v>15011444.651663696</v>
      </c>
      <c r="K25" s="95">
        <f>K33*FCF!K6</f>
        <v>16050069.761883417</v>
      </c>
    </row>
    <row r="26" spans="1:12" s="95" customFormat="1" x14ac:dyDescent="0.3">
      <c r="A26" s="95" t="s">
        <v>46</v>
      </c>
      <c r="B26" s="95">
        <v>0</v>
      </c>
      <c r="C26" s="95">
        <v>29300</v>
      </c>
      <c r="D26" s="95">
        <v>0</v>
      </c>
      <c r="E26" s="95">
        <v>199247</v>
      </c>
      <c r="F26" s="96">
        <v>80067</v>
      </c>
      <c r="G26" s="101">
        <f>G34*FCF!G6</f>
        <v>0</v>
      </c>
      <c r="H26" s="95">
        <f>H34*FCF!H6</f>
        <v>0</v>
      </c>
      <c r="I26" s="95">
        <f>I34*FCF!I6</f>
        <v>0</v>
      </c>
      <c r="J26" s="95">
        <f>J34*FCF!J6</f>
        <v>0</v>
      </c>
      <c r="K26" s="95">
        <f>K34*FCF!K6</f>
        <v>0</v>
      </c>
    </row>
    <row r="27" spans="1:12" s="95" customFormat="1" x14ac:dyDescent="0.3">
      <c r="A27" s="95" t="s">
        <v>47</v>
      </c>
      <c r="B27" s="95">
        <v>5566172</v>
      </c>
      <c r="C27" s="95">
        <v>5240166</v>
      </c>
      <c r="D27" s="95">
        <v>5430337</v>
      </c>
      <c r="E27" s="95">
        <v>6219574</v>
      </c>
      <c r="F27" s="96">
        <v>7405570</v>
      </c>
      <c r="G27" s="101">
        <f>FCF!G22</f>
        <v>5250713.1428138912</v>
      </c>
      <c r="H27" s="95">
        <f>FCF!H22</f>
        <v>6195194.7063888703</v>
      </c>
      <c r="I27" s="95">
        <f>FCF!I22</f>
        <v>7034058.0411740383</v>
      </c>
      <c r="J27" s="95">
        <f>FCF!J22</f>
        <v>7701782.2055994458</v>
      </c>
      <c r="K27" s="95">
        <f>FCF!K22</f>
        <v>8470575.0211308487</v>
      </c>
      <c r="L27" s="116"/>
    </row>
    <row r="28" spans="1:12" s="103" customFormat="1" x14ac:dyDescent="0.3">
      <c r="A28" s="103" t="s">
        <v>43</v>
      </c>
      <c r="B28" s="103">
        <f>-B24-B25+B26+B27</f>
        <v>2779620</v>
      </c>
      <c r="C28" s="103">
        <f t="shared" ref="C28:K28" si="7">-C24-C25+C26+C27</f>
        <v>-704149</v>
      </c>
      <c r="D28" s="103">
        <f t="shared" si="7"/>
        <v>-5671900</v>
      </c>
      <c r="E28" s="103">
        <f t="shared" si="7"/>
        <v>-18162580</v>
      </c>
      <c r="F28" s="104">
        <f t="shared" si="7"/>
        <v>-9211658</v>
      </c>
      <c r="G28" s="117">
        <f t="shared" si="7"/>
        <v>-12744605.475386109</v>
      </c>
      <c r="H28" s="103">
        <f t="shared" si="7"/>
        <v>-12074721.023551134</v>
      </c>
      <c r="I28" s="103">
        <f t="shared" si="7"/>
        <v>-9011913.501473166</v>
      </c>
      <c r="J28" s="103">
        <f t="shared" si="7"/>
        <v>-7309662.4460642505</v>
      </c>
      <c r="K28" s="103">
        <f t="shared" si="7"/>
        <v>-7579494.7407525685</v>
      </c>
    </row>
    <row r="29" spans="1:12" x14ac:dyDescent="0.3">
      <c r="F29" s="22"/>
    </row>
    <row r="30" spans="1:12" x14ac:dyDescent="0.3">
      <c r="F30" s="22"/>
    </row>
    <row r="31" spans="1:12" s="1" customFormat="1" x14ac:dyDescent="0.3">
      <c r="A31" s="1" t="s">
        <v>48</v>
      </c>
      <c r="B31" s="1">
        <v>2013</v>
      </c>
      <c r="C31" s="1">
        <v>2014</v>
      </c>
      <c r="D31" s="1">
        <v>2015</v>
      </c>
      <c r="E31" s="1">
        <v>2016</v>
      </c>
      <c r="F31" s="21">
        <v>2017</v>
      </c>
      <c r="G31" s="1">
        <v>2018</v>
      </c>
      <c r="H31" s="1">
        <v>2019</v>
      </c>
      <c r="I31" s="1">
        <v>2020</v>
      </c>
      <c r="J31" s="1">
        <v>2021</v>
      </c>
      <c r="K31" s="1">
        <v>2022</v>
      </c>
    </row>
    <row r="32" spans="1:12" x14ac:dyDescent="0.3">
      <c r="A32" s="4" t="s">
        <v>45</v>
      </c>
      <c r="B32" s="3">
        <f>B24/B19</f>
        <v>4.4699892132287188E-4</v>
      </c>
      <c r="C32" s="3">
        <f t="shared" ref="C32:F32" si="8">C24/C19</f>
        <v>0</v>
      </c>
      <c r="D32" s="3">
        <f t="shared" si="8"/>
        <v>2.0774701606537977E-3</v>
      </c>
      <c r="E32" s="3">
        <f t="shared" si="8"/>
        <v>0</v>
      </c>
      <c r="F32" s="24">
        <f t="shared" si="8"/>
        <v>0</v>
      </c>
      <c r="G32" s="59">
        <v>0</v>
      </c>
      <c r="H32" s="59">
        <v>0</v>
      </c>
      <c r="I32" s="59">
        <v>0</v>
      </c>
      <c r="J32" s="59">
        <v>0</v>
      </c>
      <c r="K32" s="59">
        <v>0</v>
      </c>
    </row>
    <row r="33" spans="1:11" x14ac:dyDescent="0.3">
      <c r="A33" s="4" t="s">
        <v>44</v>
      </c>
      <c r="B33" s="3">
        <f>B25/B19</f>
        <v>3.1628445628675617E-2</v>
      </c>
      <c r="C33" s="3">
        <f t="shared" ref="C33:F33" si="9">C25/C19</f>
        <v>6.2210642377527818E-2</v>
      </c>
      <c r="D33" s="3">
        <f t="shared" si="9"/>
        <v>9.7101929393886371E-2</v>
      </c>
      <c r="E33" s="3">
        <f t="shared" si="9"/>
        <v>0.19261251947788871</v>
      </c>
      <c r="F33" s="24">
        <f t="shared" si="9"/>
        <v>0.11396452232502137</v>
      </c>
      <c r="G33" s="61">
        <f>'STARE AMORT. IN INVEST.'!G66</f>
        <v>0.11</v>
      </c>
      <c r="H33" s="59">
        <f>'STARE AMORT. IN INVEST.'!H66</f>
        <v>0.1</v>
      </c>
      <c r="I33" s="59">
        <f>'STARE AMORT. IN INVEST.'!I66</f>
        <v>0.08</v>
      </c>
      <c r="J33" s="59">
        <f>'STARE AMORT. IN INVEST.'!J66</f>
        <v>7.0000000000000007E-2</v>
      </c>
      <c r="K33" s="59">
        <f>'STARE AMORT. IN INVEST.'!K66</f>
        <v>7.0000000000000007E-2</v>
      </c>
    </row>
    <row r="34" spans="1:11" x14ac:dyDescent="0.3">
      <c r="A34" s="4" t="s">
        <v>46</v>
      </c>
      <c r="B34" s="3">
        <f>B26/B19</f>
        <v>0</v>
      </c>
      <c r="C34" s="3">
        <f t="shared" ref="C34:F34" si="10">C26/C19</f>
        <v>3.0513714420188863E-4</v>
      </c>
      <c r="D34" s="3">
        <f t="shared" si="10"/>
        <v>0</v>
      </c>
      <c r="E34" s="3">
        <f t="shared" si="10"/>
        <v>1.5612400069634311E-3</v>
      </c>
      <c r="F34" s="24">
        <f t="shared" si="10"/>
        <v>5.4648357168017255E-4</v>
      </c>
      <c r="G34" s="20">
        <v>0</v>
      </c>
      <c r="H34" s="20">
        <v>0</v>
      </c>
      <c r="I34" s="20">
        <v>0</v>
      </c>
      <c r="J34" s="20">
        <v>0</v>
      </c>
      <c r="K34" s="20">
        <v>0</v>
      </c>
    </row>
    <row r="35" spans="1:11" x14ac:dyDescent="0.3">
      <c r="A35" s="4" t="s">
        <v>47</v>
      </c>
      <c r="B35" s="3">
        <f>B27/B19</f>
        <v>6.4071096229948041E-2</v>
      </c>
      <c r="C35" s="3">
        <f t="shared" ref="C35:F35" si="11">C27/C19</f>
        <v>5.4572330661564299E-2</v>
      </c>
      <c r="D35" s="3">
        <f t="shared" si="11"/>
        <v>4.8510724734015589E-2</v>
      </c>
      <c r="E35" s="3">
        <f t="shared" si="11"/>
        <v>4.8734725015029463E-2</v>
      </c>
      <c r="F35" s="24">
        <f t="shared" si="11"/>
        <v>5.0545447486823977E-2</v>
      </c>
      <c r="G35" s="59">
        <f>FCF!G37</f>
        <v>3.2096038862317232E-2</v>
      </c>
      <c r="H35" s="59">
        <f>FCF!H37</f>
        <v>3.3909268099340133E-2</v>
      </c>
      <c r="I35" s="59">
        <f>FCF!I37</f>
        <v>3.5069527687887625E-2</v>
      </c>
      <c r="J35" s="59">
        <f>FCF!J37</f>
        <v>3.5914248555165597E-2</v>
      </c>
      <c r="K35" s="59">
        <f>FCF!K37</f>
        <v>3.6943157274450383E-2</v>
      </c>
    </row>
    <row r="36" spans="1:11" x14ac:dyDescent="0.3">
      <c r="A36" s="1" t="s">
        <v>43</v>
      </c>
      <c r="B36" s="3">
        <f>B28/B19</f>
        <v>3.1995651679949555E-2</v>
      </c>
      <c r="C36" s="3">
        <f t="shared" ref="C36:F36" si="12">C28/C19</f>
        <v>-7.3331745717616272E-3</v>
      </c>
      <c r="D36" s="3">
        <f t="shared" si="12"/>
        <v>-5.0668674820524583E-2</v>
      </c>
      <c r="E36" s="3">
        <f t="shared" si="12"/>
        <v>-0.14231655445589583</v>
      </c>
      <c r="F36" s="24">
        <f t="shared" si="12"/>
        <v>-6.287259126651723E-2</v>
      </c>
      <c r="G36" s="62">
        <f>G28/FCF!G6</f>
        <v>-7.7903961137682762E-2</v>
      </c>
      <c r="H36" s="3">
        <f>H28/FCF!H6</f>
        <v>-6.609073190065988E-2</v>
      </c>
      <c r="I36" s="3">
        <f>I28/FCF!I6</f>
        <v>-4.4930472312112377E-2</v>
      </c>
      <c r="J36" s="3">
        <f>J28/FCF!J6</f>
        <v>-3.408575144483441E-2</v>
      </c>
      <c r="K36" s="3">
        <f>K28/FCF!K6</f>
        <v>-3.3056842725549623E-2</v>
      </c>
    </row>
    <row r="37" spans="1:11" x14ac:dyDescent="0.3">
      <c r="F37" s="22"/>
    </row>
    <row r="38" spans="1:11" x14ac:dyDescent="0.3">
      <c r="F38" s="22"/>
    </row>
    <row r="39" spans="1:11" s="1" customFormat="1" x14ac:dyDescent="0.3">
      <c r="A39" s="54" t="s">
        <v>162</v>
      </c>
      <c r="B39" s="1">
        <v>2013</v>
      </c>
      <c r="C39" s="1">
        <v>2014</v>
      </c>
      <c r="D39" s="1">
        <v>2015</v>
      </c>
      <c r="E39" s="1">
        <v>2016</v>
      </c>
      <c r="F39" s="21">
        <v>2017</v>
      </c>
      <c r="G39" s="1">
        <v>2018</v>
      </c>
      <c r="H39" s="1">
        <v>2019</v>
      </c>
      <c r="I39" s="1">
        <v>2020</v>
      </c>
      <c r="J39" s="1">
        <v>2021</v>
      </c>
      <c r="K39" s="1">
        <v>2022</v>
      </c>
    </row>
    <row r="40" spans="1:11" s="95" customFormat="1" x14ac:dyDescent="0.3">
      <c r="A40" s="95" t="s">
        <v>163</v>
      </c>
      <c r="B40" s="95">
        <f>AKTIVA!B6+AKTIVA!B3+AKTIVA!B8+AKTIVA!B9</f>
        <v>32428791</v>
      </c>
      <c r="C40" s="95">
        <f>AKTIVA!C6+AKTIVA!C3+AKTIVA!C8+AKTIVA!C9</f>
        <v>35792419</v>
      </c>
      <c r="D40" s="95">
        <f>AKTIVA!D6+AKTIVA!D3+AKTIVA!D8+AKTIVA!D9</f>
        <v>39872111</v>
      </c>
      <c r="E40" s="95">
        <f>AKTIVA!E6+AKTIVA!E3+AKTIVA!E8+AKTIVA!E9</f>
        <v>43280786</v>
      </c>
      <c r="F40" s="96">
        <f>AKTIVA!F6+AKTIVA!F3+AKTIVA!F8+AKTIVA!F9</f>
        <v>49132763</v>
      </c>
      <c r="G40" s="101">
        <f>AKTIVA!G6+AKTIVA!G3+AKTIVA!G8+AKTIVA!G9</f>
        <v>53985955.854600005</v>
      </c>
      <c r="H40" s="95">
        <f>AKTIVA!H6+AKTIVA!H3+AKTIVA!H8+AKTIVA!H9</f>
        <v>54809747.189820006</v>
      </c>
      <c r="I40" s="95">
        <f>AKTIVA!I6+AKTIVA!I3+AKTIVA!I8+AKTIVA!I9</f>
        <v>60172393.284927011</v>
      </c>
      <c r="J40" s="95">
        <f>AKTIVA!J6+AKTIVA!J3+AKTIVA!J8+AKTIVA!J9</f>
        <v>64334762.7928444</v>
      </c>
      <c r="K40" s="95">
        <f>AKTIVA!K6+AKTIVA!K3+AKTIVA!K8+AKTIVA!K9</f>
        <v>64200279.047533661</v>
      </c>
    </row>
    <row r="41" spans="1:11" s="118" customFormat="1" x14ac:dyDescent="0.3">
      <c r="A41" s="118" t="s">
        <v>164</v>
      </c>
      <c r="C41" s="118">
        <f>C40-B40</f>
        <v>3363628</v>
      </c>
      <c r="D41" s="118">
        <f t="shared" ref="D41:K41" si="13">D40-C40</f>
        <v>4079692</v>
      </c>
      <c r="E41" s="118">
        <f t="shared" si="13"/>
        <v>3408675</v>
      </c>
      <c r="F41" s="119">
        <f t="shared" si="13"/>
        <v>5851977</v>
      </c>
      <c r="G41" s="120">
        <f t="shared" si="13"/>
        <v>4853192.8546000049</v>
      </c>
      <c r="H41" s="118">
        <f t="shared" si="13"/>
        <v>823791.33522000164</v>
      </c>
      <c r="I41" s="118">
        <f t="shared" si="13"/>
        <v>5362646.095107004</v>
      </c>
      <c r="J41" s="118">
        <f t="shared" si="13"/>
        <v>4162369.5079173893</v>
      </c>
      <c r="K41" s="118">
        <f t="shared" si="13"/>
        <v>-134483.74531073868</v>
      </c>
    </row>
    <row r="42" spans="1:11" x14ac:dyDescent="0.3">
      <c r="F42" s="22"/>
    </row>
    <row r="43" spans="1:11" s="1" customFormat="1" x14ac:dyDescent="0.3">
      <c r="A43" s="1" t="s">
        <v>16</v>
      </c>
      <c r="B43" s="1">
        <v>2013</v>
      </c>
      <c r="C43" s="1">
        <v>2014</v>
      </c>
      <c r="D43" s="1">
        <v>2015</v>
      </c>
      <c r="E43" s="1">
        <v>2016</v>
      </c>
      <c r="F43" s="21">
        <v>2017</v>
      </c>
      <c r="G43" s="1">
        <v>2018</v>
      </c>
      <c r="H43" s="1">
        <v>2019</v>
      </c>
      <c r="I43" s="1">
        <v>2020</v>
      </c>
      <c r="J43" s="1">
        <v>2021</v>
      </c>
      <c r="K43" s="1">
        <v>2022</v>
      </c>
    </row>
    <row r="44" spans="1:11" s="95" customFormat="1" x14ac:dyDescent="0.3">
      <c r="A44" s="95" t="s">
        <v>163</v>
      </c>
      <c r="B44" s="95">
        <f>AKTIVA!B6+AKTIVA!B3+AKTIVA!B8+AKTIVA!B9-PASIVA!B6</f>
        <v>18013035</v>
      </c>
      <c r="C44" s="95">
        <f>AKTIVA!C6+AKTIVA!C3+AKTIVA!C8+AKTIVA!C9-PASIVA!C6</f>
        <v>21308387</v>
      </c>
      <c r="D44" s="95">
        <f>AKTIVA!D6+AKTIVA!D3+AKTIVA!D8+AKTIVA!D9-PASIVA!D6</f>
        <v>20077108</v>
      </c>
      <c r="E44" s="95">
        <f>AKTIVA!E6+AKTIVA!E3+AKTIVA!E8+AKTIVA!E9-PASIVA!E6</f>
        <v>20016248</v>
      </c>
      <c r="F44" s="96">
        <f>AKTIVA!F6+AKTIVA!F3+AKTIVA!F8+AKTIVA!F9-PASIVA!F6</f>
        <v>22951001</v>
      </c>
      <c r="G44" s="101">
        <f>AKTIVA!G6+AKTIVA!G3+AKTIVA!G8+AKTIVA!G9-PASIVA!G6</f>
        <v>22903132.786800005</v>
      </c>
      <c r="H44" s="95">
        <f>AKTIVA!H6+AKTIVA!H3+AKTIVA!H8+AKTIVA!H9-PASIVA!H6</f>
        <v>21923898.875928003</v>
      </c>
      <c r="I44" s="95">
        <f>AKTIVA!I6+AKTIVA!I3+AKTIVA!I8+AKTIVA!I9-PASIVA!I6</f>
        <v>26074703.756801702</v>
      </c>
      <c r="J44" s="95">
        <f>AKTIVA!J6+AKTIVA!J3+AKTIVA!J8+AKTIVA!J9-PASIVA!J6</f>
        <v>27878397.210232571</v>
      </c>
      <c r="K44" s="95">
        <f>AKTIVA!K6+AKTIVA!K3+AKTIVA!K8+AKTIVA!K9-PASIVA!K6</f>
        <v>27514405.306085855</v>
      </c>
    </row>
    <row r="45" spans="1:11" x14ac:dyDescent="0.3">
      <c r="A45" t="s">
        <v>265</v>
      </c>
      <c r="B45" s="3">
        <f>B44/FCF!B6</f>
        <v>0.20734445483869743</v>
      </c>
      <c r="C45" s="3">
        <f>C44/FCF!C6</f>
        <v>0.22191059237981739</v>
      </c>
      <c r="D45" s="3">
        <f>D44/FCF!D6</f>
        <v>0.17935444147261989</v>
      </c>
      <c r="E45" s="3">
        <f>E44/FCF!E6</f>
        <v>0.15684134349275905</v>
      </c>
      <c r="F45" s="24">
        <f>F44/FCF!F6</f>
        <v>0.15664811970119039</v>
      </c>
      <c r="G45" s="62">
        <f>G44/FCF!G6</f>
        <v>0.14000000000000001</v>
      </c>
      <c r="H45" s="3">
        <f>H44/FCF!H6</f>
        <v>0.12</v>
      </c>
      <c r="I45" s="3">
        <f>I44/FCF!I6</f>
        <v>0.12999999999999998</v>
      </c>
      <c r="J45" s="3">
        <f>J44/FCF!J6</f>
        <v>0.12999999999999998</v>
      </c>
      <c r="K45" s="3">
        <f>K44/FCF!K6</f>
        <v>0.12</v>
      </c>
    </row>
    <row r="46" spans="1:11" x14ac:dyDescent="0.3">
      <c r="A46" t="s">
        <v>227</v>
      </c>
      <c r="B46" s="20">
        <f>C45</f>
        <v>0.22191059237981739</v>
      </c>
      <c r="C46" s="20">
        <f t="shared" ref="C46:J46" si="14">D45</f>
        <v>0.17935444147261989</v>
      </c>
      <c r="D46" s="20">
        <f t="shared" si="14"/>
        <v>0.15684134349275905</v>
      </c>
      <c r="E46" s="20">
        <f t="shared" si="14"/>
        <v>0.15664811970119039</v>
      </c>
      <c r="F46" s="70">
        <f t="shared" si="14"/>
        <v>0.14000000000000001</v>
      </c>
      <c r="G46" s="68">
        <f t="shared" si="14"/>
        <v>0.12</v>
      </c>
      <c r="H46" s="20">
        <f t="shared" si="14"/>
        <v>0.12999999999999998</v>
      </c>
      <c r="I46" s="20">
        <f t="shared" si="14"/>
        <v>0.12999999999999998</v>
      </c>
      <c r="J46" s="20">
        <f t="shared" si="14"/>
        <v>0.12</v>
      </c>
      <c r="K46" s="20"/>
    </row>
    <row r="47" spans="1:11" s="95" customFormat="1" x14ac:dyDescent="0.3">
      <c r="A47" s="95" t="s">
        <v>228</v>
      </c>
      <c r="B47" s="95">
        <f>B46*FCF!B6</f>
        <v>19278467.179255169</v>
      </c>
      <c r="C47" s="95">
        <f>C46*FCF!C6</f>
        <v>17222043.38279717</v>
      </c>
      <c r="D47" s="95">
        <f>D46*FCF!D6</f>
        <v>17556970.244586512</v>
      </c>
      <c r="E47" s="95">
        <f>E46*FCF!E6</f>
        <v>19991588.587848779</v>
      </c>
      <c r="F47" s="96">
        <f>F46*FCF!F6</f>
        <v>20511833.440000001</v>
      </c>
      <c r="G47" s="101">
        <f>G46*FCF!G6</f>
        <v>19631256.674399998</v>
      </c>
      <c r="H47" s="95">
        <f>H46*FCF!H6</f>
        <v>23750890.448922001</v>
      </c>
      <c r="I47" s="95">
        <f>I46*FCF!I6</f>
        <v>26074703.756801702</v>
      </c>
      <c r="J47" s="95">
        <f>J46*FCF!J6</f>
        <v>25733905.11713776</v>
      </c>
    </row>
    <row r="48" spans="1:11" s="103" customFormat="1" x14ac:dyDescent="0.3">
      <c r="A48" s="103" t="s">
        <v>229</v>
      </c>
      <c r="B48" s="103">
        <f>B47-B44</f>
        <v>1265432.1792551689</v>
      </c>
      <c r="C48" s="103">
        <f t="shared" ref="C48:J48" si="15">C47-C44</f>
        <v>-4086343.6172028296</v>
      </c>
      <c r="D48" s="103">
        <f t="shared" si="15"/>
        <v>-2520137.7554134876</v>
      </c>
      <c r="E48" s="103">
        <f t="shared" si="15"/>
        <v>-24659.412151221186</v>
      </c>
      <c r="F48" s="104">
        <f t="shared" si="15"/>
        <v>-2439167.5599999987</v>
      </c>
      <c r="G48" s="117">
        <f t="shared" si="15"/>
        <v>-3271876.1124000065</v>
      </c>
      <c r="H48" s="103">
        <f t="shared" si="15"/>
        <v>1826991.5729939975</v>
      </c>
      <c r="I48" s="103">
        <f t="shared" si="15"/>
        <v>0</v>
      </c>
      <c r="J48" s="103">
        <f t="shared" si="15"/>
        <v>-2144492.0930948108</v>
      </c>
    </row>
    <row r="49" spans="6:6" x14ac:dyDescent="0.3">
      <c r="F49" s="22"/>
    </row>
    <row r="50" spans="6:6" x14ac:dyDescent="0.3">
      <c r="F50" s="22"/>
    </row>
    <row r="51" spans="6:6" x14ac:dyDescent="0.3">
      <c r="F51" s="22"/>
    </row>
    <row r="52" spans="6:6" x14ac:dyDescent="0.3">
      <c r="F52" s="22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95AAF-E25B-49E6-970D-4B0AD18872FC}">
  <dimension ref="A1:R174"/>
  <sheetViews>
    <sheetView topLeftCell="F65" workbookViewId="0">
      <selection activeCell="B10" sqref="B1:K1048576"/>
    </sheetView>
  </sheetViews>
  <sheetFormatPr defaultRowHeight="14.4" x14ac:dyDescent="0.3"/>
  <cols>
    <col min="1" max="1" width="26.77734375" customWidth="1"/>
    <col min="2" max="11" width="15.77734375" customWidth="1"/>
    <col min="13" max="13" width="11" bestFit="1" customWidth="1"/>
  </cols>
  <sheetData>
    <row r="1" spans="1:18" s="7" customFormat="1" x14ac:dyDescent="0.3">
      <c r="A1" s="54" t="s">
        <v>74</v>
      </c>
      <c r="F1" s="36"/>
    </row>
    <row r="2" spans="1:18" s="1" customFormat="1" x14ac:dyDescent="0.3">
      <c r="A2" s="1" t="s">
        <v>67</v>
      </c>
      <c r="B2" s="1">
        <v>2013</v>
      </c>
      <c r="C2" s="1">
        <v>2014</v>
      </c>
      <c r="D2" s="1">
        <v>2015</v>
      </c>
      <c r="E2" s="1">
        <v>2016</v>
      </c>
      <c r="F2" s="21">
        <v>2017</v>
      </c>
      <c r="L2" s="7"/>
    </row>
    <row r="3" spans="1:18" s="97" customFormat="1" x14ac:dyDescent="0.3">
      <c r="A3" s="97" t="s">
        <v>68</v>
      </c>
      <c r="B3" s="97">
        <f>B5</f>
        <v>107197</v>
      </c>
      <c r="C3" s="97">
        <f t="shared" ref="C3:F3" si="0">C5</f>
        <v>157764</v>
      </c>
      <c r="D3" s="97">
        <f t="shared" si="0"/>
        <v>227677</v>
      </c>
      <c r="E3" s="97">
        <f t="shared" si="0"/>
        <v>229868</v>
      </c>
      <c r="F3" s="98">
        <f t="shared" si="0"/>
        <v>202012</v>
      </c>
    </row>
    <row r="4" spans="1:18" s="95" customFormat="1" x14ac:dyDescent="0.3">
      <c r="A4" s="95" t="s">
        <v>59</v>
      </c>
      <c r="F4" s="96"/>
    </row>
    <row r="5" spans="1:18" s="99" customFormat="1" x14ac:dyDescent="0.3">
      <c r="A5" s="99" t="s">
        <v>165</v>
      </c>
      <c r="B5" s="99">
        <v>107197</v>
      </c>
      <c r="C5" s="99">
        <v>157764</v>
      </c>
      <c r="D5" s="99">
        <v>227677</v>
      </c>
      <c r="E5" s="99">
        <v>229868</v>
      </c>
      <c r="F5" s="100">
        <v>202012</v>
      </c>
      <c r="N5" s="95"/>
      <c r="O5" s="95"/>
      <c r="P5" s="95"/>
      <c r="Q5" s="95"/>
      <c r="R5" s="95"/>
    </row>
    <row r="6" spans="1:18" s="97" customFormat="1" x14ac:dyDescent="0.3">
      <c r="A6" s="97" t="s">
        <v>72</v>
      </c>
      <c r="B6" s="97">
        <f>B8+B9+B10</f>
        <v>5456856</v>
      </c>
      <c r="C6" s="97">
        <f t="shared" ref="C6:F6" si="1">C8+C9+C10</f>
        <v>5088687</v>
      </c>
      <c r="D6" s="97">
        <f t="shared" si="1"/>
        <v>5202660</v>
      </c>
      <c r="E6" s="97">
        <f t="shared" si="1"/>
        <v>5989706</v>
      </c>
      <c r="F6" s="98">
        <f t="shared" si="1"/>
        <v>7203558</v>
      </c>
      <c r="N6" s="95"/>
      <c r="O6" s="95"/>
      <c r="P6" s="95"/>
      <c r="Q6" s="95"/>
      <c r="R6" s="95"/>
    </row>
    <row r="7" spans="1:18" s="95" customFormat="1" x14ac:dyDescent="0.3">
      <c r="A7" s="95" t="s">
        <v>59</v>
      </c>
      <c r="F7" s="96"/>
    </row>
    <row r="8" spans="1:18" s="99" customFormat="1" x14ac:dyDescent="0.3">
      <c r="A8" s="99" t="s">
        <v>166</v>
      </c>
      <c r="B8" s="99">
        <v>773576</v>
      </c>
      <c r="C8" s="99">
        <v>707981</v>
      </c>
      <c r="D8" s="99">
        <v>744985</v>
      </c>
      <c r="E8" s="99">
        <v>738768</v>
      </c>
      <c r="F8" s="100">
        <v>1105166</v>
      </c>
      <c r="N8" s="95"/>
      <c r="O8" s="95"/>
      <c r="P8" s="95"/>
      <c r="Q8" s="95"/>
      <c r="R8" s="95"/>
    </row>
    <row r="9" spans="1:18" s="99" customFormat="1" x14ac:dyDescent="0.3">
      <c r="A9" s="99" t="s">
        <v>167</v>
      </c>
      <c r="B9" s="99">
        <v>3689628</v>
      </c>
      <c r="C9" s="99">
        <v>3329485</v>
      </c>
      <c r="D9" s="99">
        <v>3318631</v>
      </c>
      <c r="E9" s="99">
        <v>3876816</v>
      </c>
      <c r="F9" s="100">
        <v>4262598</v>
      </c>
      <c r="N9" s="95"/>
      <c r="O9" s="95"/>
      <c r="P9" s="95"/>
      <c r="Q9" s="95"/>
      <c r="R9" s="95"/>
    </row>
    <row r="10" spans="1:18" s="99" customFormat="1" x14ac:dyDescent="0.3">
      <c r="A10" s="99" t="s">
        <v>168</v>
      </c>
      <c r="B10" s="99">
        <v>993652</v>
      </c>
      <c r="C10" s="99">
        <v>1051221</v>
      </c>
      <c r="D10" s="99">
        <v>1139044</v>
      </c>
      <c r="E10" s="99">
        <v>1374122</v>
      </c>
      <c r="F10" s="100">
        <v>1835794</v>
      </c>
      <c r="N10" s="95"/>
      <c r="O10" s="95"/>
      <c r="P10" s="95"/>
      <c r="Q10" s="95"/>
      <c r="R10" s="95"/>
    </row>
    <row r="11" spans="1:18" s="8" customFormat="1" x14ac:dyDescent="0.3">
      <c r="G11" s="52"/>
      <c r="N11" s="4"/>
      <c r="O11" s="4"/>
      <c r="P11" s="4"/>
      <c r="Q11" s="4"/>
      <c r="R11" s="4"/>
    </row>
    <row r="12" spans="1:18" x14ac:dyDescent="0.3">
      <c r="F12" s="22"/>
    </row>
    <row r="13" spans="1:18" x14ac:dyDescent="0.3">
      <c r="A13" s="54" t="s">
        <v>75</v>
      </c>
      <c r="B13" s="1">
        <v>2013</v>
      </c>
      <c r="C13" s="1">
        <v>2014</v>
      </c>
      <c r="D13" s="1">
        <v>2015</v>
      </c>
      <c r="E13" s="1">
        <v>2016</v>
      </c>
      <c r="F13" s="21">
        <v>2017</v>
      </c>
      <c r="G13" s="1">
        <v>2018</v>
      </c>
      <c r="H13" s="1">
        <v>2019</v>
      </c>
      <c r="I13" s="1">
        <v>2020</v>
      </c>
      <c r="J13" s="1">
        <v>2021</v>
      </c>
      <c r="K13" s="1">
        <v>2022</v>
      </c>
      <c r="L13" s="7" t="s">
        <v>169</v>
      </c>
    </row>
    <row r="14" spans="1:18" s="97" customFormat="1" x14ac:dyDescent="0.3">
      <c r="A14" s="97" t="s">
        <v>68</v>
      </c>
      <c r="B14" s="97">
        <f>B16</f>
        <v>146030</v>
      </c>
      <c r="C14" s="97">
        <f t="shared" ref="C14:F14" si="2">C16</f>
        <v>128464</v>
      </c>
      <c r="D14" s="97">
        <f t="shared" si="2"/>
        <v>460181</v>
      </c>
      <c r="E14" s="97">
        <f t="shared" si="2"/>
        <v>30645</v>
      </c>
      <c r="F14" s="98">
        <f t="shared" si="2"/>
        <v>125857</v>
      </c>
      <c r="G14" s="112">
        <f>G63*FCF!G6</f>
        <v>196312.56674399998</v>
      </c>
      <c r="H14" s="97">
        <f>H63*FCF!H6</f>
        <v>219238.98875928001</v>
      </c>
      <c r="I14" s="97">
        <f>I63*FCF!I6</f>
        <v>220632.10871139908</v>
      </c>
      <c r="J14" s="97">
        <f>J63*FCF!J6</f>
        <v>214449.20930948135</v>
      </c>
      <c r="K14" s="97">
        <f>K63*FCF!K6</f>
        <v>229286.71088404881</v>
      </c>
    </row>
    <row r="15" spans="1:18" s="95" customFormat="1" x14ac:dyDescent="0.3">
      <c r="A15" s="95" t="s">
        <v>59</v>
      </c>
      <c r="F15" s="96"/>
      <c r="G15" s="101"/>
    </row>
    <row r="16" spans="1:18" s="99" customFormat="1" x14ac:dyDescent="0.3">
      <c r="A16" s="99" t="s">
        <v>69</v>
      </c>
      <c r="B16" s="99">
        <v>146030</v>
      </c>
      <c r="C16" s="99">
        <v>128464</v>
      </c>
      <c r="D16" s="99">
        <v>460181</v>
      </c>
      <c r="E16" s="99">
        <v>30645</v>
      </c>
      <c r="F16" s="100">
        <v>125857</v>
      </c>
      <c r="G16" s="121">
        <f>G14</f>
        <v>196312.56674399998</v>
      </c>
      <c r="H16" s="99">
        <f t="shared" ref="H16:K16" si="3">H14</f>
        <v>219238.98875928001</v>
      </c>
      <c r="I16" s="99">
        <f t="shared" si="3"/>
        <v>220632.10871139908</v>
      </c>
      <c r="J16" s="99">
        <f t="shared" si="3"/>
        <v>214449.20930948135</v>
      </c>
      <c r="K16" s="99">
        <f t="shared" si="3"/>
        <v>229286.71088404881</v>
      </c>
    </row>
    <row r="17" spans="1:12" s="97" customFormat="1" x14ac:dyDescent="0.3">
      <c r="A17" s="97" t="s">
        <v>72</v>
      </c>
      <c r="B17" s="97">
        <f>B19+B20+B21</f>
        <v>1208645</v>
      </c>
      <c r="C17" s="97">
        <f t="shared" ref="C17:F17" si="4">C19+C20+C21</f>
        <v>3838174</v>
      </c>
      <c r="D17" s="97">
        <f t="shared" si="4"/>
        <v>8524069</v>
      </c>
      <c r="E17" s="97">
        <f t="shared" si="4"/>
        <v>20961802</v>
      </c>
      <c r="F17" s="98">
        <f t="shared" si="4"/>
        <v>16054474</v>
      </c>
      <c r="G17" s="112">
        <f>G66*FCF!G6</f>
        <v>17995318.6182</v>
      </c>
      <c r="H17" s="97">
        <f>H66*FCF!H6</f>
        <v>18269915.729940005</v>
      </c>
      <c r="I17" s="97">
        <f>I66*FCF!I6</f>
        <v>16045971.542647205</v>
      </c>
      <c r="J17" s="97">
        <f>J66*FCF!J6</f>
        <v>15011444.651663696</v>
      </c>
      <c r="K17" s="97">
        <f>K66*FCF!K6</f>
        <v>16050069.761883417</v>
      </c>
    </row>
    <row r="18" spans="1:12" s="95" customFormat="1" x14ac:dyDescent="0.3">
      <c r="A18" s="95" t="s">
        <v>59</v>
      </c>
      <c r="F18" s="96"/>
      <c r="G18" s="101"/>
    </row>
    <row r="19" spans="1:12" s="99" customFormat="1" x14ac:dyDescent="0.3">
      <c r="A19" s="99" t="s">
        <v>73</v>
      </c>
      <c r="B19" s="99">
        <v>166123</v>
      </c>
      <c r="C19" s="99">
        <v>1015251</v>
      </c>
      <c r="D19" s="99">
        <v>1758500</v>
      </c>
      <c r="E19" s="99">
        <v>8312984</v>
      </c>
      <c r="F19" s="100">
        <v>4082310</v>
      </c>
      <c r="G19" s="121">
        <f>G68*G17</f>
        <v>4678782.8407319998</v>
      </c>
      <c r="H19" s="99">
        <f t="shared" ref="H19:K19" si="5">H68*H17</f>
        <v>4750178.0897844015</v>
      </c>
      <c r="I19" s="99">
        <f t="shared" si="5"/>
        <v>4171952.6010882733</v>
      </c>
      <c r="J19" s="99">
        <f t="shared" si="5"/>
        <v>3902975.6094325613</v>
      </c>
      <c r="K19" s="99">
        <f t="shared" si="5"/>
        <v>4173018.1380896885</v>
      </c>
    </row>
    <row r="20" spans="1:12" s="99" customFormat="1" x14ac:dyDescent="0.3">
      <c r="A20" s="99" t="s">
        <v>70</v>
      </c>
      <c r="B20" s="99">
        <v>410054</v>
      </c>
      <c r="C20" s="99">
        <v>1822419</v>
      </c>
      <c r="D20" s="99">
        <v>5117011</v>
      </c>
      <c r="E20" s="99">
        <v>9931729</v>
      </c>
      <c r="F20" s="100">
        <v>8598383</v>
      </c>
      <c r="G20" s="121">
        <f>G69*G17</f>
        <v>8817706.1229180004</v>
      </c>
      <c r="H20" s="99">
        <f t="shared" ref="H20:K20" si="6">H69*H17</f>
        <v>8952258.7076706029</v>
      </c>
      <c r="I20" s="99">
        <f t="shared" si="6"/>
        <v>7862526.0558971306</v>
      </c>
      <c r="J20" s="99">
        <f t="shared" si="6"/>
        <v>7355607.8793152114</v>
      </c>
      <c r="K20" s="99">
        <f t="shared" si="6"/>
        <v>7864534.1833228739</v>
      </c>
    </row>
    <row r="21" spans="1:12" s="99" customFormat="1" x14ac:dyDescent="0.3">
      <c r="A21" s="99" t="s">
        <v>71</v>
      </c>
      <c r="B21" s="99">
        <v>632468</v>
      </c>
      <c r="C21" s="99">
        <v>1000504</v>
      </c>
      <c r="D21" s="99">
        <v>1648558</v>
      </c>
      <c r="E21" s="99">
        <v>2717089</v>
      </c>
      <c r="F21" s="100">
        <v>3373781</v>
      </c>
      <c r="G21" s="121">
        <f>G70*G17</f>
        <v>4498829.6545500001</v>
      </c>
      <c r="H21" s="99">
        <f t="shared" ref="H21:K21" si="7">H70*H17</f>
        <v>4567478.9324850012</v>
      </c>
      <c r="I21" s="99">
        <f t="shared" si="7"/>
        <v>4011492.8856618013</v>
      </c>
      <c r="J21" s="99">
        <f t="shared" si="7"/>
        <v>3752861.1629159241</v>
      </c>
      <c r="K21" s="99">
        <f t="shared" si="7"/>
        <v>4012517.4404708543</v>
      </c>
    </row>
    <row r="22" spans="1:12" s="8" customFormat="1" x14ac:dyDescent="0.3">
      <c r="F22" s="43"/>
    </row>
    <row r="23" spans="1:12" x14ac:dyDescent="0.3">
      <c r="F23" s="22"/>
    </row>
    <row r="24" spans="1:12" s="1" customFormat="1" x14ac:dyDescent="0.3">
      <c r="A24" s="54" t="s">
        <v>76</v>
      </c>
      <c r="B24" s="1">
        <v>2013</v>
      </c>
      <c r="C24" s="1">
        <v>2014</v>
      </c>
      <c r="D24" s="1">
        <v>2015</v>
      </c>
      <c r="E24" s="1">
        <v>2016</v>
      </c>
      <c r="F24" s="21">
        <v>2017</v>
      </c>
      <c r="G24" s="1">
        <v>2018</v>
      </c>
      <c r="H24" s="1">
        <v>2019</v>
      </c>
      <c r="I24" s="1">
        <v>2020</v>
      </c>
      <c r="J24" s="1">
        <v>2021</v>
      </c>
      <c r="K24" s="1">
        <v>2022</v>
      </c>
      <c r="L24" t="s">
        <v>77</v>
      </c>
    </row>
    <row r="25" spans="1:12" s="97" customFormat="1" x14ac:dyDescent="0.3">
      <c r="A25" s="97" t="s">
        <v>68</v>
      </c>
      <c r="B25" s="97">
        <f>B27</f>
        <v>38833</v>
      </c>
      <c r="C25" s="97">
        <f t="shared" ref="C25:F25" si="8">C27</f>
        <v>-29300</v>
      </c>
      <c r="D25" s="97">
        <f t="shared" si="8"/>
        <v>232504</v>
      </c>
      <c r="E25" s="97">
        <f t="shared" si="8"/>
        <v>-199223</v>
      </c>
      <c r="F25" s="98">
        <f t="shared" si="8"/>
        <v>-76155</v>
      </c>
      <c r="G25" s="112">
        <f>G27</f>
        <v>76218.59201824796</v>
      </c>
      <c r="H25" s="97">
        <f t="shared" ref="H25:K25" si="9">H27</f>
        <v>26138.430776687776</v>
      </c>
      <c r="I25" s="97">
        <f t="shared" si="9"/>
        <v>-45938.941472089093</v>
      </c>
      <c r="J25" s="97">
        <f t="shared" si="9"/>
        <v>-3800.0954150559846</v>
      </c>
      <c r="K25" s="97">
        <f t="shared" si="9"/>
        <v>7832.9182699480443</v>
      </c>
    </row>
    <row r="26" spans="1:12" s="95" customFormat="1" x14ac:dyDescent="0.3">
      <c r="A26" s="95" t="s">
        <v>59</v>
      </c>
      <c r="F26" s="96"/>
      <c r="G26" s="112"/>
      <c r="H26" s="97"/>
      <c r="I26" s="97"/>
      <c r="J26" s="97"/>
      <c r="K26" s="97"/>
    </row>
    <row r="27" spans="1:12" s="95" customFormat="1" x14ac:dyDescent="0.3">
      <c r="A27" s="99" t="s">
        <v>69</v>
      </c>
      <c r="B27" s="95">
        <f>B16-B5</f>
        <v>38833</v>
      </c>
      <c r="C27" s="95">
        <f>C16-C5</f>
        <v>-29300</v>
      </c>
      <c r="D27" s="95">
        <f>D16-D5</f>
        <v>232504</v>
      </c>
      <c r="E27" s="95">
        <f>E16-E5</f>
        <v>-199223</v>
      </c>
      <c r="F27" s="96">
        <f>F16-F5</f>
        <v>-76155</v>
      </c>
      <c r="G27" s="101">
        <f>G40-F40</f>
        <v>76218.59201824796</v>
      </c>
      <c r="H27" s="95">
        <f t="shared" ref="H27:K27" si="10">H40-G40</f>
        <v>26138.430776687776</v>
      </c>
      <c r="I27" s="95">
        <f t="shared" si="10"/>
        <v>-45938.941472089093</v>
      </c>
      <c r="J27" s="95">
        <f t="shared" si="10"/>
        <v>-3800.0954150559846</v>
      </c>
      <c r="K27" s="95">
        <f t="shared" si="10"/>
        <v>7832.9182699480443</v>
      </c>
    </row>
    <row r="28" spans="1:12" s="97" customFormat="1" x14ac:dyDescent="0.3">
      <c r="A28" s="97" t="s">
        <v>72</v>
      </c>
      <c r="B28" s="97">
        <f>SUM(B30:B32)</f>
        <v>-4248211</v>
      </c>
      <c r="C28" s="97">
        <f t="shared" ref="C28:F28" si="11">SUM(C30:C32)</f>
        <v>-1250513</v>
      </c>
      <c r="D28" s="97">
        <f t="shared" si="11"/>
        <v>3321409</v>
      </c>
      <c r="E28" s="97">
        <f t="shared" si="11"/>
        <v>14972096</v>
      </c>
      <c r="F28" s="98">
        <f t="shared" si="11"/>
        <v>8850916</v>
      </c>
      <c r="G28" s="112">
        <f>SUM(G30:G32)</f>
        <v>12864699.450111864</v>
      </c>
      <c r="H28" s="97">
        <f t="shared" ref="H28:K32" si="12">H17-H102-H113</f>
        <v>13997673.259940006</v>
      </c>
      <c r="I28" s="97">
        <f t="shared" si="12"/>
        <v>11773729.072647206</v>
      </c>
      <c r="J28" s="97">
        <f t="shared" si="12"/>
        <v>10739202.181663696</v>
      </c>
      <c r="K28" s="97">
        <f t="shared" si="12"/>
        <v>11777827.291883416</v>
      </c>
    </row>
    <row r="29" spans="1:12" s="95" customFormat="1" x14ac:dyDescent="0.3">
      <c r="A29" s="95" t="s">
        <v>59</v>
      </c>
      <c r="F29" s="96"/>
      <c r="G29" s="112"/>
      <c r="H29" s="97"/>
      <c r="I29" s="97"/>
      <c r="J29" s="97"/>
      <c r="K29" s="97"/>
    </row>
    <row r="30" spans="1:12" s="95" customFormat="1" x14ac:dyDescent="0.3">
      <c r="A30" s="99" t="s">
        <v>73</v>
      </c>
      <c r="B30" s="95">
        <f t="shared" ref="B30:F32" si="13">B19-B8</f>
        <v>-607453</v>
      </c>
      <c r="C30" s="95">
        <f t="shared" si="13"/>
        <v>307270</v>
      </c>
      <c r="D30" s="95">
        <f t="shared" si="13"/>
        <v>1013515</v>
      </c>
      <c r="E30" s="95">
        <f t="shared" si="13"/>
        <v>7574216</v>
      </c>
      <c r="F30" s="96">
        <f t="shared" si="13"/>
        <v>2977144</v>
      </c>
      <c r="G30" s="101">
        <f t="shared" ref="G30:G32" si="14">G43-F43</f>
        <v>3901508.7963063791</v>
      </c>
      <c r="H30" s="95">
        <f t="shared" si="12"/>
        <v>4136661.4447844015</v>
      </c>
      <c r="I30" s="95">
        <f t="shared" si="12"/>
        <v>3558435.9560882733</v>
      </c>
      <c r="J30" s="95">
        <f t="shared" si="12"/>
        <v>3289458.9644325613</v>
      </c>
      <c r="K30" s="95">
        <f t="shared" si="12"/>
        <v>3559501.4930896885</v>
      </c>
    </row>
    <row r="31" spans="1:12" s="95" customFormat="1" x14ac:dyDescent="0.3">
      <c r="A31" s="99" t="s">
        <v>70</v>
      </c>
      <c r="B31" s="95">
        <f t="shared" si="13"/>
        <v>-3279574</v>
      </c>
      <c r="C31" s="95">
        <f t="shared" si="13"/>
        <v>-1507066</v>
      </c>
      <c r="D31" s="95">
        <f t="shared" si="13"/>
        <v>1798380</v>
      </c>
      <c r="E31" s="95">
        <f t="shared" si="13"/>
        <v>6054913</v>
      </c>
      <c r="F31" s="96">
        <f t="shared" si="13"/>
        <v>4335785</v>
      </c>
      <c r="G31" s="101">
        <f t="shared" si="14"/>
        <v>5727912.5810742341</v>
      </c>
      <c r="H31" s="95">
        <f t="shared" si="12"/>
        <v>5994730.7576706037</v>
      </c>
      <c r="I31" s="95">
        <f t="shared" si="12"/>
        <v>4904998.1058971304</v>
      </c>
      <c r="J31" s="95">
        <f t="shared" si="12"/>
        <v>4398079.9293152113</v>
      </c>
      <c r="K31" s="95">
        <f t="shared" si="12"/>
        <v>4907006.2333228737</v>
      </c>
    </row>
    <row r="32" spans="1:12" s="95" customFormat="1" x14ac:dyDescent="0.3">
      <c r="A32" s="99" t="s">
        <v>71</v>
      </c>
      <c r="B32" s="95">
        <f t="shared" si="13"/>
        <v>-361184</v>
      </c>
      <c r="C32" s="95">
        <f t="shared" si="13"/>
        <v>-50717</v>
      </c>
      <c r="D32" s="95">
        <f t="shared" si="13"/>
        <v>509514</v>
      </c>
      <c r="E32" s="95">
        <f t="shared" si="13"/>
        <v>1342967</v>
      </c>
      <c r="F32" s="96">
        <f t="shared" si="13"/>
        <v>1537987</v>
      </c>
      <c r="G32" s="101">
        <f t="shared" si="14"/>
        <v>3235278.0727312509</v>
      </c>
      <c r="H32" s="95">
        <f t="shared" si="12"/>
        <v>3866281.0574850012</v>
      </c>
      <c r="I32" s="95">
        <f t="shared" si="12"/>
        <v>3310295.0106618013</v>
      </c>
      <c r="J32" s="95">
        <f t="shared" si="12"/>
        <v>3051663.2879159241</v>
      </c>
      <c r="K32" s="95">
        <f t="shared" si="12"/>
        <v>3311319.5654708543</v>
      </c>
    </row>
    <row r="33" spans="1:11" x14ac:dyDescent="0.3">
      <c r="F33" s="22"/>
    </row>
    <row r="34" spans="1:11" x14ac:dyDescent="0.3">
      <c r="F34" s="22"/>
    </row>
    <row r="35" spans="1:11" x14ac:dyDescent="0.3">
      <c r="F35" s="22"/>
    </row>
    <row r="36" spans="1:11" x14ac:dyDescent="0.3">
      <c r="F36" s="22"/>
    </row>
    <row r="37" spans="1:11" s="1" customFormat="1" x14ac:dyDescent="0.3">
      <c r="A37" s="54" t="s">
        <v>78</v>
      </c>
      <c r="B37" s="1">
        <v>2013</v>
      </c>
      <c r="C37" s="1">
        <v>2014</v>
      </c>
      <c r="D37" s="1">
        <v>2015</v>
      </c>
      <c r="E37" s="1">
        <v>2016</v>
      </c>
      <c r="F37" s="21">
        <v>2017</v>
      </c>
      <c r="G37" s="1">
        <v>2018</v>
      </c>
      <c r="H37" s="1">
        <v>2019</v>
      </c>
      <c r="I37" s="1">
        <v>2020</v>
      </c>
      <c r="J37" s="1">
        <v>2021</v>
      </c>
      <c r="K37" s="1">
        <v>2022</v>
      </c>
    </row>
    <row r="38" spans="1:11" s="97" customFormat="1" x14ac:dyDescent="0.3">
      <c r="A38" s="97" t="s">
        <v>68</v>
      </c>
      <c r="B38" s="97">
        <f>B40</f>
        <v>240390</v>
      </c>
      <c r="C38" s="97">
        <f t="shared" ref="C38:F38" si="15">C40</f>
        <v>211090</v>
      </c>
      <c r="D38" s="97">
        <f t="shared" si="15"/>
        <v>443644</v>
      </c>
      <c r="E38" s="97">
        <f t="shared" si="15"/>
        <v>244397</v>
      </c>
      <c r="F38" s="98">
        <f t="shared" si="15"/>
        <v>164330</v>
      </c>
      <c r="G38" s="112">
        <f>F38+G14-G134</f>
        <v>240548.59201824796</v>
      </c>
      <c r="H38" s="97">
        <f t="shared" ref="H38:K38" si="16">G38+H14-H134</f>
        <v>266687.02279493574</v>
      </c>
      <c r="I38" s="97">
        <f t="shared" si="16"/>
        <v>220748.08132284664</v>
      </c>
      <c r="J38" s="97">
        <f t="shared" si="16"/>
        <v>216947.98590779066</v>
      </c>
      <c r="K38" s="97">
        <f t="shared" si="16"/>
        <v>224780.9041777387</v>
      </c>
    </row>
    <row r="39" spans="1:11" s="95" customFormat="1" x14ac:dyDescent="0.3">
      <c r="A39" s="95" t="s">
        <v>59</v>
      </c>
      <c r="F39" s="96"/>
      <c r="G39" s="101"/>
    </row>
    <row r="40" spans="1:11" s="95" customFormat="1" x14ac:dyDescent="0.3">
      <c r="A40" s="99" t="s">
        <v>69</v>
      </c>
      <c r="B40" s="95">
        <v>240390</v>
      </c>
      <c r="C40" s="95">
        <v>211090</v>
      </c>
      <c r="D40" s="95">
        <v>443644</v>
      </c>
      <c r="E40" s="95">
        <v>244397</v>
      </c>
      <c r="F40" s="96">
        <v>164330</v>
      </c>
      <c r="G40" s="101">
        <f>G38</f>
        <v>240548.59201824796</v>
      </c>
      <c r="H40" s="95">
        <f t="shared" ref="H40:K40" si="17">H38</f>
        <v>266687.02279493574</v>
      </c>
      <c r="I40" s="95">
        <f t="shared" si="17"/>
        <v>220748.08132284664</v>
      </c>
      <c r="J40" s="95">
        <f t="shared" si="17"/>
        <v>216947.98590779066</v>
      </c>
      <c r="K40" s="95">
        <f t="shared" si="17"/>
        <v>224780.9041777387</v>
      </c>
    </row>
    <row r="41" spans="1:11" s="97" customFormat="1" x14ac:dyDescent="0.3">
      <c r="A41" s="97" t="s">
        <v>72</v>
      </c>
      <c r="B41" s="97">
        <f>SUM(B43:B45)</f>
        <v>16819374</v>
      </c>
      <c r="C41" s="97">
        <f t="shared" ref="C41:F41" si="18">SUM(C43:C45)</f>
        <v>17401687</v>
      </c>
      <c r="D41" s="97">
        <f t="shared" si="18"/>
        <v>20044610</v>
      </c>
      <c r="E41" s="97">
        <f t="shared" si="18"/>
        <v>34209780</v>
      </c>
      <c r="F41" s="98">
        <f t="shared" si="18"/>
        <v>42855483</v>
      </c>
      <c r="G41" s="112">
        <f>SUM(G43:G45)</f>
        <v>55720182.450111859</v>
      </c>
      <c r="H41" s="97">
        <f t="shared" ref="H41:K41" si="19">SUM(H43:H45)</f>
        <v>67988004.031645596</v>
      </c>
      <c r="I41" s="97">
        <f t="shared" si="19"/>
        <v>77266488.583302259</v>
      </c>
      <c r="J41" s="97">
        <f t="shared" si="19"/>
        <v>84794400.334091038</v>
      </c>
      <c r="K41" s="97">
        <f t="shared" si="19"/>
        <v>92595348.867457703</v>
      </c>
    </row>
    <row r="42" spans="1:11" s="95" customFormat="1" x14ac:dyDescent="0.3">
      <c r="A42" s="95" t="s">
        <v>59</v>
      </c>
      <c r="F42" s="96"/>
      <c r="G42" s="101"/>
    </row>
    <row r="43" spans="1:11" s="95" customFormat="1" x14ac:dyDescent="0.3">
      <c r="A43" s="99" t="s">
        <v>73</v>
      </c>
      <c r="B43" s="95">
        <v>5971597</v>
      </c>
      <c r="C43" s="95">
        <v>6288588</v>
      </c>
      <c r="D43" s="95">
        <v>7301671</v>
      </c>
      <c r="E43" s="95">
        <v>14551903</v>
      </c>
      <c r="F43" s="96">
        <v>17529047</v>
      </c>
      <c r="G43" s="101">
        <f>F43+G19-G146</f>
        <v>21430555.796306379</v>
      </c>
      <c r="H43" s="95">
        <f t="shared" ref="H43:K43" si="20">G43+H19-H146</f>
        <v>25237203.608522706</v>
      </c>
      <c r="I43" s="95">
        <f t="shared" si="20"/>
        <v>28319607.591004815</v>
      </c>
      <c r="J43" s="95">
        <f t="shared" si="20"/>
        <v>30996430.435501073</v>
      </c>
      <c r="K43" s="95">
        <f t="shared" si="20"/>
        <v>33797240.173821323</v>
      </c>
    </row>
    <row r="44" spans="1:11" s="95" customFormat="1" x14ac:dyDescent="0.3">
      <c r="A44" s="99" t="s">
        <v>70</v>
      </c>
      <c r="B44" s="95">
        <v>8700466</v>
      </c>
      <c r="C44" s="95">
        <v>8648021</v>
      </c>
      <c r="D44" s="95">
        <v>9792792</v>
      </c>
      <c r="E44" s="95">
        <v>15525706</v>
      </c>
      <c r="F44" s="96">
        <v>19716853</v>
      </c>
      <c r="G44" s="101">
        <f>F44+G20-G158</f>
        <v>25444765.581074234</v>
      </c>
      <c r="H44" s="95">
        <f t="shared" ref="H44:K44" si="21">G44+H20-H158</f>
        <v>31172946.86628601</v>
      </c>
      <c r="I44" s="95">
        <f t="shared" si="21"/>
        <v>35693457.608885854</v>
      </c>
      <c r="J44" s="95">
        <f t="shared" si="21"/>
        <v>39596716.05671405</v>
      </c>
      <c r="K44" s="95">
        <f t="shared" si="21"/>
        <v>43890932.795800067</v>
      </c>
    </row>
    <row r="45" spans="1:11" s="95" customFormat="1" x14ac:dyDescent="0.3">
      <c r="A45" s="99" t="s">
        <v>71</v>
      </c>
      <c r="B45" s="95">
        <v>2147311</v>
      </c>
      <c r="C45" s="95">
        <v>2465078</v>
      </c>
      <c r="D45" s="95">
        <v>2950147</v>
      </c>
      <c r="E45" s="95">
        <v>4132171</v>
      </c>
      <c r="F45" s="96">
        <v>5609583</v>
      </c>
      <c r="G45" s="101">
        <f>F45+G21-G170</f>
        <v>8844861.0727312509</v>
      </c>
      <c r="H45" s="95">
        <f t="shared" ref="H45:K45" si="22">G45+H21-H170</f>
        <v>11577853.556836877</v>
      </c>
      <c r="I45" s="95">
        <f t="shared" si="22"/>
        <v>13253423.383411579</v>
      </c>
      <c r="J45" s="95">
        <f t="shared" si="22"/>
        <v>14201253.841875911</v>
      </c>
      <c r="K45" s="95">
        <f t="shared" si="22"/>
        <v>14907175.897836318</v>
      </c>
    </row>
    <row r="46" spans="1:11" x14ac:dyDescent="0.3">
      <c r="F46" s="22"/>
    </row>
    <row r="47" spans="1:11" x14ac:dyDescent="0.3">
      <c r="F47" s="22"/>
    </row>
    <row r="48" spans="1:11" x14ac:dyDescent="0.3">
      <c r="F48" s="22"/>
    </row>
    <row r="49" spans="1:16" s="1" customFormat="1" x14ac:dyDescent="0.3">
      <c r="A49" s="1" t="s">
        <v>79</v>
      </c>
      <c r="F49" s="21"/>
    </row>
    <row r="50" spans="1:16" x14ac:dyDescent="0.3">
      <c r="A50" s="1" t="s">
        <v>270</v>
      </c>
      <c r="B50" s="1">
        <v>2013</v>
      </c>
      <c r="C50" s="1">
        <v>2014</v>
      </c>
      <c r="D50" s="1">
        <v>2015</v>
      </c>
      <c r="E50" s="1">
        <v>2016</v>
      </c>
      <c r="F50" s="21">
        <v>2017</v>
      </c>
      <c r="G50" s="1">
        <v>2018</v>
      </c>
      <c r="H50" s="1">
        <v>2019</v>
      </c>
      <c r="I50" s="1">
        <v>2020</v>
      </c>
      <c r="J50" s="1">
        <v>2021</v>
      </c>
      <c r="K50" s="1">
        <v>2022</v>
      </c>
    </row>
    <row r="51" spans="1:16" s="1" customFormat="1" x14ac:dyDescent="0.3">
      <c r="A51" s="1" t="s">
        <v>68</v>
      </c>
      <c r="B51" s="40">
        <f>B3/FCF!B6</f>
        <v>1.2339232963986273E-3</v>
      </c>
      <c r="C51" s="40">
        <f>C3/FCF!C6</f>
        <v>1.6429916866166131E-3</v>
      </c>
      <c r="D51" s="40">
        <f>D3/FCF!D6</f>
        <v>2.0339025506642527E-3</v>
      </c>
      <c r="E51" s="40">
        <f>E3/FCF!E6</f>
        <v>1.8011770210877454E-3</v>
      </c>
      <c r="F51" s="44">
        <f>F3/FCF!F6</f>
        <v>1.3787982474959099E-3</v>
      </c>
      <c r="G51" s="79">
        <f>G134/FCF!G6</f>
        <v>7.3409854530011624E-4</v>
      </c>
      <c r="H51" s="63">
        <f>H134/FCF!H6</f>
        <v>1.0569318481647226E-3</v>
      </c>
      <c r="I51" s="63">
        <f>I134/FCF!I6</f>
        <v>1.3290366343975718E-3</v>
      </c>
      <c r="J51" s="63">
        <f>J134/FCF!J6</f>
        <v>1.0177202584578987E-3</v>
      </c>
      <c r="K51" s="63">
        <f>K134/FCF!K6</f>
        <v>9.6583788811943313E-4</v>
      </c>
      <c r="L51"/>
      <c r="M51"/>
      <c r="N51"/>
      <c r="O51"/>
      <c r="P51"/>
    </row>
    <row r="52" spans="1:16" x14ac:dyDescent="0.3">
      <c r="A52" t="s">
        <v>59</v>
      </c>
      <c r="B52" s="3"/>
      <c r="C52" s="3"/>
      <c r="D52" s="3"/>
      <c r="E52" s="3"/>
      <c r="F52" s="24"/>
    </row>
    <row r="53" spans="1:16" x14ac:dyDescent="0.3">
      <c r="A53" s="8" t="s">
        <v>69</v>
      </c>
      <c r="B53" s="3">
        <f>B5/B3</f>
        <v>1</v>
      </c>
      <c r="C53" s="3">
        <f t="shared" ref="C53:F53" si="23">C5/C3</f>
        <v>1</v>
      </c>
      <c r="D53" s="3">
        <f t="shared" si="23"/>
        <v>1</v>
      </c>
      <c r="E53" s="3">
        <f t="shared" si="23"/>
        <v>1</v>
      </c>
      <c r="F53" s="24">
        <f t="shared" si="23"/>
        <v>1</v>
      </c>
      <c r="G53" s="62">
        <f>100%</f>
        <v>1</v>
      </c>
      <c r="H53" s="3">
        <f>100%</f>
        <v>1</v>
      </c>
      <c r="I53" s="3">
        <f>100%</f>
        <v>1</v>
      </c>
      <c r="J53" s="3">
        <f>100%</f>
        <v>1</v>
      </c>
      <c r="K53" s="3">
        <f>100%</f>
        <v>1</v>
      </c>
    </row>
    <row r="54" spans="1:16" s="1" customFormat="1" x14ac:dyDescent="0.3">
      <c r="A54" s="1" t="s">
        <v>72</v>
      </c>
      <c r="B54" s="37">
        <f>B6/FCF!B6</f>
        <v>6.2812781546989452E-2</v>
      </c>
      <c r="C54" s="37">
        <f>C6/FCF!C6</f>
        <v>5.2994792454514543E-2</v>
      </c>
      <c r="D54" s="37">
        <f>D6/FCF!D6</f>
        <v>4.6476822183351335E-2</v>
      </c>
      <c r="E54" s="37">
        <f>E6/FCF!E6</f>
        <v>4.693354799394172E-2</v>
      </c>
      <c r="F54" s="45">
        <f>F6/FCF!F6</f>
        <v>4.9166649239328064E-2</v>
      </c>
      <c r="G54" s="80">
        <f>FCF!G37</f>
        <v>3.2096038862317232E-2</v>
      </c>
      <c r="H54" s="64">
        <f>FCF!H37</f>
        <v>3.3909268099340133E-2</v>
      </c>
      <c r="I54" s="64">
        <f>FCF!I37</f>
        <v>3.5069527687887625E-2</v>
      </c>
      <c r="J54" s="64">
        <f>FCF!J37</f>
        <v>3.5914248555165597E-2</v>
      </c>
      <c r="K54" s="64">
        <f>FCF!K37</f>
        <v>3.6943157274450383E-2</v>
      </c>
    </row>
    <row r="55" spans="1:16" x14ac:dyDescent="0.3">
      <c r="A55" t="s">
        <v>59</v>
      </c>
      <c r="B55" s="3"/>
      <c r="C55" s="3"/>
      <c r="D55" s="3"/>
      <c r="E55" s="3"/>
      <c r="F55" s="24"/>
    </row>
    <row r="56" spans="1:16" x14ac:dyDescent="0.3">
      <c r="A56" s="8" t="s">
        <v>73</v>
      </c>
      <c r="B56" s="3">
        <f>B8/B6</f>
        <v>0.14176221619188778</v>
      </c>
      <c r="C56" s="3">
        <f t="shared" ref="C56:F56" si="24">C8/C6</f>
        <v>0.13912842350099347</v>
      </c>
      <c r="D56" s="3">
        <f t="shared" si="24"/>
        <v>0.14319309737711094</v>
      </c>
      <c r="E56" s="3">
        <f t="shared" si="24"/>
        <v>0.12333960965696814</v>
      </c>
      <c r="F56" s="24">
        <f t="shared" si="24"/>
        <v>0.15341946299314865</v>
      </c>
      <c r="G56" s="66">
        <f>G146/SUM(G$146,G$158,G$170)</f>
        <v>0.15149712324394976</v>
      </c>
      <c r="H56" s="65">
        <f t="shared" ref="H56:K56" si="25">H146/SUM(H146,H158,H170)</f>
        <v>0.1572001795104476</v>
      </c>
      <c r="I56" s="65">
        <f t="shared" si="25"/>
        <v>0.16099751947165361</v>
      </c>
      <c r="J56" s="65">
        <f t="shared" si="25"/>
        <v>0.16384677947937562</v>
      </c>
      <c r="K56" s="65">
        <f t="shared" si="25"/>
        <v>0.16634600968474017</v>
      </c>
    </row>
    <row r="57" spans="1:16" x14ac:dyDescent="0.3">
      <c r="A57" s="8" t="s">
        <v>70</v>
      </c>
      <c r="B57" s="3">
        <f>B9/B6</f>
        <v>0.67614538481499242</v>
      </c>
      <c r="C57" s="3">
        <f t="shared" ref="C57:F57" si="26">C9/C6</f>
        <v>0.65429156872882921</v>
      </c>
      <c r="D57" s="3">
        <f t="shared" si="26"/>
        <v>0.63787197318294875</v>
      </c>
      <c r="E57" s="3">
        <f t="shared" si="26"/>
        <v>0.6472464591751248</v>
      </c>
      <c r="F57" s="24">
        <f t="shared" si="26"/>
        <v>0.59173508424586851</v>
      </c>
      <c r="G57" s="66">
        <f>G158/SUM(G$146,G$158,G$170)</f>
        <v>0.60222625001324004</v>
      </c>
      <c r="H57" s="65">
        <f t="shared" ref="H57:K57" si="27">H158/SUM(H$146,H$158,H$170)</f>
        <v>0.5371587553845536</v>
      </c>
      <c r="I57" s="65">
        <f t="shared" si="27"/>
        <v>0.4938340210696317</v>
      </c>
      <c r="J57" s="65">
        <f t="shared" si="27"/>
        <v>0.46132615132665428</v>
      </c>
      <c r="K57" s="65">
        <f t="shared" si="27"/>
        <v>0.43281185296374008</v>
      </c>
    </row>
    <row r="58" spans="1:16" x14ac:dyDescent="0.3">
      <c r="A58" s="8" t="s">
        <v>71</v>
      </c>
      <c r="B58" s="3">
        <f>B10/B6</f>
        <v>0.18209239899311985</v>
      </c>
      <c r="C58" s="3">
        <f t="shared" ref="C58:F58" si="28">C10/C6</f>
        <v>0.20658000777017727</v>
      </c>
      <c r="D58" s="3">
        <f t="shared" si="28"/>
        <v>0.21893492943994033</v>
      </c>
      <c r="E58" s="3">
        <f t="shared" si="28"/>
        <v>0.22941393116790706</v>
      </c>
      <c r="F58" s="24">
        <f t="shared" si="28"/>
        <v>0.25484545276098286</v>
      </c>
      <c r="G58" s="66">
        <f>G170/SUM(G$146,G$158,G$170)</f>
        <v>0.24627662674281017</v>
      </c>
      <c r="H58" s="65">
        <f t="shared" ref="H58:K58" si="29">H170/SUM(H$146,H$158,H$170)</f>
        <v>0.30564106510499872</v>
      </c>
      <c r="I58" s="65">
        <f t="shared" si="29"/>
        <v>0.34516845945871466</v>
      </c>
      <c r="J58" s="65">
        <f t="shared" si="29"/>
        <v>0.37482706919397007</v>
      </c>
      <c r="K58" s="65">
        <f t="shared" si="29"/>
        <v>0.40084213735151986</v>
      </c>
    </row>
    <row r="59" spans="1:16" x14ac:dyDescent="0.3">
      <c r="F59" s="22"/>
    </row>
    <row r="60" spans="1:16" x14ac:dyDescent="0.3">
      <c r="F60" s="22"/>
    </row>
    <row r="61" spans="1:16" x14ac:dyDescent="0.3">
      <c r="F61" s="22"/>
    </row>
    <row r="62" spans="1:16" s="1" customFormat="1" x14ac:dyDescent="0.3">
      <c r="A62" s="1" t="s">
        <v>271</v>
      </c>
      <c r="B62" s="1">
        <v>2013</v>
      </c>
      <c r="C62" s="1">
        <v>2014</v>
      </c>
      <c r="D62" s="1">
        <v>2015</v>
      </c>
      <c r="E62" s="1">
        <v>2016</v>
      </c>
      <c r="F62" s="21">
        <v>2017</v>
      </c>
      <c r="G62" s="1">
        <v>2018</v>
      </c>
      <c r="H62" s="1">
        <v>2019</v>
      </c>
      <c r="I62" s="1">
        <v>2020</v>
      </c>
      <c r="J62" s="1">
        <v>2021</v>
      </c>
      <c r="K62" s="1">
        <v>2022</v>
      </c>
    </row>
    <row r="63" spans="1:16" s="41" customFormat="1" x14ac:dyDescent="0.3">
      <c r="A63" s="40" t="s">
        <v>68</v>
      </c>
      <c r="B63" s="41">
        <f>B14/FCF!B6</f>
        <v>1.6809222177214991E-3</v>
      </c>
      <c r="C63" s="41">
        <f>C14/FCF!C6</f>
        <v>1.3378545424147243E-3</v>
      </c>
      <c r="D63" s="41">
        <f>D14/FCF!D6</f>
        <v>4.1109260472828903E-3</v>
      </c>
      <c r="E63" s="41">
        <f>E14/FCF!E6</f>
        <v>2.4012507095913288E-4</v>
      </c>
      <c r="F63" s="41">
        <f>F14/FCF!F6</f>
        <v>8.5901536064735126E-4</v>
      </c>
      <c r="G63" s="72">
        <f>0.12%</f>
        <v>1.1999999999999999E-3</v>
      </c>
      <c r="H63" s="73">
        <f>0.12%</f>
        <v>1.1999999999999999E-3</v>
      </c>
      <c r="I63" s="73">
        <v>1.1000000000000001E-3</v>
      </c>
      <c r="J63" s="73">
        <v>1E-3</v>
      </c>
      <c r="K63" s="73">
        <v>1E-3</v>
      </c>
      <c r="L63" s="41" t="s">
        <v>156</v>
      </c>
    </row>
    <row r="64" spans="1:16" x14ac:dyDescent="0.3">
      <c r="A64" t="s">
        <v>59</v>
      </c>
      <c r="F64" s="22"/>
      <c r="G64" s="58"/>
      <c r="H64" s="58"/>
      <c r="I64" s="58"/>
      <c r="J64" s="58"/>
      <c r="K64" s="58"/>
    </row>
    <row r="65" spans="1:13" x14ac:dyDescent="0.3">
      <c r="A65" s="8" t="s">
        <v>69</v>
      </c>
      <c r="B65" s="42">
        <f>B16/B14</f>
        <v>1</v>
      </c>
      <c r="C65" s="42">
        <f t="shared" ref="C65:K65" si="30">C16/C14</f>
        <v>1</v>
      </c>
      <c r="D65" s="42">
        <f t="shared" si="30"/>
        <v>1</v>
      </c>
      <c r="E65" s="42">
        <f t="shared" si="30"/>
        <v>1</v>
      </c>
      <c r="F65" s="46">
        <f t="shared" si="30"/>
        <v>1</v>
      </c>
      <c r="G65" s="134">
        <f t="shared" si="30"/>
        <v>1</v>
      </c>
      <c r="H65" s="67">
        <f t="shared" si="30"/>
        <v>1</v>
      </c>
      <c r="I65" s="67">
        <f t="shared" si="30"/>
        <v>1</v>
      </c>
      <c r="J65" s="67">
        <f t="shared" si="30"/>
        <v>1</v>
      </c>
      <c r="K65" s="67">
        <f t="shared" si="30"/>
        <v>1</v>
      </c>
    </row>
    <row r="66" spans="1:13" x14ac:dyDescent="0.3">
      <c r="A66" s="1" t="s">
        <v>72</v>
      </c>
      <c r="B66" s="39">
        <f>B17/FCF!B6</f>
        <v>1.3912471641703769E-2</v>
      </c>
      <c r="C66" s="39">
        <f>C17/FCF!C6</f>
        <v>3.9971653696584973E-2</v>
      </c>
      <c r="D66" s="39">
        <f>D17/FCF!D6</f>
        <v>7.6147901110512201E-2</v>
      </c>
      <c r="E66" s="39">
        <f>E17/FCF!E6</f>
        <v>0.16425042234234927</v>
      </c>
      <c r="F66" s="47">
        <f>F17/FCF!F6</f>
        <v>0.10957705787610959</v>
      </c>
      <c r="G66" s="74">
        <v>0.11</v>
      </c>
      <c r="H66" s="74">
        <v>0.1</v>
      </c>
      <c r="I66" s="74">
        <v>0.08</v>
      </c>
      <c r="J66" s="74">
        <v>7.0000000000000007E-2</v>
      </c>
      <c r="K66" s="74">
        <v>7.0000000000000007E-2</v>
      </c>
      <c r="L66" t="s">
        <v>170</v>
      </c>
    </row>
    <row r="67" spans="1:13" x14ac:dyDescent="0.3">
      <c r="A67" t="s">
        <v>59</v>
      </c>
      <c r="F67" s="22"/>
      <c r="G67" s="58"/>
      <c r="H67" s="58"/>
      <c r="I67" s="58"/>
      <c r="J67" s="58"/>
      <c r="K67" s="58"/>
    </row>
    <row r="68" spans="1:13" s="38" customFormat="1" x14ac:dyDescent="0.3">
      <c r="A68" s="14" t="s">
        <v>73</v>
      </c>
      <c r="B68" s="38">
        <f>B19/B17</f>
        <v>0.13744565194908348</v>
      </c>
      <c r="C68" s="38">
        <f t="shared" ref="C68:F68" si="31">C19/C17</f>
        <v>0.26451406319776016</v>
      </c>
      <c r="D68" s="38">
        <f t="shared" si="31"/>
        <v>0.20629818928026039</v>
      </c>
      <c r="E68" s="38">
        <f t="shared" si="31"/>
        <v>0.39657773697127757</v>
      </c>
      <c r="F68" s="48">
        <f t="shared" si="31"/>
        <v>0.25427865154598028</v>
      </c>
      <c r="G68" s="75">
        <v>0.26</v>
      </c>
      <c r="H68" s="75">
        <v>0.26</v>
      </c>
      <c r="I68" s="75">
        <v>0.26</v>
      </c>
      <c r="J68" s="75">
        <v>0.26</v>
      </c>
      <c r="K68" s="75">
        <v>0.26</v>
      </c>
      <c r="L68" s="38" t="s">
        <v>157</v>
      </c>
    </row>
    <row r="69" spans="1:13" s="38" customFormat="1" x14ac:dyDescent="0.3">
      <c r="A69" s="14" t="s">
        <v>70</v>
      </c>
      <c r="B69" s="38">
        <f>B20/B17</f>
        <v>0.33926752685858957</v>
      </c>
      <c r="C69" s="38">
        <f t="shared" ref="C69:F69" si="32">C20/C17</f>
        <v>0.47481406522997655</v>
      </c>
      <c r="D69" s="38">
        <f t="shared" si="32"/>
        <v>0.60030145227590248</v>
      </c>
      <c r="E69" s="38">
        <f t="shared" si="32"/>
        <v>0.47380129818991706</v>
      </c>
      <c r="F69" s="48">
        <f t="shared" si="32"/>
        <v>0.5355755037505433</v>
      </c>
      <c r="G69" s="75">
        <v>0.49</v>
      </c>
      <c r="H69" s="75">
        <v>0.49</v>
      </c>
      <c r="I69" s="75">
        <v>0.49</v>
      </c>
      <c r="J69" s="75">
        <v>0.49</v>
      </c>
      <c r="K69" s="75">
        <v>0.49</v>
      </c>
    </row>
    <row r="70" spans="1:13" s="38" customFormat="1" x14ac:dyDescent="0.3">
      <c r="A70" s="14" t="s">
        <v>71</v>
      </c>
      <c r="B70" s="38">
        <f>B21/B17</f>
        <v>0.52328682119232695</v>
      </c>
      <c r="C70" s="38">
        <f t="shared" ref="C70:F70" si="33">C21/C17</f>
        <v>0.26067187157226329</v>
      </c>
      <c r="D70" s="38">
        <f t="shared" si="33"/>
        <v>0.1934003584438371</v>
      </c>
      <c r="E70" s="38">
        <f t="shared" si="33"/>
        <v>0.12962096483880536</v>
      </c>
      <c r="F70" s="48">
        <f t="shared" si="33"/>
        <v>0.21014584470347641</v>
      </c>
      <c r="G70" s="75">
        <v>0.25</v>
      </c>
      <c r="H70" s="75">
        <v>0.25</v>
      </c>
      <c r="I70" s="75">
        <v>0.25</v>
      </c>
      <c r="J70" s="75">
        <v>0.25</v>
      </c>
      <c r="K70" s="75">
        <v>0.25</v>
      </c>
    </row>
    <row r="71" spans="1:13" x14ac:dyDescent="0.3">
      <c r="F71" s="22"/>
    </row>
    <row r="72" spans="1:13" x14ac:dyDescent="0.3">
      <c r="F72" s="22"/>
    </row>
    <row r="73" spans="1:13" x14ac:dyDescent="0.3">
      <c r="A73" s="14"/>
      <c r="B73" s="49"/>
      <c r="F73" s="22"/>
      <c r="M73" s="20"/>
    </row>
    <row r="74" spans="1:13" s="1" customFormat="1" hidden="1" x14ac:dyDescent="0.3">
      <c r="A74" s="55"/>
      <c r="F74" s="21"/>
    </row>
    <row r="75" spans="1:13" s="3" customFormat="1" hidden="1" x14ac:dyDescent="0.3">
      <c r="A75" s="6"/>
      <c r="F75" s="24"/>
      <c r="G75" s="66"/>
      <c r="H75" s="65"/>
      <c r="I75" s="65"/>
      <c r="J75" s="65"/>
      <c r="K75" s="65"/>
    </row>
    <row r="76" spans="1:13" s="3" customFormat="1" hidden="1" x14ac:dyDescent="0.3">
      <c r="F76" s="24"/>
      <c r="G76" s="65"/>
      <c r="H76" s="65"/>
      <c r="I76" s="65"/>
      <c r="J76" s="65"/>
      <c r="K76" s="65"/>
    </row>
    <row r="77" spans="1:13" s="3" customFormat="1" hidden="1" x14ac:dyDescent="0.3">
      <c r="A77" s="10"/>
      <c r="F77" s="24"/>
      <c r="G77" s="76"/>
      <c r="H77" s="76"/>
      <c r="I77" s="76"/>
      <c r="J77" s="76"/>
      <c r="K77" s="76"/>
    </row>
    <row r="78" spans="1:13" s="3" customFormat="1" hidden="1" x14ac:dyDescent="0.3">
      <c r="A78" s="6"/>
      <c r="F78" s="24"/>
      <c r="G78" s="76"/>
      <c r="H78" s="76"/>
      <c r="I78" s="76"/>
      <c r="J78" s="76"/>
      <c r="K78" s="76"/>
    </row>
    <row r="79" spans="1:13" s="3" customFormat="1" hidden="1" x14ac:dyDescent="0.3">
      <c r="F79" s="24"/>
      <c r="G79" s="76"/>
      <c r="H79" s="76"/>
      <c r="I79" s="76"/>
      <c r="J79" s="76"/>
      <c r="K79" s="76"/>
    </row>
    <row r="80" spans="1:13" s="3" customFormat="1" hidden="1" x14ac:dyDescent="0.3">
      <c r="A80" s="10"/>
      <c r="F80" s="24"/>
      <c r="G80" s="76"/>
      <c r="H80" s="76"/>
      <c r="I80" s="76"/>
      <c r="J80" s="76"/>
      <c r="K80" s="76"/>
    </row>
    <row r="81" spans="1:11" s="3" customFormat="1" hidden="1" x14ac:dyDescent="0.3">
      <c r="A81" s="10"/>
      <c r="F81" s="24"/>
      <c r="G81" s="76"/>
      <c r="H81" s="76"/>
      <c r="I81" s="76"/>
      <c r="J81" s="76"/>
      <c r="K81" s="76"/>
    </row>
    <row r="82" spans="1:11" s="3" customFormat="1" hidden="1" x14ac:dyDescent="0.3">
      <c r="A82" s="10"/>
      <c r="F82" s="24"/>
      <c r="G82" s="76"/>
      <c r="H82" s="76"/>
      <c r="I82" s="76"/>
      <c r="J82" s="76"/>
      <c r="K82" s="76"/>
    </row>
    <row r="83" spans="1:11" hidden="1" x14ac:dyDescent="0.3">
      <c r="F83" s="22"/>
    </row>
    <row r="84" spans="1:11" hidden="1" x14ac:dyDescent="0.3">
      <c r="F84" s="22"/>
    </row>
    <row r="85" spans="1:11" hidden="1" x14ac:dyDescent="0.3">
      <c r="F85" s="22"/>
    </row>
    <row r="86" spans="1:11" hidden="1" x14ac:dyDescent="0.3">
      <c r="A86" s="55"/>
      <c r="F86" s="22"/>
      <c r="G86" s="1"/>
      <c r="H86" s="1"/>
      <c r="I86" s="1"/>
      <c r="J86" s="1"/>
      <c r="K86" s="1"/>
    </row>
    <row r="87" spans="1:11" s="1" customFormat="1" hidden="1" x14ac:dyDescent="0.3">
      <c r="A87" s="6"/>
      <c r="F87" s="21"/>
    </row>
    <row r="88" spans="1:11" hidden="1" x14ac:dyDescent="0.3">
      <c r="A88" s="3"/>
      <c r="F88" s="22"/>
    </row>
    <row r="89" spans="1:11" hidden="1" x14ac:dyDescent="0.3">
      <c r="A89" s="10"/>
      <c r="F89" s="22"/>
    </row>
    <row r="90" spans="1:11" s="1" customFormat="1" hidden="1" x14ac:dyDescent="0.3">
      <c r="A90" s="6"/>
      <c r="F90" s="21"/>
    </row>
    <row r="91" spans="1:11" hidden="1" x14ac:dyDescent="0.3">
      <c r="A91" s="3"/>
      <c r="F91" s="22"/>
    </row>
    <row r="92" spans="1:11" hidden="1" x14ac:dyDescent="0.3">
      <c r="A92" s="10"/>
      <c r="F92" s="22"/>
    </row>
    <row r="93" spans="1:11" hidden="1" x14ac:dyDescent="0.3">
      <c r="A93" s="10"/>
      <c r="F93" s="22"/>
    </row>
    <row r="94" spans="1:11" hidden="1" x14ac:dyDescent="0.3">
      <c r="A94" s="10"/>
      <c r="F94" s="22"/>
    </row>
    <row r="95" spans="1:11" s="7" customFormat="1" x14ac:dyDescent="0.3">
      <c r="F95" s="36"/>
    </row>
    <row r="96" spans="1:11" x14ac:dyDescent="0.3">
      <c r="F96" s="22"/>
    </row>
    <row r="97" spans="1:12" x14ac:dyDescent="0.3">
      <c r="F97" s="22"/>
    </row>
    <row r="98" spans="1:12" s="1" customFormat="1" x14ac:dyDescent="0.3">
      <c r="A98" s="78" t="s">
        <v>254</v>
      </c>
      <c r="B98" s="1" t="s">
        <v>255</v>
      </c>
      <c r="F98" s="21" t="s">
        <v>230</v>
      </c>
      <c r="G98" s="1">
        <v>2018</v>
      </c>
      <c r="H98" s="1">
        <v>2019</v>
      </c>
      <c r="I98" s="1">
        <v>2020</v>
      </c>
      <c r="J98" s="1">
        <v>2021</v>
      </c>
      <c r="K98" s="1">
        <v>2022</v>
      </c>
    </row>
    <row r="99" spans="1:12" s="1" customFormat="1" x14ac:dyDescent="0.3">
      <c r="A99" s="6" t="s">
        <v>68</v>
      </c>
      <c r="B99" s="77">
        <v>0.33300000000000002</v>
      </c>
      <c r="F99" s="98">
        <f t="shared" ref="F99" si="34">F101</f>
        <v>164330</v>
      </c>
      <c r="G99" s="112">
        <f>$F99*0.333</f>
        <v>54721.89</v>
      </c>
      <c r="H99" s="97">
        <f t="shared" ref="H99:I99" si="35">$F99*0.333</f>
        <v>54721.89</v>
      </c>
      <c r="I99" s="97">
        <f t="shared" si="35"/>
        <v>54721.89</v>
      </c>
      <c r="J99" s="97">
        <f>F99-I99-H99-G99</f>
        <v>164.33000000000175</v>
      </c>
      <c r="K99" s="97">
        <v>0</v>
      </c>
      <c r="L99" s="7"/>
    </row>
    <row r="100" spans="1:12" x14ac:dyDescent="0.3">
      <c r="A100" s="3" t="s">
        <v>59</v>
      </c>
      <c r="F100" s="96"/>
      <c r="G100" s="132"/>
      <c r="H100" s="95"/>
      <c r="I100" s="95"/>
      <c r="J100" s="95"/>
      <c r="K100" s="95"/>
    </row>
    <row r="101" spans="1:12" x14ac:dyDescent="0.3">
      <c r="A101" s="10" t="s">
        <v>69</v>
      </c>
      <c r="F101" s="96">
        <v>164330</v>
      </c>
      <c r="G101" s="101">
        <f>G99</f>
        <v>54721.89</v>
      </c>
      <c r="H101" s="95">
        <f t="shared" ref="H101:K101" si="36">H99</f>
        <v>54721.89</v>
      </c>
      <c r="I101" s="95">
        <f t="shared" si="36"/>
        <v>54721.89</v>
      </c>
      <c r="J101" s="95">
        <f t="shared" si="36"/>
        <v>164.33000000000175</v>
      </c>
      <c r="K101" s="95">
        <f t="shared" si="36"/>
        <v>0</v>
      </c>
    </row>
    <row r="102" spans="1:12" s="1" customFormat="1" x14ac:dyDescent="0.3">
      <c r="A102" s="6" t="s">
        <v>72</v>
      </c>
      <c r="F102" s="98">
        <f t="shared" ref="F102" si="37">SUM(F104:F106)</f>
        <v>42855483</v>
      </c>
      <c r="G102" s="112">
        <f>SUM(G104:G106)</f>
        <v>4272242.47</v>
      </c>
      <c r="H102" s="97">
        <f t="shared" ref="H102:K102" si="38">SUM(H104:H106)</f>
        <v>4272242.47</v>
      </c>
      <c r="I102" s="97">
        <f t="shared" si="38"/>
        <v>4272242.47</v>
      </c>
      <c r="J102" s="97">
        <f t="shared" si="38"/>
        <v>4272242.47</v>
      </c>
      <c r="K102" s="97">
        <f t="shared" si="38"/>
        <v>4272242.47</v>
      </c>
    </row>
    <row r="103" spans="1:12" x14ac:dyDescent="0.3">
      <c r="A103" s="3" t="s">
        <v>59</v>
      </c>
      <c r="F103" s="96"/>
      <c r="G103" s="132"/>
      <c r="H103" s="95"/>
      <c r="I103" s="95"/>
      <c r="J103" s="95"/>
      <c r="K103" s="95"/>
    </row>
    <row r="104" spans="1:12" x14ac:dyDescent="0.3">
      <c r="A104" s="10" t="s">
        <v>73</v>
      </c>
      <c r="B104" s="11">
        <v>3.5000000000000003E-2</v>
      </c>
      <c r="F104" s="96">
        <v>17529047</v>
      </c>
      <c r="G104" s="101">
        <f>$F104*0.035</f>
        <v>613516.64500000002</v>
      </c>
      <c r="H104" s="95">
        <f t="shared" ref="H104:K104" si="39">$F104*0.035</f>
        <v>613516.64500000002</v>
      </c>
      <c r="I104" s="95">
        <f t="shared" si="39"/>
        <v>613516.64500000002</v>
      </c>
      <c r="J104" s="95">
        <f t="shared" si="39"/>
        <v>613516.64500000002</v>
      </c>
      <c r="K104" s="95">
        <f t="shared" si="39"/>
        <v>613516.64500000002</v>
      </c>
    </row>
    <row r="105" spans="1:12" x14ac:dyDescent="0.3">
      <c r="A105" s="10" t="s">
        <v>70</v>
      </c>
      <c r="B105" s="20">
        <v>0.15</v>
      </c>
      <c r="F105" s="96">
        <v>19716853</v>
      </c>
      <c r="G105" s="101">
        <f>$F105*0.15</f>
        <v>2957527.9499999997</v>
      </c>
      <c r="H105" s="95">
        <f t="shared" ref="H105:K105" si="40">$F105*0.15</f>
        <v>2957527.9499999997</v>
      </c>
      <c r="I105" s="95">
        <f t="shared" si="40"/>
        <v>2957527.9499999997</v>
      </c>
      <c r="J105" s="95">
        <f t="shared" si="40"/>
        <v>2957527.9499999997</v>
      </c>
      <c r="K105" s="95">
        <f t="shared" si="40"/>
        <v>2957527.9499999997</v>
      </c>
    </row>
    <row r="106" spans="1:12" x14ac:dyDescent="0.3">
      <c r="A106" s="10" t="s">
        <v>71</v>
      </c>
      <c r="B106" s="11">
        <v>0.125</v>
      </c>
      <c r="F106" s="96">
        <v>5609583</v>
      </c>
      <c r="G106" s="101">
        <f>$F106*0.125</f>
        <v>701197.875</v>
      </c>
      <c r="H106" s="95">
        <f t="shared" ref="H106:K106" si="41">$F106*0.125</f>
        <v>701197.875</v>
      </c>
      <c r="I106" s="95">
        <f t="shared" si="41"/>
        <v>701197.875</v>
      </c>
      <c r="J106" s="95">
        <f t="shared" si="41"/>
        <v>701197.875</v>
      </c>
      <c r="K106" s="95">
        <f t="shared" si="41"/>
        <v>701197.875</v>
      </c>
    </row>
    <row r="107" spans="1:12" x14ac:dyDescent="0.3">
      <c r="F107" s="22"/>
    </row>
    <row r="108" spans="1:12" x14ac:dyDescent="0.3">
      <c r="F108" s="22"/>
    </row>
    <row r="109" spans="1:12" s="1" customFormat="1" hidden="1" x14ac:dyDescent="0.3">
      <c r="A109" s="6"/>
      <c r="F109" s="21"/>
    </row>
    <row r="110" spans="1:12" s="1" customFormat="1" hidden="1" x14ac:dyDescent="0.3">
      <c r="A110" s="6"/>
      <c r="F110" s="21"/>
    </row>
    <row r="111" spans="1:12" hidden="1" x14ac:dyDescent="0.3">
      <c r="A111" s="3"/>
      <c r="F111" s="22"/>
    </row>
    <row r="112" spans="1:12" hidden="1" x14ac:dyDescent="0.3">
      <c r="A112" s="10"/>
      <c r="F112" s="22"/>
    </row>
    <row r="113" spans="1:11" s="1" customFormat="1" hidden="1" x14ac:dyDescent="0.3">
      <c r="A113" s="6"/>
      <c r="F113" s="21"/>
    </row>
    <row r="114" spans="1:11" hidden="1" x14ac:dyDescent="0.3">
      <c r="A114" s="3"/>
      <c r="F114" s="22"/>
    </row>
    <row r="115" spans="1:11" hidden="1" x14ac:dyDescent="0.3">
      <c r="A115" s="10"/>
      <c r="F115" s="22"/>
    </row>
    <row r="116" spans="1:11" hidden="1" x14ac:dyDescent="0.3">
      <c r="A116" s="10"/>
      <c r="F116" s="22"/>
    </row>
    <row r="117" spans="1:11" hidden="1" x14ac:dyDescent="0.3">
      <c r="A117" s="10"/>
      <c r="F117" s="22"/>
    </row>
    <row r="118" spans="1:11" x14ac:dyDescent="0.3">
      <c r="F118" s="22"/>
    </row>
    <row r="119" spans="1:11" s="7" customFormat="1" x14ac:dyDescent="0.3">
      <c r="A119" s="83" t="s">
        <v>234</v>
      </c>
      <c r="B119" s="35">
        <v>2013</v>
      </c>
      <c r="C119" s="35">
        <v>2014</v>
      </c>
      <c r="D119" s="35">
        <v>2015</v>
      </c>
      <c r="E119" s="35">
        <v>2016</v>
      </c>
      <c r="F119" s="51">
        <v>2017</v>
      </c>
      <c r="G119" s="35">
        <v>2018</v>
      </c>
      <c r="H119" s="35">
        <v>2019</v>
      </c>
      <c r="I119" s="35">
        <v>2020</v>
      </c>
      <c r="J119" s="35">
        <v>2021</v>
      </c>
      <c r="K119" s="35">
        <v>2022</v>
      </c>
    </row>
    <row r="120" spans="1:11" s="116" customFormat="1" x14ac:dyDescent="0.3">
      <c r="A120" s="118" t="s">
        <v>242</v>
      </c>
      <c r="B120" s="118">
        <f>B3+B6</f>
        <v>5564053</v>
      </c>
      <c r="C120" s="118">
        <f t="shared" ref="C120:F120" si="42">C3+C6</f>
        <v>5246451</v>
      </c>
      <c r="D120" s="118">
        <f t="shared" si="42"/>
        <v>5430337</v>
      </c>
      <c r="E120" s="118">
        <f t="shared" si="42"/>
        <v>6219574</v>
      </c>
      <c r="F120" s="119">
        <f t="shared" si="42"/>
        <v>7405570</v>
      </c>
      <c r="G120" s="120">
        <f>G134+G146+G158+G170</f>
        <v>5250713.1428138912</v>
      </c>
      <c r="H120" s="118">
        <f t="shared" ref="H120:K120" si="43">H134+H146+H158+H170</f>
        <v>6195194.7063888703</v>
      </c>
      <c r="I120" s="118">
        <f t="shared" si="43"/>
        <v>7034058.0411740383</v>
      </c>
      <c r="J120" s="118">
        <f t="shared" si="43"/>
        <v>7701782.2055994458</v>
      </c>
      <c r="K120" s="118">
        <f t="shared" si="43"/>
        <v>8470575.0211308487</v>
      </c>
    </row>
    <row r="121" spans="1:11" s="95" customFormat="1" x14ac:dyDescent="0.3">
      <c r="A121" s="95" t="s">
        <v>243</v>
      </c>
      <c r="F121" s="96"/>
      <c r="G121" s="101">
        <f>G99+G102</f>
        <v>4326964.3599999994</v>
      </c>
      <c r="H121" s="95">
        <f t="shared" ref="H121:K121" si="44">H99+H102</f>
        <v>4326964.3599999994</v>
      </c>
      <c r="I121" s="95">
        <f t="shared" si="44"/>
        <v>4326964.3599999994</v>
      </c>
      <c r="J121" s="95">
        <f t="shared" si="44"/>
        <v>4272406.8</v>
      </c>
      <c r="K121" s="95">
        <f t="shared" si="44"/>
        <v>4272242.47</v>
      </c>
    </row>
    <row r="122" spans="1:11" s="95" customFormat="1" x14ac:dyDescent="0.3">
      <c r="A122" s="95" t="s">
        <v>244</v>
      </c>
      <c r="F122" s="96"/>
      <c r="G122" s="101">
        <f>G132+G144+G156+G168</f>
        <v>923748.782813892</v>
      </c>
      <c r="H122" s="95">
        <f t="shared" ref="H122:K122" si="45">H132+H144+H156+H168</f>
        <v>1868230.3463888704</v>
      </c>
      <c r="I122" s="95">
        <f t="shared" si="45"/>
        <v>2707093.681174038</v>
      </c>
      <c r="J122" s="95">
        <f t="shared" si="45"/>
        <v>3429375.4055994456</v>
      </c>
      <c r="K122" s="95">
        <f t="shared" si="45"/>
        <v>4198332.551130848</v>
      </c>
    </row>
    <row r="123" spans="1:11" x14ac:dyDescent="0.3">
      <c r="F123" s="22"/>
    </row>
    <row r="124" spans="1:11" s="78" customFormat="1" x14ac:dyDescent="0.3">
      <c r="A124" s="78" t="s">
        <v>239</v>
      </c>
      <c r="F124" s="81"/>
    </row>
    <row r="125" spans="1:11" s="1" customFormat="1" x14ac:dyDescent="0.3">
      <c r="A125" s="1" t="s">
        <v>231</v>
      </c>
      <c r="F125" s="21" t="s">
        <v>163</v>
      </c>
      <c r="G125" s="1">
        <v>2018</v>
      </c>
      <c r="H125" s="1">
        <v>2019</v>
      </c>
      <c r="I125" s="1">
        <v>2020</v>
      </c>
      <c r="J125" s="1">
        <v>2021</v>
      </c>
      <c r="K125" s="1">
        <v>2022</v>
      </c>
    </row>
    <row r="126" spans="1:11" x14ac:dyDescent="0.3">
      <c r="A126">
        <v>2018</v>
      </c>
      <c r="F126" s="96">
        <f>G14</f>
        <v>196312.56674399998</v>
      </c>
      <c r="G126" s="95">
        <f>$G14*0.333</f>
        <v>65372.084725752</v>
      </c>
      <c r="H126" s="95">
        <f t="shared" ref="H126:I126" si="46">$G14*0.333</f>
        <v>65372.084725752</v>
      </c>
      <c r="I126" s="95">
        <f t="shared" si="46"/>
        <v>65372.084725752</v>
      </c>
      <c r="J126" s="95">
        <f>F126-G126-H126-I126</f>
        <v>196.31256674396718</v>
      </c>
      <c r="K126" s="95">
        <v>0</v>
      </c>
    </row>
    <row r="127" spans="1:11" x14ac:dyDescent="0.3">
      <c r="A127">
        <v>2019</v>
      </c>
      <c r="F127" s="96">
        <f>H14</f>
        <v>219238.98875928001</v>
      </c>
      <c r="G127" s="95"/>
      <c r="H127" s="95">
        <f>$F127*0.333</f>
        <v>73006.58325684024</v>
      </c>
      <c r="I127" s="95">
        <f t="shared" ref="I127:K128" si="47">$F127*0.333</f>
        <v>73006.58325684024</v>
      </c>
      <c r="J127" s="95">
        <f t="shared" si="47"/>
        <v>73006.58325684024</v>
      </c>
      <c r="K127" s="95">
        <f>F127-H127-I127-J127</f>
        <v>219.23898875928717</v>
      </c>
    </row>
    <row r="128" spans="1:11" x14ac:dyDescent="0.3">
      <c r="A128">
        <v>2020</v>
      </c>
      <c r="F128" s="96">
        <f>I14</f>
        <v>220632.10871139908</v>
      </c>
      <c r="G128" s="95"/>
      <c r="H128" s="95"/>
      <c r="I128" s="95">
        <f t="shared" si="47"/>
        <v>73470.492200895897</v>
      </c>
      <c r="J128" s="95">
        <f t="shared" si="47"/>
        <v>73470.492200895897</v>
      </c>
      <c r="K128" s="95">
        <f t="shared" si="47"/>
        <v>73470.492200895897</v>
      </c>
    </row>
    <row r="129" spans="1:11" x14ac:dyDescent="0.3">
      <c r="A129">
        <v>2021</v>
      </c>
      <c r="F129" s="96">
        <f>J14</f>
        <v>214449.20930948135</v>
      </c>
      <c r="G129" s="95"/>
      <c r="H129" s="95"/>
      <c r="I129" s="95"/>
      <c r="J129" s="95">
        <f>$F129*0.333</f>
        <v>71411.586700057291</v>
      </c>
      <c r="K129" s="95">
        <f>$F129*0.333</f>
        <v>71411.586700057291</v>
      </c>
    </row>
    <row r="130" spans="1:11" x14ac:dyDescent="0.3">
      <c r="A130">
        <v>2022</v>
      </c>
      <c r="F130" s="96">
        <f>K14</f>
        <v>229286.71088404881</v>
      </c>
      <c r="G130" s="95"/>
      <c r="H130" s="95"/>
      <c r="I130" s="95"/>
      <c r="J130" s="95"/>
      <c r="K130" s="95">
        <f>F130*0.333</f>
        <v>76352.474724388259</v>
      </c>
    </row>
    <row r="131" spans="1:11" x14ac:dyDescent="0.3">
      <c r="F131" s="96"/>
      <c r="G131" s="95"/>
      <c r="H131" s="95"/>
      <c r="I131" s="95"/>
      <c r="J131" s="95"/>
      <c r="K131" s="95"/>
    </row>
    <row r="132" spans="1:11" x14ac:dyDescent="0.3">
      <c r="A132" t="s">
        <v>232</v>
      </c>
      <c r="F132" s="96"/>
      <c r="G132" s="95">
        <f>SUM(G126:G130)</f>
        <v>65372.084725752</v>
      </c>
      <c r="H132" s="95">
        <f t="shared" ref="H132:K132" si="48">SUM(H126:H130)</f>
        <v>138378.66798259225</v>
      </c>
      <c r="I132" s="95">
        <f t="shared" si="48"/>
        <v>211849.16018348816</v>
      </c>
      <c r="J132" s="95">
        <f t="shared" si="48"/>
        <v>218084.97472453737</v>
      </c>
      <c r="K132" s="95">
        <f t="shared" si="48"/>
        <v>221453.79261410073</v>
      </c>
    </row>
    <row r="133" spans="1:11" x14ac:dyDescent="0.3">
      <c r="A133" t="s">
        <v>233</v>
      </c>
      <c r="F133" s="96"/>
      <c r="G133" s="95">
        <f>G99</f>
        <v>54721.89</v>
      </c>
      <c r="H133" s="95">
        <f t="shared" ref="H133:K133" si="49">H99</f>
        <v>54721.89</v>
      </c>
      <c r="I133" s="95">
        <f t="shared" si="49"/>
        <v>54721.89</v>
      </c>
      <c r="J133" s="95">
        <f t="shared" si="49"/>
        <v>164.33000000000175</v>
      </c>
      <c r="K133" s="95">
        <f t="shared" si="49"/>
        <v>0</v>
      </c>
    </row>
    <row r="134" spans="1:11" s="1" customFormat="1" x14ac:dyDescent="0.3">
      <c r="A134" s="1" t="s">
        <v>234</v>
      </c>
      <c r="F134" s="98"/>
      <c r="G134" s="97">
        <f>G132+G133</f>
        <v>120093.97472575199</v>
      </c>
      <c r="H134" s="97">
        <f t="shared" ref="H134:K134" si="50">H132+H133</f>
        <v>193100.55798259226</v>
      </c>
      <c r="I134" s="97">
        <f t="shared" si="50"/>
        <v>266571.05018348817</v>
      </c>
      <c r="J134" s="97">
        <f t="shared" si="50"/>
        <v>218249.30472453736</v>
      </c>
      <c r="K134" s="97">
        <f t="shared" si="50"/>
        <v>221453.79261410073</v>
      </c>
    </row>
    <row r="135" spans="1:11" x14ac:dyDescent="0.3">
      <c r="F135" s="22"/>
    </row>
    <row r="136" spans="1:11" x14ac:dyDescent="0.3">
      <c r="F136" s="22"/>
    </row>
    <row r="137" spans="1:11" s="1" customFormat="1" x14ac:dyDescent="0.3">
      <c r="A137" s="1" t="s">
        <v>235</v>
      </c>
      <c r="F137" s="21" t="s">
        <v>163</v>
      </c>
      <c r="G137" s="1">
        <v>2018</v>
      </c>
      <c r="H137" s="1">
        <v>2019</v>
      </c>
      <c r="I137" s="1">
        <v>2020</v>
      </c>
      <c r="J137" s="1">
        <v>2021</v>
      </c>
      <c r="K137" s="1">
        <v>2022</v>
      </c>
    </row>
    <row r="138" spans="1:11" x14ac:dyDescent="0.3">
      <c r="A138">
        <v>2018</v>
      </c>
      <c r="F138" s="96">
        <f>G19</f>
        <v>4678782.8407319998</v>
      </c>
      <c r="G138" s="95">
        <f>$F138*0.035</f>
        <v>163757.39942562001</v>
      </c>
      <c r="H138" s="95">
        <f t="shared" ref="H138:K140" si="51">$F138*0.035</f>
        <v>163757.39942562001</v>
      </c>
      <c r="I138" s="95">
        <f t="shared" si="51"/>
        <v>163757.39942562001</v>
      </c>
      <c r="J138" s="95">
        <f t="shared" si="51"/>
        <v>163757.39942562001</v>
      </c>
      <c r="K138" s="95">
        <f t="shared" si="51"/>
        <v>163757.39942562001</v>
      </c>
    </row>
    <row r="139" spans="1:11" x14ac:dyDescent="0.3">
      <c r="A139">
        <v>2019</v>
      </c>
      <c r="F139" s="96">
        <f>H19</f>
        <v>4750178.0897844015</v>
      </c>
      <c r="G139" s="95"/>
      <c r="H139" s="95">
        <f t="shared" si="51"/>
        <v>166256.23314245406</v>
      </c>
      <c r="I139" s="95">
        <f t="shared" si="51"/>
        <v>166256.23314245406</v>
      </c>
      <c r="J139" s="95">
        <f t="shared" si="51"/>
        <v>166256.23314245406</v>
      </c>
      <c r="K139" s="95">
        <f t="shared" si="51"/>
        <v>166256.23314245406</v>
      </c>
    </row>
    <row r="140" spans="1:11" x14ac:dyDescent="0.3">
      <c r="A140">
        <v>2020</v>
      </c>
      <c r="F140" s="96">
        <f>I19</f>
        <v>4171952.6010882733</v>
      </c>
      <c r="G140" s="95"/>
      <c r="H140" s="95"/>
      <c r="I140" s="95">
        <f t="shared" si="51"/>
        <v>146018.34103808959</v>
      </c>
      <c r="J140" s="95">
        <f t="shared" si="51"/>
        <v>146018.34103808959</v>
      </c>
      <c r="K140" s="95">
        <f t="shared" si="51"/>
        <v>146018.34103808959</v>
      </c>
    </row>
    <row r="141" spans="1:11" x14ac:dyDescent="0.3">
      <c r="A141">
        <v>2021</v>
      </c>
      <c r="F141" s="96">
        <f>J19</f>
        <v>3902975.6094325613</v>
      </c>
      <c r="G141" s="95"/>
      <c r="H141" s="95"/>
      <c r="I141" s="95"/>
      <c r="J141" s="95">
        <f>$F141*0.035</f>
        <v>136604.14633013966</v>
      </c>
      <c r="K141" s="95">
        <f>$F141*0.035</f>
        <v>136604.14633013966</v>
      </c>
    </row>
    <row r="142" spans="1:11" x14ac:dyDescent="0.3">
      <c r="A142">
        <v>2022</v>
      </c>
      <c r="F142" s="96">
        <f>K19</f>
        <v>4173018.1380896885</v>
      </c>
      <c r="G142" s="95"/>
      <c r="H142" s="95"/>
      <c r="I142" s="95"/>
      <c r="J142" s="95"/>
      <c r="K142" s="95">
        <f>F142*0.035</f>
        <v>146055.63483313911</v>
      </c>
    </row>
    <row r="143" spans="1:11" x14ac:dyDescent="0.3">
      <c r="F143" s="96"/>
      <c r="G143" s="95"/>
      <c r="H143" s="95"/>
      <c r="I143" s="95"/>
      <c r="J143" s="95"/>
      <c r="K143" s="95"/>
    </row>
    <row r="144" spans="1:11" x14ac:dyDescent="0.3">
      <c r="A144" t="s">
        <v>236</v>
      </c>
      <c r="F144" s="96"/>
      <c r="G144" s="95">
        <f>SUM(G138:G142)</f>
        <v>163757.39942562001</v>
      </c>
      <c r="H144" s="95">
        <f t="shared" ref="H144:K144" si="52">SUM(H138:H142)</f>
        <v>330013.63256807404</v>
      </c>
      <c r="I144" s="95">
        <f t="shared" si="52"/>
        <v>476031.97360616364</v>
      </c>
      <c r="J144" s="95">
        <f t="shared" si="52"/>
        <v>612636.11993630324</v>
      </c>
      <c r="K144" s="95">
        <f t="shared" si="52"/>
        <v>758691.75476944237</v>
      </c>
    </row>
    <row r="145" spans="1:11" x14ac:dyDescent="0.3">
      <c r="A145" t="s">
        <v>233</v>
      </c>
      <c r="F145" s="96"/>
      <c r="G145" s="95">
        <f>G104</f>
        <v>613516.64500000002</v>
      </c>
      <c r="H145" s="95">
        <f t="shared" ref="H145:K145" si="53">H104</f>
        <v>613516.64500000002</v>
      </c>
      <c r="I145" s="95">
        <f t="shared" si="53"/>
        <v>613516.64500000002</v>
      </c>
      <c r="J145" s="95">
        <f t="shared" si="53"/>
        <v>613516.64500000002</v>
      </c>
      <c r="K145" s="95">
        <f t="shared" si="53"/>
        <v>613516.64500000002</v>
      </c>
    </row>
    <row r="146" spans="1:11" s="1" customFormat="1" x14ac:dyDescent="0.3">
      <c r="A146" s="1" t="s">
        <v>234</v>
      </c>
      <c r="F146" s="98"/>
      <c r="G146" s="97">
        <f>SUM(G144:G145)</f>
        <v>777274.04442562</v>
      </c>
      <c r="H146" s="97">
        <f t="shared" ref="H146:K146" si="54">SUM(H144:H145)</f>
        <v>943530.27756807406</v>
      </c>
      <c r="I146" s="97">
        <f t="shared" si="54"/>
        <v>1089548.6186061637</v>
      </c>
      <c r="J146" s="97">
        <f t="shared" si="54"/>
        <v>1226152.7649363033</v>
      </c>
      <c r="K146" s="97">
        <f t="shared" si="54"/>
        <v>1372208.3997694424</v>
      </c>
    </row>
    <row r="147" spans="1:11" x14ac:dyDescent="0.3">
      <c r="F147" s="22"/>
    </row>
    <row r="148" spans="1:11" x14ac:dyDescent="0.3">
      <c r="F148" s="22"/>
    </row>
    <row r="149" spans="1:11" s="1" customFormat="1" x14ac:dyDescent="0.3">
      <c r="A149" s="1" t="s">
        <v>70</v>
      </c>
      <c r="F149" s="21" t="s">
        <v>163</v>
      </c>
      <c r="G149" s="1">
        <v>2018</v>
      </c>
      <c r="H149" s="1">
        <v>2019</v>
      </c>
      <c r="I149" s="1">
        <v>2020</v>
      </c>
      <c r="J149" s="1">
        <v>2021</v>
      </c>
      <c r="K149" s="1">
        <v>2022</v>
      </c>
    </row>
    <row r="150" spans="1:11" x14ac:dyDescent="0.3">
      <c r="A150">
        <v>2018</v>
      </c>
      <c r="F150" s="96">
        <f>G20</f>
        <v>8817706.1229180004</v>
      </c>
      <c r="G150" s="95">
        <f>$F150*0.015</f>
        <v>132265.59184377</v>
      </c>
      <c r="H150" s="95">
        <f t="shared" ref="H150:K154" si="55">$F150*0.015</f>
        <v>132265.59184377</v>
      </c>
      <c r="I150" s="95">
        <f t="shared" si="55"/>
        <v>132265.59184377</v>
      </c>
      <c r="J150" s="95">
        <f t="shared" si="55"/>
        <v>132265.59184377</v>
      </c>
      <c r="K150" s="95">
        <f t="shared" si="55"/>
        <v>132265.59184377</v>
      </c>
    </row>
    <row r="151" spans="1:11" x14ac:dyDescent="0.3">
      <c r="A151">
        <v>2019</v>
      </c>
      <c r="F151" s="96">
        <f>H20</f>
        <v>8952258.7076706029</v>
      </c>
      <c r="G151" s="95"/>
      <c r="H151" s="95">
        <f t="shared" si="55"/>
        <v>134283.88061505905</v>
      </c>
      <c r="I151" s="95">
        <f t="shared" si="55"/>
        <v>134283.88061505905</v>
      </c>
      <c r="J151" s="95">
        <f t="shared" si="55"/>
        <v>134283.88061505905</v>
      </c>
      <c r="K151" s="95">
        <f t="shared" si="55"/>
        <v>134283.88061505905</v>
      </c>
    </row>
    <row r="152" spans="1:11" x14ac:dyDescent="0.3">
      <c r="A152">
        <v>2020</v>
      </c>
      <c r="F152" s="96">
        <f>I20</f>
        <v>7862526.0558971306</v>
      </c>
      <c r="G152" s="95"/>
      <c r="H152" s="95"/>
      <c r="I152" s="95">
        <f t="shared" si="55"/>
        <v>117937.89083845695</v>
      </c>
      <c r="J152" s="95">
        <f t="shared" si="55"/>
        <v>117937.89083845695</v>
      </c>
      <c r="K152" s="95">
        <f t="shared" si="55"/>
        <v>117937.89083845695</v>
      </c>
    </row>
    <row r="153" spans="1:11" x14ac:dyDescent="0.3">
      <c r="A153">
        <v>2021</v>
      </c>
      <c r="F153" s="96">
        <f>J20</f>
        <v>7355607.8793152114</v>
      </c>
      <c r="G153" s="95"/>
      <c r="H153" s="95"/>
      <c r="I153" s="95"/>
      <c r="J153" s="95">
        <f t="shared" si="55"/>
        <v>110334.11818972816</v>
      </c>
      <c r="K153" s="95">
        <f t="shared" si="55"/>
        <v>110334.11818972816</v>
      </c>
    </row>
    <row r="154" spans="1:11" x14ac:dyDescent="0.3">
      <c r="A154">
        <v>2022</v>
      </c>
      <c r="F154" s="96">
        <f>K20</f>
        <v>7864534.1833228739</v>
      </c>
      <c r="G154" s="95"/>
      <c r="H154" s="95"/>
      <c r="I154" s="95"/>
      <c r="J154" s="95"/>
      <c r="K154" s="95">
        <f t="shared" si="55"/>
        <v>117968.01274984311</v>
      </c>
    </row>
    <row r="155" spans="1:11" x14ac:dyDescent="0.3">
      <c r="F155" s="96"/>
      <c r="G155" s="95"/>
      <c r="H155" s="95"/>
      <c r="I155" s="95"/>
      <c r="J155" s="95"/>
      <c r="K155" s="95"/>
    </row>
    <row r="156" spans="1:11" x14ac:dyDescent="0.3">
      <c r="A156" t="s">
        <v>237</v>
      </c>
      <c r="F156" s="96"/>
      <c r="G156" s="95">
        <f>SUM(G150:G154)</f>
        <v>132265.59184377</v>
      </c>
      <c r="H156" s="95">
        <f t="shared" ref="H156:K156" si="56">SUM(H150:H154)</f>
        <v>266549.47245882906</v>
      </c>
      <c r="I156" s="95">
        <f t="shared" si="56"/>
        <v>384487.36329728598</v>
      </c>
      <c r="J156" s="95">
        <f t="shared" si="56"/>
        <v>494821.48148701416</v>
      </c>
      <c r="K156" s="95">
        <f t="shared" si="56"/>
        <v>612789.49423685728</v>
      </c>
    </row>
    <row r="157" spans="1:11" x14ac:dyDescent="0.3">
      <c r="A157" t="s">
        <v>233</v>
      </c>
      <c r="F157" s="96"/>
      <c r="G157" s="95">
        <f>G105</f>
        <v>2957527.9499999997</v>
      </c>
      <c r="H157" s="95">
        <f t="shared" ref="H157:K157" si="57">H105</f>
        <v>2957527.9499999997</v>
      </c>
      <c r="I157" s="95">
        <f t="shared" si="57"/>
        <v>2957527.9499999997</v>
      </c>
      <c r="J157" s="95">
        <f t="shared" si="57"/>
        <v>2957527.9499999997</v>
      </c>
      <c r="K157" s="95">
        <f t="shared" si="57"/>
        <v>2957527.9499999997</v>
      </c>
    </row>
    <row r="158" spans="1:11" s="1" customFormat="1" x14ac:dyDescent="0.3">
      <c r="A158" s="1" t="s">
        <v>234</v>
      </c>
      <c r="F158" s="98"/>
      <c r="G158" s="97">
        <f>SUM(G156:G157)</f>
        <v>3089793.5418437696</v>
      </c>
      <c r="H158" s="97">
        <f t="shared" ref="H158:K158" si="58">SUM(H156:H157)</f>
        <v>3224077.4224588289</v>
      </c>
      <c r="I158" s="97">
        <f t="shared" si="58"/>
        <v>3342015.3132972857</v>
      </c>
      <c r="J158" s="97">
        <f t="shared" si="58"/>
        <v>3452349.4314870141</v>
      </c>
      <c r="K158" s="97">
        <f t="shared" si="58"/>
        <v>3570317.4442368569</v>
      </c>
    </row>
    <row r="159" spans="1:11" x14ac:dyDescent="0.3">
      <c r="F159" s="22"/>
    </row>
    <row r="160" spans="1:11" x14ac:dyDescent="0.3">
      <c r="F160" s="22"/>
    </row>
    <row r="161" spans="1:11" s="1" customFormat="1" x14ac:dyDescent="0.3">
      <c r="A161" s="1" t="s">
        <v>71</v>
      </c>
      <c r="F161" s="21" t="s">
        <v>163</v>
      </c>
      <c r="G161" s="1">
        <v>2018</v>
      </c>
      <c r="H161" s="1">
        <v>2019</v>
      </c>
      <c r="I161" s="1">
        <v>2020</v>
      </c>
      <c r="J161" s="1">
        <v>2021</v>
      </c>
      <c r="K161" s="1">
        <v>2022</v>
      </c>
    </row>
    <row r="162" spans="1:11" x14ac:dyDescent="0.3">
      <c r="A162">
        <v>2018</v>
      </c>
      <c r="F162" s="96">
        <f>G21</f>
        <v>4498829.6545500001</v>
      </c>
      <c r="G162" s="95">
        <f>$F162*0.125</f>
        <v>562353.70681875001</v>
      </c>
      <c r="H162" s="95">
        <f t="shared" ref="H162:K166" si="59">$F162*0.125</f>
        <v>562353.70681875001</v>
      </c>
      <c r="I162" s="95">
        <f t="shared" si="59"/>
        <v>562353.70681875001</v>
      </c>
      <c r="J162" s="95">
        <f t="shared" si="59"/>
        <v>562353.70681875001</v>
      </c>
      <c r="K162" s="95">
        <f t="shared" si="59"/>
        <v>562353.70681875001</v>
      </c>
    </row>
    <row r="163" spans="1:11" x14ac:dyDescent="0.3">
      <c r="A163">
        <v>2019</v>
      </c>
      <c r="F163" s="96">
        <f>H21</f>
        <v>4567478.9324850012</v>
      </c>
      <c r="G163" s="95"/>
      <c r="H163" s="95">
        <f t="shared" si="59"/>
        <v>570934.86656062515</v>
      </c>
      <c r="I163" s="95">
        <f t="shared" si="59"/>
        <v>570934.86656062515</v>
      </c>
      <c r="J163" s="95">
        <f t="shared" si="59"/>
        <v>570934.86656062515</v>
      </c>
      <c r="K163" s="95">
        <f t="shared" si="59"/>
        <v>570934.86656062515</v>
      </c>
    </row>
    <row r="164" spans="1:11" x14ac:dyDescent="0.3">
      <c r="A164">
        <v>2020</v>
      </c>
      <c r="F164" s="96">
        <f>I21</f>
        <v>4011492.8856618013</v>
      </c>
      <c r="G164" s="95"/>
      <c r="H164" s="95"/>
      <c r="I164" s="95">
        <f t="shared" si="59"/>
        <v>501436.61070772517</v>
      </c>
      <c r="J164" s="95">
        <f t="shared" si="59"/>
        <v>501436.61070772517</v>
      </c>
      <c r="K164" s="95">
        <f t="shared" si="59"/>
        <v>501436.61070772517</v>
      </c>
    </row>
    <row r="165" spans="1:11" x14ac:dyDescent="0.3">
      <c r="A165">
        <v>2021</v>
      </c>
      <c r="F165" s="96">
        <f>J21</f>
        <v>3752861.1629159241</v>
      </c>
      <c r="G165" s="95"/>
      <c r="H165" s="95"/>
      <c r="I165" s="95"/>
      <c r="J165" s="95">
        <f t="shared" si="59"/>
        <v>469107.64536449051</v>
      </c>
      <c r="K165" s="95">
        <f t="shared" si="59"/>
        <v>469107.64536449051</v>
      </c>
    </row>
    <row r="166" spans="1:11" x14ac:dyDescent="0.3">
      <c r="A166">
        <v>2022</v>
      </c>
      <c r="F166" s="96">
        <f>K21</f>
        <v>4012517.4404708543</v>
      </c>
      <c r="G166" s="95"/>
      <c r="H166" s="95"/>
      <c r="I166" s="95"/>
      <c r="J166" s="95"/>
      <c r="K166" s="95">
        <f t="shared" si="59"/>
        <v>501564.68005885679</v>
      </c>
    </row>
    <row r="167" spans="1:11" x14ac:dyDescent="0.3">
      <c r="F167" s="96"/>
      <c r="G167" s="95"/>
      <c r="H167" s="95"/>
      <c r="I167" s="95"/>
      <c r="J167" s="95"/>
      <c r="K167" s="95"/>
    </row>
    <row r="168" spans="1:11" x14ac:dyDescent="0.3">
      <c r="A168" t="s">
        <v>238</v>
      </c>
      <c r="F168" s="96"/>
      <c r="G168" s="95">
        <f>SUM(G162:G166)</f>
        <v>562353.70681875001</v>
      </c>
      <c r="H168" s="95">
        <f t="shared" ref="H168:K168" si="60">SUM(H162:H166)</f>
        <v>1133288.573379375</v>
      </c>
      <c r="I168" s="95">
        <f t="shared" si="60"/>
        <v>1634725.1840871002</v>
      </c>
      <c r="J168" s="95">
        <f t="shared" si="60"/>
        <v>2103832.8294515908</v>
      </c>
      <c r="K168" s="95">
        <f t="shared" si="60"/>
        <v>2605397.5095104477</v>
      </c>
    </row>
    <row r="169" spans="1:11" x14ac:dyDescent="0.3">
      <c r="A169" t="s">
        <v>233</v>
      </c>
      <c r="F169" s="96"/>
      <c r="G169" s="95">
        <f>G106</f>
        <v>701197.875</v>
      </c>
      <c r="H169" s="95">
        <f t="shared" ref="H169:K169" si="61">H106</f>
        <v>701197.875</v>
      </c>
      <c r="I169" s="95">
        <f t="shared" si="61"/>
        <v>701197.875</v>
      </c>
      <c r="J169" s="95">
        <f t="shared" si="61"/>
        <v>701197.875</v>
      </c>
      <c r="K169" s="95">
        <f t="shared" si="61"/>
        <v>701197.875</v>
      </c>
    </row>
    <row r="170" spans="1:11" s="1" customFormat="1" x14ac:dyDescent="0.3">
      <c r="A170" s="1" t="s">
        <v>234</v>
      </c>
      <c r="F170" s="98"/>
      <c r="G170" s="97">
        <f>G168+G169</f>
        <v>1263551.5818187501</v>
      </c>
      <c r="H170" s="97">
        <f t="shared" ref="H170:K170" si="62">H168+H169</f>
        <v>1834486.448379375</v>
      </c>
      <c r="I170" s="97">
        <f t="shared" si="62"/>
        <v>2335923.0590871004</v>
      </c>
      <c r="J170" s="97">
        <f t="shared" si="62"/>
        <v>2805030.7044515908</v>
      </c>
      <c r="K170" s="97">
        <f t="shared" si="62"/>
        <v>3306595.3845104477</v>
      </c>
    </row>
    <row r="171" spans="1:11" x14ac:dyDescent="0.3">
      <c r="F171" s="22"/>
    </row>
    <row r="172" spans="1:11" x14ac:dyDescent="0.3">
      <c r="F172" s="22"/>
    </row>
    <row r="173" spans="1:11" x14ac:dyDescent="0.3">
      <c r="F173" s="22"/>
    </row>
    <row r="174" spans="1:11" x14ac:dyDescent="0.3">
      <c r="F174" s="22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5D6DE-7AAF-409D-8150-330958E68E90}">
  <dimension ref="A1:K87"/>
  <sheetViews>
    <sheetView topLeftCell="A4" workbookViewId="0">
      <selection activeCell="I10" sqref="I10"/>
    </sheetView>
  </sheetViews>
  <sheetFormatPr defaultRowHeight="14.4" x14ac:dyDescent="0.3"/>
  <cols>
    <col min="1" max="1" width="21.77734375" customWidth="1"/>
    <col min="2" max="2" width="9.33203125" customWidth="1"/>
    <col min="3" max="5" width="10.77734375" bestFit="1" customWidth="1"/>
    <col min="6" max="7" width="9.77734375" bestFit="1" customWidth="1"/>
  </cols>
  <sheetData>
    <row r="1" spans="1:9" s="1" customFormat="1" x14ac:dyDescent="0.3">
      <c r="A1" s="54" t="s">
        <v>82</v>
      </c>
      <c r="B1">
        <v>2016</v>
      </c>
      <c r="C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t="s">
        <v>256</v>
      </c>
    </row>
    <row r="2" spans="1:9" s="18" customFormat="1" x14ac:dyDescent="0.3">
      <c r="A2" s="18" t="s">
        <v>90</v>
      </c>
      <c r="B2" s="18">
        <v>3.1E-2</v>
      </c>
      <c r="C2" s="18">
        <v>4.3999999999999997E-2</v>
      </c>
      <c r="D2" s="18">
        <v>3.9E-2</v>
      </c>
      <c r="E2" s="18">
        <v>3.2000000000000001E-2</v>
      </c>
    </row>
    <row r="3" spans="1:9" s="95" customFormat="1" x14ac:dyDescent="0.3">
      <c r="A3" s="95" t="s">
        <v>101</v>
      </c>
      <c r="B3" s="95">
        <v>8136.4</v>
      </c>
      <c r="C3" s="95">
        <v>8766.1</v>
      </c>
      <c r="D3" s="95">
        <v>9419.1</v>
      </c>
      <c r="E3" s="95">
        <v>9923.5</v>
      </c>
    </row>
    <row r="4" spans="1:9" s="8" customFormat="1" x14ac:dyDescent="0.3">
      <c r="A4" s="8" t="s">
        <v>102</v>
      </c>
      <c r="B4" s="14">
        <v>0.20100000000000001</v>
      </c>
      <c r="C4" s="15">
        <v>0.20499999999999999</v>
      </c>
      <c r="D4" s="15">
        <v>0.20799999999999999</v>
      </c>
      <c r="E4" s="15">
        <v>0.20899999999999999</v>
      </c>
    </row>
    <row r="5" spans="1:9" x14ac:dyDescent="0.3">
      <c r="A5" t="s">
        <v>103</v>
      </c>
      <c r="B5" s="16">
        <v>4.9000000000000002E-2</v>
      </c>
      <c r="C5" s="17">
        <v>6.5000000000000002E-2</v>
      </c>
      <c r="D5" s="17">
        <v>0.06</v>
      </c>
      <c r="E5" s="17">
        <v>0.05</v>
      </c>
    </row>
    <row r="6" spans="1:9" x14ac:dyDescent="0.3">
      <c r="A6" t="s">
        <v>95</v>
      </c>
      <c r="B6" s="11">
        <v>6.4000000000000001E-2</v>
      </c>
      <c r="C6" s="11">
        <v>8.7999999999999995E-2</v>
      </c>
      <c r="D6" s="11">
        <v>7.4999999999999997E-2</v>
      </c>
      <c r="E6" s="11">
        <v>6.0999999999999999E-2</v>
      </c>
    </row>
    <row r="7" spans="1:9" s="8" customFormat="1" x14ac:dyDescent="0.3">
      <c r="A7" s="8" t="s">
        <v>99</v>
      </c>
      <c r="B7" s="13">
        <v>6.2E-2</v>
      </c>
      <c r="C7" s="13">
        <v>0.09</v>
      </c>
      <c r="D7" s="13">
        <v>0.08</v>
      </c>
      <c r="E7" s="13">
        <v>6.4000000000000001E-2</v>
      </c>
    </row>
    <row r="8" spans="1:9" s="8" customFormat="1" x14ac:dyDescent="0.3">
      <c r="A8" s="8" t="s">
        <v>100</v>
      </c>
      <c r="B8" s="13">
        <v>7.5999999999999998E-2</v>
      </c>
      <c r="C8" s="13">
        <v>0.08</v>
      </c>
      <c r="D8" s="13">
        <v>5.5E-2</v>
      </c>
      <c r="E8" s="13">
        <v>4.7E-2</v>
      </c>
    </row>
    <row r="9" spans="1:9" x14ac:dyDescent="0.3">
      <c r="A9" t="s">
        <v>96</v>
      </c>
      <c r="B9" s="11">
        <v>6.6000000000000003E-2</v>
      </c>
      <c r="C9" s="11">
        <v>8.8999999999999996E-2</v>
      </c>
      <c r="D9" s="11">
        <v>7.6999999999999999E-2</v>
      </c>
      <c r="E9" s="11">
        <v>6.3E-2</v>
      </c>
    </row>
    <row r="10" spans="1:9" s="8" customFormat="1" x14ac:dyDescent="0.3">
      <c r="A10" s="8" t="s">
        <v>97</v>
      </c>
      <c r="B10" s="13">
        <v>7.0000000000000007E-2</v>
      </c>
      <c r="C10" s="13">
        <v>9.4E-2</v>
      </c>
      <c r="D10" s="13">
        <v>8.2000000000000003E-2</v>
      </c>
      <c r="E10" s="13">
        <v>6.6000000000000003E-2</v>
      </c>
    </row>
    <row r="11" spans="1:9" s="8" customFormat="1" x14ac:dyDescent="0.3">
      <c r="A11" s="8" t="s">
        <v>98</v>
      </c>
      <c r="B11" s="13">
        <v>4.2000000000000003E-2</v>
      </c>
      <c r="C11" s="13">
        <v>0.06</v>
      </c>
      <c r="D11" s="13">
        <v>4.8000000000000001E-2</v>
      </c>
      <c r="E11" s="13">
        <v>4.3999999999999997E-2</v>
      </c>
    </row>
    <row r="12" spans="1:9" x14ac:dyDescent="0.3">
      <c r="A12" t="s">
        <v>83</v>
      </c>
      <c r="B12" s="11">
        <v>-3.5999999999999997E-2</v>
      </c>
      <c r="C12" s="11">
        <v>0.09</v>
      </c>
      <c r="D12" s="11">
        <v>0.08</v>
      </c>
      <c r="E12" s="11">
        <v>7.0000000000000007E-2</v>
      </c>
    </row>
    <row r="13" spans="1:9" x14ac:dyDescent="0.3">
      <c r="A13" t="s">
        <v>84</v>
      </c>
      <c r="B13" s="11">
        <v>2.5000000000000001E-2</v>
      </c>
      <c r="C13" s="11">
        <v>1.0999999999999999E-2</v>
      </c>
      <c r="D13" s="11">
        <v>8.9999999999999993E-3</v>
      </c>
      <c r="E13" s="11">
        <v>8.9999999999999993E-3</v>
      </c>
    </row>
    <row r="14" spans="1:9" x14ac:dyDescent="0.3">
      <c r="A14" t="s">
        <v>85</v>
      </c>
      <c r="B14" s="11">
        <v>4.2000000000000003E-2</v>
      </c>
      <c r="C14" s="11">
        <v>3.3000000000000002E-2</v>
      </c>
      <c r="D14" s="11">
        <v>0.03</v>
      </c>
      <c r="E14" s="11">
        <v>2.3E-2</v>
      </c>
    </row>
    <row r="16" spans="1:9" x14ac:dyDescent="0.3">
      <c r="A16" t="s">
        <v>91</v>
      </c>
      <c r="B16" s="11">
        <v>1.9E-2</v>
      </c>
      <c r="C16" s="11">
        <v>2.7E-2</v>
      </c>
      <c r="D16" s="11">
        <v>1.7000000000000001E-2</v>
      </c>
      <c r="E16" s="11">
        <v>8.9999999999999993E-3</v>
      </c>
    </row>
    <row r="17" spans="1:9" x14ac:dyDescent="0.3">
      <c r="A17" t="s">
        <v>86</v>
      </c>
      <c r="B17" s="11">
        <v>1.9E-2</v>
      </c>
      <c r="C17" s="11">
        <v>1.2999999999999999E-2</v>
      </c>
      <c r="D17" s="11">
        <v>1.7999999999999999E-2</v>
      </c>
      <c r="E17" s="11">
        <v>1.9E-2</v>
      </c>
    </row>
    <row r="19" spans="1:9" x14ac:dyDescent="0.3">
      <c r="A19" t="s">
        <v>87</v>
      </c>
      <c r="B19" s="11">
        <v>-1E-3</v>
      </c>
      <c r="C19" s="11">
        <v>1.4999999999999999E-2</v>
      </c>
      <c r="D19" s="11">
        <v>1.6E-2</v>
      </c>
      <c r="E19" s="11">
        <v>2.1000000000000001E-2</v>
      </c>
    </row>
    <row r="21" spans="1:9" s="1" customFormat="1" x14ac:dyDescent="0.3">
      <c r="A21" s="54" t="s">
        <v>104</v>
      </c>
      <c r="B21">
        <v>2016</v>
      </c>
      <c r="C21">
        <v>2017</v>
      </c>
      <c r="D21" s="1">
        <v>2018</v>
      </c>
      <c r="E21" s="1">
        <v>2019</v>
      </c>
      <c r="F21" s="1">
        <v>2020</v>
      </c>
      <c r="G21" s="1">
        <v>2021</v>
      </c>
      <c r="H21" s="1">
        <v>2022</v>
      </c>
    </row>
    <row r="22" spans="1:9" x14ac:dyDescent="0.3">
      <c r="A22" t="s">
        <v>88</v>
      </c>
      <c r="B22" s="11">
        <v>1.7999999999999999E-2</v>
      </c>
      <c r="C22" s="11">
        <v>1.9E-2</v>
      </c>
      <c r="D22" s="11">
        <v>1.7999999999999999E-2</v>
      </c>
      <c r="E22" s="11">
        <v>1.4999999999999999E-2</v>
      </c>
    </row>
    <row r="23" spans="1:9" x14ac:dyDescent="0.3">
      <c r="A23" t="s">
        <v>89</v>
      </c>
      <c r="B23" s="12">
        <v>1.1100000000000001</v>
      </c>
      <c r="C23" s="12">
        <v>1.1299999999999999</v>
      </c>
      <c r="D23" s="12">
        <v>1.18</v>
      </c>
      <c r="E23" s="12">
        <v>1.18</v>
      </c>
    </row>
    <row r="24" spans="1:9" x14ac:dyDescent="0.3">
      <c r="A24" t="s">
        <v>92</v>
      </c>
      <c r="B24" s="11">
        <v>3.9E-2</v>
      </c>
      <c r="C24" s="11">
        <v>4.5999999999999999E-2</v>
      </c>
      <c r="D24" s="11">
        <v>4.7E-2</v>
      </c>
      <c r="E24" s="11">
        <v>4.7E-2</v>
      </c>
    </row>
    <row r="26" spans="1:9" x14ac:dyDescent="0.3">
      <c r="A26" t="s">
        <v>94</v>
      </c>
      <c r="B26" s="32">
        <v>-0.02</v>
      </c>
      <c r="C26" s="34">
        <v>7.4999999999999997E-2</v>
      </c>
      <c r="D26" s="18">
        <v>2.1000000000000001E-2</v>
      </c>
      <c r="E26" s="19">
        <v>0.08</v>
      </c>
    </row>
    <row r="27" spans="1:9" x14ac:dyDescent="0.3">
      <c r="A27" t="s">
        <v>93</v>
      </c>
      <c r="B27">
        <v>45</v>
      </c>
      <c r="C27">
        <v>51</v>
      </c>
      <c r="D27">
        <v>52</v>
      </c>
      <c r="E27">
        <v>52</v>
      </c>
    </row>
    <row r="30" spans="1:9" s="1" customFormat="1" x14ac:dyDescent="0.3">
      <c r="A30" s="54" t="s">
        <v>119</v>
      </c>
      <c r="B30">
        <v>2016</v>
      </c>
      <c r="C30">
        <v>2017</v>
      </c>
      <c r="D30" s="1">
        <v>2018</v>
      </c>
      <c r="E30" s="1">
        <v>2019</v>
      </c>
      <c r="F30" s="1">
        <v>2020</v>
      </c>
      <c r="G30" s="1">
        <v>2021</v>
      </c>
      <c r="H30" s="1">
        <v>2022</v>
      </c>
    </row>
    <row r="31" spans="1:9" s="31" customFormat="1" x14ac:dyDescent="0.3">
      <c r="A31" s="31" t="s">
        <v>107</v>
      </c>
      <c r="B31" s="33">
        <v>2.2000000000000002</v>
      </c>
      <c r="C31" s="33">
        <v>2.5</v>
      </c>
      <c r="D31" s="31">
        <v>1.5</v>
      </c>
      <c r="E31" s="31">
        <v>1.2</v>
      </c>
      <c r="F31" s="31">
        <v>1.8</v>
      </c>
      <c r="I31" s="31" t="s">
        <v>144</v>
      </c>
    </row>
    <row r="32" spans="1:9" x14ac:dyDescent="0.3">
      <c r="A32" s="31" t="s">
        <v>108</v>
      </c>
      <c r="B32" s="33">
        <v>4</v>
      </c>
      <c r="C32" s="33">
        <v>5.3</v>
      </c>
      <c r="D32" s="31">
        <v>3.3</v>
      </c>
      <c r="E32" s="31">
        <v>3.1</v>
      </c>
      <c r="F32" s="31">
        <v>3.1</v>
      </c>
      <c r="I32" t="s">
        <v>143</v>
      </c>
    </row>
    <row r="33" spans="1:9" x14ac:dyDescent="0.3">
      <c r="A33" s="31" t="s">
        <v>109</v>
      </c>
      <c r="D33" s="31">
        <v>1.9</v>
      </c>
      <c r="E33" s="31">
        <v>1.3</v>
      </c>
      <c r="F33" s="31">
        <v>1.6</v>
      </c>
      <c r="G33" s="31">
        <v>1.4</v>
      </c>
    </row>
    <row r="34" spans="1:9" x14ac:dyDescent="0.3">
      <c r="A34" s="31" t="s">
        <v>110</v>
      </c>
      <c r="D34" s="31">
        <v>0.9</v>
      </c>
      <c r="E34" s="31">
        <v>1.2</v>
      </c>
      <c r="F34" s="31">
        <v>2</v>
      </c>
      <c r="G34" s="31">
        <v>1</v>
      </c>
      <c r="I34" t="s">
        <v>149</v>
      </c>
    </row>
    <row r="35" spans="1:9" x14ac:dyDescent="0.3">
      <c r="A35" s="31" t="s">
        <v>111</v>
      </c>
      <c r="D35" s="31">
        <v>3.1</v>
      </c>
      <c r="E35" s="31">
        <v>2.4</v>
      </c>
      <c r="F35" s="31">
        <v>2.1</v>
      </c>
      <c r="G35" s="31">
        <v>1.8</v>
      </c>
      <c r="I35" t="s">
        <v>150</v>
      </c>
    </row>
    <row r="36" spans="1:9" x14ac:dyDescent="0.3">
      <c r="A36" s="31" t="s">
        <v>112</v>
      </c>
      <c r="D36" s="31">
        <v>0.9</v>
      </c>
      <c r="E36" s="31">
        <v>2.7</v>
      </c>
      <c r="F36" s="31">
        <v>1.9</v>
      </c>
      <c r="G36" s="31">
        <v>2.9</v>
      </c>
      <c r="H36" s="31">
        <v>2.4</v>
      </c>
      <c r="I36" t="s">
        <v>151</v>
      </c>
    </row>
    <row r="37" spans="1:9" x14ac:dyDescent="0.3">
      <c r="A37" s="31" t="s">
        <v>116</v>
      </c>
      <c r="B37">
        <v>0.4</v>
      </c>
      <c r="C37">
        <v>1.7</v>
      </c>
      <c r="D37" s="31">
        <v>1.9</v>
      </c>
      <c r="E37" s="31">
        <v>1.7</v>
      </c>
      <c r="F37" s="31">
        <v>1.5</v>
      </c>
      <c r="G37" s="31"/>
      <c r="H37" s="31"/>
    </row>
    <row r="39" spans="1:9" s="1" customFormat="1" x14ac:dyDescent="0.3">
      <c r="A39" s="54" t="s">
        <v>120</v>
      </c>
      <c r="B39">
        <v>2016</v>
      </c>
      <c r="C39">
        <v>2017</v>
      </c>
      <c r="D39" s="1">
        <v>2018</v>
      </c>
      <c r="E39" s="1">
        <v>2019</v>
      </c>
      <c r="F39" s="1">
        <v>2020</v>
      </c>
      <c r="G39" s="1">
        <v>2021</v>
      </c>
      <c r="H39" s="1">
        <v>2022</v>
      </c>
      <c r="I39" s="1" t="s">
        <v>257</v>
      </c>
    </row>
    <row r="40" spans="1:9" x14ac:dyDescent="0.3">
      <c r="A40" t="s">
        <v>106</v>
      </c>
      <c r="B40">
        <v>4.8</v>
      </c>
      <c r="C40">
        <v>7</v>
      </c>
      <c r="D40">
        <v>4.3</v>
      </c>
      <c r="E40">
        <v>3.8</v>
      </c>
      <c r="F40">
        <v>3.7</v>
      </c>
      <c r="I40" t="s">
        <v>146</v>
      </c>
    </row>
    <row r="41" spans="1:9" x14ac:dyDescent="0.3">
      <c r="A41" t="s">
        <v>113</v>
      </c>
      <c r="B41">
        <v>9.8000000000000007</v>
      </c>
      <c r="C41">
        <v>11.2</v>
      </c>
      <c r="D41">
        <v>8.6</v>
      </c>
      <c r="E41">
        <v>3.6</v>
      </c>
      <c r="F41">
        <v>3.5</v>
      </c>
      <c r="I41" t="s">
        <v>145</v>
      </c>
    </row>
    <row r="42" spans="1:9" x14ac:dyDescent="0.3">
      <c r="A42" t="s">
        <v>85</v>
      </c>
      <c r="D42">
        <v>5</v>
      </c>
      <c r="E42">
        <v>3.8</v>
      </c>
      <c r="F42">
        <v>3.2</v>
      </c>
      <c r="G42">
        <v>4.2</v>
      </c>
    </row>
    <row r="43" spans="1:9" x14ac:dyDescent="0.3">
      <c r="A43" t="s">
        <v>114</v>
      </c>
      <c r="D43">
        <v>6.5</v>
      </c>
      <c r="E43">
        <v>4</v>
      </c>
      <c r="F43">
        <v>5.5</v>
      </c>
      <c r="G43">
        <v>3</v>
      </c>
    </row>
    <row r="44" spans="1:9" x14ac:dyDescent="0.3">
      <c r="A44" t="s">
        <v>115</v>
      </c>
      <c r="D44">
        <v>-0.5</v>
      </c>
      <c r="E44">
        <v>5</v>
      </c>
      <c r="F44">
        <v>6</v>
      </c>
      <c r="G44">
        <v>4</v>
      </c>
    </row>
    <row r="45" spans="1:9" x14ac:dyDescent="0.3">
      <c r="A45" t="s">
        <v>117</v>
      </c>
      <c r="B45">
        <v>-1.6</v>
      </c>
      <c r="C45">
        <v>1.3</v>
      </c>
      <c r="D45">
        <v>4.5999999999999996</v>
      </c>
      <c r="E45">
        <v>3.1</v>
      </c>
      <c r="F45">
        <v>3</v>
      </c>
    </row>
    <row r="47" spans="1:9" s="1" customFormat="1" x14ac:dyDescent="0.3">
      <c r="A47" s="54" t="s">
        <v>121</v>
      </c>
      <c r="B47">
        <v>2016</v>
      </c>
      <c r="C47">
        <v>2017</v>
      </c>
      <c r="D47" s="1">
        <v>2018</v>
      </c>
      <c r="E47" s="1">
        <v>2019</v>
      </c>
      <c r="F47" s="1">
        <v>2020</v>
      </c>
      <c r="G47" s="1">
        <v>2021</v>
      </c>
      <c r="H47" s="1">
        <v>2022</v>
      </c>
      <c r="I47" s="1" t="s">
        <v>257</v>
      </c>
    </row>
    <row r="48" spans="1:9" x14ac:dyDescent="0.3">
      <c r="A48" t="s">
        <v>106</v>
      </c>
      <c r="B48">
        <v>2.2000000000000002</v>
      </c>
      <c r="C48">
        <v>4.4000000000000004</v>
      </c>
      <c r="D48">
        <v>4.7</v>
      </c>
      <c r="E48">
        <v>3.1</v>
      </c>
      <c r="F48">
        <v>1.8</v>
      </c>
    </row>
    <row r="49" spans="1:9" x14ac:dyDescent="0.3">
      <c r="A49" t="s">
        <v>113</v>
      </c>
      <c r="B49">
        <v>3.9</v>
      </c>
      <c r="C49">
        <v>7.7</v>
      </c>
      <c r="D49">
        <v>7.6</v>
      </c>
      <c r="E49">
        <v>5.7</v>
      </c>
      <c r="F49">
        <v>2.6</v>
      </c>
    </row>
    <row r="50" spans="1:9" x14ac:dyDescent="0.3">
      <c r="A50" t="s">
        <v>85</v>
      </c>
      <c r="D50">
        <v>5.2</v>
      </c>
      <c r="E50">
        <v>3.4</v>
      </c>
      <c r="F50">
        <v>1.8</v>
      </c>
      <c r="G50">
        <v>2.1</v>
      </c>
    </row>
    <row r="51" spans="1:9" x14ac:dyDescent="0.3">
      <c r="A51" t="s">
        <v>114</v>
      </c>
      <c r="D51">
        <v>2.1</v>
      </c>
      <c r="E51">
        <v>0.5</v>
      </c>
      <c r="F51">
        <v>1.2</v>
      </c>
      <c r="G51">
        <v>1.5</v>
      </c>
    </row>
    <row r="52" spans="1:9" x14ac:dyDescent="0.3">
      <c r="A52" t="s">
        <v>115</v>
      </c>
      <c r="D52">
        <v>15.5</v>
      </c>
      <c r="E52">
        <v>4.5</v>
      </c>
      <c r="F52">
        <v>1.5</v>
      </c>
      <c r="G52">
        <v>3</v>
      </c>
    </row>
    <row r="53" spans="1:9" x14ac:dyDescent="0.3">
      <c r="A53" t="s">
        <v>116</v>
      </c>
      <c r="B53">
        <v>0.4</v>
      </c>
      <c r="C53">
        <v>2.2999999999999998</v>
      </c>
      <c r="D53">
        <v>2.9</v>
      </c>
      <c r="E53">
        <v>3.5</v>
      </c>
      <c r="F53">
        <v>2.6</v>
      </c>
    </row>
    <row r="55" spans="1:9" s="1" customFormat="1" x14ac:dyDescent="0.3">
      <c r="A55" s="54" t="s">
        <v>122</v>
      </c>
      <c r="B55">
        <v>2016</v>
      </c>
      <c r="C55">
        <v>2017</v>
      </c>
      <c r="D55" s="1">
        <v>2018</v>
      </c>
      <c r="E55" s="1">
        <v>2019</v>
      </c>
      <c r="F55" s="1">
        <v>2020</v>
      </c>
      <c r="G55" s="1">
        <v>2021</v>
      </c>
      <c r="H55" s="1">
        <v>2022</v>
      </c>
      <c r="I55" s="1" t="s">
        <v>257</v>
      </c>
    </row>
    <row r="56" spans="1:9" x14ac:dyDescent="0.3">
      <c r="A56" t="s">
        <v>106</v>
      </c>
      <c r="B56">
        <v>2.1</v>
      </c>
      <c r="C56">
        <v>2.7</v>
      </c>
      <c r="D56">
        <v>2.7</v>
      </c>
      <c r="E56">
        <v>1.3</v>
      </c>
      <c r="F56">
        <v>1.6</v>
      </c>
    </row>
    <row r="57" spans="1:9" x14ac:dyDescent="0.3">
      <c r="A57" t="s">
        <v>113</v>
      </c>
      <c r="B57">
        <v>3.4</v>
      </c>
      <c r="C57">
        <v>5.0999999999999996</v>
      </c>
      <c r="D57">
        <v>2.5</v>
      </c>
      <c r="E57">
        <v>2.4</v>
      </c>
      <c r="F57">
        <v>2.2999999999999998</v>
      </c>
    </row>
    <row r="58" spans="1:9" x14ac:dyDescent="0.3">
      <c r="A58" t="s">
        <v>116</v>
      </c>
      <c r="B58">
        <v>1</v>
      </c>
      <c r="C58">
        <v>2.2000000000000002</v>
      </c>
      <c r="D58">
        <v>2.1</v>
      </c>
      <c r="E58">
        <v>2</v>
      </c>
      <c r="F58">
        <v>2</v>
      </c>
    </row>
    <row r="59" spans="1:9" x14ac:dyDescent="0.3">
      <c r="A59" t="s">
        <v>85</v>
      </c>
      <c r="D59">
        <v>1.7</v>
      </c>
      <c r="E59">
        <v>0.9</v>
      </c>
      <c r="F59">
        <v>1.3</v>
      </c>
      <c r="G59">
        <v>1.2</v>
      </c>
    </row>
    <row r="60" spans="1:9" x14ac:dyDescent="0.3">
      <c r="A60" t="s">
        <v>114</v>
      </c>
      <c r="D60">
        <v>1.1000000000000001</v>
      </c>
      <c r="E60">
        <v>1.3</v>
      </c>
      <c r="F60">
        <v>1.3</v>
      </c>
      <c r="G60">
        <v>1.2</v>
      </c>
    </row>
    <row r="61" spans="1:9" x14ac:dyDescent="0.3">
      <c r="A61" t="s">
        <v>115</v>
      </c>
      <c r="D61">
        <v>3.6</v>
      </c>
      <c r="E61">
        <v>2.4</v>
      </c>
      <c r="F61">
        <v>1.4</v>
      </c>
      <c r="G61">
        <v>0.8</v>
      </c>
    </row>
    <row r="63" spans="1:9" s="1" customFormat="1" x14ac:dyDescent="0.3">
      <c r="A63" s="54" t="s">
        <v>118</v>
      </c>
      <c r="B63">
        <v>2016</v>
      </c>
      <c r="C63">
        <v>2017</v>
      </c>
      <c r="D63" s="1">
        <v>2018</v>
      </c>
      <c r="E63" s="1">
        <v>2019</v>
      </c>
      <c r="F63" s="1">
        <v>2020</v>
      </c>
      <c r="G63" s="1">
        <v>2021</v>
      </c>
      <c r="H63" s="1">
        <v>2022</v>
      </c>
      <c r="I63" s="1" t="s">
        <v>257</v>
      </c>
    </row>
    <row r="64" spans="1:9" x14ac:dyDescent="0.3">
      <c r="A64" t="s">
        <v>106</v>
      </c>
      <c r="B64">
        <v>1.6</v>
      </c>
      <c r="C64">
        <v>2.2000000000000002</v>
      </c>
      <c r="D64">
        <v>2.9</v>
      </c>
      <c r="E64">
        <v>2.2999999999999998</v>
      </c>
      <c r="F64">
        <v>1.5</v>
      </c>
    </row>
    <row r="65" spans="1:11" x14ac:dyDescent="0.3">
      <c r="A65" t="s">
        <v>113</v>
      </c>
      <c r="B65">
        <v>1.9</v>
      </c>
      <c r="C65">
        <v>4.5999999999999996</v>
      </c>
      <c r="D65">
        <v>4.0999999999999996</v>
      </c>
      <c r="E65">
        <v>2.9</v>
      </c>
      <c r="F65">
        <v>1</v>
      </c>
      <c r="I65" t="s">
        <v>152</v>
      </c>
    </row>
    <row r="66" spans="1:11" x14ac:dyDescent="0.3">
      <c r="A66" t="s">
        <v>116</v>
      </c>
      <c r="B66">
        <v>1.3</v>
      </c>
      <c r="C66">
        <v>2.1</v>
      </c>
      <c r="D66">
        <v>2.4</v>
      </c>
      <c r="E66">
        <v>2.2000000000000002</v>
      </c>
      <c r="F66">
        <v>1.4</v>
      </c>
    </row>
    <row r="67" spans="1:11" x14ac:dyDescent="0.3">
      <c r="A67" t="s">
        <v>85</v>
      </c>
      <c r="D67">
        <v>2.6</v>
      </c>
      <c r="E67">
        <v>2.2999999999999998</v>
      </c>
      <c r="F67">
        <v>1.7</v>
      </c>
      <c r="G67">
        <v>1.9</v>
      </c>
      <c r="I67" t="s">
        <v>153</v>
      </c>
    </row>
    <row r="68" spans="1:11" x14ac:dyDescent="0.3">
      <c r="A68" t="s">
        <v>114</v>
      </c>
      <c r="D68">
        <v>1.6</v>
      </c>
      <c r="E68">
        <v>2.2000000000000002</v>
      </c>
      <c r="F68">
        <v>1.5</v>
      </c>
      <c r="G68">
        <v>0.9</v>
      </c>
    </row>
    <row r="69" spans="1:11" x14ac:dyDescent="0.3">
      <c r="A69" t="s">
        <v>115</v>
      </c>
      <c r="D69">
        <v>5.6</v>
      </c>
      <c r="E69">
        <v>2.5</v>
      </c>
      <c r="F69">
        <v>-0.4</v>
      </c>
      <c r="G69">
        <v>2.2000000000000002</v>
      </c>
    </row>
    <row r="72" spans="1:11" s="1" customFormat="1" x14ac:dyDescent="0.3">
      <c r="A72" s="54" t="s">
        <v>123</v>
      </c>
      <c r="B72" s="1">
        <v>2013</v>
      </c>
      <c r="C72" s="1">
        <v>2014</v>
      </c>
      <c r="D72" s="1">
        <v>2015</v>
      </c>
      <c r="E72" s="1">
        <v>2016</v>
      </c>
      <c r="F72" s="1">
        <v>2017</v>
      </c>
      <c r="G72" s="1">
        <v>2018</v>
      </c>
      <c r="H72" s="1">
        <v>2019</v>
      </c>
      <c r="I72" s="1">
        <v>2020</v>
      </c>
      <c r="J72" s="1">
        <v>2021</v>
      </c>
      <c r="K72" s="1">
        <v>2022</v>
      </c>
    </row>
    <row r="73" spans="1:11" s="84" customFormat="1" x14ac:dyDescent="0.3">
      <c r="A73" s="84" t="s">
        <v>207</v>
      </c>
      <c r="D73" s="84">
        <v>1.044</v>
      </c>
      <c r="E73" s="84">
        <v>1.0760000000000001</v>
      </c>
      <c r="F73" s="84">
        <v>1.111</v>
      </c>
    </row>
    <row r="74" spans="1:11" s="84" customFormat="1" x14ac:dyDescent="0.3">
      <c r="A74" s="84" t="s">
        <v>208</v>
      </c>
      <c r="D74" s="84">
        <v>1.04</v>
      </c>
      <c r="E74" s="84">
        <v>1.08</v>
      </c>
      <c r="F74" s="84">
        <v>1.133</v>
      </c>
    </row>
    <row r="75" spans="1:11" s="84" customFormat="1" x14ac:dyDescent="0.3">
      <c r="A75" s="84" t="s">
        <v>209</v>
      </c>
      <c r="D75" s="84">
        <v>1.218</v>
      </c>
      <c r="E75" s="84">
        <v>1.121</v>
      </c>
      <c r="F75" s="84">
        <v>1.0640000000000001</v>
      </c>
    </row>
    <row r="76" spans="1:11" s="84" customFormat="1" x14ac:dyDescent="0.3">
      <c r="A76" s="84" t="s">
        <v>210</v>
      </c>
      <c r="D76" s="84">
        <v>1.1579999999999999</v>
      </c>
      <c r="E76" s="84">
        <v>1.0960000000000001</v>
      </c>
      <c r="F76" s="84">
        <v>1.032</v>
      </c>
    </row>
    <row r="77" spans="1:11" s="3" customFormat="1" x14ac:dyDescent="0.3">
      <c r="A77" s="3" t="s">
        <v>124</v>
      </c>
      <c r="B77" s="3">
        <v>0.8</v>
      </c>
      <c r="C77" s="3">
        <v>0.79300000000000004</v>
      </c>
      <c r="D77" s="3">
        <v>0.79900000000000004</v>
      </c>
      <c r="E77" s="3">
        <v>0.80300000000000005</v>
      </c>
    </row>
    <row r="78" spans="1:11" s="3" customFormat="1" x14ac:dyDescent="0.3">
      <c r="A78" s="3" t="s">
        <v>125</v>
      </c>
      <c r="B78" s="3">
        <v>0.10730000000000001</v>
      </c>
      <c r="C78" s="3">
        <v>9.74E-2</v>
      </c>
      <c r="D78" s="3">
        <v>0.1249</v>
      </c>
      <c r="E78" s="3">
        <v>0.14319999999999999</v>
      </c>
      <c r="F78" s="3">
        <v>0.13200000000000001</v>
      </c>
    </row>
    <row r="79" spans="1:11" s="84" customFormat="1" x14ac:dyDescent="0.3">
      <c r="A79" s="84" t="s">
        <v>211</v>
      </c>
      <c r="D79" s="84">
        <v>1.0269999999999999</v>
      </c>
      <c r="E79" s="84">
        <v>1.0429999999999999</v>
      </c>
      <c r="F79" s="84">
        <v>1.077</v>
      </c>
    </row>
    <row r="80" spans="1:11" s="84" customFormat="1" x14ac:dyDescent="0.3">
      <c r="A80" s="84" t="s">
        <v>127</v>
      </c>
      <c r="B80" s="84">
        <v>0.94899999999999995</v>
      </c>
      <c r="C80" s="84">
        <v>0.97</v>
      </c>
      <c r="D80" s="84">
        <v>1</v>
      </c>
      <c r="E80" s="84">
        <v>1.02</v>
      </c>
      <c r="F80" s="84">
        <v>1.0569999999999999</v>
      </c>
      <c r="G80" s="84">
        <v>1.075</v>
      </c>
    </row>
    <row r="81" spans="1:7" s="84" customFormat="1" x14ac:dyDescent="0.3">
      <c r="A81" s="84" t="s">
        <v>128</v>
      </c>
      <c r="B81" s="84">
        <v>0.99</v>
      </c>
      <c r="C81" s="84">
        <v>1.0169999999999999</v>
      </c>
      <c r="D81" s="84">
        <v>1.052</v>
      </c>
      <c r="E81" s="84">
        <v>1.0780000000000001</v>
      </c>
      <c r="F81" s="84">
        <v>1.08</v>
      </c>
    </row>
    <row r="84" spans="1:7" s="1" customFormat="1" x14ac:dyDescent="0.3">
      <c r="A84" s="1" t="s">
        <v>138</v>
      </c>
      <c r="B84" s="1">
        <v>2013</v>
      </c>
      <c r="C84" s="1">
        <v>2014</v>
      </c>
      <c r="D84" s="1">
        <v>2015</v>
      </c>
      <c r="E84" s="1">
        <v>2016</v>
      </c>
      <c r="F84" s="1">
        <v>2017</v>
      </c>
    </row>
    <row r="85" spans="1:7" s="84" customFormat="1" x14ac:dyDescent="0.3">
      <c r="A85" s="84" t="s">
        <v>258</v>
      </c>
      <c r="D85" s="84">
        <f>FCF!D3</f>
        <v>1.1472344288252005</v>
      </c>
      <c r="E85" s="84">
        <f>FCF!E3</f>
        <v>1.1422186649394754</v>
      </c>
      <c r="F85" s="84">
        <f>FCF!F3</f>
        <v>1.1517389566623668</v>
      </c>
    </row>
    <row r="86" spans="1:7" s="84" customFormat="1" x14ac:dyDescent="0.3">
      <c r="A86" s="84" t="s">
        <v>259</v>
      </c>
      <c r="D86" s="84">
        <f>FCF!D18</f>
        <v>1.1480646140270654</v>
      </c>
      <c r="E86" s="84">
        <f>FCF!E18</f>
        <v>1.1456369739449577</v>
      </c>
      <c r="F86" s="84">
        <f>FCF!F18</f>
        <v>1.1519952651333045</v>
      </c>
    </row>
    <row r="87" spans="1:7" s="3" customFormat="1" x14ac:dyDescent="0.3">
      <c r="A87" s="3" t="s">
        <v>124</v>
      </c>
      <c r="B87" s="3">
        <f>12118924/15822263</f>
        <v>0.76594125631712728</v>
      </c>
      <c r="C87" s="3">
        <f>14513067/18331340</f>
        <v>0.79170791660620554</v>
      </c>
      <c r="D87" s="3">
        <f>(93647948+3603017)/105932291</f>
        <v>0.91804835033729237</v>
      </c>
      <c r="E87" s="3">
        <f>(111317256+3368395)/120997840</f>
        <v>0.9478322175007422</v>
      </c>
      <c r="F87" s="3">
        <f>21978284/25008015</f>
        <v>0.87884960081797781</v>
      </c>
      <c r="G87" s="3" t="s">
        <v>142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AB49E-3FBE-4509-9974-DFB27872E871}">
  <dimension ref="A2:F71"/>
  <sheetViews>
    <sheetView topLeftCell="D1" workbookViewId="0">
      <selection activeCell="A71" sqref="A71"/>
    </sheetView>
  </sheetViews>
  <sheetFormatPr defaultRowHeight="14.4" x14ac:dyDescent="0.3"/>
  <cols>
    <col min="1" max="1" width="25.6640625" customWidth="1"/>
    <col min="2" max="6" width="15.44140625" bestFit="1" customWidth="1"/>
  </cols>
  <sheetData>
    <row r="2" spans="1:6" s="1" customFormat="1" x14ac:dyDescent="0.3">
      <c r="A2" s="1" t="s">
        <v>171</v>
      </c>
      <c r="B2" s="1">
        <v>2013</v>
      </c>
      <c r="C2" s="1">
        <v>2014</v>
      </c>
      <c r="D2" s="1">
        <v>2015</v>
      </c>
      <c r="E2" s="1">
        <v>2016</v>
      </c>
      <c r="F2" s="1">
        <v>2017</v>
      </c>
    </row>
    <row r="3" spans="1:6" s="95" customFormat="1" x14ac:dyDescent="0.3">
      <c r="A3" s="95" t="s">
        <v>175</v>
      </c>
      <c r="B3" s="95">
        <v>240390</v>
      </c>
      <c r="C3" s="95">
        <v>211090</v>
      </c>
      <c r="D3" s="95">
        <v>443644</v>
      </c>
      <c r="E3" s="95">
        <v>244397</v>
      </c>
      <c r="F3" s="95">
        <v>164330</v>
      </c>
    </row>
    <row r="4" spans="1:6" s="95" customFormat="1" x14ac:dyDescent="0.3">
      <c r="A4" s="95" t="s">
        <v>176</v>
      </c>
      <c r="B4" s="95">
        <f>18476071-295624</f>
        <v>18180447</v>
      </c>
      <c r="C4" s="95">
        <f>19178194-388906</f>
        <v>18789288</v>
      </c>
      <c r="D4" s="95">
        <f>24573144-1772747</f>
        <v>22800397</v>
      </c>
      <c r="E4" s="95">
        <v>41740919</v>
      </c>
      <c r="F4" s="95">
        <v>51032572</v>
      </c>
    </row>
    <row r="5" spans="1:6" s="95" customFormat="1" x14ac:dyDescent="0.3">
      <c r="A5" s="95" t="s">
        <v>172</v>
      </c>
      <c r="B5" s="95">
        <v>2443353</v>
      </c>
      <c r="C5" s="95">
        <v>2751131</v>
      </c>
      <c r="D5" s="95">
        <v>2500624</v>
      </c>
      <c r="E5" s="95">
        <v>2200931</v>
      </c>
      <c r="F5" s="95">
        <v>2202223</v>
      </c>
    </row>
    <row r="6" spans="1:6" s="95" customFormat="1" x14ac:dyDescent="0.3">
      <c r="A6" s="95" t="s">
        <v>174</v>
      </c>
      <c r="B6" s="95">
        <v>5074</v>
      </c>
      <c r="C6" s="95">
        <v>5058</v>
      </c>
      <c r="D6" s="95">
        <v>5011</v>
      </c>
      <c r="E6" s="95">
        <v>304768</v>
      </c>
      <c r="F6" s="95">
        <v>431298</v>
      </c>
    </row>
    <row r="7" spans="1:6" s="95" customFormat="1" x14ac:dyDescent="0.3">
      <c r="A7" s="95" t="s">
        <v>173</v>
      </c>
      <c r="B7" s="95">
        <v>781060</v>
      </c>
      <c r="C7" s="95">
        <v>608142</v>
      </c>
      <c r="D7" s="95">
        <v>333989</v>
      </c>
      <c r="E7" s="95">
        <v>411787</v>
      </c>
      <c r="F7" s="95">
        <v>455819</v>
      </c>
    </row>
    <row r="10" spans="1:6" s="1" customFormat="1" x14ac:dyDescent="0.3">
      <c r="A10" s="1" t="s">
        <v>177</v>
      </c>
      <c r="B10" s="1">
        <v>2013</v>
      </c>
      <c r="C10" s="1">
        <v>2014</v>
      </c>
      <c r="D10" s="1">
        <v>2015</v>
      </c>
      <c r="E10" s="1">
        <v>2016</v>
      </c>
      <c r="F10" s="1">
        <v>2017</v>
      </c>
    </row>
    <row r="11" spans="1:6" s="95" customFormat="1" x14ac:dyDescent="0.3">
      <c r="A11" s="95" t="s">
        <v>11</v>
      </c>
      <c r="B11" s="95">
        <v>12903579</v>
      </c>
      <c r="C11" s="95">
        <v>14302025</v>
      </c>
      <c r="D11" s="95">
        <v>14059978</v>
      </c>
      <c r="E11" s="95">
        <v>18341310</v>
      </c>
      <c r="F11" s="95">
        <v>20723229</v>
      </c>
    </row>
    <row r="12" spans="1:6" s="95" customFormat="1" x14ac:dyDescent="0.3">
      <c r="A12" s="95" t="s">
        <v>178</v>
      </c>
      <c r="B12" s="95">
        <v>1440000</v>
      </c>
      <c r="C12" s="95">
        <v>750000</v>
      </c>
      <c r="F12" s="95">
        <v>400000</v>
      </c>
    </row>
    <row r="13" spans="1:6" s="95" customFormat="1" x14ac:dyDescent="0.3">
      <c r="A13" s="95" t="s">
        <v>179</v>
      </c>
      <c r="B13" s="95">
        <f>15817189-41932</f>
        <v>15775257</v>
      </c>
      <c r="C13" s="95">
        <f>18326282-105754</f>
        <v>18220528</v>
      </c>
      <c r="D13" s="95">
        <f>22009373-4501</f>
        <v>22004872</v>
      </c>
      <c r="E13" s="95">
        <v>21242290</v>
      </c>
      <c r="F13" s="95">
        <v>25008015</v>
      </c>
    </row>
    <row r="14" spans="1:6" s="95" customFormat="1" x14ac:dyDescent="0.3">
      <c r="A14" s="95" t="s">
        <v>181</v>
      </c>
      <c r="B14" s="95">
        <f>508647+295624</f>
        <v>804271</v>
      </c>
      <c r="C14" s="95">
        <f>522307+388906</f>
        <v>911213</v>
      </c>
      <c r="D14" s="95">
        <f>1859207+1772747</f>
        <v>3631954</v>
      </c>
      <c r="E14" s="95">
        <v>3281088</v>
      </c>
      <c r="F14" s="95">
        <v>2842084</v>
      </c>
    </row>
    <row r="15" spans="1:6" s="95" customFormat="1" x14ac:dyDescent="0.3">
      <c r="A15" s="95" t="s">
        <v>180</v>
      </c>
      <c r="B15" s="95">
        <f>2022949+41932</f>
        <v>2064881</v>
      </c>
      <c r="C15" s="95">
        <f>1869054+105754</f>
        <v>1974808</v>
      </c>
      <c r="D15" s="95">
        <f>3497749+4501</f>
        <v>3502250</v>
      </c>
      <c r="E15" s="95">
        <v>3392418</v>
      </c>
      <c r="F15" s="95">
        <v>3296221</v>
      </c>
    </row>
    <row r="20" spans="1:6" s="1" customFormat="1" x14ac:dyDescent="0.3">
      <c r="A20" s="1" t="s">
        <v>182</v>
      </c>
      <c r="B20" s="1">
        <v>2013</v>
      </c>
      <c r="C20" s="1">
        <v>2014</v>
      </c>
      <c r="D20" s="1">
        <v>2015</v>
      </c>
      <c r="E20" s="1">
        <v>2016</v>
      </c>
      <c r="F20" s="1">
        <v>2017</v>
      </c>
    </row>
    <row r="21" spans="1:6" s="95" customFormat="1" x14ac:dyDescent="0.3">
      <c r="A21" s="95" t="s">
        <v>17</v>
      </c>
      <c r="B21" s="95">
        <f>FCF!B45</f>
        <v>31252364</v>
      </c>
      <c r="C21" s="95">
        <f>FCF!C45</f>
        <v>35019668</v>
      </c>
      <c r="D21" s="95">
        <f>FCF!D45</f>
        <v>41426307</v>
      </c>
      <c r="E21" s="95">
        <f>FCF!E45</f>
        <v>44056175</v>
      </c>
      <c r="F21" s="95">
        <f>FCF!F45</f>
        <v>50067326</v>
      </c>
    </row>
    <row r="22" spans="1:6" s="95" customFormat="1" x14ac:dyDescent="0.3">
      <c r="A22" s="95" t="s">
        <v>183</v>
      </c>
      <c r="B22" s="95">
        <f>FCF!B46</f>
        <v>15273702</v>
      </c>
      <c r="C22" s="95">
        <f>FCF!C46</f>
        <v>15033660</v>
      </c>
      <c r="D22" s="95">
        <f>FCF!D46</f>
        <v>20471338</v>
      </c>
      <c r="E22" s="95">
        <f>FCF!E46</f>
        <v>24572343</v>
      </c>
      <c r="F22" s="95">
        <f>FCF!F46</f>
        <v>27429426</v>
      </c>
    </row>
    <row r="23" spans="1:6" s="97" customFormat="1" x14ac:dyDescent="0.3">
      <c r="A23" s="97" t="s">
        <v>184</v>
      </c>
      <c r="B23" s="97">
        <f>B21-B22</f>
        <v>15978662</v>
      </c>
      <c r="C23" s="97">
        <f t="shared" ref="C23:F23" si="0">C21-C22</f>
        <v>19986008</v>
      </c>
      <c r="D23" s="97">
        <f t="shared" si="0"/>
        <v>20954969</v>
      </c>
      <c r="E23" s="97">
        <f t="shared" si="0"/>
        <v>19483832</v>
      </c>
      <c r="F23" s="97">
        <f t="shared" si="0"/>
        <v>22637900</v>
      </c>
    </row>
    <row r="27" spans="1:6" s="1" customFormat="1" x14ac:dyDescent="0.3">
      <c r="A27" s="1" t="s">
        <v>264</v>
      </c>
      <c r="B27" s="1">
        <v>2013</v>
      </c>
      <c r="C27" s="1">
        <v>2014</v>
      </c>
      <c r="D27" s="1">
        <v>2015</v>
      </c>
      <c r="E27" s="1">
        <v>2016</v>
      </c>
      <c r="F27" s="1">
        <v>2017</v>
      </c>
    </row>
    <row r="28" spans="1:6" s="95" customFormat="1" x14ac:dyDescent="0.3">
      <c r="A28" s="95" t="s">
        <v>185</v>
      </c>
      <c r="B28" s="95">
        <f>FCF!B56</f>
        <v>3011623</v>
      </c>
      <c r="C28" s="95">
        <f>FCF!C56</f>
        <v>6487750</v>
      </c>
      <c r="D28" s="95">
        <f>FCF!D56</f>
        <v>8547168</v>
      </c>
      <c r="E28" s="95">
        <f>FCF!E56</f>
        <v>10861125</v>
      </c>
      <c r="F28" s="95">
        <f>FCF!F56</f>
        <v>11548315</v>
      </c>
    </row>
    <row r="29" spans="1:6" s="95" customFormat="1" x14ac:dyDescent="0.3">
      <c r="A29" s="95" t="s">
        <v>186</v>
      </c>
      <c r="B29" s="95">
        <f>KAZALNIKI!B28+FCF!B22</f>
        <v>8577795</v>
      </c>
      <c r="C29" s="95">
        <f>KAZALNIKI!C28+FCF!C22</f>
        <v>11727916</v>
      </c>
      <c r="D29" s="95">
        <f>KAZALNIKI!D28+FCF!D22</f>
        <v>13977505</v>
      </c>
      <c r="E29" s="95">
        <f>KAZALNIKI!E28+FCF!E22</f>
        <v>17080699</v>
      </c>
      <c r="F29" s="95">
        <f>KAZALNIKI!F28+FCF!F22</f>
        <v>18953885</v>
      </c>
    </row>
    <row r="30" spans="1:6" s="84" customFormat="1" x14ac:dyDescent="0.3">
      <c r="A30" s="84" t="s">
        <v>217</v>
      </c>
      <c r="C30" s="84">
        <f>C28/B28</f>
        <v>2.1542371007260868</v>
      </c>
      <c r="D30" s="84">
        <f t="shared" ref="D30:F30" si="1">D28/C28</f>
        <v>1.3174317752687759</v>
      </c>
      <c r="E30" s="84">
        <f t="shared" si="1"/>
        <v>1.2707279182999562</v>
      </c>
      <c r="F30" s="84">
        <f t="shared" si="1"/>
        <v>1.0632706096283764</v>
      </c>
    </row>
    <row r="31" spans="1:6" s="84" customFormat="1" x14ac:dyDescent="0.3">
      <c r="A31" s="84" t="s">
        <v>218</v>
      </c>
      <c r="C31" s="84">
        <f>C29/B29</f>
        <v>1.3672413481553243</v>
      </c>
      <c r="D31" s="84">
        <f t="shared" ref="D31:F31" si="2">D29/C29</f>
        <v>1.1918148970371207</v>
      </c>
      <c r="E31" s="84">
        <f t="shared" si="2"/>
        <v>1.2220134423132025</v>
      </c>
      <c r="F31" s="84">
        <f t="shared" si="2"/>
        <v>1.1096668233542433</v>
      </c>
    </row>
    <row r="34" spans="1:6" s="1" customFormat="1" x14ac:dyDescent="0.3">
      <c r="A34" s="1" t="s">
        <v>187</v>
      </c>
      <c r="B34" s="1">
        <v>2013</v>
      </c>
      <c r="C34" s="1">
        <v>2014</v>
      </c>
      <c r="D34" s="1">
        <v>2015</v>
      </c>
      <c r="E34" s="1">
        <v>2016</v>
      </c>
      <c r="F34" s="1">
        <v>2017</v>
      </c>
    </row>
    <row r="35" spans="1:6" s="1" customFormat="1" x14ac:dyDescent="0.3">
      <c r="A35" s="1" t="s">
        <v>188</v>
      </c>
    </row>
    <row r="36" spans="1:6" s="84" customFormat="1" x14ac:dyDescent="0.3">
      <c r="A36" s="84" t="s">
        <v>189</v>
      </c>
      <c r="B36" s="84">
        <f>B21/B22</f>
        <v>2.0461551495505148</v>
      </c>
      <c r="C36" s="84">
        <f t="shared" ref="C36:F36" si="3">C21/C22</f>
        <v>2.3294173208653115</v>
      </c>
      <c r="D36" s="84">
        <f t="shared" si="3"/>
        <v>2.0236247870070829</v>
      </c>
      <c r="E36" s="84">
        <f t="shared" si="3"/>
        <v>1.792917142659127</v>
      </c>
      <c r="F36" s="84">
        <f t="shared" si="3"/>
        <v>1.8253143904651887</v>
      </c>
    </row>
    <row r="38" spans="1:6" x14ac:dyDescent="0.3">
      <c r="A38" s="1" t="s">
        <v>190</v>
      </c>
    </row>
    <row r="39" spans="1:6" s="84" customFormat="1" x14ac:dyDescent="0.3">
      <c r="A39" s="84" t="s">
        <v>191</v>
      </c>
      <c r="B39" s="84">
        <f>(B21-B11)/B22</f>
        <v>1.2013318709504741</v>
      </c>
      <c r="C39" s="84">
        <f t="shared" ref="C39:F39" si="4">(C21-C11)/C22</f>
        <v>1.3780837799976853</v>
      </c>
      <c r="D39" s="84">
        <f t="shared" si="4"/>
        <v>1.3368119367673965</v>
      </c>
      <c r="E39" s="84">
        <f t="shared" si="4"/>
        <v>1.0464962580084447</v>
      </c>
      <c r="F39" s="84">
        <f t="shared" si="4"/>
        <v>1.0698035387251632</v>
      </c>
    </row>
    <row r="41" spans="1:6" s="1" customFormat="1" x14ac:dyDescent="0.3">
      <c r="A41" s="1" t="s">
        <v>192</v>
      </c>
    </row>
    <row r="42" spans="1:6" s="84" customFormat="1" x14ac:dyDescent="0.3">
      <c r="A42" s="84" t="s">
        <v>193</v>
      </c>
      <c r="B42" s="84">
        <f>B15/B22</f>
        <v>0.13519191352561416</v>
      </c>
      <c r="C42" s="84">
        <f t="shared" ref="C42:F42" si="5">C15/C22</f>
        <v>0.13135909685332781</v>
      </c>
      <c r="D42" s="84">
        <f t="shared" si="5"/>
        <v>0.17108065921240712</v>
      </c>
      <c r="E42" s="84">
        <f t="shared" si="5"/>
        <v>0.13805838539694812</v>
      </c>
      <c r="F42" s="84">
        <f t="shared" si="5"/>
        <v>0.12017097988124141</v>
      </c>
    </row>
    <row r="47" spans="1:6" s="1" customFormat="1" x14ac:dyDescent="0.3">
      <c r="A47" s="1" t="s">
        <v>194</v>
      </c>
      <c r="B47" s="1">
        <v>2013</v>
      </c>
      <c r="C47" s="1">
        <v>2014</v>
      </c>
      <c r="D47" s="1">
        <v>2015</v>
      </c>
      <c r="E47" s="1">
        <v>2016</v>
      </c>
      <c r="F47" s="1">
        <v>2017</v>
      </c>
    </row>
    <row r="48" spans="1:6" s="1" customFormat="1" x14ac:dyDescent="0.3">
      <c r="A48" s="1" t="s">
        <v>195</v>
      </c>
    </row>
    <row r="49" spans="1:6" s="3" customFormat="1" x14ac:dyDescent="0.3">
      <c r="A49" s="3" t="s">
        <v>196</v>
      </c>
      <c r="B49" s="3">
        <f>(PASIVA!B4+PASIVA!B7)/AKTIVA!B16</f>
        <v>0.57886713264494705</v>
      </c>
      <c r="C49" s="3">
        <f>(PASIVA!C4+PASIVA!C7)/AKTIVA!C16</f>
        <v>0.5115651321201512</v>
      </c>
      <c r="D49" s="3">
        <f>(PASIVA!D4+PASIVA!D7)/AKTIVA!D16</f>
        <v>0.47652037155181509</v>
      </c>
      <c r="E49" s="3">
        <f>(PASIVA!E4+PASIVA!E7)/AKTIVA!E16</f>
        <v>0.50076007097330555</v>
      </c>
      <c r="F49" s="3">
        <f>(PASIVA!F4+PASIVA!F7)/AKTIVA!F16</f>
        <v>0.48057528848901321</v>
      </c>
    </row>
    <row r="53" spans="1:6" s="1" customFormat="1" x14ac:dyDescent="0.3">
      <c r="A53" s="1" t="s">
        <v>197</v>
      </c>
      <c r="B53" s="1">
        <v>2013</v>
      </c>
      <c r="C53" s="1">
        <v>2014</v>
      </c>
      <c r="D53" s="1">
        <v>2015</v>
      </c>
      <c r="E53" s="1">
        <v>2016</v>
      </c>
      <c r="F53" s="1">
        <v>2017</v>
      </c>
    </row>
    <row r="54" spans="1:6" x14ac:dyDescent="0.3">
      <c r="A54" s="1" t="s">
        <v>198</v>
      </c>
    </row>
    <row r="55" spans="1:6" s="84" customFormat="1" x14ac:dyDescent="0.3">
      <c r="A55" s="84" t="s">
        <v>199</v>
      </c>
      <c r="B55" s="84">
        <f>FCF!B58/$B61</f>
        <v>3.7947073618181934E-2</v>
      </c>
      <c r="C55" s="84">
        <f>FCF!C58/$B61</f>
        <v>8.2553842926136475E-2</v>
      </c>
      <c r="D55" s="84">
        <f>FCF!D58/$B61</f>
        <v>0.11035562280454785</v>
      </c>
      <c r="E55" s="84">
        <f>FCF!E58/$B61</f>
        <v>0.13438534630942367</v>
      </c>
      <c r="F55" s="84">
        <f>FCF!F58/$B61</f>
        <v>0.14263410970579907</v>
      </c>
    </row>
    <row r="57" spans="1:6" x14ac:dyDescent="0.3">
      <c r="A57" s="1" t="s">
        <v>202</v>
      </c>
    </row>
    <row r="58" spans="1:6" s="84" customFormat="1" x14ac:dyDescent="0.3">
      <c r="A58" s="84" t="s">
        <v>203</v>
      </c>
      <c r="B58" s="84">
        <f>FCF!B58/$B64</f>
        <v>7.6440562317114547E-2</v>
      </c>
      <c r="C58" s="84">
        <f>FCF!C58/$B64</f>
        <v>0.16629641163394035</v>
      </c>
      <c r="D58" s="84">
        <f>FCF!D58/$B64</f>
        <v>0.22230030033180678</v>
      </c>
      <c r="E58" s="84">
        <f>FCF!E58/$B64</f>
        <v>0.27070576093516113</v>
      </c>
      <c r="F58" s="84">
        <f>FCF!F58/$B64</f>
        <v>0.28732206496914736</v>
      </c>
    </row>
    <row r="60" spans="1:6" x14ac:dyDescent="0.3">
      <c r="A60" s="56"/>
      <c r="B60" s="57" t="s">
        <v>201</v>
      </c>
    </row>
    <row r="61" spans="1:6" s="95" customFormat="1" x14ac:dyDescent="0.3">
      <c r="A61" s="122" t="s">
        <v>200</v>
      </c>
      <c r="B61" s="123">
        <f>SUM(AKTIVA!B16:F16)/5</f>
        <v>76032002.599999994</v>
      </c>
    </row>
    <row r="63" spans="1:6" x14ac:dyDescent="0.3">
      <c r="A63" s="56"/>
      <c r="B63" s="57" t="s">
        <v>201</v>
      </c>
    </row>
    <row r="64" spans="1:6" s="95" customFormat="1" x14ac:dyDescent="0.3">
      <c r="A64" s="122" t="s">
        <v>206</v>
      </c>
      <c r="B64" s="123">
        <f>SUM(PASIVA!B27:F27)/5</f>
        <v>37744254</v>
      </c>
    </row>
    <row r="68" spans="1:6" s="1" customFormat="1" x14ac:dyDescent="0.3">
      <c r="A68" s="1" t="s">
        <v>240</v>
      </c>
      <c r="B68" s="1">
        <v>2013</v>
      </c>
      <c r="C68" s="1">
        <v>2014</v>
      </c>
      <c r="D68" s="1">
        <v>2015</v>
      </c>
      <c r="E68" s="1">
        <v>2016</v>
      </c>
      <c r="F68" s="1">
        <v>2017</v>
      </c>
    </row>
    <row r="69" spans="1:6" s="1" customFormat="1" x14ac:dyDescent="0.3">
      <c r="A69" s="1" t="s">
        <v>241</v>
      </c>
    </row>
    <row r="70" spans="1:6" s="84" customFormat="1" x14ac:dyDescent="0.3">
      <c r="A70" s="84" t="s">
        <v>269</v>
      </c>
      <c r="B70" s="84">
        <f>FCF!B2/(AKTIVA!B3+AKTIVA!B8)</f>
        <v>4.7859413951213048</v>
      </c>
      <c r="C70" s="84">
        <f>FCF!C2/(AKTIVA!C3+AKTIVA!C8)</f>
        <v>4.7059523967272368</v>
      </c>
      <c r="D70" s="84">
        <f>FCF!D2/(AKTIVA!D3+AKTIVA!D8)</f>
        <v>4.7472648583980632</v>
      </c>
      <c r="E70" s="84">
        <f>FCF!E2/(AKTIVA!E3+AKTIVA!E8)</f>
        <v>5.6155155845405904</v>
      </c>
      <c r="F70" s="84">
        <f>FCF!F2/(AKTIVA!F3+AKTIVA!F8)</f>
        <v>5.5491653371261691</v>
      </c>
    </row>
    <row r="71" spans="1:6" s="84" customFormat="1" x14ac:dyDescent="0.3">
      <c r="A71" s="84" t="s">
        <v>260</v>
      </c>
      <c r="B71" s="84">
        <f>365/B70</f>
        <v>76.265037505907173</v>
      </c>
      <c r="C71" s="84">
        <f t="shared" ref="C71:F71" si="6">365/C70</f>
        <v>77.561345553312421</v>
      </c>
      <c r="D71" s="84">
        <f t="shared" si="6"/>
        <v>76.886377922289995</v>
      </c>
      <c r="E71" s="84">
        <f t="shared" si="6"/>
        <v>64.998484022524693</v>
      </c>
      <c r="F71" s="84">
        <f t="shared" si="6"/>
        <v>65.775657747661938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8</vt:i4>
      </vt:variant>
    </vt:vector>
  </HeadingPairs>
  <TitlesOfParts>
    <vt:vector size="8" baseType="lpstr">
      <vt:lpstr>FCF</vt:lpstr>
      <vt:lpstr>PRIMERJAVA S PODJETJI</vt:lpstr>
      <vt:lpstr>AKTIVA</vt:lpstr>
      <vt:lpstr>PASIVA</vt:lpstr>
      <vt:lpstr>NALOŽBE</vt:lpstr>
      <vt:lpstr>STARE AMORT. IN INVEST.</vt:lpstr>
      <vt:lpstr>MAKRO ANALIZA</vt:lpstr>
      <vt:lpstr>KAZALNIKI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Neža</dc:creator>
  <cp:lastModifiedBy>Neža</cp:lastModifiedBy>
  <dcterms:created xsi:type="dcterms:W3CDTF">2019-03-16T05:37:46Z</dcterms:created>
  <dcterms:modified xsi:type="dcterms:W3CDTF">2019-04-01T10:34:45Z</dcterms:modified>
</cp:coreProperties>
</file>