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"/>
    </mc:Choice>
  </mc:AlternateContent>
  <xr:revisionPtr revIDLastSave="0" documentId="13_ncr:1_{1292DF9D-B164-4341-A0A1-9BB01F880500}" xr6:coauthVersionLast="41" xr6:coauthVersionMax="41" xr10:uidLastSave="{00000000-0000-0000-0000-000000000000}"/>
  <bookViews>
    <workbookView xWindow="-108" yWindow="-108" windowWidth="23256" windowHeight="12576" xr2:uid="{8A4B12A4-388D-4AC4-AB47-F2E6BA947B6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G3" i="1"/>
  <c r="D111" i="1"/>
  <c r="E111" i="1"/>
  <c r="F111" i="1"/>
  <c r="C111" i="1"/>
  <c r="D110" i="1"/>
  <c r="E110" i="1"/>
  <c r="F110" i="1"/>
  <c r="C110" i="1"/>
  <c r="D108" i="1" l="1"/>
  <c r="E108" i="1"/>
  <c r="F108" i="1"/>
  <c r="C108" i="1"/>
  <c r="G158" i="1" l="1"/>
  <c r="F158" i="1"/>
  <c r="E158" i="1"/>
  <c r="D158" i="1"/>
  <c r="C158" i="1"/>
  <c r="G154" i="1"/>
  <c r="E154" i="1"/>
  <c r="F154" i="1"/>
  <c r="D154" i="1"/>
  <c r="C154" i="1"/>
  <c r="G153" i="1"/>
  <c r="F153" i="1"/>
  <c r="E153" i="1"/>
  <c r="D153" i="1"/>
  <c r="C153" i="1"/>
  <c r="E130" i="1" l="1"/>
  <c r="F130" i="1"/>
  <c r="F123" i="1" s="1"/>
  <c r="B121" i="1"/>
  <c r="C127" i="1"/>
  <c r="B127" i="1"/>
  <c r="B130" i="1" s="1"/>
  <c r="D129" i="1"/>
  <c r="D130" i="1" s="1"/>
  <c r="C129" i="1"/>
  <c r="B129" i="1"/>
  <c r="B119" i="1"/>
  <c r="B132" i="1" l="1"/>
  <c r="E123" i="1"/>
  <c r="C130" i="1"/>
  <c r="C123" i="1" s="1"/>
  <c r="D119" i="1"/>
  <c r="D121" i="1" s="1"/>
  <c r="C119" i="1"/>
  <c r="C121" i="1" s="1"/>
  <c r="C122" i="1" s="1"/>
  <c r="E118" i="1"/>
  <c r="F118" i="1"/>
  <c r="E116" i="1"/>
  <c r="F116" i="1"/>
  <c r="E121" i="1" l="1"/>
  <c r="D132" i="1"/>
  <c r="D122" i="1"/>
  <c r="C132" i="1"/>
  <c r="D123" i="1"/>
  <c r="F121" i="1"/>
  <c r="D106" i="1"/>
  <c r="E106" i="1"/>
  <c r="C106" i="1"/>
  <c r="D105" i="1"/>
  <c r="C105" i="1"/>
  <c r="C107" i="1" s="1"/>
  <c r="C102" i="1"/>
  <c r="D102" i="1"/>
  <c r="B102" i="1"/>
  <c r="F104" i="1"/>
  <c r="F103" i="1"/>
  <c r="F102" i="1" s="1"/>
  <c r="E104" i="1"/>
  <c r="E103" i="1"/>
  <c r="E105" i="1" s="1"/>
  <c r="E107" i="1" s="1"/>
  <c r="E102" i="1" l="1"/>
  <c r="D107" i="1"/>
  <c r="F132" i="1"/>
  <c r="F122" i="1"/>
  <c r="F106" i="1"/>
  <c r="E132" i="1"/>
  <c r="E122" i="1"/>
  <c r="F105" i="1"/>
  <c r="F107" i="1" s="1"/>
  <c r="A29" i="1"/>
  <c r="C155" i="1" s="1"/>
  <c r="B29" i="1"/>
  <c r="D155" i="1" s="1"/>
  <c r="C29" i="1"/>
  <c r="E155" i="1" s="1"/>
  <c r="D29" i="1"/>
  <c r="F155" i="1" s="1"/>
  <c r="E29" i="1"/>
  <c r="G155" i="1" s="1"/>
  <c r="B46" i="1"/>
  <c r="C46" i="1"/>
  <c r="D46" i="1"/>
  <c r="E46" i="1"/>
  <c r="A46" i="1"/>
  <c r="E6" i="1"/>
  <c r="B6" i="1"/>
  <c r="C6" i="1"/>
  <c r="D6" i="1"/>
  <c r="A6" i="1"/>
  <c r="A47" i="1" l="1"/>
</calcChain>
</file>

<file path=xl/sharedStrings.xml><?xml version="1.0" encoding="utf-8"?>
<sst xmlns="http://schemas.openxmlformats.org/spreadsheetml/2006/main" count="49" uniqueCount="48">
  <si>
    <t>SREDSTVA SKUPAJ IN KRATKOROČNA:</t>
  </si>
  <si>
    <t>(deleži)</t>
  </si>
  <si>
    <t>(povprečen porast)</t>
  </si>
  <si>
    <t>(delež povečanja)</t>
  </si>
  <si>
    <t>KAPITAL IN OBVEZNOSTI:</t>
  </si>
  <si>
    <t>sredstva skupaj</t>
  </si>
  <si>
    <t>kratkoročna sredstva</t>
  </si>
  <si>
    <t>DENARNI TOKOVI:</t>
  </si>
  <si>
    <t>financiranje</t>
  </si>
  <si>
    <t>poslovanje</t>
  </si>
  <si>
    <t>naložbenje</t>
  </si>
  <si>
    <t>denarni izid</t>
  </si>
  <si>
    <t>GIBANJE KAPITALA:</t>
  </si>
  <si>
    <t>bilančni dobiček</t>
  </si>
  <si>
    <t>prihodki od prodaje</t>
  </si>
  <si>
    <t>izid iz poslovanja</t>
  </si>
  <si>
    <t>spr. Prihodkov</t>
  </si>
  <si>
    <t>spr. Odhodkov</t>
  </si>
  <si>
    <t>IPI PODATKI POSLOVANJE:</t>
  </si>
  <si>
    <t>IPI STROŠKI:</t>
  </si>
  <si>
    <t>IPI PRIHODKI:</t>
  </si>
  <si>
    <t>čisti prihodki od prodaje</t>
  </si>
  <si>
    <t>sprememba vrednosti zalog proizvodov</t>
  </si>
  <si>
    <t>finančni prihodki</t>
  </si>
  <si>
    <t>stroški materiala, blaga in storitev</t>
  </si>
  <si>
    <t>stroški dela</t>
  </si>
  <si>
    <t>odpisi vrednosti</t>
  </si>
  <si>
    <t xml:space="preserve">finančni odhodki </t>
  </si>
  <si>
    <t>drugi prihodki</t>
  </si>
  <si>
    <t>izid pred davkom</t>
  </si>
  <si>
    <t>skupaj</t>
  </si>
  <si>
    <t>%povečanje stroški</t>
  </si>
  <si>
    <t>%povečanje prihodki</t>
  </si>
  <si>
    <t>KAZALNIKI FINANCIRANJA:</t>
  </si>
  <si>
    <t>delež lastniškosti financiranja</t>
  </si>
  <si>
    <t>kapital/obveznosti do virov sredstev</t>
  </si>
  <si>
    <t>(kapital + dolgoročni dolg + rezervacije + dolg. Pčr)/obveznosti do virov sredstev</t>
  </si>
  <si>
    <t>koeficient dolgovno-kapitalskega razmerja</t>
  </si>
  <si>
    <t>dolgovi/kapital</t>
  </si>
  <si>
    <t>KAZALNIKI INVESTIRANJA:</t>
  </si>
  <si>
    <t>delež osnovnih sredstev v sredstvih</t>
  </si>
  <si>
    <t>osnovna sredstva/sredstva</t>
  </si>
  <si>
    <t>Poslovni prihodki</t>
  </si>
  <si>
    <t>Poslovni odhodki</t>
  </si>
  <si>
    <t>Delež dolgoročnega financiranja</t>
  </si>
  <si>
    <t>rast prihodkov v %</t>
  </si>
  <si>
    <t>rast odhodkov v %</t>
  </si>
  <si>
    <t>amortizacija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</si>
</sst>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9" fontId="0" fillId="0" borderId="0" xfId="0" applyNumberFormat="1"/>
    <xf numFmtId="43" fontId="0" fillId="0" borderId="0" xfId="3" applyFont="1"/>
  </cellXfs>
  <cellStyles count="4">
    <cellStyle name="Navadno" xfId="0" builtinId="0"/>
    <cellStyle name="Odstotek" xfId="2" builtinId="5"/>
    <cellStyle name="Valuta" xfId="1" builtinId="4"/>
    <cellStyle name="Vejic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Pasiva</a:t>
            </a:r>
            <a:r>
              <a:rPr lang="sl-SI" baseline="0"/>
              <a:t> bilance stanja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vrednost kapitala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List1!$A$27:$E$27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List1!$A$28:$E$28</c:f>
              <c:numCache>
                <c:formatCode>_("€"* #,##0.00_);_("€"* \(#,##0.00\);_("€"* "-"??_);_(@_)</c:formatCode>
                <c:ptCount val="5"/>
                <c:pt idx="0">
                  <c:v>23009989</c:v>
                </c:pt>
                <c:pt idx="1">
                  <c:v>28584812</c:v>
                </c:pt>
                <c:pt idx="2">
                  <c:v>36268092</c:v>
                </c:pt>
                <c:pt idx="3">
                  <c:v>45510666</c:v>
                </c:pt>
                <c:pt idx="4">
                  <c:v>55347711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C-49F7-A357-9E1CCE826DB6}"/>
            </c:ext>
          </c:extLst>
        </c:ser>
        <c:ser>
          <c:idx val="2"/>
          <c:order val="1"/>
          <c:tx>
            <c:v>obveznosti skupaj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List1!$A$27:$E$27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List1!$A$29:$E$29</c:f>
              <c:numCache>
                <c:formatCode>_("€"* #,##0.00_);_("€"* \(#,##0.00\);_("€"* "-"??_);_(@_)</c:formatCode>
                <c:ptCount val="5"/>
                <c:pt idx="0">
                  <c:v>31628323</c:v>
                </c:pt>
                <c:pt idx="1">
                  <c:v>29938471</c:v>
                </c:pt>
                <c:pt idx="2">
                  <c:v>33014627</c:v>
                </c:pt>
                <c:pt idx="3">
                  <c:v>45649242</c:v>
                </c:pt>
                <c:pt idx="4">
                  <c:v>51208080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C-49F7-A357-9E1CCE82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196528"/>
        <c:axId val="376161904"/>
      </c:lineChart>
      <c:catAx>
        <c:axId val="48019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6161904"/>
        <c:crosses val="autoZero"/>
        <c:auto val="1"/>
        <c:lblAlgn val="ctr"/>
        <c:lblOffset val="100"/>
        <c:noMultiLvlLbl val="0"/>
      </c:catAx>
      <c:valAx>
        <c:axId val="3761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01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Rast poslovnih prihodkov in odhodkov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List1!$A$110</c:f>
              <c:strCache>
                <c:ptCount val="1"/>
                <c:pt idx="0">
                  <c:v> rast prihodkov v %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List1!$C$100:$F$100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List1!$C$110:$F$110</c:f>
              <c:numCache>
                <c:formatCode>_(* #,##0.00_);_(* \(#,##0.00\);_(* "-"??_);_(@_)</c:formatCode>
                <c:ptCount val="4"/>
                <c:pt idx="0">
                  <c:v>1.1138390120824142</c:v>
                </c:pt>
                <c:pt idx="1">
                  <c:v>1.14009539619696</c:v>
                </c:pt>
                <c:pt idx="2">
                  <c:v>1.1673054798631428</c:v>
                </c:pt>
                <c:pt idx="3">
                  <c:v>1.1405345225674837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B-4379-A856-7E6D0D4450F0}"/>
            </c:ext>
          </c:extLst>
        </c:ser>
        <c:ser>
          <c:idx val="1"/>
          <c:order val="1"/>
          <c:tx>
            <c:strRef>
              <c:f>List1!$A$111</c:f>
              <c:strCache>
                <c:ptCount val="1"/>
                <c:pt idx="0">
                  <c:v> rast odhodkov v %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List1!$C$100:$F$100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List1!$C$111:$F$111</c:f>
              <c:numCache>
                <c:formatCode>_(* #,##0.00_);_(* \(#,##0.00\);_(* "-"??_);_(@_)</c:formatCode>
                <c:ptCount val="4"/>
                <c:pt idx="0">
                  <c:v>1.0765289180166502</c:v>
                </c:pt>
                <c:pt idx="1">
                  <c:v>1.1273693810561278</c:v>
                </c:pt>
                <c:pt idx="2">
                  <c:v>1.1586324414327362</c:v>
                </c:pt>
                <c:pt idx="3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B-4379-A856-7E6D0D44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121744"/>
        <c:axId val="531121104"/>
      </c:lineChart>
      <c:catAx>
        <c:axId val="53112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1121104"/>
        <c:crosses val="autoZero"/>
        <c:auto val="1"/>
        <c:lblAlgn val="ctr"/>
        <c:lblOffset val="100"/>
        <c:noMultiLvlLbl val="0"/>
      </c:catAx>
      <c:valAx>
        <c:axId val="5311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koeficient</a:t>
                </a:r>
                <a:r>
                  <a:rPr lang="sl-SI" baseline="0"/>
                  <a:t> rasti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11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Sredstva v bilanci stanja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List1!$A$9</c:f>
              <c:strCache>
                <c:ptCount val="1"/>
                <c:pt idx="0">
                  <c:v>sredstva skupaj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List1!$A$3:$E$3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List1!$A$4:$E$4</c:f>
              <c:numCache>
                <c:formatCode>_("€"* #,##0.00_);_("€"* \(#,##0.00\);_("€"* "-"??_);_(@_)</c:formatCode>
                <c:ptCount val="5"/>
                <c:pt idx="0">
                  <c:v>54638312</c:v>
                </c:pt>
                <c:pt idx="1">
                  <c:v>58523283</c:v>
                </c:pt>
                <c:pt idx="2">
                  <c:v>69282719</c:v>
                </c:pt>
                <c:pt idx="3">
                  <c:v>91159908</c:v>
                </c:pt>
                <c:pt idx="4">
                  <c:v>106555791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4-4E20-942F-376754492FB0}"/>
            </c:ext>
          </c:extLst>
        </c:ser>
        <c:ser>
          <c:idx val="1"/>
          <c:order val="1"/>
          <c:tx>
            <c:strRef>
              <c:f>List1!$B$9</c:f>
              <c:strCache>
                <c:ptCount val="1"/>
                <c:pt idx="0">
                  <c:v>kratkoročna sredstva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C168F39-0623-4BC1-9C4B-BE3D4BAB9422}" type="CELLRANGE">
                      <a:rPr lang="en-US"/>
                      <a:pPr/>
                      <a:t>[OBSEG CELIC]</a:t>
                    </a:fld>
                    <a:endParaRPr lang="sl-SI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CA4-4E20-942F-376754492F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C2716F-074B-4C53-BE08-7E9FAFEF0FCE}" type="CELLRANGE">
                      <a:rPr lang="sl-SI"/>
                      <a:pPr/>
                      <a:t>[OBSEG CELIC]</a:t>
                    </a:fld>
                    <a:endParaRPr lang="sl-SI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CA4-4E20-942F-376754492F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CF8806-B7C3-4C69-94C7-A0F6289BD5D8}" type="CELLRANGE">
                      <a:rPr lang="sl-SI"/>
                      <a:pPr/>
                      <a:t>[OBSEG CELIC]</a:t>
                    </a:fld>
                    <a:endParaRPr lang="sl-SI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CA4-4E20-942F-376754492F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1EEFAE1-EC37-4067-BB2D-14777393E2AC}" type="CELLRANGE">
                      <a:rPr lang="sl-SI"/>
                      <a:pPr/>
                      <a:t>[OBSEG CELIC]</a:t>
                    </a:fld>
                    <a:endParaRPr lang="sl-SI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A4-4E20-942F-376754492F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AE07A8-2771-40E3-B84F-F7953C5D0451}" type="CELLRANGE">
                      <a:rPr lang="sl-SI"/>
                      <a:pPr/>
                      <a:t>[OBSEG CELIC]</a:t>
                    </a:fld>
                    <a:endParaRPr lang="sl-SI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A4-4E20-942F-376754492F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List1!$A$3:$E$3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List1!$A$5:$E$5</c:f>
              <c:numCache>
                <c:formatCode>_("€"* #,##0.00_);_("€"* \(#,##0.00\);_("€"* "-"??_);_(@_)</c:formatCode>
                <c:ptCount val="5"/>
                <c:pt idx="0">
                  <c:v>32183717</c:v>
                </c:pt>
                <c:pt idx="1">
                  <c:v>35247361</c:v>
                </c:pt>
                <c:pt idx="2">
                  <c:v>39567100</c:v>
                </c:pt>
                <c:pt idx="3">
                  <c:v>46257106</c:v>
                </c:pt>
                <c:pt idx="4">
                  <c:v>52269549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List1!$A$6:$E$6</c15:f>
                <c15:dlblRangeCache>
                  <c:ptCount val="5"/>
                  <c:pt idx="0">
                    <c:v>59%</c:v>
                  </c:pt>
                  <c:pt idx="1">
                    <c:v>60%</c:v>
                  </c:pt>
                  <c:pt idx="2">
                    <c:v>57%</c:v>
                  </c:pt>
                  <c:pt idx="3">
                    <c:v>51%</c:v>
                  </c:pt>
                  <c:pt idx="4">
                    <c:v>49%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CA4-4E20-942F-37675449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49648"/>
        <c:axId val="499449008"/>
      </c:lineChart>
      <c:catAx>
        <c:axId val="4994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9449008"/>
        <c:crosses val="autoZero"/>
        <c:auto val="1"/>
        <c:lblAlgn val="ctr"/>
        <c:lblOffset val="100"/>
        <c:noMultiLvlLbl val="0"/>
      </c:catAx>
      <c:valAx>
        <c:axId val="4994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94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List1!$B$52:$F$52</c:f>
              <c:numCache>
                <c:formatCode>_("€"* #,##0.00_);_("€"* \(#,##0.00\);_("€"* "-"??_);_(@_)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4-4E62-871F-F478AAC0ADA7}"/>
            </c:ext>
          </c:extLst>
        </c:ser>
        <c:ser>
          <c:idx val="1"/>
          <c:order val="1"/>
          <c:tx>
            <c:strRef>
              <c:f>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List1!$B$53:$F$53</c:f>
              <c:numCache>
                <c:formatCode>_("€"* #,##0.00_);_("€"* \(#,##0.00\);_("€"* "-"??_);_(@_)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4-4E62-871F-F478AAC0ADA7}"/>
            </c:ext>
          </c:extLst>
        </c:ser>
        <c:ser>
          <c:idx val="2"/>
          <c:order val="2"/>
          <c:tx>
            <c:strRef>
              <c:f>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List1!$B$54:$F$54</c:f>
              <c:numCache>
                <c:formatCode>_("€"* #,##0.00_);_("€"* \(#,##0.00\);_("€"* "-"??_);_(@_)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4-4E62-871F-F478AAC0ADA7}"/>
            </c:ext>
          </c:extLst>
        </c:ser>
        <c:ser>
          <c:idx val="3"/>
          <c:order val="3"/>
          <c:tx>
            <c:strRef>
              <c:f>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List1!$B$55:$F$55</c:f>
              <c:numCache>
                <c:formatCode>_("€"* #,##0.00_);_("€"* \(#,##0.00\);_("€"* "-"??_);_(@_)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634-4E62-871F-F478AAC0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- čisti poslovni izid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List1!$F$80</c:f>
              <c:strCache>
                <c:ptCount val="1"/>
                <c:pt idx="0">
                  <c:v>bilančni dobiček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List1!$A$79:$E$79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List1!$A$80:$E$80</c:f>
              <c:numCache>
                <c:formatCode>_("€"* #,##0.00_);_("€"* \(#,##0.00\);_("€"* "-"??_);_(@_)</c:formatCode>
                <c:ptCount val="5"/>
                <c:pt idx="0">
                  <c:v>2637580</c:v>
                </c:pt>
                <c:pt idx="1">
                  <c:v>5525835</c:v>
                </c:pt>
                <c:pt idx="2">
                  <c:v>7907383</c:v>
                </c:pt>
                <c:pt idx="3">
                  <c:v>10141196</c:v>
                </c:pt>
                <c:pt idx="4">
                  <c:v>10762148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7-49B9-9DA4-8E1E26B3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30616"/>
        <c:axId val="495729016"/>
      </c:lineChart>
      <c:catAx>
        <c:axId val="49573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5729016"/>
        <c:crosses val="autoZero"/>
        <c:auto val="1"/>
        <c:lblAlgn val="ctr"/>
        <c:lblOffset val="100"/>
        <c:noMultiLvlLbl val="0"/>
      </c:catAx>
      <c:valAx>
        <c:axId val="4957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573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IPI - odhodki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List1!$A$116</c:f>
              <c:strCache>
                <c:ptCount val="1"/>
                <c:pt idx="0">
                  <c:v>stroški materiala, blaga in storitev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List1!$B$115:$F$115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List1!$B$116:$F$116</c:f>
              <c:numCache>
                <c:formatCode>_("€"* #,##0.00_);_("€"* \(#,##0.00\);_("€"* "-"??_);_(@_)</c:formatCode>
                <c:ptCount val="5"/>
                <c:pt idx="0">
                  <c:v>54558744</c:v>
                </c:pt>
                <c:pt idx="1">
                  <c:v>59976822</c:v>
                </c:pt>
                <c:pt idx="2">
                  <c:v>68857267</c:v>
                </c:pt>
                <c:pt idx="3">
                  <c:v>78885431</c:v>
                </c:pt>
                <c:pt idx="4">
                  <c:v>90875643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0-4F87-ADEB-C5591DEA092A}"/>
            </c:ext>
          </c:extLst>
        </c:ser>
        <c:ser>
          <c:idx val="1"/>
          <c:order val="1"/>
          <c:tx>
            <c:strRef>
              <c:f>List1!$A$117</c:f>
              <c:strCache>
                <c:ptCount val="1"/>
                <c:pt idx="0">
                  <c:v>stroški dela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List1!$B$115:$F$115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List1!$B$117:$F$117</c:f>
              <c:numCache>
                <c:formatCode>_("€"* #,##0.00_);_("€"* \(#,##0.00\);_("€"* "-"??_);_(@_)</c:formatCode>
                <c:ptCount val="5"/>
                <c:pt idx="0">
                  <c:v>22166278</c:v>
                </c:pt>
                <c:pt idx="1">
                  <c:v>24145924</c:v>
                </c:pt>
                <c:pt idx="2">
                  <c:v>26083022</c:v>
                </c:pt>
                <c:pt idx="3">
                  <c:v>30776943</c:v>
                </c:pt>
                <c:pt idx="4">
                  <c:v>34236712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0-4F87-ADEB-C5591DEA092A}"/>
            </c:ext>
          </c:extLst>
        </c:ser>
        <c:ser>
          <c:idx val="2"/>
          <c:order val="2"/>
          <c:tx>
            <c:strRef>
              <c:f>List1!$A$118</c:f>
              <c:strCache>
                <c:ptCount val="1"/>
                <c:pt idx="0">
                  <c:v>odpisi vrednosti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List1!$B$115:$F$115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List1!$B$118:$F$118</c:f>
              <c:numCache>
                <c:formatCode>_("€"* #,##0.00_);_("€"* \(#,##0.00\);_("€"* "-"??_);_(@_)</c:formatCode>
                <c:ptCount val="5"/>
                <c:pt idx="0">
                  <c:v>5806695</c:v>
                </c:pt>
                <c:pt idx="1">
                  <c:v>5466766</c:v>
                </c:pt>
                <c:pt idx="2">
                  <c:v>5619960</c:v>
                </c:pt>
                <c:pt idx="3">
                  <c:v>6492058</c:v>
                </c:pt>
                <c:pt idx="4">
                  <c:v>7562449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0-4F87-ADEB-C5591DEA092A}"/>
            </c:ext>
          </c:extLst>
        </c:ser>
        <c:ser>
          <c:idx val="3"/>
          <c:order val="3"/>
          <c:tx>
            <c:strRef>
              <c:f>List1!$A$119</c:f>
              <c:strCache>
                <c:ptCount val="1"/>
                <c:pt idx="0">
                  <c:v>amortizacija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List1!$B$115:$F$115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List1!$B$119:$F$119</c:f>
              <c:numCache>
                <c:formatCode>_("€"* #,##0.00_);_("€"* \(#,##0.00\);_("€"* "-"??_);_(@_)</c:formatCode>
                <c:ptCount val="5"/>
                <c:pt idx="0">
                  <c:v>1743137</c:v>
                </c:pt>
                <c:pt idx="1">
                  <c:v>1331750</c:v>
                </c:pt>
                <c:pt idx="2">
                  <c:v>1929347</c:v>
                </c:pt>
                <c:pt idx="3">
                  <c:v>1935107</c:v>
                </c:pt>
                <c:pt idx="4">
                  <c:v>2849565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0-4F87-ADEB-C5591DEA092A}"/>
            </c:ext>
          </c:extLst>
        </c:ser>
        <c:ser>
          <c:idx val="4"/>
          <c:order val="4"/>
          <c:tx>
            <c:strRef>
              <c:f>List1!$A$120</c:f>
              <c:strCache>
                <c:ptCount val="1"/>
                <c:pt idx="0">
                  <c:v> finančni odhodki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List1!$B$115:$F$115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List1!$B$120:$F$120</c:f>
              <c:numCache>
                <c:formatCode>_("€"* #,##0.00_);_("€"* \(#,##0.00\);_("€"* "-"??_);_(@_)</c:formatCode>
                <c:ptCount val="5"/>
                <c:pt idx="0">
                  <c:v>560439</c:v>
                </c:pt>
                <c:pt idx="1">
                  <c:v>462111</c:v>
                </c:pt>
                <c:pt idx="2">
                  <c:v>298666</c:v>
                </c:pt>
                <c:pt idx="3">
                  <c:v>192647</c:v>
                </c:pt>
                <c:pt idx="4">
                  <c:v>248401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50-4F87-ADEB-C5591DEA0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4474232"/>
        <c:axId val="514471992"/>
        <c:axId val="0"/>
      </c:bar3DChart>
      <c:catAx>
        <c:axId val="51447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4471992"/>
        <c:crosses val="autoZero"/>
        <c:auto val="1"/>
        <c:lblAlgn val="ctr"/>
        <c:lblOffset val="100"/>
        <c:noMultiLvlLbl val="0"/>
      </c:catAx>
      <c:valAx>
        <c:axId val="514471992"/>
        <c:scaling>
          <c:orientation val="minMax"/>
          <c:max val="9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447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IPI</a:t>
            </a:r>
            <a:r>
              <a:rPr lang="sl-SI" baseline="0"/>
              <a:t> - prihodki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List1!$A$128</c:f>
              <c:strCache>
                <c:ptCount val="1"/>
                <c:pt idx="0">
                  <c:v>sprememba vrednosti zalog proizvodov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List1!$B$125:$F$125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List1!$B$128:$F$128</c:f>
              <c:numCache>
                <c:formatCode>_("€"* #,##0.00_);_("€"* \(#,##0.00\);_("€"* "-"??_);_(@_)</c:formatCode>
                <c:ptCount val="5"/>
                <c:pt idx="0">
                  <c:v>278110</c:v>
                </c:pt>
                <c:pt idx="1">
                  <c:v>1103657</c:v>
                </c:pt>
                <c:pt idx="2">
                  <c:v>-944983</c:v>
                </c:pt>
                <c:pt idx="3">
                  <c:v>1329671</c:v>
                </c:pt>
                <c:pt idx="4">
                  <c:v>559588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A-4078-A19A-E61F9A44E3D1}"/>
            </c:ext>
          </c:extLst>
        </c:ser>
        <c:ser>
          <c:idx val="0"/>
          <c:order val="1"/>
          <c:tx>
            <c:strRef>
              <c:f>List1!$A$127</c:f>
              <c:strCache>
                <c:ptCount val="1"/>
                <c:pt idx="0">
                  <c:v>drugi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List1!$B$125:$F$125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List1!$B$127:$F$127</c:f>
              <c:numCache>
                <c:formatCode>_("€"* #,##0.00_);_("€"* \(#,##0.00\);_("€"* "-"??_);_(@_)</c:formatCode>
                <c:ptCount val="5"/>
                <c:pt idx="0">
                  <c:v>3340879</c:v>
                </c:pt>
                <c:pt idx="1">
                  <c:v>3755123</c:v>
                </c:pt>
                <c:pt idx="2">
                  <c:v>6102513</c:v>
                </c:pt>
                <c:pt idx="3">
                  <c:v>6623153</c:v>
                </c:pt>
                <c:pt idx="4">
                  <c:v>7155170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A-4078-A19A-E61F9A44E3D1}"/>
            </c:ext>
          </c:extLst>
        </c:ser>
        <c:ser>
          <c:idx val="2"/>
          <c:order val="2"/>
          <c:tx>
            <c:strRef>
              <c:f>List1!$A$129</c:f>
              <c:strCache>
                <c:ptCount val="1"/>
                <c:pt idx="0">
                  <c:v>finančni prihodki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List1!$B$125:$F$125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List1!$B$129:$F$129</c:f>
              <c:numCache>
                <c:formatCode>_("€"* #,##0.00_);_("€"* \(#,##0.00\);_("€"* "-"??_);_(@_)</c:formatCode>
                <c:ptCount val="5"/>
                <c:pt idx="0">
                  <c:v>66907</c:v>
                </c:pt>
                <c:pt idx="1">
                  <c:v>97271</c:v>
                </c:pt>
                <c:pt idx="2">
                  <c:v>36586</c:v>
                </c:pt>
                <c:pt idx="3">
                  <c:v>38457</c:v>
                </c:pt>
                <c:pt idx="4">
                  <c:v>121760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A-4078-A19A-E61F9A44E3D1}"/>
            </c:ext>
          </c:extLst>
        </c:ser>
        <c:ser>
          <c:idx val="3"/>
          <c:order val="3"/>
          <c:tx>
            <c:strRef>
              <c:f>List1!$A$126</c:f>
              <c:strCache>
                <c:ptCount val="1"/>
                <c:pt idx="0">
                  <c:v>čisti prihodki od prodaje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List1!$B$126:$F$126</c:f>
              <c:numCache>
                <c:formatCode>_("€"* #,##0.00_);_("€"* \(#,##0.00\);_("€"* "-"??_);_(@_)</c:formatCode>
                <c:ptCount val="5"/>
                <c:pt idx="0">
                  <c:v>83764805</c:v>
                </c:pt>
                <c:pt idx="1">
                  <c:v>92337092</c:v>
                </c:pt>
                <c:pt idx="2">
                  <c:v>105932291</c:v>
                </c:pt>
                <c:pt idx="3">
                  <c:v>120997840</c:v>
                </c:pt>
                <c:pt idx="4">
                  <c:v>139357926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A-4078-A19A-E61F9A44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8446904"/>
        <c:axId val="548447224"/>
        <c:axId val="0"/>
      </c:bar3DChart>
      <c:catAx>
        <c:axId val="5484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8447224"/>
        <c:crosses val="autoZero"/>
        <c:auto val="1"/>
        <c:lblAlgn val="ctr"/>
        <c:lblOffset val="100"/>
        <c:noMultiLvlLbl val="0"/>
      </c:catAx>
      <c:valAx>
        <c:axId val="5484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84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IPI</a:t>
            </a:r>
            <a:r>
              <a:rPr lang="sl-SI" baseline="0"/>
              <a:t> - pred davkom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List1!$A$132</c:f>
              <c:strCache>
                <c:ptCount val="1"/>
                <c:pt idx="0">
                  <c:v>izid pred davkom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List1!$B$125:$F$125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List1!$B$132:$F$132</c:f>
              <c:numCache>
                <c:formatCode>_("€"* #,##0.00_);_("€"* \(#,##0.00\);_("€"* "-"??_);_(@_)</c:formatCode>
                <c:ptCount val="5"/>
                <c:pt idx="0">
                  <c:v>2615408</c:v>
                </c:pt>
                <c:pt idx="1">
                  <c:v>5909770</c:v>
                </c:pt>
                <c:pt idx="2">
                  <c:v>8338145</c:v>
                </c:pt>
                <c:pt idx="3">
                  <c:v>10706935</c:v>
                </c:pt>
                <c:pt idx="4">
                  <c:v>11421674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4-4CA9-B425-6DFB26CE4787}"/>
            </c:ext>
          </c:extLst>
        </c:ser>
        <c:ser>
          <c:idx val="1"/>
          <c:order val="1"/>
          <c:tx>
            <c:v>odhodki skupaj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List1!$B$125:$F$125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List1!$B$121:$F$121</c:f>
              <c:numCache>
                <c:formatCode>_("€"* #,##0.00_);_("€"* \(#,##0.00\);_("€"* "-"??_);_(@_)</c:formatCode>
                <c:ptCount val="5"/>
                <c:pt idx="0">
                  <c:v>84835293</c:v>
                </c:pt>
                <c:pt idx="1">
                  <c:v>91383373</c:v>
                </c:pt>
                <c:pt idx="2">
                  <c:v>102788262</c:v>
                </c:pt>
                <c:pt idx="3">
                  <c:v>118282186</c:v>
                </c:pt>
                <c:pt idx="4">
                  <c:v>135772770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4-4CA9-B425-6DFB26CE4787}"/>
            </c:ext>
          </c:extLst>
        </c:ser>
        <c:ser>
          <c:idx val="2"/>
          <c:order val="2"/>
          <c:tx>
            <c:v>prihodki skupaj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List1!$B$125:$F$125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List1!$B$130:$F$130</c:f>
              <c:numCache>
                <c:formatCode>_("€"* #,##0.00_);_("€"* \(#,##0.00\);_("€"* "-"??_);_(@_)</c:formatCode>
                <c:ptCount val="5"/>
                <c:pt idx="0">
                  <c:v>87450701</c:v>
                </c:pt>
                <c:pt idx="1">
                  <c:v>97293143</c:v>
                </c:pt>
                <c:pt idx="2">
                  <c:v>111126407</c:v>
                </c:pt>
                <c:pt idx="3">
                  <c:v>128989121</c:v>
                </c:pt>
                <c:pt idx="4">
                  <c:v>147194444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4-4CA9-B425-6DFB26CE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8471544"/>
        <c:axId val="548474424"/>
        <c:axId val="0"/>
      </c:bar3DChart>
      <c:catAx>
        <c:axId val="54847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8474424"/>
        <c:crosses val="autoZero"/>
        <c:auto val="1"/>
        <c:lblAlgn val="ctr"/>
        <c:lblOffset val="100"/>
        <c:noMultiLvlLbl val="0"/>
      </c:catAx>
      <c:valAx>
        <c:axId val="5484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847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List1!$B$103:$F$103</c:f>
              <c:numCache>
                <c:formatCode>_("€"* #,##0.00_);_("€"* \(#,##0.00\);_("€"* "-"??_);_(@_)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5-4B5E-8D4B-C0A49B0726F4}"/>
            </c:ext>
          </c:extLst>
        </c:ser>
        <c:ser>
          <c:idx val="1"/>
          <c:order val="1"/>
          <c:tx>
            <c:strRef>
              <c:f>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List1!$B$104:$F$104</c:f>
              <c:numCache>
                <c:formatCode>_("€"* #,##0.00_);_("€"* \(#,##0.00\);_("€"* "-"??_);_(@_)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5-4B5E-8D4B-C0A49B0726F4}"/>
            </c:ext>
          </c:extLst>
        </c:ser>
        <c:ser>
          <c:idx val="2"/>
          <c:order val="2"/>
          <c:tx>
            <c:strRef>
              <c:f>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List1!$B$102:$F$102</c:f>
              <c:numCache>
                <c:formatCode>_("€"* #,##0.00_);_("€"* \(#,##0.00\);_("€"* "-"??_);_(@_)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5-4B5E-8D4B-C0A49B07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v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List1!$A$154</c:f>
              <c:strCache>
                <c:ptCount val="1"/>
                <c:pt idx="0">
                  <c:v>Delež dolgoročnega financiranja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List1!$C$152:$G$152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List1!$C$154:$G$154</c:f>
              <c:numCache>
                <c:formatCode>0%</c:formatCode>
                <c:ptCount val="5"/>
                <c:pt idx="0">
                  <c:v>0.60672996266795354</c:v>
                </c:pt>
                <c:pt idx="1">
                  <c:v>0.61789662415213442</c:v>
                </c:pt>
                <c:pt idx="2">
                  <c:v>0.61432918070089026</c:v>
                </c:pt>
                <c:pt idx="3">
                  <c:v>0.5682867736110484</c:v>
                </c:pt>
                <c:pt idx="4">
                  <c:v>0.611148191842525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1-41CF-8B16-B0D75A71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176"/>
        <c:axId val="552336336"/>
      </c:lineChart>
      <c:catAx>
        <c:axId val="55233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336336"/>
        <c:crosses val="autoZero"/>
        <c:auto val="1"/>
        <c:lblAlgn val="ctr"/>
        <c:lblOffset val="100"/>
        <c:noMultiLvlLbl val="0"/>
      </c:catAx>
      <c:valAx>
        <c:axId val="5523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33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499110</xdr:colOff>
      <xdr:row>29</xdr:row>
      <xdr:rowOff>110490</xdr:rowOff>
    </xdr:from>
    <xdr:to>
      <xdr:col>7</xdr:col>
      <xdr:colOff>605790</xdr:colOff>
      <xdr:row>44</xdr:row>
      <xdr:rowOff>110490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8DA1BA46-31DA-4CB9-A662-D6BEE0C94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510540</xdr:colOff>
      <xdr:row>8</xdr:row>
      <xdr:rowOff>0</xdr:rowOff>
    </xdr:from>
    <xdr:to>
      <xdr:col>8</xdr:col>
      <xdr:colOff>7620</xdr:colOff>
      <xdr:row>23</xdr:row>
      <xdr:rowOff>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143142DF-64F2-47F4-909F-8D8C749D5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712470</xdr:colOff>
      <xdr:row>55</xdr:row>
      <xdr:rowOff>179070</xdr:rowOff>
    </xdr:from>
    <xdr:to>
      <xdr:col>5</xdr:col>
      <xdr:colOff>845820</xdr:colOff>
      <xdr:row>75</xdr:row>
      <xdr:rowOff>15240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0E5A734-D6B8-4622-BFDC-110D3B759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81</xdr:row>
      <xdr:rowOff>7620</xdr:rowOff>
    </xdr:from>
    <xdr:to>
      <xdr:col>5</xdr:col>
      <xdr:colOff>205740</xdr:colOff>
      <xdr:row>96</xdr:row>
      <xdr:rowOff>7620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E19B230-DACB-4773-88B3-1CA419E35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163830</xdr:colOff>
      <xdr:row>112</xdr:row>
      <xdr:rowOff>80010</xdr:rowOff>
    </xdr:from>
    <xdr:to>
      <xdr:col>16</xdr:col>
      <xdr:colOff>137160</xdr:colOff>
      <xdr:row>130</xdr:row>
      <xdr:rowOff>99060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37AA51A1-A916-49A5-9556-35F108AF1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198120</xdr:colOff>
      <xdr:row>134</xdr:row>
      <xdr:rowOff>129540</xdr:rowOff>
    </xdr:from>
    <xdr:to>
      <xdr:col>5</xdr:col>
      <xdr:colOff>220980</xdr:colOff>
      <xdr:row>149</xdr:row>
      <xdr:rowOff>76200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BD948E1A-7819-47E6-9579-B88B62199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1051560</xdr:colOff>
      <xdr:row>134</xdr:row>
      <xdr:rowOff>83820</xdr:rowOff>
    </xdr:from>
    <xdr:to>
      <xdr:col>12</xdr:col>
      <xdr:colOff>449580</xdr:colOff>
      <xdr:row>149</xdr:row>
      <xdr:rowOff>83820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9B66B2DE-CE81-43F0-833A-70B5D0496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891540</xdr:colOff>
      <xdr:row>90</xdr:row>
      <xdr:rowOff>99060</xdr:rowOff>
    </xdr:from>
    <xdr:to>
      <xdr:col>13</xdr:col>
      <xdr:colOff>297180</xdr:colOff>
      <xdr:row>105</xdr:row>
      <xdr:rowOff>99060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108D9CD5-C84C-44D5-9EFB-00B36A678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541020</xdr:colOff>
      <xdr:row>150</xdr:row>
      <xdr:rowOff>137160</xdr:rowOff>
    </xdr:from>
    <xdr:to>
      <xdr:col>14</xdr:col>
      <xdr:colOff>464820</xdr:colOff>
      <xdr:row>165</xdr:row>
      <xdr:rowOff>137160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837947D6-2AEB-40AD-A606-BDAEF74DD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548640</xdr:colOff>
      <xdr:row>96</xdr:row>
      <xdr:rowOff>7620</xdr:rowOff>
    </xdr:from>
    <xdr:to>
      <xdr:col>21</xdr:col>
      <xdr:colOff>243840</xdr:colOff>
      <xdr:row>111</xdr:row>
      <xdr:rowOff>7620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F2724CC0-18C5-4B83-806F-2E06DACFD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BB4F-1B17-40DF-8942-3FB54C65DEDB}">
  <dimension ref="A2:H158"/>
  <sheetViews>
    <sheetView tabSelected="1" workbookViewId="0">
      <selection activeCell="I44" sqref="I44"/>
    </sheetView>
  </sheetViews>
  <sheetFormatPr defaultRowHeight="14.4" x14ac:dyDescent="0.3"/>
  <cols>
    <col min="1" max="1" width="15.5546875" bestFit="1" customWidth="1"/>
    <col min="2" max="3" width="15.44140625" bestFit="1" customWidth="1"/>
    <col min="4" max="5" width="16.44140625" bestFit="1" customWidth="1"/>
    <col min="6" max="6" width="16.5546875" customWidth="1"/>
    <col min="7" max="7" width="16.44140625" bestFit="1" customWidth="1"/>
    <col min="8" max="8" width="14.44140625" bestFit="1" customWidth="1"/>
  </cols>
  <sheetData>
    <row r="2" spans="1:8" x14ac:dyDescent="0.3">
      <c r="A2" t="s">
        <v>0</v>
      </c>
    </row>
    <row r="3" spans="1:8" x14ac:dyDescent="0.3">
      <c r="A3">
        <v>2013</v>
      </c>
      <c r="B3">
        <v>2014</v>
      </c>
      <c r="C3">
        <v>2015</v>
      </c>
      <c r="D3">
        <v>2016</v>
      </c>
      <c r="E3">
        <v>2017</v>
      </c>
      <c r="G3" s="4">
        <f>B3+B6</f>
        <v>2014.6022792842978</v>
      </c>
    </row>
    <row r="4" spans="1:8" x14ac:dyDescent="0.3">
      <c r="A4" s="1">
        <v>54638312</v>
      </c>
      <c r="B4" s="2">
        <v>58523283</v>
      </c>
      <c r="C4" s="2">
        <v>69282719</v>
      </c>
      <c r="D4" s="2">
        <v>91159908</v>
      </c>
      <c r="E4" s="2">
        <v>106555791</v>
      </c>
    </row>
    <row r="5" spans="1:8" x14ac:dyDescent="0.3">
      <c r="A5" s="2">
        <v>32183717</v>
      </c>
      <c r="B5" s="2">
        <v>35247361</v>
      </c>
      <c r="C5" s="2">
        <v>39567100</v>
      </c>
      <c r="D5" s="2">
        <v>46257106</v>
      </c>
      <c r="E5" s="2">
        <v>52269549</v>
      </c>
      <c r="H5" s="4">
        <f>B3+B6</f>
        <v>2014.6022792842978</v>
      </c>
    </row>
    <row r="6" spans="1:8" x14ac:dyDescent="0.3">
      <c r="A6" s="3">
        <f>A5/A4</f>
        <v>0.58903205135619852</v>
      </c>
      <c r="B6" s="3">
        <f t="shared" ref="B6:D6" si="0">B5/B4</f>
        <v>0.60227928429784094</v>
      </c>
      <c r="C6" s="3">
        <f t="shared" si="0"/>
        <v>0.57109623541189258</v>
      </c>
      <c r="D6" s="3">
        <f t="shared" si="0"/>
        <v>0.50742817774673488</v>
      </c>
      <c r="E6" s="3">
        <f>E5/E4</f>
        <v>0.49053691507015323</v>
      </c>
      <c r="F6" t="s">
        <v>1</v>
      </c>
    </row>
    <row r="9" spans="1:8" x14ac:dyDescent="0.3">
      <c r="A9" t="s">
        <v>5</v>
      </c>
      <c r="B9" t="s">
        <v>6</v>
      </c>
    </row>
    <row r="26" spans="1:5" x14ac:dyDescent="0.3">
      <c r="A26" t="s">
        <v>4</v>
      </c>
    </row>
    <row r="27" spans="1:5" x14ac:dyDescent="0.3">
      <c r="A27">
        <v>2013</v>
      </c>
      <c r="B27">
        <v>2014</v>
      </c>
      <c r="C27">
        <v>2015</v>
      </c>
      <c r="D27">
        <v>2016</v>
      </c>
      <c r="E27">
        <v>2017</v>
      </c>
    </row>
    <row r="28" spans="1:5" x14ac:dyDescent="0.3">
      <c r="A28" s="2">
        <v>23009989</v>
      </c>
      <c r="B28" s="2">
        <v>28584812</v>
      </c>
      <c r="C28" s="2">
        <v>36268092</v>
      </c>
      <c r="D28" s="2">
        <v>45510666</v>
      </c>
      <c r="E28" s="2">
        <v>55347711</v>
      </c>
    </row>
    <row r="29" spans="1:5" x14ac:dyDescent="0.3">
      <c r="A29" s="2">
        <f>2930135+7210577+20629665+857946</f>
        <v>31628323</v>
      </c>
      <c r="B29" s="2">
        <f>2987253+4589274+21812316+549628</f>
        <v>29938471</v>
      </c>
      <c r="C29" s="2">
        <f>3418591+2875713+26043988+676335</f>
        <v>33014627</v>
      </c>
      <c r="D29" s="2">
        <f>11885886 + 33763356</f>
        <v>45649242</v>
      </c>
      <c r="E29" s="2">
        <f>9773668 + 41434412</f>
        <v>51208080</v>
      </c>
    </row>
    <row r="46" spans="1:6" x14ac:dyDescent="0.3">
      <c r="A46">
        <f>B28/A28</f>
        <v>1.2422783861391677</v>
      </c>
      <c r="B46">
        <f t="shared" ref="B46:E46" si="1">C28/B28</f>
        <v>1.2687888939063163</v>
      </c>
      <c r="C46">
        <f t="shared" si="1"/>
        <v>1.2548403704280886</v>
      </c>
      <c r="D46">
        <f t="shared" si="1"/>
        <v>1.2161481222885202</v>
      </c>
      <c r="E46">
        <f t="shared" si="1"/>
        <v>0</v>
      </c>
      <c r="F46" t="s">
        <v>3</v>
      </c>
    </row>
    <row r="47" spans="1:6" x14ac:dyDescent="0.3">
      <c r="A47">
        <f>SUM(A46:D46)/4</f>
        <v>1.2455139431905233</v>
      </c>
      <c r="B47" t="s">
        <v>2</v>
      </c>
    </row>
    <row r="51" spans="1:6" x14ac:dyDescent="0.3">
      <c r="A51" t="s">
        <v>7</v>
      </c>
      <c r="B51">
        <v>2013</v>
      </c>
      <c r="C51">
        <v>2014</v>
      </c>
      <c r="D51">
        <v>2015</v>
      </c>
      <c r="E51">
        <v>2016</v>
      </c>
      <c r="F51">
        <v>2017</v>
      </c>
    </row>
    <row r="52" spans="1:6" x14ac:dyDescent="0.3">
      <c r="A52" t="s">
        <v>8</v>
      </c>
      <c r="B52" s="2">
        <v>-5230700</v>
      </c>
      <c r="C52" s="2">
        <v>-2239693</v>
      </c>
      <c r="D52" s="2">
        <v>-3437619</v>
      </c>
      <c r="E52" s="2">
        <v>7341469</v>
      </c>
      <c r="F52" s="2">
        <v>1397655</v>
      </c>
    </row>
    <row r="53" spans="1:6" x14ac:dyDescent="0.3">
      <c r="A53" t="s">
        <v>9</v>
      </c>
      <c r="B53" s="2">
        <v>9315030</v>
      </c>
      <c r="C53" s="2">
        <v>7550620</v>
      </c>
      <c r="D53" s="2">
        <v>15131458</v>
      </c>
      <c r="E53" s="2">
        <v>16893333</v>
      </c>
      <c r="F53" s="2">
        <v>15428908</v>
      </c>
    </row>
    <row r="54" spans="1:6" x14ac:dyDescent="0.3">
      <c r="A54" t="s">
        <v>10</v>
      </c>
      <c r="B54" s="2">
        <v>-4096778</v>
      </c>
      <c r="C54" s="2">
        <v>-5464822</v>
      </c>
      <c r="D54" s="2">
        <v>-10065144</v>
      </c>
      <c r="E54" s="2">
        <v>-24344004</v>
      </c>
      <c r="F54" s="2">
        <v>-16922760</v>
      </c>
    </row>
    <row r="55" spans="1:6" x14ac:dyDescent="0.3">
      <c r="A55" t="s">
        <v>11</v>
      </c>
      <c r="B55" s="2">
        <v>-12448</v>
      </c>
      <c r="C55" s="2">
        <v>-152895</v>
      </c>
      <c r="D55" s="2">
        <v>1628695</v>
      </c>
      <c r="E55" s="2">
        <v>-109202</v>
      </c>
      <c r="F55" s="2">
        <v>-96197</v>
      </c>
    </row>
    <row r="78" spans="1:6" x14ac:dyDescent="0.3">
      <c r="A78" t="s">
        <v>12</v>
      </c>
    </row>
    <row r="79" spans="1:6" x14ac:dyDescent="0.3">
      <c r="A79">
        <v>2013</v>
      </c>
      <c r="B79">
        <v>2014</v>
      </c>
      <c r="C79">
        <v>2015</v>
      </c>
      <c r="D79">
        <v>2016</v>
      </c>
      <c r="E79">
        <v>2017</v>
      </c>
    </row>
    <row r="80" spans="1:6" x14ac:dyDescent="0.3">
      <c r="A80" s="2">
        <v>2637580</v>
      </c>
      <c r="B80" s="2">
        <v>5525835</v>
      </c>
      <c r="C80" s="2">
        <v>7907383</v>
      </c>
      <c r="D80" s="2">
        <v>10141196</v>
      </c>
      <c r="E80" s="2">
        <v>10762148</v>
      </c>
      <c r="F80" t="s">
        <v>13</v>
      </c>
    </row>
    <row r="99" spans="1:8" x14ac:dyDescent="0.3">
      <c r="A99" t="s">
        <v>18</v>
      </c>
    </row>
    <row r="100" spans="1:8" x14ac:dyDescent="0.3">
      <c r="B100">
        <v>2013</v>
      </c>
      <c r="C100">
        <v>2014</v>
      </c>
      <c r="D100">
        <v>2015</v>
      </c>
      <c r="E100">
        <v>2016</v>
      </c>
      <c r="F100">
        <v>2017</v>
      </c>
    </row>
    <row r="101" spans="1:8" x14ac:dyDescent="0.3">
      <c r="A101" t="s">
        <v>14</v>
      </c>
      <c r="B101" s="2">
        <v>83764805</v>
      </c>
      <c r="C101" s="2">
        <v>92337092</v>
      </c>
      <c r="D101" s="2">
        <v>105932291</v>
      </c>
      <c r="E101" s="2">
        <v>120997840</v>
      </c>
      <c r="F101" s="2">
        <v>139357926</v>
      </c>
    </row>
    <row r="102" spans="1:8" x14ac:dyDescent="0.3">
      <c r="A102" t="s">
        <v>15</v>
      </c>
      <c r="B102" s="2">
        <f>B103-B104</f>
        <v>3011623</v>
      </c>
      <c r="C102" s="2">
        <f t="shared" ref="C102:F102" si="2">C103-C104</f>
        <v>6487750</v>
      </c>
      <c r="D102" s="2">
        <f t="shared" si="2"/>
        <v>8547168</v>
      </c>
      <c r="E102" s="2">
        <f t="shared" si="2"/>
        <v>10861125</v>
      </c>
      <c r="F102" s="2">
        <f t="shared" si="2"/>
        <v>11548315</v>
      </c>
    </row>
    <row r="103" spans="1:8" x14ac:dyDescent="0.3">
      <c r="A103" t="s">
        <v>42</v>
      </c>
      <c r="B103" s="2">
        <v>86991224</v>
      </c>
      <c r="C103" s="2">
        <v>96894219</v>
      </c>
      <c r="D103" s="2">
        <v>110468653</v>
      </c>
      <c r="E103" s="2">
        <f>E101+1329671+6623153</f>
        <v>128950664</v>
      </c>
      <c r="F103" s="2">
        <f>F101+559588+7155170</f>
        <v>147072684</v>
      </c>
    </row>
    <row r="104" spans="1:8" x14ac:dyDescent="0.3">
      <c r="A104" t="s">
        <v>43</v>
      </c>
      <c r="B104" s="2">
        <v>83979601</v>
      </c>
      <c r="C104" s="2">
        <v>90406469</v>
      </c>
      <c r="D104" s="2">
        <v>101921485</v>
      </c>
      <c r="E104" s="2">
        <f>78885431+30776943+6219574+272484+1935107</f>
        <v>118089539</v>
      </c>
      <c r="F104" s="2">
        <f>90875643+34236712+7405570+156879+2849565</f>
        <v>135524369</v>
      </c>
    </row>
    <row r="105" spans="1:8" x14ac:dyDescent="0.3">
      <c r="A105" t="s">
        <v>16</v>
      </c>
      <c r="C105" s="2">
        <f t="shared" ref="C105:F106" si="3">C103-B103</f>
        <v>9902995</v>
      </c>
      <c r="D105" s="2">
        <f t="shared" si="3"/>
        <v>13574434</v>
      </c>
      <c r="E105" s="2">
        <f t="shared" si="3"/>
        <v>18482011</v>
      </c>
      <c r="F105" s="2">
        <f t="shared" si="3"/>
        <v>18122020</v>
      </c>
    </row>
    <row r="106" spans="1:8" x14ac:dyDescent="0.3">
      <c r="A106" t="s">
        <v>17</v>
      </c>
      <c r="C106" s="2">
        <f t="shared" si="3"/>
        <v>6426868</v>
      </c>
      <c r="D106" s="2">
        <f t="shared" si="3"/>
        <v>11515016</v>
      </c>
      <c r="E106" s="2">
        <f t="shared" si="3"/>
        <v>16168054</v>
      </c>
      <c r="F106" s="2">
        <f t="shared" si="3"/>
        <v>17434830</v>
      </c>
      <c r="H106" s="2"/>
    </row>
    <row r="107" spans="1:8" x14ac:dyDescent="0.3">
      <c r="C107">
        <f>C105/C106</f>
        <v>1.5408741863066115</v>
      </c>
      <c r="D107">
        <f t="shared" ref="D107:F107" si="4">D105/D106</f>
        <v>1.1788462994753981</v>
      </c>
      <c r="E107">
        <f t="shared" si="4"/>
        <v>1.1431190791421157</v>
      </c>
      <c r="F107">
        <f t="shared" si="4"/>
        <v>1.0394147806431149</v>
      </c>
      <c r="H107" s="2"/>
    </row>
    <row r="108" spans="1:8" x14ac:dyDescent="0.3">
      <c r="C108">
        <f>C104/B104</f>
        <v>1.0765289180166502</v>
      </c>
      <c r="D108">
        <f t="shared" ref="D108:F108" si="5">D104/C104</f>
        <v>1.1273693810561278</v>
      </c>
      <c r="E108">
        <f t="shared" si="5"/>
        <v>1.1586324414327362</v>
      </c>
      <c r="F108">
        <f t="shared" si="5"/>
        <v>1.1476407660461778</v>
      </c>
    </row>
    <row r="110" spans="1:8" s="5" customFormat="1" x14ac:dyDescent="0.3">
      <c r="A110" s="5" t="s">
        <v>45</v>
      </c>
      <c r="C110" s="5">
        <f>C103/B103</f>
        <v>1.1138390120824142</v>
      </c>
      <c r="D110" s="5">
        <f t="shared" ref="D110:F110" si="6">D103/C103</f>
        <v>1.14009539619696</v>
      </c>
      <c r="E110" s="5">
        <f t="shared" si="6"/>
        <v>1.1673054798631428</v>
      </c>
      <c r="F110" s="5">
        <f t="shared" si="6"/>
        <v>1.1405345225674837</v>
      </c>
    </row>
    <row r="111" spans="1:8" s="5" customFormat="1" x14ac:dyDescent="0.3">
      <c r="A111" s="5" t="s">
        <v>46</v>
      </c>
      <c r="C111" s="5">
        <f>C104/B104</f>
        <v>1.0765289180166502</v>
      </c>
      <c r="D111" s="5">
        <f t="shared" ref="D111:F111" si="7">D104/C104</f>
        <v>1.1273693810561278</v>
      </c>
      <c r="E111" s="5">
        <f t="shared" si="7"/>
        <v>1.1586324414327362</v>
      </c>
      <c r="F111" s="5">
        <f t="shared" si="7"/>
        <v>1.1476407660461778</v>
      </c>
    </row>
    <row r="115" spans="1:6" x14ac:dyDescent="0.3">
      <c r="A115" t="s">
        <v>19</v>
      </c>
      <c r="B115">
        <v>2013</v>
      </c>
      <c r="C115">
        <v>2014</v>
      </c>
      <c r="D115">
        <v>2015</v>
      </c>
      <c r="E115">
        <v>2016</v>
      </c>
      <c r="F115">
        <v>2017</v>
      </c>
    </row>
    <row r="116" spans="1:6" x14ac:dyDescent="0.3">
      <c r="A116" t="s">
        <v>24</v>
      </c>
      <c r="B116" s="2">
        <v>54558744</v>
      </c>
      <c r="C116" s="2">
        <v>59976822</v>
      </c>
      <c r="D116" s="2">
        <v>68857267</v>
      </c>
      <c r="E116" s="2">
        <f>78885431</f>
        <v>78885431</v>
      </c>
      <c r="F116" s="2">
        <f>90875643</f>
        <v>90875643</v>
      </c>
    </row>
    <row r="117" spans="1:6" x14ac:dyDescent="0.3">
      <c r="A117" t="s">
        <v>25</v>
      </c>
      <c r="B117" s="2">
        <v>22166278</v>
      </c>
      <c r="C117" s="2">
        <v>24145924</v>
      </c>
      <c r="D117" s="2">
        <v>26083022</v>
      </c>
      <c r="E117" s="2">
        <v>30776943</v>
      </c>
      <c r="F117" s="2">
        <v>34236712</v>
      </c>
    </row>
    <row r="118" spans="1:6" x14ac:dyDescent="0.3">
      <c r="A118" t="s">
        <v>26</v>
      </c>
      <c r="B118" s="2">
        <v>5806695</v>
      </c>
      <c r="C118" s="2">
        <v>5466766</v>
      </c>
      <c r="D118" s="2">
        <v>5619960</v>
      </c>
      <c r="E118" s="2">
        <f>6219574+272484</f>
        <v>6492058</v>
      </c>
      <c r="F118" s="2">
        <f>7405570+156879</f>
        <v>7562449</v>
      </c>
    </row>
    <row r="119" spans="1:6" x14ac:dyDescent="0.3">
      <c r="A119" t="s">
        <v>47</v>
      </c>
      <c r="B119" s="2">
        <f>1447884+184191+111062</f>
        <v>1743137</v>
      </c>
      <c r="C119" s="2">
        <f>816957+278847+235946</f>
        <v>1331750</v>
      </c>
      <c r="D119" s="2">
        <f>1361236+475197+92914</f>
        <v>1929347</v>
      </c>
      <c r="E119" s="2">
        <v>1935107</v>
      </c>
      <c r="F119" s="2">
        <v>2849565</v>
      </c>
    </row>
    <row r="120" spans="1:6" s="2" customFormat="1" x14ac:dyDescent="0.3">
      <c r="A120" s="2" t="s">
        <v>27</v>
      </c>
      <c r="B120" s="2">
        <v>560439</v>
      </c>
      <c r="C120" s="2">
        <v>462111</v>
      </c>
      <c r="D120" s="2">
        <v>298666</v>
      </c>
      <c r="E120" s="2">
        <v>192647</v>
      </c>
      <c r="F120" s="2">
        <v>248401</v>
      </c>
    </row>
    <row r="121" spans="1:6" x14ac:dyDescent="0.3">
      <c r="A121" t="s">
        <v>30</v>
      </c>
      <c r="B121" s="2">
        <f>SUM(B116:B120)</f>
        <v>84835293</v>
      </c>
      <c r="C121" s="2">
        <f t="shared" ref="C121:F121" si="8">SUM(C116:C120)</f>
        <v>91383373</v>
      </c>
      <c r="D121" s="2">
        <f t="shared" si="8"/>
        <v>102788262</v>
      </c>
      <c r="E121" s="2">
        <f t="shared" si="8"/>
        <v>118282186</v>
      </c>
      <c r="F121" s="2">
        <f t="shared" si="8"/>
        <v>135772770</v>
      </c>
    </row>
    <row r="122" spans="1:6" x14ac:dyDescent="0.3">
      <c r="A122" t="s">
        <v>31</v>
      </c>
      <c r="C122">
        <f>C121/B121</f>
        <v>1.0771858004898975</v>
      </c>
      <c r="D122">
        <f t="shared" ref="D122:F122" si="9">D121/C121</f>
        <v>1.1248026706127383</v>
      </c>
      <c r="E122">
        <f t="shared" si="9"/>
        <v>1.150736316565018</v>
      </c>
      <c r="F122">
        <f t="shared" si="9"/>
        <v>1.1478716668290185</v>
      </c>
    </row>
    <row r="123" spans="1:6" x14ac:dyDescent="0.3">
      <c r="A123" t="s">
        <v>32</v>
      </c>
      <c r="C123">
        <f>C130/B130</f>
        <v>1.1125484631621192</v>
      </c>
      <c r="D123">
        <f t="shared" ref="D123:F123" si="10">D130/C130</f>
        <v>1.142181284039719</v>
      </c>
      <c r="E123">
        <f t="shared" si="10"/>
        <v>1.1607422977330673</v>
      </c>
      <c r="F123">
        <f t="shared" si="10"/>
        <v>1.1411384375586218</v>
      </c>
    </row>
    <row r="125" spans="1:6" x14ac:dyDescent="0.3">
      <c r="A125" t="s">
        <v>20</v>
      </c>
      <c r="B125">
        <v>2013</v>
      </c>
      <c r="C125">
        <v>2014</v>
      </c>
      <c r="D125">
        <v>2015</v>
      </c>
      <c r="E125">
        <v>2016</v>
      </c>
      <c r="F125">
        <v>2017</v>
      </c>
    </row>
    <row r="126" spans="1:6" x14ac:dyDescent="0.3">
      <c r="A126" t="s">
        <v>21</v>
      </c>
      <c r="B126" s="2">
        <v>83764805</v>
      </c>
      <c r="C126" s="2">
        <v>92337092</v>
      </c>
      <c r="D126" s="2">
        <v>105932291</v>
      </c>
      <c r="E126" s="2">
        <v>120997840</v>
      </c>
      <c r="F126" s="2">
        <v>139357926</v>
      </c>
    </row>
    <row r="127" spans="1:6" x14ac:dyDescent="0.3">
      <c r="A127" t="s">
        <v>28</v>
      </c>
      <c r="B127" s="2">
        <f>1262977+230754+161816+1685332</f>
        <v>3340879</v>
      </c>
      <c r="C127" s="2">
        <f>1162820+69818+231835+2290650</f>
        <v>3755123</v>
      </c>
      <c r="D127" s="2">
        <v>6102513</v>
      </c>
      <c r="E127" s="2">
        <v>6623153</v>
      </c>
      <c r="F127" s="2">
        <v>7155170</v>
      </c>
    </row>
    <row r="128" spans="1:6" x14ac:dyDescent="0.3">
      <c r="A128" t="s">
        <v>22</v>
      </c>
      <c r="B128" s="2">
        <v>278110</v>
      </c>
      <c r="C128" s="2">
        <v>1103657</v>
      </c>
      <c r="D128" s="2">
        <v>-944983</v>
      </c>
      <c r="E128" s="2">
        <v>1329671</v>
      </c>
      <c r="F128" s="2">
        <v>559588</v>
      </c>
    </row>
    <row r="129" spans="1:6" x14ac:dyDescent="0.3">
      <c r="A129" t="s">
        <v>23</v>
      </c>
      <c r="B129" s="2">
        <f>228723-161816</f>
        <v>66907</v>
      </c>
      <c r="C129" s="2">
        <f>329106-231835</f>
        <v>97271</v>
      </c>
      <c r="D129" s="2">
        <f>563908-527322</f>
        <v>36586</v>
      </c>
      <c r="E129" s="2">
        <v>38457</v>
      </c>
      <c r="F129" s="2">
        <v>121760</v>
      </c>
    </row>
    <row r="130" spans="1:6" x14ac:dyDescent="0.3">
      <c r="A130" t="s">
        <v>30</v>
      </c>
      <c r="B130" s="2">
        <f>SUM(B126:B129)</f>
        <v>87450701</v>
      </c>
      <c r="C130" s="2">
        <f t="shared" ref="C130:F130" si="11">SUM(C126:C129)</f>
        <v>97293143</v>
      </c>
      <c r="D130" s="2">
        <f t="shared" si="11"/>
        <v>111126407</v>
      </c>
      <c r="E130" s="2">
        <f t="shared" si="11"/>
        <v>128989121</v>
      </c>
      <c r="F130" s="2">
        <f t="shared" si="11"/>
        <v>147194444</v>
      </c>
    </row>
    <row r="132" spans="1:6" x14ac:dyDescent="0.3">
      <c r="A132" t="s">
        <v>29</v>
      </c>
      <c r="B132" s="2">
        <f>B130-B121</f>
        <v>2615408</v>
      </c>
      <c r="C132" s="2">
        <f t="shared" ref="C132:F132" si="12">C130-C121</f>
        <v>5909770</v>
      </c>
      <c r="D132" s="2">
        <f t="shared" si="12"/>
        <v>8338145</v>
      </c>
      <c r="E132" s="2">
        <f t="shared" si="12"/>
        <v>10706935</v>
      </c>
      <c r="F132" s="2">
        <f t="shared" si="12"/>
        <v>11421674</v>
      </c>
    </row>
    <row r="152" spans="1:7" x14ac:dyDescent="0.3">
      <c r="A152" t="s">
        <v>33</v>
      </c>
      <c r="C152">
        <v>2013</v>
      </c>
      <c r="D152">
        <v>2014</v>
      </c>
      <c r="E152">
        <v>2015</v>
      </c>
      <c r="F152">
        <v>2016</v>
      </c>
      <c r="G152">
        <v>2017</v>
      </c>
    </row>
    <row r="153" spans="1:7" x14ac:dyDescent="0.3">
      <c r="A153" t="s">
        <v>34</v>
      </c>
      <c r="B153" t="s">
        <v>35</v>
      </c>
      <c r="C153" s="3">
        <f>23009989/54638312</f>
        <v>0.42113286735505301</v>
      </c>
      <c r="D153" s="3">
        <f>28584812/58523283</f>
        <v>0.4884348678798488</v>
      </c>
      <c r="E153" s="3">
        <f>36268092/69282719</f>
        <v>0.52347962844818485</v>
      </c>
      <c r="F153" s="3">
        <f>45510666/91159908</f>
        <v>0.49923992902669451</v>
      </c>
      <c r="G153" s="3">
        <f>55347711/106555791</f>
        <v>0.51942471151098679</v>
      </c>
    </row>
    <row r="154" spans="1:7" x14ac:dyDescent="0.3">
      <c r="A154" t="s">
        <v>44</v>
      </c>
      <c r="B154" t="s">
        <v>36</v>
      </c>
      <c r="C154" s="3">
        <f>(23009989+2930135+7210577)/A4</f>
        <v>0.60672996266795354</v>
      </c>
      <c r="D154" s="3">
        <f>(28584812+2987253+4589274)/B4</f>
        <v>0.61789662415213442</v>
      </c>
      <c r="E154" s="3">
        <f>(36268092+3418591+2875713)/C4</f>
        <v>0.61432918070089026</v>
      </c>
      <c r="F154" s="3">
        <f>(45510666+6294304)/D4</f>
        <v>0.5682867736110484</v>
      </c>
      <c r="G154" s="3">
        <f>(55347711+9773668)/E4</f>
        <v>0.611148191842525</v>
      </c>
    </row>
    <row r="155" spans="1:7" x14ac:dyDescent="0.3">
      <c r="A155" t="s">
        <v>37</v>
      </c>
      <c r="B155" t="s">
        <v>38</v>
      </c>
      <c r="C155" s="2">
        <f>A29/A28</f>
        <v>1.3745475063025889</v>
      </c>
      <c r="D155" s="2">
        <f t="shared" ref="D155:G155" si="13">B29/B28</f>
        <v>1.0473558825574925</v>
      </c>
      <c r="E155" s="2">
        <f t="shared" si="13"/>
        <v>0.910294012709574</v>
      </c>
      <c r="F155" s="2">
        <f t="shared" si="13"/>
        <v>1.0030449125925778</v>
      </c>
      <c r="G155" s="2">
        <f t="shared" si="13"/>
        <v>0.92520682562644729</v>
      </c>
    </row>
    <row r="156" spans="1:7" x14ac:dyDescent="0.3">
      <c r="C156" s="1"/>
      <c r="D156" s="2"/>
      <c r="E156" s="2"/>
      <c r="F156" s="2"/>
      <c r="G156" s="2"/>
    </row>
    <row r="157" spans="1:7" x14ac:dyDescent="0.3">
      <c r="A157" t="s">
        <v>39</v>
      </c>
      <c r="C157">
        <v>2013</v>
      </c>
      <c r="D157">
        <v>2014</v>
      </c>
      <c r="E157">
        <v>2015</v>
      </c>
      <c r="F157">
        <v>2016</v>
      </c>
      <c r="G157">
        <v>2017</v>
      </c>
    </row>
    <row r="158" spans="1:7" x14ac:dyDescent="0.3">
      <c r="A158" t="s">
        <v>40</v>
      </c>
      <c r="B158" t="s">
        <v>41</v>
      </c>
      <c r="C158" s="3">
        <f>(240390+18476071)/A4</f>
        <v>0.34255196243983527</v>
      </c>
      <c r="D158" s="3">
        <f>(211090+19178194)/B4</f>
        <v>0.33130889119805529</v>
      </c>
      <c r="E158" s="3">
        <f>(443644+24573144)/C4</f>
        <v>0.36108265323709365</v>
      </c>
      <c r="F158" s="3">
        <f>(244397+41740919)/D4</f>
        <v>0.4605677750354904</v>
      </c>
      <c r="G158" s="3">
        <f>(164330+51032572)/E4</f>
        <v>0.48047038569682243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2019-03-02T07:26:11Z</dcterms:created>
  <dcterms:modified xsi:type="dcterms:W3CDTF">2019-04-01T10:34:50Z</dcterms:modified>
</cp:coreProperties>
</file>