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C8E765EC-7F35-4876-A0D0-BEF02D79C400}" xr6:coauthVersionLast="41" xr6:coauthVersionMax="41" xr10:uidLastSave="{00000000-0000-0000-0000-000000000000}"/>
  <bookViews>
    <workbookView xWindow="-108" yWindow="-108" windowWidth="23256" windowHeight="12576" activeTab="4" xr2:uid="{DFF5E5EB-98C6-4DCE-99E8-9DDCC6797E31}"/>
  </bookViews>
  <sheets>
    <sheet name="FCF" sheetId="1" r:id="rId1"/>
    <sheet name="PRIMERJAVA S PODJETJI" sheetId="10" r:id="rId2"/>
    <sheet name="AKTIVA" sheetId="2" r:id="rId3"/>
    <sheet name="PASIVA" sheetId="3" r:id="rId4"/>
    <sheet name="NALOŽBE" sheetId="4" r:id="rId5"/>
    <sheet name="STARE AMORT. IN INVEST." sheetId="5" r:id="rId6"/>
    <sheet name="MAKRO ANALIZA" sheetId="7" r:id="rId7"/>
    <sheet name="KAZALNIKI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5" l="1"/>
  <c r="I54" i="5"/>
  <c r="J54" i="5"/>
  <c r="K54" i="5"/>
  <c r="G54" i="5"/>
  <c r="M73" i="5"/>
  <c r="G20" i="3"/>
  <c r="C65" i="1"/>
  <c r="D65" i="1"/>
  <c r="E65" i="1"/>
  <c r="F65" i="1"/>
  <c r="G65" i="1"/>
  <c r="H65" i="1"/>
  <c r="I65" i="1"/>
  <c r="J65" i="1"/>
  <c r="K65" i="1"/>
  <c r="B65" i="1"/>
  <c r="C48" i="4"/>
  <c r="D48" i="4"/>
  <c r="E48" i="4"/>
  <c r="F48" i="4"/>
  <c r="G48" i="4"/>
  <c r="H48" i="4"/>
  <c r="I48" i="4"/>
  <c r="J48" i="4"/>
  <c r="B48" i="4"/>
  <c r="C47" i="4"/>
  <c r="D47" i="4"/>
  <c r="E47" i="4"/>
  <c r="F47" i="4"/>
  <c r="G47" i="4"/>
  <c r="H47" i="4"/>
  <c r="I47" i="4"/>
  <c r="J47" i="4"/>
  <c r="B47" i="4"/>
  <c r="C46" i="4"/>
  <c r="D46" i="4"/>
  <c r="E46" i="4"/>
  <c r="F46" i="4"/>
  <c r="G46" i="4"/>
  <c r="H46" i="4"/>
  <c r="I46" i="4"/>
  <c r="J46" i="4"/>
  <c r="B46" i="4"/>
  <c r="G45" i="4"/>
  <c r="H45" i="4"/>
  <c r="I45" i="4"/>
  <c r="J45" i="4"/>
  <c r="K45" i="4"/>
  <c r="G44" i="4"/>
  <c r="H44" i="4"/>
  <c r="I44" i="4"/>
  <c r="J44" i="4"/>
  <c r="K44" i="4"/>
  <c r="C44" i="4"/>
  <c r="C45" i="4" s="1"/>
  <c r="D44" i="4"/>
  <c r="E44" i="4"/>
  <c r="F44" i="4"/>
  <c r="B44" i="4"/>
  <c r="B45" i="4" s="1"/>
  <c r="D45" i="4"/>
  <c r="E45" i="4"/>
  <c r="F45" i="4"/>
  <c r="D53" i="1"/>
  <c r="E53" i="1"/>
  <c r="F53" i="1"/>
  <c r="G53" i="1"/>
  <c r="H53" i="1"/>
  <c r="I53" i="1"/>
  <c r="J53" i="1"/>
  <c r="K53" i="1"/>
  <c r="C53" i="1"/>
  <c r="C40" i="4"/>
  <c r="D40" i="4"/>
  <c r="E40" i="4"/>
  <c r="F40" i="4"/>
  <c r="G40" i="4"/>
  <c r="H40" i="4"/>
  <c r="I40" i="4"/>
  <c r="J40" i="4"/>
  <c r="K40" i="4"/>
  <c r="B40" i="4"/>
  <c r="D35" i="10"/>
  <c r="E35" i="10"/>
  <c r="F35" i="10"/>
  <c r="C35" i="10"/>
  <c r="D24" i="10"/>
  <c r="E24" i="10"/>
  <c r="F24" i="10"/>
  <c r="C24" i="10"/>
  <c r="D13" i="10"/>
  <c r="E13" i="10"/>
  <c r="F13" i="10"/>
  <c r="C13" i="10"/>
  <c r="F46" i="1" l="1"/>
  <c r="E46" i="1"/>
  <c r="D46" i="1"/>
  <c r="C46" i="1"/>
  <c r="B46" i="1"/>
  <c r="B45" i="1"/>
  <c r="C45" i="1"/>
  <c r="D45" i="1"/>
  <c r="E45" i="1"/>
  <c r="F45" i="1"/>
  <c r="H20" i="1"/>
  <c r="I20" i="1"/>
  <c r="J20" i="1"/>
  <c r="K20" i="1"/>
  <c r="G20" i="1"/>
  <c r="H70" i="1"/>
  <c r="I70" i="1"/>
  <c r="J70" i="1"/>
  <c r="K70" i="1"/>
  <c r="G70" i="1"/>
  <c r="J72" i="1"/>
  <c r="K72" i="1"/>
  <c r="I72" i="1"/>
  <c r="H72" i="1"/>
  <c r="G72" i="1"/>
  <c r="G71" i="1"/>
  <c r="H71" i="1" s="1"/>
  <c r="I71" i="1" s="1"/>
  <c r="J71" i="1" s="1"/>
  <c r="K71" i="1" s="1"/>
  <c r="D73" i="1"/>
  <c r="E73" i="1"/>
  <c r="F73" i="1"/>
  <c r="C73" i="1"/>
  <c r="C72" i="1"/>
  <c r="D72" i="1"/>
  <c r="E72" i="1"/>
  <c r="F72" i="1"/>
  <c r="B72" i="1"/>
  <c r="H23" i="3" l="1"/>
  <c r="I23" i="3"/>
  <c r="J23" i="3"/>
  <c r="K23" i="3"/>
  <c r="G23" i="3"/>
  <c r="H20" i="3"/>
  <c r="I20" i="3"/>
  <c r="J20" i="3"/>
  <c r="K20" i="3"/>
  <c r="H51" i="1"/>
  <c r="I51" i="1"/>
  <c r="J51" i="1"/>
  <c r="K51" i="1"/>
  <c r="G51" i="1"/>
  <c r="H33" i="4"/>
  <c r="I33" i="4"/>
  <c r="J33" i="4"/>
  <c r="K33" i="4"/>
  <c r="G33" i="4"/>
  <c r="H50" i="1" l="1"/>
  <c r="I50" i="1"/>
  <c r="J50" i="1"/>
  <c r="G50" i="1"/>
  <c r="F86" i="7" l="1"/>
  <c r="E85" i="7"/>
  <c r="C58" i="11" l="1"/>
  <c r="D58" i="11"/>
  <c r="E58" i="11"/>
  <c r="F58" i="11"/>
  <c r="B58" i="11"/>
  <c r="B64" i="11"/>
  <c r="C55" i="11"/>
  <c r="D55" i="11"/>
  <c r="E55" i="11"/>
  <c r="F55" i="11"/>
  <c r="B55" i="11"/>
  <c r="B61" i="11"/>
  <c r="C49" i="11"/>
  <c r="D49" i="11"/>
  <c r="E49" i="11"/>
  <c r="F49" i="11"/>
  <c r="B49" i="11"/>
  <c r="C28" i="11"/>
  <c r="D28" i="11"/>
  <c r="E28" i="11"/>
  <c r="F28" i="11"/>
  <c r="B28" i="11"/>
  <c r="B29" i="11" s="1"/>
  <c r="E29" i="11" l="1"/>
  <c r="E30" i="11"/>
  <c r="C29" i="11"/>
  <c r="C31" i="11" s="1"/>
  <c r="C30" i="11"/>
  <c r="F29" i="11"/>
  <c r="F31" i="11" s="1"/>
  <c r="F30" i="11"/>
  <c r="D29" i="11"/>
  <c r="D31" i="11" s="1"/>
  <c r="D30" i="11"/>
  <c r="C21" i="11"/>
  <c r="D21" i="11"/>
  <c r="E21" i="11"/>
  <c r="F21" i="11"/>
  <c r="C22" i="11"/>
  <c r="C42" i="11" s="1"/>
  <c r="D22" i="11"/>
  <c r="D42" i="11" s="1"/>
  <c r="E22" i="11"/>
  <c r="E42" i="11" s="1"/>
  <c r="F22" i="11"/>
  <c r="F42" i="11" s="1"/>
  <c r="B22" i="11"/>
  <c r="B42" i="11" s="1"/>
  <c r="B21" i="11"/>
  <c r="E31" i="11" l="1"/>
  <c r="E23" i="11"/>
  <c r="E36" i="11"/>
  <c r="E39" i="11"/>
  <c r="B23" i="11"/>
  <c r="B39" i="11"/>
  <c r="B36" i="11"/>
  <c r="D23" i="11"/>
  <c r="D39" i="11"/>
  <c r="D36" i="11"/>
  <c r="C23" i="11"/>
  <c r="C39" i="11"/>
  <c r="C36" i="11"/>
  <c r="F39" i="11"/>
  <c r="F36" i="11"/>
  <c r="F23" i="11"/>
  <c r="B14" i="11"/>
  <c r="B4" i="11"/>
  <c r="C14" i="11"/>
  <c r="C4" i="11"/>
  <c r="D14" i="11"/>
  <c r="D4" i="11"/>
  <c r="B15" i="11"/>
  <c r="B13" i="11"/>
  <c r="C15" i="11"/>
  <c r="C13" i="11"/>
  <c r="D13" i="11"/>
  <c r="D15" i="11"/>
  <c r="F64" i="1" l="1"/>
  <c r="E64" i="1"/>
  <c r="D64" i="1"/>
  <c r="C64" i="1"/>
  <c r="B64" i="1"/>
  <c r="B66" i="1" s="1"/>
  <c r="G63" i="5"/>
  <c r="G89" i="5"/>
  <c r="G90" i="5"/>
  <c r="G92" i="5"/>
  <c r="G93" i="5"/>
  <c r="G94" i="5"/>
  <c r="H75" i="5"/>
  <c r="I75" i="5"/>
  <c r="J75" i="5"/>
  <c r="K75" i="5"/>
  <c r="G75" i="5"/>
  <c r="G87" i="5" s="1"/>
  <c r="F77" i="5"/>
  <c r="F78" i="5"/>
  <c r="F80" i="5"/>
  <c r="F81" i="5"/>
  <c r="F82" i="5"/>
  <c r="E77" i="5"/>
  <c r="E78" i="5"/>
  <c r="E80" i="5"/>
  <c r="E81" i="5"/>
  <c r="E82" i="5"/>
  <c r="D77" i="5"/>
  <c r="D78" i="5"/>
  <c r="D80" i="5"/>
  <c r="D81" i="5"/>
  <c r="D82" i="5"/>
  <c r="C77" i="5"/>
  <c r="C78" i="5"/>
  <c r="C80" i="5"/>
  <c r="C81" i="5"/>
  <c r="C82" i="5"/>
  <c r="D75" i="5"/>
  <c r="E75" i="5"/>
  <c r="F75" i="5"/>
  <c r="C75" i="5"/>
  <c r="G95" i="5" l="1"/>
  <c r="G22" i="1" s="1"/>
  <c r="D41" i="4"/>
  <c r="D66" i="1" s="1"/>
  <c r="E41" i="4"/>
  <c r="E66" i="1" s="1"/>
  <c r="F41" i="4"/>
  <c r="F66" i="1" s="1"/>
  <c r="C41" i="4"/>
  <c r="C66" i="1" s="1"/>
  <c r="C63" i="1"/>
  <c r="D63" i="1"/>
  <c r="E63" i="1"/>
  <c r="F63" i="1"/>
  <c r="B63" i="1"/>
  <c r="H63" i="5"/>
  <c r="C58" i="5"/>
  <c r="D58" i="5"/>
  <c r="E58" i="5"/>
  <c r="F58" i="5"/>
  <c r="B58" i="5"/>
  <c r="C57" i="5"/>
  <c r="D57" i="5"/>
  <c r="E57" i="5"/>
  <c r="F57" i="5"/>
  <c r="B57" i="5"/>
  <c r="C56" i="5"/>
  <c r="D56" i="5"/>
  <c r="E56" i="5"/>
  <c r="F56" i="5"/>
  <c r="B56" i="5"/>
  <c r="C54" i="5"/>
  <c r="D54" i="5"/>
  <c r="E54" i="5"/>
  <c r="F54" i="5"/>
  <c r="B54" i="5"/>
  <c r="C53" i="5"/>
  <c r="D53" i="5"/>
  <c r="E53" i="5"/>
  <c r="F53" i="5"/>
  <c r="B53" i="5"/>
  <c r="C51" i="5"/>
  <c r="D51" i="5"/>
  <c r="E51" i="5"/>
  <c r="F51" i="5"/>
  <c r="B51" i="5"/>
  <c r="C66" i="5"/>
  <c r="D66" i="5"/>
  <c r="E66" i="5"/>
  <c r="F66" i="5"/>
  <c r="B66" i="5"/>
  <c r="C63" i="5"/>
  <c r="D63" i="5"/>
  <c r="E63" i="5"/>
  <c r="F63" i="5"/>
  <c r="B63" i="5"/>
  <c r="H36" i="2"/>
  <c r="I36" i="2"/>
  <c r="J36" i="2"/>
  <c r="K36" i="2"/>
  <c r="K50" i="1" s="1"/>
  <c r="G36" i="2"/>
  <c r="F87" i="7"/>
  <c r="E87" i="7"/>
  <c r="D87" i="7"/>
  <c r="C87" i="7"/>
  <c r="B87" i="7"/>
  <c r="E86" i="7"/>
  <c r="D86" i="7"/>
  <c r="D18" i="1"/>
  <c r="E18" i="1"/>
  <c r="F18" i="1"/>
  <c r="C18" i="1"/>
  <c r="F85" i="7"/>
  <c r="D85" i="7"/>
  <c r="D43" i="10"/>
  <c r="E43" i="10"/>
  <c r="F43" i="10"/>
  <c r="C43" i="10"/>
  <c r="C42" i="10"/>
  <c r="D42" i="10"/>
  <c r="E42" i="10"/>
  <c r="F42" i="10"/>
  <c r="B42" i="10"/>
  <c r="C16" i="2"/>
  <c r="D16" i="2"/>
  <c r="E16" i="2"/>
  <c r="F16" i="2"/>
  <c r="B16" i="2"/>
  <c r="C41" i="10"/>
  <c r="D41" i="10"/>
  <c r="E41" i="10"/>
  <c r="F41" i="10"/>
  <c r="D25" i="1"/>
  <c r="E25" i="1"/>
  <c r="F25" i="1"/>
  <c r="C25" i="1"/>
  <c r="C24" i="1"/>
  <c r="D24" i="1"/>
  <c r="E24" i="1"/>
  <c r="F24" i="1"/>
  <c r="B24" i="1"/>
  <c r="C40" i="10"/>
  <c r="D40" i="10"/>
  <c r="E40" i="10"/>
  <c r="F40" i="10"/>
  <c r="C39" i="1"/>
  <c r="D39" i="1"/>
  <c r="E39" i="1"/>
  <c r="F39" i="1"/>
  <c r="F39" i="10"/>
  <c r="E39" i="10"/>
  <c r="D39" i="10"/>
  <c r="C39" i="10"/>
  <c r="D8" i="10"/>
  <c r="E8" i="10"/>
  <c r="F8" i="10"/>
  <c r="C8" i="10"/>
  <c r="F20" i="10"/>
  <c r="E20" i="10"/>
  <c r="E22" i="10" s="1"/>
  <c r="D20" i="10"/>
  <c r="D22" i="10" s="1"/>
  <c r="C20" i="10"/>
  <c r="C22" i="10" s="1"/>
  <c r="B20" i="10"/>
  <c r="D30" i="10"/>
  <c r="E30" i="10"/>
  <c r="F30" i="10"/>
  <c r="C30" i="10"/>
  <c r="D28" i="10"/>
  <c r="E28" i="10"/>
  <c r="F28" i="10"/>
  <c r="C28" i="10"/>
  <c r="F31" i="10"/>
  <c r="F33" i="10" s="1"/>
  <c r="E31" i="10"/>
  <c r="E33" i="10" s="1"/>
  <c r="D31" i="10"/>
  <c r="D33" i="10" s="1"/>
  <c r="C31" i="10"/>
  <c r="C33" i="10" s="1"/>
  <c r="B31" i="10"/>
  <c r="B33" i="10" s="1"/>
  <c r="D19" i="10"/>
  <c r="E19" i="10"/>
  <c r="F19" i="10"/>
  <c r="C19" i="10"/>
  <c r="D17" i="10"/>
  <c r="E17" i="10"/>
  <c r="F17" i="10"/>
  <c r="C17" i="10"/>
  <c r="F22" i="10"/>
  <c r="G63" i="1" l="1"/>
  <c r="F32" i="10"/>
  <c r="D32" i="10"/>
  <c r="E32" i="10"/>
  <c r="C32" i="10"/>
  <c r="D21" i="10"/>
  <c r="C21" i="10"/>
  <c r="B22" i="10"/>
  <c r="F21" i="10"/>
  <c r="E21" i="10"/>
  <c r="C6" i="10"/>
  <c r="D6" i="10"/>
  <c r="E6" i="10"/>
  <c r="F6" i="10"/>
  <c r="C10" i="10"/>
  <c r="D10" i="10"/>
  <c r="E10" i="10"/>
  <c r="F10" i="10"/>
  <c r="B11" i="10"/>
  <c r="C11" i="10"/>
  <c r="D11" i="10"/>
  <c r="F11" i="10"/>
  <c r="E11" i="10"/>
  <c r="G58" i="1" l="1"/>
  <c r="G62" i="1" s="1"/>
  <c r="D59" i="1"/>
  <c r="E59" i="1"/>
  <c r="F59" i="1"/>
  <c r="C59" i="1"/>
  <c r="H4" i="1"/>
  <c r="I4" i="1"/>
  <c r="J4" i="1" s="1"/>
  <c r="K4" i="1" s="1"/>
  <c r="G4" i="1"/>
  <c r="G27" i="4" l="1"/>
  <c r="H58" i="1"/>
  <c r="D7" i="1"/>
  <c r="E7" i="1"/>
  <c r="F7" i="1"/>
  <c r="C7" i="1"/>
  <c r="D5" i="1"/>
  <c r="E5" i="1"/>
  <c r="F5" i="1"/>
  <c r="C5" i="1"/>
  <c r="D3" i="1"/>
  <c r="E3" i="1"/>
  <c r="F3" i="1"/>
  <c r="C3" i="1"/>
  <c r="C25" i="5"/>
  <c r="D25" i="5"/>
  <c r="B25" i="5"/>
  <c r="C41" i="5"/>
  <c r="D41" i="5"/>
  <c r="E41" i="5"/>
  <c r="F41" i="5"/>
  <c r="B41" i="5"/>
  <c r="C38" i="5"/>
  <c r="D38" i="5"/>
  <c r="E38" i="5"/>
  <c r="F38" i="5"/>
  <c r="B38" i="5"/>
  <c r="F31" i="5"/>
  <c r="F32" i="5"/>
  <c r="E31" i="5"/>
  <c r="E28" i="5" s="1"/>
  <c r="E32" i="5"/>
  <c r="D31" i="5"/>
  <c r="D32" i="5"/>
  <c r="D28" i="5" s="1"/>
  <c r="C31" i="5"/>
  <c r="C32" i="5"/>
  <c r="B31" i="5"/>
  <c r="B32" i="5"/>
  <c r="C30" i="5"/>
  <c r="C28" i="5" s="1"/>
  <c r="D30" i="5"/>
  <c r="E30" i="5"/>
  <c r="F30" i="5"/>
  <c r="F28" i="5" s="1"/>
  <c r="B30" i="5"/>
  <c r="B28" i="5" s="1"/>
  <c r="C27" i="5"/>
  <c r="D27" i="5"/>
  <c r="E27" i="5"/>
  <c r="E25" i="5" s="1"/>
  <c r="F27" i="5"/>
  <c r="F25" i="5" s="1"/>
  <c r="B27" i="5"/>
  <c r="C17" i="5"/>
  <c r="D17" i="5"/>
  <c r="E17" i="5"/>
  <c r="F17" i="5"/>
  <c r="B17" i="5"/>
  <c r="C14" i="5"/>
  <c r="D14" i="5"/>
  <c r="E14" i="5"/>
  <c r="F14" i="5"/>
  <c r="B14" i="5"/>
  <c r="C6" i="5"/>
  <c r="D6" i="5"/>
  <c r="E6" i="5"/>
  <c r="F6" i="5"/>
  <c r="B6" i="5"/>
  <c r="C3" i="5"/>
  <c r="D3" i="5"/>
  <c r="E3" i="5"/>
  <c r="F3" i="5"/>
  <c r="B3" i="5"/>
  <c r="C15" i="2"/>
  <c r="D15" i="2"/>
  <c r="E15" i="2"/>
  <c r="F15" i="2"/>
  <c r="B15" i="2"/>
  <c r="C13" i="2"/>
  <c r="D13" i="2"/>
  <c r="E13" i="2"/>
  <c r="F13" i="2"/>
  <c r="B13" i="2"/>
  <c r="C14" i="2"/>
  <c r="D14" i="2"/>
  <c r="E14" i="2"/>
  <c r="F14" i="2"/>
  <c r="B14" i="2"/>
  <c r="C12" i="2"/>
  <c r="D12" i="2"/>
  <c r="E12" i="2"/>
  <c r="F12" i="2"/>
  <c r="B12" i="2"/>
  <c r="C33" i="1"/>
  <c r="D33" i="1"/>
  <c r="E33" i="1"/>
  <c r="F33" i="1"/>
  <c r="B33" i="1"/>
  <c r="C32" i="1"/>
  <c r="D32" i="1"/>
  <c r="E32" i="1"/>
  <c r="F32" i="1"/>
  <c r="B32" i="1"/>
  <c r="C31" i="1"/>
  <c r="D31" i="1"/>
  <c r="E31" i="1"/>
  <c r="F31" i="1"/>
  <c r="B31" i="1"/>
  <c r="H62" i="1" l="1"/>
  <c r="I58" i="1"/>
  <c r="D65" i="5"/>
  <c r="E70" i="5"/>
  <c r="E68" i="5"/>
  <c r="E69" i="5"/>
  <c r="B65" i="5"/>
  <c r="C65" i="5"/>
  <c r="D70" i="5"/>
  <c r="D68" i="5"/>
  <c r="D69" i="5"/>
  <c r="F65" i="5"/>
  <c r="B68" i="5"/>
  <c r="B70" i="5"/>
  <c r="B69" i="5"/>
  <c r="C70" i="5"/>
  <c r="C68" i="5"/>
  <c r="C69" i="5"/>
  <c r="E65" i="5"/>
  <c r="F69" i="5"/>
  <c r="F70" i="5"/>
  <c r="F68" i="5"/>
  <c r="E62" i="1"/>
  <c r="C58" i="1"/>
  <c r="C62" i="1" s="1"/>
  <c r="D58" i="1"/>
  <c r="D62" i="1" s="1"/>
  <c r="E58" i="1"/>
  <c r="F58" i="1"/>
  <c r="F62" i="1" s="1"/>
  <c r="B58" i="1"/>
  <c r="B62" i="1" s="1"/>
  <c r="J58" i="1" l="1"/>
  <c r="I62" i="1"/>
  <c r="C36" i="4"/>
  <c r="D36" i="4"/>
  <c r="E36" i="4"/>
  <c r="F36" i="4"/>
  <c r="B36" i="4"/>
  <c r="C35" i="4"/>
  <c r="D35" i="4"/>
  <c r="E35" i="4"/>
  <c r="F35" i="4"/>
  <c r="B35" i="4"/>
  <c r="C34" i="4"/>
  <c r="D34" i="4"/>
  <c r="E34" i="4"/>
  <c r="F34" i="4"/>
  <c r="B34" i="4"/>
  <c r="C33" i="4"/>
  <c r="D33" i="4"/>
  <c r="E33" i="4"/>
  <c r="F33" i="4"/>
  <c r="B33" i="4"/>
  <c r="C32" i="4"/>
  <c r="D32" i="4"/>
  <c r="E32" i="4"/>
  <c r="F32" i="4"/>
  <c r="B32" i="4"/>
  <c r="C28" i="4"/>
  <c r="D28" i="4"/>
  <c r="E28" i="4"/>
  <c r="F28" i="4"/>
  <c r="B28" i="4"/>
  <c r="C14" i="4"/>
  <c r="D14" i="4"/>
  <c r="E14" i="4"/>
  <c r="F14" i="4"/>
  <c r="B14" i="4"/>
  <c r="C13" i="4"/>
  <c r="D13" i="4"/>
  <c r="E13" i="4"/>
  <c r="F13" i="4"/>
  <c r="B13" i="4"/>
  <c r="C12" i="4"/>
  <c r="D12" i="4"/>
  <c r="E12" i="4"/>
  <c r="F12" i="4"/>
  <c r="B12" i="4"/>
  <c r="C11" i="4"/>
  <c r="D11" i="4"/>
  <c r="E11" i="4"/>
  <c r="F11" i="4"/>
  <c r="B11" i="4"/>
  <c r="C10" i="4"/>
  <c r="D10" i="4"/>
  <c r="E10" i="4"/>
  <c r="F10" i="4"/>
  <c r="B10" i="4"/>
  <c r="F19" i="4"/>
  <c r="E19" i="4"/>
  <c r="C19" i="4"/>
  <c r="D18" i="4"/>
  <c r="D19" i="4" s="1"/>
  <c r="C18" i="4"/>
  <c r="B18" i="4"/>
  <c r="B19" i="4" s="1"/>
  <c r="K58" i="1" l="1"/>
  <c r="K62" i="1" s="1"/>
  <c r="J62" i="1"/>
  <c r="F5" i="4"/>
  <c r="E5" i="4"/>
  <c r="D5" i="4"/>
  <c r="C5" i="4"/>
  <c r="C6" i="4" s="1"/>
  <c r="B5" i="4"/>
  <c r="D6" i="4"/>
  <c r="E6" i="4"/>
  <c r="F6" i="4"/>
  <c r="B6" i="4"/>
  <c r="C23" i="3"/>
  <c r="D23" i="3"/>
  <c r="E23" i="3"/>
  <c r="F23" i="3"/>
  <c r="B23" i="3"/>
  <c r="C22" i="3"/>
  <c r="D22" i="3"/>
  <c r="E22" i="3"/>
  <c r="F22" i="3"/>
  <c r="B22" i="3"/>
  <c r="C21" i="3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C18" i="3"/>
  <c r="D18" i="3"/>
  <c r="E18" i="3"/>
  <c r="F18" i="3"/>
  <c r="B18" i="3"/>
  <c r="F14" i="3"/>
  <c r="E14" i="3"/>
  <c r="C14" i="3"/>
  <c r="D13" i="3"/>
  <c r="D14" i="3" s="1"/>
  <c r="C13" i="3"/>
  <c r="B13" i="3"/>
  <c r="B14" i="3" s="1"/>
  <c r="F24" i="2"/>
  <c r="F36" i="2" s="1"/>
  <c r="E24" i="2"/>
  <c r="E35" i="2" s="1"/>
  <c r="B24" i="2"/>
  <c r="B33" i="2" s="1"/>
  <c r="D23" i="2"/>
  <c r="D24" i="2" s="1"/>
  <c r="C23" i="2"/>
  <c r="C24" i="2" s="1"/>
  <c r="B23" i="2"/>
  <c r="D10" i="2"/>
  <c r="C10" i="2"/>
  <c r="B10" i="2"/>
  <c r="C4" i="3"/>
  <c r="B4" i="3"/>
  <c r="C3" i="3"/>
  <c r="C7" i="3"/>
  <c r="B7" i="3"/>
  <c r="D3" i="3"/>
  <c r="D2" i="3"/>
  <c r="E3" i="3"/>
  <c r="C8" i="2"/>
  <c r="B8" i="2"/>
  <c r="B34" i="2" s="1"/>
  <c r="B3" i="2"/>
  <c r="C3" i="2"/>
  <c r="C29" i="2" s="1"/>
  <c r="D3" i="2"/>
  <c r="E3" i="2"/>
  <c r="E29" i="2" s="1"/>
  <c r="E47" i="1"/>
  <c r="F47" i="1"/>
  <c r="D47" i="1"/>
  <c r="C21" i="1"/>
  <c r="B21" i="1"/>
  <c r="D23" i="1"/>
  <c r="C23" i="1"/>
  <c r="B23" i="1"/>
  <c r="F13" i="1"/>
  <c r="E13" i="1"/>
  <c r="F33" i="2" l="1"/>
  <c r="D36" i="2"/>
  <c r="D29" i="2"/>
  <c r="B36" i="2"/>
  <c r="B30" i="2"/>
  <c r="B29" i="2"/>
  <c r="F29" i="2"/>
  <c r="C33" i="2"/>
  <c r="C35" i="2"/>
  <c r="C30" i="2"/>
  <c r="C32" i="2"/>
  <c r="C28" i="2"/>
  <c r="C31" i="2"/>
  <c r="C34" i="2"/>
  <c r="C36" i="2"/>
  <c r="D34" i="2"/>
  <c r="D30" i="2"/>
  <c r="D32" i="2"/>
  <c r="D35" i="2"/>
  <c r="D33" i="2"/>
  <c r="D28" i="2"/>
  <c r="D31" i="2"/>
  <c r="E28" i="2"/>
  <c r="E36" i="2"/>
  <c r="F30" i="2"/>
  <c r="E33" i="2"/>
  <c r="B35" i="2"/>
  <c r="B28" i="2"/>
  <c r="E30" i="2"/>
  <c r="F31" i="2"/>
  <c r="B32" i="2"/>
  <c r="E34" i="2"/>
  <c r="F35" i="2"/>
  <c r="E32" i="2"/>
  <c r="B31" i="2"/>
  <c r="F34" i="2"/>
  <c r="F28" i="2"/>
  <c r="E31" i="2"/>
  <c r="F32" i="2"/>
  <c r="B47" i="1"/>
  <c r="C47" i="1"/>
  <c r="E6" i="1" l="1"/>
  <c r="F6" i="1"/>
  <c r="D4" i="1"/>
  <c r="D6" i="1" s="1"/>
  <c r="C4" i="1"/>
  <c r="C6" i="1" s="1"/>
  <c r="B4" i="1"/>
  <c r="B6" i="1" s="1"/>
  <c r="B52" i="1" s="1"/>
  <c r="F51" i="1" l="1"/>
  <c r="F50" i="1"/>
  <c r="F52" i="1"/>
  <c r="C50" i="1"/>
  <c r="C51" i="1"/>
  <c r="B50" i="1"/>
  <c r="B51" i="1"/>
  <c r="E51" i="1"/>
  <c r="E50" i="1"/>
  <c r="E52" i="1"/>
  <c r="D52" i="1"/>
  <c r="D51" i="1"/>
  <c r="D50" i="1"/>
  <c r="C52" i="1"/>
  <c r="D29" i="1"/>
  <c r="D37" i="1"/>
  <c r="D36" i="1"/>
  <c r="D35" i="1"/>
  <c r="D38" i="1"/>
  <c r="F36" i="1"/>
  <c r="F35" i="1"/>
  <c r="F38" i="1"/>
  <c r="F29" i="1"/>
  <c r="F37" i="1"/>
  <c r="C37" i="1"/>
  <c r="C36" i="1"/>
  <c r="C35" i="1"/>
  <c r="C29" i="1"/>
  <c r="C38" i="1"/>
  <c r="B37" i="1"/>
  <c r="B35" i="1"/>
  <c r="B39" i="1" s="1"/>
  <c r="B40" i="10" s="1"/>
  <c r="B38" i="1"/>
  <c r="B29" i="1"/>
  <c r="B36" i="1"/>
  <c r="E35" i="1"/>
  <c r="E38" i="1"/>
  <c r="E37" i="1"/>
  <c r="E36" i="1"/>
  <c r="E29" i="1"/>
  <c r="G21" i="1"/>
  <c r="G6" i="1"/>
  <c r="G17" i="1" s="1"/>
  <c r="G2" i="1"/>
  <c r="H2" i="1"/>
  <c r="I2" i="1" s="1"/>
  <c r="J2" i="1" l="1"/>
  <c r="I6" i="1"/>
  <c r="G4" i="4"/>
  <c r="G17" i="5"/>
  <c r="G25" i="4"/>
  <c r="H6" i="1"/>
  <c r="G23" i="1"/>
  <c r="G24" i="1" s="1"/>
  <c r="G25" i="1" s="1"/>
  <c r="G7" i="2"/>
  <c r="G46" i="1"/>
  <c r="G3" i="3"/>
  <c r="G2" i="3"/>
  <c r="G35" i="1"/>
  <c r="G14" i="5"/>
  <c r="G8" i="2"/>
  <c r="G37" i="1"/>
  <c r="G10" i="2"/>
  <c r="G6" i="3"/>
  <c r="G5" i="4"/>
  <c r="G3" i="2"/>
  <c r="G14" i="2" s="1"/>
  <c r="G24" i="4"/>
  <c r="G7" i="1"/>
  <c r="G4" i="2"/>
  <c r="G15" i="1"/>
  <c r="G9" i="2"/>
  <c r="G26" i="4"/>
  <c r="G5" i="3"/>
  <c r="G6" i="5"/>
  <c r="G6" i="2"/>
  <c r="G45" i="1"/>
  <c r="G47" i="1" s="1"/>
  <c r="G52" i="1" s="1"/>
  <c r="G2" i="4"/>
  <c r="G3" i="5"/>
  <c r="G5" i="5" s="1"/>
  <c r="G53" i="5" s="1"/>
  <c r="G13" i="1"/>
  <c r="G18" i="1" s="1"/>
  <c r="G16" i="1"/>
  <c r="G4" i="3" l="1"/>
  <c r="G9" i="5"/>
  <c r="G8" i="5"/>
  <c r="G10" i="5"/>
  <c r="G6" i="4"/>
  <c r="G7" i="3"/>
  <c r="H7" i="2"/>
  <c r="H16" i="1"/>
  <c r="H8" i="2"/>
  <c r="H7" i="1"/>
  <c r="H5" i="3"/>
  <c r="H13" i="1"/>
  <c r="H18" i="1" s="1"/>
  <c r="H6" i="3"/>
  <c r="H10" i="2"/>
  <c r="H4" i="4"/>
  <c r="H17" i="1"/>
  <c r="H46" i="1"/>
  <c r="H6" i="5"/>
  <c r="H23" i="1"/>
  <c r="H25" i="4"/>
  <c r="H5" i="4"/>
  <c r="H15" i="1"/>
  <c r="H35" i="1"/>
  <c r="H3" i="5"/>
  <c r="H5" i="5" s="1"/>
  <c r="H53" i="5" s="1"/>
  <c r="H2" i="3"/>
  <c r="H4" i="3" s="1"/>
  <c r="H2" i="4"/>
  <c r="H4" i="2"/>
  <c r="H21" i="1"/>
  <c r="H14" i="5"/>
  <c r="H3" i="2"/>
  <c r="H17" i="5"/>
  <c r="H24" i="4"/>
  <c r="H9" i="2"/>
  <c r="H45" i="1"/>
  <c r="H3" i="3"/>
  <c r="H6" i="2"/>
  <c r="H26" i="4"/>
  <c r="I17" i="1"/>
  <c r="I7" i="1"/>
  <c r="I16" i="1"/>
  <c r="I4" i="4"/>
  <c r="I2" i="3"/>
  <c r="I2" i="4"/>
  <c r="I3" i="5"/>
  <c r="I5" i="5" s="1"/>
  <c r="I53" i="5" s="1"/>
  <c r="I7" i="2"/>
  <c r="I10" i="2"/>
  <c r="I23" i="1"/>
  <c r="I26" i="4"/>
  <c r="I5" i="3"/>
  <c r="I7" i="3" s="1"/>
  <c r="I6" i="5"/>
  <c r="I14" i="5"/>
  <c r="I9" i="2"/>
  <c r="I6" i="3"/>
  <c r="I8" i="2"/>
  <c r="I46" i="1"/>
  <c r="I35" i="1"/>
  <c r="I4" i="2"/>
  <c r="I3" i="2"/>
  <c r="I5" i="4"/>
  <c r="I45" i="1"/>
  <c r="I47" i="1" s="1"/>
  <c r="I52" i="1" s="1"/>
  <c r="I24" i="4"/>
  <c r="I25" i="4"/>
  <c r="I3" i="3"/>
  <c r="I6" i="2"/>
  <c r="I15" i="1"/>
  <c r="I13" i="1"/>
  <c r="I17" i="5"/>
  <c r="I21" i="1"/>
  <c r="G38" i="5"/>
  <c r="G16" i="5"/>
  <c r="G25" i="5"/>
  <c r="J6" i="1"/>
  <c r="K2" i="1"/>
  <c r="K6" i="1" s="1"/>
  <c r="G3" i="4"/>
  <c r="G11" i="4" s="1"/>
  <c r="G41" i="4"/>
  <c r="G28" i="4"/>
  <c r="G39" i="1"/>
  <c r="G28" i="5"/>
  <c r="G21" i="5"/>
  <c r="G19" i="5"/>
  <c r="G20" i="5"/>
  <c r="G41" i="5"/>
  <c r="G30" i="5" l="1"/>
  <c r="G43" i="5"/>
  <c r="J46" i="1"/>
  <c r="J6" i="3"/>
  <c r="J4" i="4"/>
  <c r="J7" i="1"/>
  <c r="J5" i="3"/>
  <c r="J35" i="1"/>
  <c r="J10" i="2"/>
  <c r="J17" i="1"/>
  <c r="J4" i="2"/>
  <c r="J16" i="1"/>
  <c r="J15" i="1"/>
  <c r="J45" i="1"/>
  <c r="J3" i="5"/>
  <c r="J5" i="5" s="1"/>
  <c r="J53" i="5" s="1"/>
  <c r="J25" i="4"/>
  <c r="J23" i="1"/>
  <c r="J8" i="2"/>
  <c r="J26" i="4"/>
  <c r="J6" i="5"/>
  <c r="J13" i="1"/>
  <c r="J18" i="1" s="1"/>
  <c r="J2" i="3"/>
  <c r="J3" i="3"/>
  <c r="J17" i="5"/>
  <c r="J3" i="2"/>
  <c r="J5" i="4"/>
  <c r="J21" i="1"/>
  <c r="J2" i="4"/>
  <c r="J24" i="4"/>
  <c r="J7" i="2"/>
  <c r="J14" i="5"/>
  <c r="J6" i="2"/>
  <c r="J9" i="2"/>
  <c r="H16" i="5"/>
  <c r="I3" i="4"/>
  <c r="I11" i="4" s="1"/>
  <c r="H90" i="5"/>
  <c r="H41" i="5" s="1"/>
  <c r="G28" i="2"/>
  <c r="G65" i="5"/>
  <c r="G27" i="5"/>
  <c r="G40" i="5"/>
  <c r="I19" i="5"/>
  <c r="I21" i="5"/>
  <c r="I20" i="5"/>
  <c r="I16" i="5"/>
  <c r="I6" i="4"/>
  <c r="H19" i="5"/>
  <c r="H20" i="5"/>
  <c r="H21" i="5"/>
  <c r="H7" i="3"/>
  <c r="G64" i="1"/>
  <c r="G66" i="1" s="1"/>
  <c r="G36" i="4"/>
  <c r="G32" i="5"/>
  <c r="G45" i="5"/>
  <c r="H41" i="4"/>
  <c r="H3" i="4"/>
  <c r="H11" i="4" s="1"/>
  <c r="G31" i="5"/>
  <c r="G44" i="5"/>
  <c r="K46" i="1"/>
  <c r="K8" i="2"/>
  <c r="K16" i="1"/>
  <c r="K7" i="1"/>
  <c r="K2" i="3"/>
  <c r="K35" i="1"/>
  <c r="K9" i="2"/>
  <c r="K4" i="4"/>
  <c r="K5" i="4"/>
  <c r="K17" i="1"/>
  <c r="K6" i="5"/>
  <c r="K7" i="2"/>
  <c r="K25" i="4"/>
  <c r="K3" i="3"/>
  <c r="K26" i="4"/>
  <c r="K6" i="3"/>
  <c r="K5" i="3"/>
  <c r="K7" i="3" s="1"/>
  <c r="K4" i="2"/>
  <c r="K6" i="2"/>
  <c r="K3" i="2"/>
  <c r="K45" i="1"/>
  <c r="K47" i="1" s="1"/>
  <c r="K52" i="1" s="1"/>
  <c r="K10" i="2"/>
  <c r="K13" i="1"/>
  <c r="K18" i="1" s="1"/>
  <c r="K24" i="4"/>
  <c r="K14" i="5"/>
  <c r="K17" i="5"/>
  <c r="K21" i="1"/>
  <c r="K3" i="5"/>
  <c r="K5" i="5" s="1"/>
  <c r="K53" i="5" s="1"/>
  <c r="K2" i="4"/>
  <c r="K23" i="1"/>
  <c r="K15" i="1"/>
  <c r="H87" i="5"/>
  <c r="H38" i="5" s="1"/>
  <c r="I18" i="1"/>
  <c r="I14" i="2"/>
  <c r="I9" i="5"/>
  <c r="I10" i="5"/>
  <c r="I8" i="5"/>
  <c r="I4" i="3"/>
  <c r="H47" i="1"/>
  <c r="H52" i="1" s="1"/>
  <c r="H14" i="2"/>
  <c r="H6" i="4"/>
  <c r="H8" i="5"/>
  <c r="H10" i="5"/>
  <c r="H9" i="5"/>
  <c r="H28" i="5" l="1"/>
  <c r="H25" i="5"/>
  <c r="H94" i="5"/>
  <c r="H45" i="5"/>
  <c r="J3" i="4"/>
  <c r="J11" i="4" s="1"/>
  <c r="J41" i="4"/>
  <c r="J21" i="5"/>
  <c r="J20" i="5"/>
  <c r="J19" i="5"/>
  <c r="H28" i="2"/>
  <c r="I90" i="5"/>
  <c r="I41" i="5" s="1"/>
  <c r="I87" i="5"/>
  <c r="I25" i="5" s="1"/>
  <c r="K16" i="5"/>
  <c r="K4" i="3"/>
  <c r="H32" i="5"/>
  <c r="H95" i="5"/>
  <c r="I41" i="4"/>
  <c r="J4" i="3"/>
  <c r="J47" i="1"/>
  <c r="J52" i="1" s="1"/>
  <c r="H92" i="5"/>
  <c r="H43" i="5"/>
  <c r="K3" i="4"/>
  <c r="K11" i="4" s="1"/>
  <c r="K41" i="4"/>
  <c r="K9" i="5"/>
  <c r="K10" i="5"/>
  <c r="K8" i="5"/>
  <c r="G31" i="2"/>
  <c r="G5" i="2" s="1"/>
  <c r="G2" i="2"/>
  <c r="G12" i="2" s="1"/>
  <c r="J6" i="4"/>
  <c r="J10" i="5"/>
  <c r="J9" i="5"/>
  <c r="J8" i="5"/>
  <c r="K19" i="5"/>
  <c r="K21" i="5"/>
  <c r="K20" i="5"/>
  <c r="H30" i="5"/>
  <c r="H89" i="5"/>
  <c r="H40" i="5" s="1"/>
  <c r="H65" i="5"/>
  <c r="J16" i="5"/>
  <c r="J7" i="3"/>
  <c r="K14" i="2"/>
  <c r="H93" i="5"/>
  <c r="H31" i="5" s="1"/>
  <c r="I65" i="5"/>
  <c r="J14" i="2"/>
  <c r="H27" i="5" l="1"/>
  <c r="I89" i="5"/>
  <c r="I27" i="5" s="1"/>
  <c r="J90" i="5"/>
  <c r="I28" i="2"/>
  <c r="J65" i="5"/>
  <c r="G13" i="2"/>
  <c r="K6" i="4"/>
  <c r="I94" i="5"/>
  <c r="I32" i="5" s="1"/>
  <c r="I45" i="5"/>
  <c r="G16" i="2"/>
  <c r="G15" i="2"/>
  <c r="I95" i="5"/>
  <c r="I28" i="5"/>
  <c r="I92" i="5"/>
  <c r="I30" i="5" s="1"/>
  <c r="I43" i="5"/>
  <c r="H44" i="5"/>
  <c r="H63" i="1"/>
  <c r="H22" i="1"/>
  <c r="K65" i="5"/>
  <c r="I38" i="5"/>
  <c r="H31" i="2"/>
  <c r="H5" i="2" s="1"/>
  <c r="H2" i="2"/>
  <c r="H12" i="2" s="1"/>
  <c r="H13" i="2" l="1"/>
  <c r="I40" i="5"/>
  <c r="H37" i="1"/>
  <c r="H39" i="1" s="1"/>
  <c r="H27" i="4"/>
  <c r="H28" i="4" s="1"/>
  <c r="H24" i="1"/>
  <c r="H25" i="1" s="1"/>
  <c r="J28" i="5"/>
  <c r="I31" i="2"/>
  <c r="I5" i="2" s="1"/>
  <c r="I2" i="2"/>
  <c r="I12" i="2" s="1"/>
  <c r="I13" i="2" s="1"/>
  <c r="J87" i="5"/>
  <c r="J25" i="5" s="1"/>
  <c r="J94" i="5"/>
  <c r="J32" i="5" s="1"/>
  <c r="J45" i="5"/>
  <c r="J89" i="5"/>
  <c r="J27" i="5" s="1"/>
  <c r="I93" i="5"/>
  <c r="I31" i="5" s="1"/>
  <c r="I44" i="5"/>
  <c r="H16" i="2"/>
  <c r="H15" i="2"/>
  <c r="J92" i="5"/>
  <c r="J30" i="5" s="1"/>
  <c r="I22" i="1"/>
  <c r="I63" i="1"/>
  <c r="J41" i="5"/>
  <c r="J38" i="5" l="1"/>
  <c r="J95" i="5"/>
  <c r="J63" i="1" s="1"/>
  <c r="J28" i="2"/>
  <c r="K90" i="5"/>
  <c r="J43" i="5"/>
  <c r="K94" i="5"/>
  <c r="K32" i="5" s="1"/>
  <c r="H36" i="4"/>
  <c r="H64" i="1"/>
  <c r="H66" i="1" s="1"/>
  <c r="K87" i="5"/>
  <c r="K25" i="5" s="1"/>
  <c r="J22" i="1"/>
  <c r="J93" i="5"/>
  <c r="J31" i="5" s="1"/>
  <c r="I16" i="2"/>
  <c r="I15" i="2"/>
  <c r="I37" i="1"/>
  <c r="I39" i="1" s="1"/>
  <c r="I27" i="4"/>
  <c r="I28" i="4" s="1"/>
  <c r="I24" i="1"/>
  <c r="I25" i="1" s="1"/>
  <c r="J40" i="5"/>
  <c r="K95" i="5" l="1"/>
  <c r="K28" i="5"/>
  <c r="I36" i="4"/>
  <c r="I64" i="1"/>
  <c r="I66" i="1" s="1"/>
  <c r="K41" i="5"/>
  <c r="K28" i="2" s="1"/>
  <c r="J27" i="4"/>
  <c r="J28" i="4" s="1"/>
  <c r="J37" i="1"/>
  <c r="J39" i="1" s="1"/>
  <c r="J24" i="1"/>
  <c r="J25" i="1" s="1"/>
  <c r="K92" i="5"/>
  <c r="K30" i="5" s="1"/>
  <c r="K89" i="5"/>
  <c r="K27" i="5" s="1"/>
  <c r="J44" i="5"/>
  <c r="K38" i="5"/>
  <c r="K45" i="5"/>
  <c r="J2" i="2"/>
  <c r="J12" i="2" s="1"/>
  <c r="J31" i="2"/>
  <c r="J5" i="2" s="1"/>
  <c r="K40" i="5" l="1"/>
  <c r="K93" i="5"/>
  <c r="K31" i="5" s="1"/>
  <c r="J64" i="1"/>
  <c r="J66" i="1" s="1"/>
  <c r="J36" i="4"/>
  <c r="J16" i="2"/>
  <c r="J15" i="2"/>
  <c r="J13" i="2"/>
  <c r="K43" i="5"/>
  <c r="K2" i="2"/>
  <c r="K12" i="2" s="1"/>
  <c r="K31" i="2"/>
  <c r="K5" i="2" s="1"/>
  <c r="K63" i="1"/>
  <c r="K22" i="1"/>
  <c r="K27" i="4" l="1"/>
  <c r="K28" i="4" s="1"/>
  <c r="K37" i="1"/>
  <c r="K39" i="1" s="1"/>
  <c r="K24" i="1"/>
  <c r="K25" i="1" s="1"/>
  <c r="K16" i="2"/>
  <c r="K15" i="2"/>
  <c r="K13" i="2"/>
  <c r="K44" i="5"/>
  <c r="K64" i="1" l="1"/>
  <c r="K66" i="1" s="1"/>
  <c r="K36" i="4"/>
</calcChain>
</file>

<file path=xl/sharedStrings.xml><?xml version="1.0" encoding="utf-8"?>
<sst xmlns="http://schemas.openxmlformats.org/spreadsheetml/2006/main" count="408" uniqueCount="252">
  <si>
    <t>čisti prihodki od prodaje</t>
  </si>
  <si>
    <t>drugi prihodki (+finančni prihodki iz poslovnih tertjatev + usredstveni lastni proizvodi in storitve)</t>
  </si>
  <si>
    <t>prihodki skupaj</t>
  </si>
  <si>
    <t>PRIHODKI</t>
  </si>
  <si>
    <t>STROŠKI</t>
  </si>
  <si>
    <t>stroški blaga, materiala in storitev</t>
  </si>
  <si>
    <t>stroški dela</t>
  </si>
  <si>
    <t>drugi poslovni odhodki</t>
  </si>
  <si>
    <t>amortizacija</t>
  </si>
  <si>
    <t>prevrednotovalni poslovni odhodki</t>
  </si>
  <si>
    <t>STROŠKI V DELEŽU PRIHODKOV</t>
  </si>
  <si>
    <t>zaloge</t>
  </si>
  <si>
    <t>opredmetena osnovna</t>
  </si>
  <si>
    <t>kratkoročne obveznosti</t>
  </si>
  <si>
    <t>kratkoročne terjatve</t>
  </si>
  <si>
    <t>denarna sredstva</t>
  </si>
  <si>
    <t>OBRATNI KAPITAL</t>
  </si>
  <si>
    <t>kratkoročna sredstva</t>
  </si>
  <si>
    <t>dolgoročne finančne naložbe</t>
  </si>
  <si>
    <t>dolgoročna sredstva skupaj</t>
  </si>
  <si>
    <t>kratkoročne finančne naložbe</t>
  </si>
  <si>
    <t>kratkoročna sredstva skupaj</t>
  </si>
  <si>
    <t>dolgoročne terjatve</t>
  </si>
  <si>
    <t>AKTIVA - SREDSTVA</t>
  </si>
  <si>
    <t>PASIVA - OBVEZNOSTI</t>
  </si>
  <si>
    <t>rezervacije</t>
  </si>
  <si>
    <t>dolgoročne obveznosti</t>
  </si>
  <si>
    <t>kratk. posl. obveznosti</t>
  </si>
  <si>
    <t>kratk. fin. obveznosti</t>
  </si>
  <si>
    <t>kratk. obveznosti skupaj</t>
  </si>
  <si>
    <t>dolgoročne obveznosti skupaj</t>
  </si>
  <si>
    <t>obr. kapital v prihodkih (%)</t>
  </si>
  <si>
    <t>*vedno poročilo iz 2016!</t>
  </si>
  <si>
    <t>SREDSTVA V PRIHODKIH</t>
  </si>
  <si>
    <t>OBVEZNOSTI V PRIHODKIH</t>
  </si>
  <si>
    <t>spr. terjatev do kupcev</t>
  </si>
  <si>
    <t>+ spr. zalog</t>
  </si>
  <si>
    <t>- spr obveznosti do dobaviteljev</t>
  </si>
  <si>
    <t>SKUPAJ NALOŽBE</t>
  </si>
  <si>
    <t>- spr. ostalih kratk. obveznosti in razmejitev</t>
  </si>
  <si>
    <t>NALOŽBE V ČISTA OBRATNA SREDTVA</t>
  </si>
  <si>
    <t>skupaj naložbe</t>
  </si>
  <si>
    <t xml:space="preserve"> N. V Č.OBR.SR. V PRIHODKIH</t>
  </si>
  <si>
    <t>NALOŽBE V OSNOVNA SREDSTVA</t>
  </si>
  <si>
    <t>čiste naložbe skupaj</t>
  </si>
  <si>
    <t>-nakup osnovnih sredstev</t>
  </si>
  <si>
    <t>-nakup neopredmetenih sredstev</t>
  </si>
  <si>
    <t>+prejemki od prodaje osn. Sred.</t>
  </si>
  <si>
    <t>+amortizacija</t>
  </si>
  <si>
    <t>NAL. V OSN. SR. V PRIHODKIH</t>
  </si>
  <si>
    <t>DOBIČEK IZ POSLOVANJA</t>
  </si>
  <si>
    <t>poslovni izid iz poslovanja</t>
  </si>
  <si>
    <t>-obračunani davek</t>
  </si>
  <si>
    <t>*samo davek iz dobička, brez odloženega davka</t>
  </si>
  <si>
    <t>dobiček</t>
  </si>
  <si>
    <t>FCF</t>
  </si>
  <si>
    <t>dobiček iz poslovanja</t>
  </si>
  <si>
    <t>-naložbe v obratni kapital</t>
  </si>
  <si>
    <t>-naložbe v osn. sredstva</t>
  </si>
  <si>
    <t>prosti denarni tok</t>
  </si>
  <si>
    <t>od tega:</t>
  </si>
  <si>
    <t>nab. vr. prodanega blaga in mat.</t>
  </si>
  <si>
    <t>stroški materiala</t>
  </si>
  <si>
    <t>stroški storitev</t>
  </si>
  <si>
    <t>dolgoročne finančne naložbe (za prodajo razpoložljiva sredstva)</t>
  </si>
  <si>
    <t>stalna sredstva skupaj</t>
  </si>
  <si>
    <t>gibljiva sredstva skupaj</t>
  </si>
  <si>
    <t>v deležu sredstev</t>
  </si>
  <si>
    <t>AMORTIZACIJA</t>
  </si>
  <si>
    <t>neopr. dolg. sredstva</t>
  </si>
  <si>
    <t>programska oprema</t>
  </si>
  <si>
    <t>proizvajalne naprave in stroji</t>
  </si>
  <si>
    <t>druga oprema</t>
  </si>
  <si>
    <t>opredm. osn. sred.</t>
  </si>
  <si>
    <t>gradbeni objekti - zgradbe</t>
  </si>
  <si>
    <t>OBSTOJEČA SREDSTVA</t>
  </si>
  <si>
    <t>INVESTICIJE</t>
  </si>
  <si>
    <t>NETO SPREMEMBA</t>
  </si>
  <si>
    <t>*INVESTICIJE - AMORTIZACIJA</t>
  </si>
  <si>
    <t>VREDNOST (31.12.)</t>
  </si>
  <si>
    <t>DELEŽ VREDNOSTI</t>
  </si>
  <si>
    <t>obratni kapital</t>
  </si>
  <si>
    <t>stopnja rasti v %</t>
  </si>
  <si>
    <t>GOSPODARSTVO SLO</t>
  </si>
  <si>
    <t>bruto investicije v osn. Sr.</t>
  </si>
  <si>
    <t>državna potrošnja</t>
  </si>
  <si>
    <t>zasebna potrošnja</t>
  </si>
  <si>
    <t>bruto plače na zaposlenega - zasebni sektor</t>
  </si>
  <si>
    <t>povprečna inflacija v letu</t>
  </si>
  <si>
    <t>BDP v evrskem območju</t>
  </si>
  <si>
    <t>razmerje USD za 1 euro</t>
  </si>
  <si>
    <t xml:space="preserve">BDP </t>
  </si>
  <si>
    <t xml:space="preserve">zaposlenost </t>
  </si>
  <si>
    <t xml:space="preserve">tuje povpraševanje </t>
  </si>
  <si>
    <t>*vse realne stopnje rasti v %</t>
  </si>
  <si>
    <t>cena nafte v USD</t>
  </si>
  <si>
    <t>cene neenergetskih surovin v USD</t>
  </si>
  <si>
    <t>izvoz proizvodov in storitev</t>
  </si>
  <si>
    <t>uvoz proizvodov in storitev</t>
  </si>
  <si>
    <t>uvoz proizvodov</t>
  </si>
  <si>
    <t>uvoz storitev</t>
  </si>
  <si>
    <t>izvoz proizvodov</t>
  </si>
  <si>
    <t>izvoz storitev</t>
  </si>
  <si>
    <t>dodana vrednost v C - predelovalnih dejavnostih (mio eur)</t>
  </si>
  <si>
    <t>delež v BDP</t>
  </si>
  <si>
    <t>stopnja rasti predel.dejav.</t>
  </si>
  <si>
    <t>TUJINA</t>
  </si>
  <si>
    <t>rast v %</t>
  </si>
  <si>
    <t>BDP</t>
  </si>
  <si>
    <t>BDP (RAST V %)</t>
  </si>
  <si>
    <t>uvoz blaga (rast v %)</t>
  </si>
  <si>
    <t>zasebna potrošnja (rast v %)</t>
  </si>
  <si>
    <t>javna potrošnja (rast v %)</t>
  </si>
  <si>
    <t>investicije (rast v %)</t>
  </si>
  <si>
    <t>vrednost avtomobilskega trga (rast v %)</t>
  </si>
  <si>
    <t>uvoz blaga</t>
  </si>
  <si>
    <t>javna potrošnja</t>
  </si>
  <si>
    <t>investicije</t>
  </si>
  <si>
    <t>inflacija (letno povprečje)</t>
  </si>
  <si>
    <t>inflacija (povprečje letno)</t>
  </si>
  <si>
    <t>ZDA (3% izvoza)</t>
  </si>
  <si>
    <t>NEMČIJA (31,1% izvoza)</t>
  </si>
  <si>
    <t>ROMUNIJA (16,4% izvoza)</t>
  </si>
  <si>
    <t>MADŽARSKA (13,1% izvoza)</t>
  </si>
  <si>
    <t>AVSTRIJA (12,4% izvoza)</t>
  </si>
  <si>
    <t>ELEKTROINDUSTRIJA</t>
  </si>
  <si>
    <t>delež prodaje v tujino</t>
  </si>
  <si>
    <t>ROE</t>
  </si>
  <si>
    <t>sredstva</t>
  </si>
  <si>
    <t>rast proizvodnje v industriji v EU</t>
  </si>
  <si>
    <t>rast proizvodnje v Sloveniji</t>
  </si>
  <si>
    <t>PRIMERLJIVA PODJETJA</t>
  </si>
  <si>
    <t>stroški poslovni</t>
  </si>
  <si>
    <t>delež v prihodkih</t>
  </si>
  <si>
    <t>KOLEKTOR SIKOM</t>
  </si>
  <si>
    <t>BOSCH REXROTH D.O.O.</t>
  </si>
  <si>
    <t>sredstva skupaj</t>
  </si>
  <si>
    <t>EBM-PAPST SLOVENIJA proizvodnja elektromotorjev d.o.o.</t>
  </si>
  <si>
    <t>SKUPAJ DELEŽ V PRIHODKIH</t>
  </si>
  <si>
    <t>skupaj stroški v prihodkih</t>
  </si>
  <si>
    <t>X</t>
  </si>
  <si>
    <t>SKUPAJ:</t>
  </si>
  <si>
    <t>rast stroškov v %</t>
  </si>
  <si>
    <t>stopnja rasti prihodkov</t>
  </si>
  <si>
    <t>stopnja rasti stroškov</t>
  </si>
  <si>
    <t>rast sredstev v %</t>
  </si>
  <si>
    <t>*upoštevana nekoliko bolj umirjena rast + uvoz na 4 glavne trge po napovedih rahlo upade</t>
  </si>
  <si>
    <t xml:space="preserve">RAST V % </t>
  </si>
  <si>
    <t>*delež prodaje v tujino navadno višji od ostalih slovenskih podjetij - večja odvisnost od tujine</t>
  </si>
  <si>
    <t>*uvoz na najpomembnejšem trg naj bi se znižal, a ostal razmeroma konstanten</t>
  </si>
  <si>
    <t>*zaznan upad hitrosti razvoja na najpomembnejšem trgu</t>
  </si>
  <si>
    <t>*precejšnji upad uvoza blaga - drug najpomembnejši trg podjetja X</t>
  </si>
  <si>
    <t>*počasnejši razvoj v prihodnosti</t>
  </si>
  <si>
    <t>*umirjanje kopičenja zalog, po manjšem upadu prodaje</t>
  </si>
  <si>
    <t>*umirjanje porasta prodaje</t>
  </si>
  <si>
    <t>*začetni porast potrošnje na najpomembnejšem izvoznem trgu</t>
  </si>
  <si>
    <t>*umirjanje investicij</t>
  </si>
  <si>
    <t>*porast vrednosti pomembnega trga - področje prihodnjega delovanja podjetja X</t>
  </si>
  <si>
    <t>*precejšnji padec uvoza v prihodnosti</t>
  </si>
  <si>
    <t>*manjša potrošnja v splošnem</t>
  </si>
  <si>
    <t>*napoved rasti cen surovin - večje povpraševanje za gradbene projekte po Aziji</t>
  </si>
  <si>
    <t>*umirjanje rasti prihodkov, manjše kopičenje zalog</t>
  </si>
  <si>
    <t>investicije v deležu prihodkov</t>
  </si>
  <si>
    <t>amortizacija v deležu prihodkov</t>
  </si>
  <si>
    <t>*zmerne investicije, z rahlim povečanjem po napovedih za slovensko gospodarstvo</t>
  </si>
  <si>
    <t>*vse določeno s povprečnimi investicijami!</t>
  </si>
  <si>
    <t>*vzeta povprečja</t>
  </si>
  <si>
    <t>*povsod končno minus začetno!</t>
  </si>
  <si>
    <t>*povečani stroški surovin</t>
  </si>
  <si>
    <t>*najprej naj bi se prodaja še povečevala, potem počasi umirjanje</t>
  </si>
  <si>
    <t>*umirjanje stopnje rasti v napovedih</t>
  </si>
  <si>
    <t>OBRATNA SREDSTVA</t>
  </si>
  <si>
    <t>vrednost</t>
  </si>
  <si>
    <t>naložba v obratna sredstva</t>
  </si>
  <si>
    <t>*amortizacija v prihodkih upada, prihodki se povečujejo</t>
  </si>
  <si>
    <t>programska oprema 33%</t>
  </si>
  <si>
    <t>gradbeni objekti - zgradbe 4%</t>
  </si>
  <si>
    <t>proizvajalne naprave in stroji 35%</t>
  </si>
  <si>
    <t>druga oprema 13%</t>
  </si>
  <si>
    <t>poračunano glede na preteklo leto</t>
  </si>
  <si>
    <t>*v 2015 velike investicije, zato višja amortizacija glede na vrednost v 2014</t>
  </si>
  <si>
    <t>*vzeta stopnja amortizacije po pravilniku</t>
  </si>
  <si>
    <t>*napoved narejena z amortizacijo iz deležev po kategorijah in investicij po predvidevanjih</t>
  </si>
  <si>
    <t>*napoved amortizacije iz prihodkov! Spodaj bolj pravilna, glede na kategorije po določenih deležih!!</t>
  </si>
  <si>
    <t>*po gospodarskih napovedih rasti investicij</t>
  </si>
  <si>
    <t>*upoštevano rahlo povečanje investicij po napovedih, prihodki pa se večajo</t>
  </si>
  <si>
    <t>skupaj amortizacija</t>
  </si>
  <si>
    <t>NAPOVED AMORTIZACIJE PO STOPNJAH</t>
  </si>
  <si>
    <t>amortizacija v deležu vsake kategorije</t>
  </si>
  <si>
    <t>DOLGOROČNA SREDSTVA</t>
  </si>
  <si>
    <t>finančne naložbe</t>
  </si>
  <si>
    <t>odložene terjatve za davek</t>
  </si>
  <si>
    <t>terjatve</t>
  </si>
  <si>
    <t>neopredmetena sredstva</t>
  </si>
  <si>
    <t>opredmetena osnovna sredstva</t>
  </si>
  <si>
    <t>KRATKOROČNA SREDSTVA</t>
  </si>
  <si>
    <t>finančne terjatve</t>
  </si>
  <si>
    <t>poslovne terjatve</t>
  </si>
  <si>
    <t>denar</t>
  </si>
  <si>
    <t>druga sredstva</t>
  </si>
  <si>
    <t>NETO OBRATNI KAPITAL</t>
  </si>
  <si>
    <t>-kratkoročne obveznosti</t>
  </si>
  <si>
    <t>vrednost neto obratnega kapitala</t>
  </si>
  <si>
    <t>EBIT IN EBITDA MARŽI</t>
  </si>
  <si>
    <t>poslovni izid iz poslovanja (EBIT)</t>
  </si>
  <si>
    <t>prišteta amortizacija (EBITDA)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</si>
  <si>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</si>
  <si>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</si>
  <si>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</si>
  <si>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</si>
  <si>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</si>
  <si>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</si>
  <si>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</si>
  <si>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</si>
  <si>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</si>
  <si>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</si>
  <si>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</si>
  <si>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</si>
  <si>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</si>
  <si>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povprečna sredstva</t>
  </si>
  <si>
    <t>2013-2017</t>
  </si>
  <si>
    <t>ROE (dobičkonosnost kapitala)</t>
  </si>
  <si>
    <t>čisti dobiček/kapital</t>
  </si>
  <si>
    <t>VREDNOST KAPITALA</t>
  </si>
  <si>
    <t>kapital skupaj</t>
  </si>
  <si>
    <t>povprečni kapital</t>
  </si>
  <si>
    <t>čisti prihodki od prodaje (rast)</t>
  </si>
  <si>
    <t>stroški blaga, materiala, storitev (rast)</t>
  </si>
  <si>
    <t>EBIT (rast)</t>
  </si>
  <si>
    <t>EBITDA (rast)</t>
  </si>
  <si>
    <t>sredstva (rast)</t>
  </si>
  <si>
    <t>*upoštevana napoved investicij v opredmetena osnovna sredstva</t>
  </si>
  <si>
    <t>*če so napovedane kakšne večje investicije in odhodki, se povečajo</t>
  </si>
  <si>
    <t>*z višjimi investicijami potrebna prilagoditev, če se zadolžijo</t>
  </si>
  <si>
    <t>*poplačilo večjih posojil v 2016, zmerno zadolževanje</t>
  </si>
  <si>
    <t>*povečana prodaja v 2015, majhen porast tudi po napovedih, nato umiritev</t>
  </si>
  <si>
    <t>rast EBIT</t>
  </si>
  <si>
    <t>rast EBITDA</t>
  </si>
  <si>
    <t>Stroški dela na zaposlenega</t>
  </si>
  <si>
    <t xml:space="preserve">Stroški dela </t>
  </si>
  <si>
    <t>število zaposlenih</t>
  </si>
  <si>
    <t>rast zaposlovanja</t>
  </si>
  <si>
    <t>*napoved umirjanja zaposlovanja, a glede na razpise je politika podjetja še vedno rast zaposlovanja</t>
  </si>
  <si>
    <t xml:space="preserve">*napovedana rast bruto plače na zaposlenega </t>
  </si>
  <si>
    <t>*brez kratkoročnih finančnih naložb</t>
  </si>
  <si>
    <t>*brez kratkoročnih finančnih obveznosti</t>
  </si>
  <si>
    <t>*večje investicije v 2016</t>
  </si>
  <si>
    <t>naložbe v obr.kap.</t>
  </si>
  <si>
    <t>% v letnih prihodkih</t>
  </si>
  <si>
    <t>ciljna stopnja obr. kap.</t>
  </si>
  <si>
    <t>potreben obseg</t>
  </si>
  <si>
    <t>potrebne naložbe v obr. kap.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</si>
</sst>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.000%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i/>
      <sz val="11"/>
      <color rgb="FF92D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0" xfId="0" applyNumberFormat="1" applyFont="1"/>
    <xf numFmtId="9" fontId="2" fillId="0" borderId="0" xfId="1" applyFont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9" fontId="4" fillId="0" borderId="0" xfId="1" applyFont="1"/>
    <xf numFmtId="0" fontId="5" fillId="0" borderId="0" xfId="0" applyFont="1"/>
    <xf numFmtId="10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4" fontId="1" fillId="0" borderId="0" xfId="1" applyNumberFormat="1"/>
    <xf numFmtId="10" fontId="1" fillId="0" borderId="0" xfId="1" applyNumberFormat="1"/>
    <xf numFmtId="10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9" fontId="4" fillId="0" borderId="1" xfId="1" applyFont="1" applyBorder="1"/>
    <xf numFmtId="9" fontId="0" fillId="0" borderId="1" xfId="1" applyFont="1" applyBorder="1"/>
    <xf numFmtId="9" fontId="2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0" fontId="2" fillId="0" borderId="0" xfId="0" applyFont="1" applyAlignment="1">
      <alignment horizontal="left" indent="4"/>
    </xf>
    <xf numFmtId="9" fontId="6" fillId="0" borderId="0" xfId="0" applyNumberFormat="1" applyFont="1"/>
    <xf numFmtId="0" fontId="6" fillId="0" borderId="0" xfId="0" applyFont="1"/>
    <xf numFmtId="0" fontId="0" fillId="0" borderId="0" xfId="2" applyNumberFormat="1" applyFont="1"/>
    <xf numFmtId="9" fontId="1" fillId="0" borderId="0" xfId="1"/>
    <xf numFmtId="0" fontId="1" fillId="0" borderId="0" xfId="2" applyNumberFormat="1"/>
    <xf numFmtId="10" fontId="1" fillId="0" borderId="0" xfId="2" applyNumberFormat="1"/>
    <xf numFmtId="44" fontId="2" fillId="0" borderId="0" xfId="0" applyNumberFormat="1" applyFont="1"/>
    <xf numFmtId="0" fontId="2" fillId="0" borderId="0" xfId="3" applyNumberFormat="1" applyFont="1"/>
    <xf numFmtId="0" fontId="7" fillId="0" borderId="0" xfId="0" applyFont="1"/>
    <xf numFmtId="0" fontId="3" fillId="0" borderId="1" xfId="0" applyFont="1" applyBorder="1"/>
    <xf numFmtId="164" fontId="2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2" xfId="0" applyBorder="1"/>
    <xf numFmtId="9" fontId="6" fillId="0" borderId="2" xfId="0" applyNumberFormat="1" applyFont="1" applyBorder="1"/>
    <xf numFmtId="49" fontId="7" fillId="0" borderId="0" xfId="0" applyNumberFormat="1" applyFont="1"/>
    <xf numFmtId="0" fontId="7" fillId="0" borderId="1" xfId="0" applyFont="1" applyBorder="1"/>
    <xf numFmtId="0" fontId="4" fillId="0" borderId="2" xfId="0" applyFont="1" applyBorder="1"/>
    <xf numFmtId="0" fontId="2" fillId="0" borderId="3" xfId="0" applyFont="1" applyBorder="1"/>
    <xf numFmtId="0" fontId="0" fillId="0" borderId="3" xfId="0" applyBorder="1"/>
    <xf numFmtId="49" fontId="0" fillId="0" borderId="3" xfId="2" applyNumberFormat="1" applyFont="1" applyBorder="1"/>
    <xf numFmtId="49" fontId="0" fillId="0" borderId="3" xfId="0" applyNumberFormat="1" applyBorder="1"/>
    <xf numFmtId="0" fontId="3" fillId="0" borderId="3" xfId="0" applyFont="1" applyBorder="1"/>
    <xf numFmtId="0" fontId="8" fillId="0" borderId="0" xfId="0" applyFont="1"/>
    <xf numFmtId="0" fontId="9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9" fontId="2" fillId="2" borderId="0" xfId="1" applyFont="1" applyFill="1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9" fontId="4" fillId="2" borderId="2" xfId="1" applyFont="1" applyFill="1" applyBorder="1"/>
    <xf numFmtId="0" fontId="2" fillId="2" borderId="2" xfId="3" applyNumberFormat="1" applyFont="1" applyFill="1" applyBorder="1"/>
    <xf numFmtId="9" fontId="2" fillId="2" borderId="2" xfId="1" applyFont="1" applyFill="1" applyBorder="1"/>
    <xf numFmtId="0" fontId="10" fillId="0" borderId="0" xfId="0" applyFont="1"/>
    <xf numFmtId="9" fontId="10" fillId="0" borderId="0" xfId="0" applyNumberFormat="1" applyFont="1"/>
    <xf numFmtId="9" fontId="0" fillId="2" borderId="2" xfId="0" applyNumberFormat="1" applyFill="1" applyBorder="1"/>
    <xf numFmtId="9" fontId="0" fillId="2" borderId="0" xfId="0" applyNumberFormat="1" applyFill="1"/>
    <xf numFmtId="9" fontId="10" fillId="2" borderId="0" xfId="0" applyNumberFormat="1" applyFont="1" applyFill="1"/>
    <xf numFmtId="9" fontId="0" fillId="2" borderId="0" xfId="1" applyFont="1" applyFill="1"/>
    <xf numFmtId="0" fontId="3" fillId="2" borderId="0" xfId="0" applyFont="1" applyFill="1"/>
    <xf numFmtId="0" fontId="2" fillId="2" borderId="2" xfId="0" applyFont="1" applyFill="1" applyBorder="1"/>
    <xf numFmtId="9" fontId="0" fillId="2" borderId="2" xfId="1" applyFont="1" applyFill="1" applyBorder="1"/>
    <xf numFmtId="0" fontId="0" fillId="3" borderId="0" xfId="0" applyFill="1"/>
    <xf numFmtId="0" fontId="7" fillId="3" borderId="0" xfId="0" applyFont="1" applyFill="1"/>
    <xf numFmtId="9" fontId="10" fillId="3" borderId="0" xfId="0" applyNumberFormat="1" applyFont="1" applyFill="1"/>
    <xf numFmtId="0" fontId="3" fillId="3" borderId="0" xfId="0" applyFont="1" applyFill="1"/>
    <xf numFmtId="9" fontId="0" fillId="3" borderId="0" xfId="1" applyFont="1" applyFill="1"/>
    <xf numFmtId="165" fontId="10" fillId="0" borderId="0" xfId="1" applyNumberFormat="1" applyFont="1"/>
    <xf numFmtId="164" fontId="10" fillId="0" borderId="0" xfId="1" applyNumberFormat="1" applyFont="1"/>
    <xf numFmtId="9" fontId="10" fillId="0" borderId="0" xfId="1" applyFont="1"/>
    <xf numFmtId="9" fontId="10" fillId="3" borderId="0" xfId="1" applyFont="1" applyFill="1"/>
    <xf numFmtId="165" fontId="10" fillId="0" borderId="0" xfId="0" applyNumberFormat="1" applyFont="1"/>
    <xf numFmtId="0" fontId="2" fillId="3" borderId="0" xfId="0" applyFont="1" applyFill="1"/>
    <xf numFmtId="9" fontId="0" fillId="3" borderId="0" xfId="0" applyNumberFormat="1" applyFill="1"/>
    <xf numFmtId="0" fontId="0" fillId="0" borderId="8" xfId="0" applyBorder="1"/>
    <xf numFmtId="0" fontId="0" fillId="0" borderId="9" xfId="0" applyBorder="1"/>
    <xf numFmtId="9" fontId="0" fillId="0" borderId="1" xfId="0" applyNumberFormat="1" applyBorder="1"/>
    <xf numFmtId="0" fontId="10" fillId="0" borderId="1" xfId="0" applyFont="1" applyBorder="1"/>
    <xf numFmtId="0" fontId="10" fillId="3" borderId="0" xfId="0" applyFont="1" applyFill="1"/>
    <xf numFmtId="9" fontId="11" fillId="0" borderId="0" xfId="0" applyNumberFormat="1" applyFont="1"/>
    <xf numFmtId="165" fontId="6" fillId="0" borderId="2" xfId="1" applyNumberFormat="1" applyFont="1" applyBorder="1"/>
    <xf numFmtId="165" fontId="6" fillId="0" borderId="0" xfId="1" applyNumberFormat="1" applyFont="1"/>
    <xf numFmtId="10" fontId="6" fillId="0" borderId="0" xfId="1" applyNumberFormat="1" applyFont="1"/>
    <xf numFmtId="164" fontId="6" fillId="0" borderId="0" xfId="1" applyNumberFormat="1" applyFont="1"/>
    <xf numFmtId="9" fontId="6" fillId="0" borderId="0" xfId="1" applyFont="1"/>
  </cellXfs>
  <cellStyles count="4">
    <cellStyle name="Navadno" xfId="0" builtinId="0"/>
    <cellStyle name="Odstotek" xfId="1" builtinId="5"/>
    <cellStyle name="Valuta" xfId="3" builtinId="4"/>
    <cellStyle name="Vejic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PODJETJI'!$B$6:$F$6</c:f>
              <c:numCache>
                <c:formatCode>0%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DD-491D-8A38-8EAF65BDD2AE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PODJETJI'!$B$17:$F$17</c:f>
              <c:numCache>
                <c:formatCode>0%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DD-491D-8A38-8EAF65BDD2AE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PODJETJI'!$B$28:$F$28</c:f>
              <c:numCache>
                <c:formatCode>0%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DD-491D-8A38-8EAF65BDD2AE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PODJETJI'!$B$39:$F$39</c:f>
              <c:numCache>
                <c:formatCode>0%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DD-491D-8A38-8EAF65BD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KAZALNIKI!$A$3</c:f>
              <c:strCache>
                <c:ptCount val="1"/>
                <c:pt idx="0">
                  <c:v>neopredmetena sredstva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KAZALNIKI!$B$3:$F$3</c:f>
              <c:numCache>
                <c:formatCode>General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123-A715-D15693FBF27F}"/>
            </c:ext>
          </c:extLst>
        </c:ser>
        <c:ser>
          <c:idx val="1"/>
          <c:order val="1"/>
          <c:tx>
            <c:strRef>
              <c:f>KAZALNIKI!$A$4</c:f>
              <c:strCache>
                <c:ptCount val="1"/>
                <c:pt idx="0">
                  <c:v>opredmetena osnovna sredstva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KAZALNIKI!$B$4:$F$4</c:f>
              <c:numCache>
                <c:formatCode>General</c:formatCode>
                <c:ptCount val="5"/>
                <c:pt idx="0">
                  <c:v>18180447</c:v>
                </c:pt>
                <c:pt idx="1">
                  <c:v>18789288</c:v>
                </c:pt>
                <c:pt idx="2">
                  <c:v>22800397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123-A715-D15693FBF27F}"/>
            </c:ext>
          </c:extLst>
        </c:ser>
        <c:ser>
          <c:idx val="2"/>
          <c:order val="2"/>
          <c:tx>
            <c:strRef>
              <c:f>KAZALNIKI!$A$5</c:f>
              <c:strCache>
                <c:ptCount val="1"/>
                <c:pt idx="0">
                  <c:v>finančne naložbe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KAZALNIKI!$B$5:$F$5</c:f>
              <c:numCache>
                <c:formatCode>General</c:formatCode>
                <c:ptCount val="5"/>
                <c:pt idx="0">
                  <c:v>2443353</c:v>
                </c:pt>
                <c:pt idx="1">
                  <c:v>2751131</c:v>
                </c:pt>
                <c:pt idx="2">
                  <c:v>2500624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123-A715-D15693FBF27F}"/>
            </c:ext>
          </c:extLst>
        </c:ser>
        <c:ser>
          <c:idx val="3"/>
          <c:order val="3"/>
          <c:tx>
            <c:strRef>
              <c:f>KAZALNIKI!$A$6</c:f>
              <c:strCache>
                <c:ptCount val="1"/>
                <c:pt idx="0">
                  <c:v>terjatve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KAZALNIKI!$B$6:$F$6</c:f>
              <c:numCache>
                <c:formatCode>General</c:formatCode>
                <c:ptCount val="5"/>
                <c:pt idx="0">
                  <c:v>5074</c:v>
                </c:pt>
                <c:pt idx="1">
                  <c:v>5058</c:v>
                </c:pt>
                <c:pt idx="2">
                  <c:v>5011</c:v>
                </c:pt>
                <c:pt idx="3">
                  <c:v>304768</c:v>
                </c:pt>
                <c:pt idx="4">
                  <c:v>431298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0-4123-A715-D15693FBF27F}"/>
            </c:ext>
          </c:extLst>
        </c:ser>
        <c:ser>
          <c:idx val="4"/>
          <c:order val="4"/>
          <c:tx>
            <c:strRef>
              <c:f>KAZALNIKI!$A$7</c:f>
              <c:strCache>
                <c:ptCount val="1"/>
                <c:pt idx="0">
                  <c:v>odložene terjatve za davek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KAZALNIKI!$B$7:$F$7</c:f>
              <c:numCache>
                <c:formatCode>General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0-4123-A715-D15693FB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91426071741029"/>
          <c:y val="0.12037037037037036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KAZALNIKI!$A$11</c:f>
              <c:strCache>
                <c:ptCount val="1"/>
                <c:pt idx="0">
                  <c:v>zaloge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KAZALNIKI!$B$11:$F$11</c:f>
              <c:numCache>
                <c:formatCode>General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D-AAAE-9863EECA10F2}"/>
            </c:ext>
          </c:extLst>
        </c:ser>
        <c:ser>
          <c:idx val="1"/>
          <c:order val="1"/>
          <c:tx>
            <c:strRef>
              <c:f>KAZALNIKI!$A$12</c:f>
              <c:strCache>
                <c:ptCount val="1"/>
                <c:pt idx="0">
                  <c:v>finančne terjatve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KAZALNIKI!$B$12:$F$12</c:f>
              <c:numCache>
                <c:formatCode>General</c:formatCode>
                <c:ptCount val="5"/>
                <c:pt idx="0">
                  <c:v>1440000</c:v>
                </c:pt>
                <c:pt idx="1">
                  <c:v>750000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D-AAAE-9863EECA10F2}"/>
            </c:ext>
          </c:extLst>
        </c:ser>
        <c:ser>
          <c:idx val="2"/>
          <c:order val="2"/>
          <c:tx>
            <c:strRef>
              <c:f>KAZALNIKI!$A$13</c:f>
              <c:strCache>
                <c:ptCount val="1"/>
                <c:pt idx="0">
                  <c:v>poslovne terjatve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KAZALNIKI!$B$13:$F$13</c:f>
              <c:numCache>
                <c:formatCode>General</c:formatCode>
                <c:ptCount val="5"/>
                <c:pt idx="0">
                  <c:v>15775257</c:v>
                </c:pt>
                <c:pt idx="1">
                  <c:v>18220528</c:v>
                </c:pt>
                <c:pt idx="2">
                  <c:v>22004872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8FD-AAAE-9863EECA10F2}"/>
            </c:ext>
          </c:extLst>
        </c:ser>
        <c:ser>
          <c:idx val="3"/>
          <c:order val="3"/>
          <c:tx>
            <c:strRef>
              <c:f>KAZALNIKI!$A$15</c:f>
              <c:strCache>
                <c:ptCount val="1"/>
                <c:pt idx="0">
                  <c:v>denar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KAZALNIKI!$B$15:$F$15</c:f>
              <c:numCache>
                <c:formatCode>General</c:formatCode>
                <c:ptCount val="5"/>
                <c:pt idx="0">
                  <c:v>2064881</c:v>
                </c:pt>
                <c:pt idx="1">
                  <c:v>1974808</c:v>
                </c:pt>
                <c:pt idx="2">
                  <c:v>3502250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48FD-AAAE-9863EECA10F2}"/>
            </c:ext>
          </c:extLst>
        </c:ser>
        <c:ser>
          <c:idx val="4"/>
          <c:order val="4"/>
          <c:tx>
            <c:strRef>
              <c:f>KAZALNIKI!$A$14</c:f>
              <c:strCache>
                <c:ptCount val="1"/>
                <c:pt idx="0">
                  <c:v>druga sredstva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KAZALNIKI!$B$10:$F$10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KAZALNIKI!$B$14:$F$14</c:f>
              <c:numCache>
                <c:formatCode>General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F-48FD-AAAE-9863EECA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KAZALNIKI!$A$23</c:f>
              <c:strCache>
                <c:ptCount val="1"/>
                <c:pt idx="0">
                  <c:v>vrednost neto obratnega kapitala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KAZALNIKI!$B$23:$F$23</c:f>
              <c:numCache>
                <c:formatCode>General</c:formatCode>
                <c:ptCount val="5"/>
                <c:pt idx="0">
                  <c:v>15978662</c:v>
                </c:pt>
                <c:pt idx="1">
                  <c:v>19986008</c:v>
                </c:pt>
                <c:pt idx="2">
                  <c:v>20954969</c:v>
                </c:pt>
                <c:pt idx="3">
                  <c:v>19483832</c:v>
                </c:pt>
                <c:pt idx="4">
                  <c:v>22637900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E3-8D70-AA98583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_("€"* #,##0.00_);_("€"* \(#,##0.00\);_("€"* "-"??_);_(@_)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29-AE10-7EB3AF9AEA05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_("€"* #,##0.00_);_("€"* \(#,##0.00\);_("€"* "-"??_);_(@_)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29-AE10-7EB3AF9AEA05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_("€"* #,##0.00_);_("€"* \(#,##0.00\);_("€"* "-"??_);_(@_)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1-4129-AE10-7EB3AF9AEA05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_("€"* #,##0.00_);_("€"* \(#,##0.00\);_("€"* "-"??_);_(@_)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1-4129-AE10-7EB3AF9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_("€"* #,##0.00_);_("€"* \(#,##0.00\);_("€"* "-"??_);_(@_)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02-8467-88C2EC603F0A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_("€"* #,##0.00_);_("€"* \(#,##0.00\);_("€"* "-"??_);_(@_)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02-8467-88C2EC603F0A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_("€"* #,##0.00_);_("€"* \(#,##0.00\);_("€"* "-"??_);_(@_)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9-4B02-8467-88C2EC6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r>
              <a:rPr lang="sl-SI" baseline="0"/>
              <a:t> marži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7591426071741031"/>
          <c:y val="0.14351851851851852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 marža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KAZALNIKI!$B$28:$F$28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2EE-9E75-A316430DCFCB}"/>
            </c:ext>
          </c:extLst>
        </c:ser>
        <c:ser>
          <c:idx val="1"/>
          <c:order val="1"/>
          <c:tx>
            <c:v>EBITDA marža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KAZALNIKI!$B$29:$F$29</c:f>
              <c:numCache>
                <c:formatCode>General</c:formatCode>
                <c:ptCount val="5"/>
                <c:pt idx="0">
                  <c:v>8577795</c:v>
                </c:pt>
                <c:pt idx="1">
                  <c:v>11727916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2EE-9E75-A316430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KAZALNIKI!$A$54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KAZALNIKI!$B$55:$F$55</c:f>
              <c:numCache>
                <c:formatCode>0%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46B-B810-4316E8576714}"/>
            </c:ext>
          </c:extLst>
        </c:ser>
        <c:ser>
          <c:idx val="1"/>
          <c:order val="1"/>
          <c:tx>
            <c:strRef>
              <c:f>KAZALNIKI!$A$57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KAZALNIKI!$B$53:$F$53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KAZALNIKI!$B$58:$F$58</c:f>
              <c:numCache>
                <c:formatCode>0%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46B-B810-4316E857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27E-B319-AF45ED02B3D1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PODJETJI'!$B$22:$F$22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2-427E-B319-AF45ED02B3D1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PODJETJI'!$B$33:$F$33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2-427E-B319-AF45ED02B3D1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PODJETJI'!$B$40:$F$40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0.91556833022636819</c:v>
                </c:pt>
                <c:pt idx="3">
                  <c:v>0.92531437206416345</c:v>
                </c:pt>
                <c:pt idx="4">
                  <c:v>0.92499832915959956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2-427E-B319-AF45ED0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PODJETJI'!$B$10:$F$10</c:f>
              <c:numCache>
                <c:formatCode>0%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93A-97AF-845A80D19D9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PODJETJI'!$B$21:$F$21</c:f>
              <c:numCache>
                <c:formatCode>0%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93A-97AF-845A80D19D9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PODJETJI'!$B$15:$F$15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PODJETJI'!$B$32:$F$32</c:f>
              <c:numCache>
                <c:formatCode>0%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E-493A-97AF-845A80D19D9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PODJETJI'!$B$41:$F$41</c:f>
              <c:numCache>
                <c:formatCode>0%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E-493A-97AF-845A80D1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PODJETJI'!$B$8:$F$8</c:f>
              <c:numCache>
                <c:formatCode>0%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1BF-9261-CC377F868079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PODJETJI'!$B$19:$F$19</c:f>
              <c:numCache>
                <c:formatCode>0%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1BF-9261-CC377F868079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PODJETJI'!$B$30:$F$30</c:f>
              <c:numCache>
                <c:formatCode>0%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1BF-9261-CC377F868079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PODJETJI'!$B$26:$F$26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PODJETJI'!$B$43:$F$43</c:f>
              <c:numCache>
                <c:formatCode>0%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1BF-9261-CC377F86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sredstev - Napoved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AKTIVA!$A$10</c:f>
              <c:strCache>
                <c:ptCount val="1"/>
                <c:pt idx="0">
                  <c:v>kratkoročna sredstva skupaj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AKTIVA!$B$10:$K$10</c:f>
              <c:numCache>
                <c:formatCode>General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55159270.805100009</c:v>
                </c:pt>
                <c:pt idx="6">
                  <c:v>56025645.994320013</c:v>
                </c:pt>
                <c:pt idx="7">
                  <c:v>59480678.138754413</c:v>
                </c:pt>
                <c:pt idx="8">
                  <c:v>61401970.92799864</c:v>
                </c:pt>
                <c:pt idx="9">
                  <c:v>63305357.135023817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3A9-A75C-79625B03BB9F}"/>
            </c:ext>
          </c:extLst>
        </c:ser>
        <c:ser>
          <c:idx val="1"/>
          <c:order val="1"/>
          <c:tx>
            <c:strRef>
              <c:f>AKTIVA!$A$5</c:f>
              <c:strCache>
                <c:ptCount val="1"/>
                <c:pt idx="0">
                  <c:v>dolgoročna sredstva skupaj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AKTIVA!$B$5:$K$5</c:f>
              <c:numCache>
                <c:formatCode>General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55542515.015799999</c:v>
                </c:pt>
                <c:pt idx="6">
                  <c:v>63427426.610671997</c:v>
                </c:pt>
                <c:pt idx="7">
                  <c:v>69381982.060531199</c:v>
                </c:pt>
                <c:pt idx="8">
                  <c:v>70889175.076546073</c:v>
                </c:pt>
                <c:pt idx="9">
                  <c:v>73323918.576222688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A-43A9-A75C-79625B03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3056"/>
        <c:axId val="504308176"/>
      </c:lineChart>
      <c:catAx>
        <c:axId val="5043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8176"/>
        <c:crosses val="autoZero"/>
        <c:auto val="1"/>
        <c:lblAlgn val="ctr"/>
        <c:lblOffset val="100"/>
        <c:noMultiLvlLbl val="0"/>
      </c:catAx>
      <c:valAx>
        <c:axId val="5043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0%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8B9-B77B-F356BB30D958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0%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8B9-B77B-F356BB30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0%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C0C-BBE9-D36CCD3599F9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0%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E-4C0C-BBE9-D36CCD35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B-4EB1-B7C4-65AD55711CA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KAZALNIKI!$B$58:$F$58</c:f>
              <c:numCache>
                <c:formatCode>0%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EB1-B7C4-65AD557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0%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FBB-B8CE-32206A4D38EC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KAZALNIKI!$D$30:$F$30</c:f>
              <c:numCache>
                <c:formatCode>0%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FBB-B8CE-32206A4D38EC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0%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FBB-B8CE-32206A4D38EC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KAZALNIKI!$D$31:$F$31</c:f>
              <c:numCache>
                <c:formatCode>0%</c:formatCode>
                <c:ptCount val="3"/>
                <c:pt idx="0">
                  <c:v>1.1918148970371207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FBB-B8CE-32206A4D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17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47B44F5-8515-4818-B9AE-0D09E794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160020</xdr:rowOff>
    </xdr:from>
    <xdr:to>
      <xdr:col>13</xdr:col>
      <xdr:colOff>541020</xdr:colOff>
      <xdr:row>34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479CD26-5696-4C72-8124-16EDF6B2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36</xdr:row>
      <xdr:rowOff>0</xdr:rowOff>
    </xdr:from>
    <xdr:to>
      <xdr:col>13</xdr:col>
      <xdr:colOff>571500</xdr:colOff>
      <xdr:row>51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63079FE8-29AE-45AE-8799-35ABC494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52</xdr:row>
      <xdr:rowOff>30480</xdr:rowOff>
    </xdr:from>
    <xdr:to>
      <xdr:col>13</xdr:col>
      <xdr:colOff>563880</xdr:colOff>
      <xdr:row>67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414B5E4-6546-45C6-B5F5-EBCDC446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68580</xdr:rowOff>
    </xdr:from>
    <xdr:to>
      <xdr:col>18</xdr:col>
      <xdr:colOff>487680</xdr:colOff>
      <xdr:row>16</xdr:row>
      <xdr:rowOff>68580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39C178B-422B-410C-8ACF-7FB10612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69</xdr:row>
      <xdr:rowOff>53340</xdr:rowOff>
    </xdr:from>
    <xdr:to>
      <xdr:col>19</xdr:col>
      <xdr:colOff>342900</xdr:colOff>
      <xdr:row>83</xdr:row>
      <xdr:rowOff>53340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EE675E3-60C8-4D0D-AF63-282E56E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84</xdr:row>
      <xdr:rowOff>38100</xdr:rowOff>
    </xdr:from>
    <xdr:to>
      <xdr:col>20</xdr:col>
      <xdr:colOff>472440</xdr:colOff>
      <xdr:row>100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15F8233-987C-4E87-A1A7-BDB230A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89</xdr:row>
      <xdr:rowOff>99060</xdr:rowOff>
    </xdr:from>
    <xdr:to>
      <xdr:col>10</xdr:col>
      <xdr:colOff>381000</xdr:colOff>
      <xdr:row>104</xdr:row>
      <xdr:rowOff>99060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6A0141E9-97AE-4C02-8738-A8C2AEE9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</xdr:colOff>
      <xdr:row>102</xdr:row>
      <xdr:rowOff>106680</xdr:rowOff>
    </xdr:from>
    <xdr:to>
      <xdr:col>19</xdr:col>
      <xdr:colOff>335280</xdr:colOff>
      <xdr:row>117</xdr:row>
      <xdr:rowOff>106680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DDA0B41-031D-4DBD-A6D7-E5D88FFA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5FA2CB5-1E90-4D4A-9365-8F7C25AB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190DB26-5CCD-4999-9BAA-4E552AEB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04F7A96-C50B-48EA-B0B1-A5E0EC8D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34</xdr:row>
      <xdr:rowOff>0</xdr:rowOff>
    </xdr:from>
    <xdr:to>
      <xdr:col>16</xdr:col>
      <xdr:colOff>156210</xdr:colOff>
      <xdr:row>53</xdr:row>
      <xdr:rowOff>19050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571AEBA-97D2-48ED-A527-B5C6BE92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EEFC24FF-5A2B-4D88-9FBF-26301A5A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66EDDA50-04A1-49B3-905E-2DFCDBD7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32BB571C-79CD-43C4-83EE-43A20E84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7642-BBF9-4387-A8CD-51A290FE3C82}">
  <dimension ref="A1:M144"/>
  <sheetViews>
    <sheetView topLeftCell="A40" workbookViewId="0">
      <selection activeCell="H42" sqref="H42"/>
    </sheetView>
  </sheetViews>
  <sheetFormatPr defaultRowHeight="14.4" x14ac:dyDescent="0.3"/>
  <cols>
    <col min="1" max="1" width="26.6640625" customWidth="1"/>
    <col min="2" max="2" width="17.88671875" customWidth="1"/>
    <col min="3" max="3" width="17.6640625" customWidth="1"/>
    <col min="4" max="4" width="17.77734375" customWidth="1"/>
    <col min="5" max="5" width="19.88671875" customWidth="1"/>
    <col min="6" max="6" width="18.88671875" customWidth="1"/>
    <col min="7" max="7" width="14.5546875" customWidth="1"/>
    <col min="8" max="8" width="13.6640625" customWidth="1"/>
    <col min="9" max="9" width="12.88671875" customWidth="1"/>
    <col min="10" max="10" width="12.21875" customWidth="1"/>
    <col min="11" max="11" width="12.6640625" customWidth="1"/>
  </cols>
  <sheetData>
    <row r="1" spans="1:12" s="1" customFormat="1" x14ac:dyDescent="0.3">
      <c r="A1" s="63" t="s">
        <v>3</v>
      </c>
      <c r="B1" s="1">
        <v>2013</v>
      </c>
      <c r="C1" s="1">
        <v>2014</v>
      </c>
      <c r="D1" s="1">
        <v>2015</v>
      </c>
      <c r="E1" s="1">
        <v>2016</v>
      </c>
      <c r="F1" s="22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x14ac:dyDescent="0.3">
      <c r="A2" t="s">
        <v>0</v>
      </c>
      <c r="B2">
        <v>83764805</v>
      </c>
      <c r="C2">
        <v>92337092</v>
      </c>
      <c r="D2">
        <v>105932291</v>
      </c>
      <c r="E2">
        <v>120997840</v>
      </c>
      <c r="F2" s="23">
        <v>139357926</v>
      </c>
      <c r="G2" s="70">
        <f>F2*G3</f>
        <v>159564825.27000001</v>
      </c>
      <c r="H2">
        <f t="shared" ref="H2:K2" si="0">G2*H3</f>
        <v>178712604.30240002</v>
      </c>
      <c r="I2">
        <f t="shared" si="0"/>
        <v>196583864.73264003</v>
      </c>
      <c r="J2">
        <f t="shared" si="0"/>
        <v>210344735.26392484</v>
      </c>
      <c r="K2">
        <f t="shared" si="0"/>
        <v>225068866.73239958</v>
      </c>
      <c r="L2" t="s">
        <v>146</v>
      </c>
    </row>
    <row r="3" spans="1:12" s="8" customFormat="1" x14ac:dyDescent="0.3">
      <c r="A3" s="8" t="s">
        <v>82</v>
      </c>
      <c r="C3" s="10">
        <f>C2/B2</f>
        <v>1.1023375748322939</v>
      </c>
      <c r="D3" s="10">
        <f t="shared" ref="D3:F3" si="1">D2/C2</f>
        <v>1.1472344288252005</v>
      </c>
      <c r="E3" s="10">
        <f t="shared" si="1"/>
        <v>1.1422186649394754</v>
      </c>
      <c r="F3" s="24">
        <f t="shared" si="1"/>
        <v>1.1517389566623668</v>
      </c>
      <c r="G3" s="102">
        <v>1.145</v>
      </c>
      <c r="H3" s="102">
        <v>1.1200000000000001</v>
      </c>
      <c r="I3" s="102">
        <v>1.1000000000000001</v>
      </c>
      <c r="J3" s="102">
        <v>1.07</v>
      </c>
      <c r="K3" s="102">
        <v>1.07</v>
      </c>
    </row>
    <row r="4" spans="1:12" x14ac:dyDescent="0.3">
      <c r="A4" t="s">
        <v>1</v>
      </c>
      <c r="B4">
        <f>1262977+1685332+161816</f>
        <v>3110125</v>
      </c>
      <c r="C4">
        <f>1162820+2290650+231835</f>
        <v>3685305</v>
      </c>
      <c r="D4">
        <f>1043412+4437933+527322</f>
        <v>6008667</v>
      </c>
      <c r="E4">
        <v>6623153</v>
      </c>
      <c r="F4" s="23">
        <v>7155170</v>
      </c>
      <c r="G4" s="70">
        <f>F4*G5</f>
        <v>7584480.2000000002</v>
      </c>
      <c r="H4">
        <f t="shared" ref="H4:K4" si="2">G4*H5</f>
        <v>8039549.012000001</v>
      </c>
      <c r="I4">
        <f t="shared" si="2"/>
        <v>8521921.9527200013</v>
      </c>
      <c r="J4">
        <f t="shared" si="2"/>
        <v>8948018.0503560025</v>
      </c>
      <c r="K4">
        <f t="shared" si="2"/>
        <v>9395418.9528738037</v>
      </c>
    </row>
    <row r="5" spans="1:12" x14ac:dyDescent="0.3">
      <c r="A5" t="s">
        <v>82</v>
      </c>
      <c r="C5" s="3">
        <f>C4/B4</f>
        <v>1.1849379044250632</v>
      </c>
      <c r="D5" s="3">
        <f t="shared" ref="D5:F5" si="3">D4/C4</f>
        <v>1.630439542995763</v>
      </c>
      <c r="E5" s="3">
        <f t="shared" si="3"/>
        <v>1.1022666092163202</v>
      </c>
      <c r="F5" s="25">
        <f t="shared" si="3"/>
        <v>1.0803268473489893</v>
      </c>
      <c r="G5" s="30">
        <v>1.06</v>
      </c>
      <c r="H5" s="30">
        <v>1.06</v>
      </c>
      <c r="I5" s="30">
        <v>1.06</v>
      </c>
      <c r="J5" s="30">
        <v>1.05</v>
      </c>
      <c r="K5" s="30">
        <v>1.05</v>
      </c>
    </row>
    <row r="6" spans="1:12" s="1" customFormat="1" x14ac:dyDescent="0.3">
      <c r="A6" s="1" t="s">
        <v>2</v>
      </c>
      <c r="B6" s="1">
        <f>B2+B4</f>
        <v>86874930</v>
      </c>
      <c r="C6" s="1">
        <f t="shared" ref="C6:F6" si="4">C2+C4</f>
        <v>96022397</v>
      </c>
      <c r="D6" s="1">
        <f t="shared" si="4"/>
        <v>111940958</v>
      </c>
      <c r="E6" s="1">
        <f t="shared" si="4"/>
        <v>127620993</v>
      </c>
      <c r="F6" s="22">
        <f t="shared" si="4"/>
        <v>146513096</v>
      </c>
      <c r="G6" s="71">
        <f>G2+G4</f>
        <v>167149305.47</v>
      </c>
      <c r="H6" s="1">
        <f t="shared" ref="H6:K6" si="5">H2+H4</f>
        <v>186752153.31440002</v>
      </c>
      <c r="I6" s="1">
        <f t="shared" si="5"/>
        <v>205105786.68536001</v>
      </c>
      <c r="J6" s="1">
        <f t="shared" si="5"/>
        <v>219292753.31428084</v>
      </c>
      <c r="K6" s="1">
        <f t="shared" si="5"/>
        <v>234464285.68527338</v>
      </c>
    </row>
    <row r="7" spans="1:12" s="1" customFormat="1" x14ac:dyDescent="0.3">
      <c r="A7" s="1" t="s">
        <v>82</v>
      </c>
      <c r="C7" s="6">
        <f>C6/B6</f>
        <v>1.1052946690144096</v>
      </c>
      <c r="D7" s="6">
        <f t="shared" ref="D7:F7" si="6">D6/C6</f>
        <v>1.1657796670083127</v>
      </c>
      <c r="E7" s="6">
        <f t="shared" si="6"/>
        <v>1.1400741540911237</v>
      </c>
      <c r="F7" s="26">
        <f t="shared" si="6"/>
        <v>1.1480328788853726</v>
      </c>
      <c r="G7" s="69">
        <f>G6/F6</f>
        <v>1.1408489072539973</v>
      </c>
      <c r="H7" s="6">
        <f t="shared" ref="H7:K7" si="7">H6/G6</f>
        <v>1.1172774711164943</v>
      </c>
      <c r="I7" s="6">
        <f t="shared" si="7"/>
        <v>1.0982780280988855</v>
      </c>
      <c r="J7" s="6">
        <f t="shared" si="7"/>
        <v>1.0691690217920773</v>
      </c>
      <c r="K7" s="6">
        <f t="shared" si="7"/>
        <v>1.0691839203151841</v>
      </c>
    </row>
    <row r="8" spans="1:12" s="1" customFormat="1" x14ac:dyDescent="0.3">
      <c r="F8" s="22"/>
    </row>
    <row r="9" spans="1:12" x14ac:dyDescent="0.3">
      <c r="F9" s="23"/>
    </row>
    <row r="10" spans="1:12" x14ac:dyDescent="0.3">
      <c r="B10" s="2"/>
      <c r="C10" s="2"/>
      <c r="D10" s="2"/>
      <c r="E10" s="2"/>
      <c r="F10" s="2"/>
    </row>
    <row r="11" spans="1:12" x14ac:dyDescent="0.3">
      <c r="F11" s="23"/>
    </row>
    <row r="12" spans="1:12" x14ac:dyDescent="0.3">
      <c r="A12" s="63" t="s">
        <v>4</v>
      </c>
      <c r="B12" s="1">
        <v>2013</v>
      </c>
      <c r="C12" s="1">
        <v>2014</v>
      </c>
      <c r="D12" s="1">
        <v>2015</v>
      </c>
      <c r="E12" s="1">
        <v>2016</v>
      </c>
      <c r="F12" s="22">
        <v>2017</v>
      </c>
      <c r="G12" s="1">
        <v>2018</v>
      </c>
      <c r="H12" s="1">
        <v>2019</v>
      </c>
      <c r="I12" s="1">
        <v>2020</v>
      </c>
      <c r="J12" s="1">
        <v>2021</v>
      </c>
      <c r="K12" s="1">
        <v>2022</v>
      </c>
    </row>
    <row r="13" spans="1:12" x14ac:dyDescent="0.3">
      <c r="A13" t="s">
        <v>5</v>
      </c>
      <c r="B13" s="2">
        <v>54558744</v>
      </c>
      <c r="C13" s="2">
        <v>59976822</v>
      </c>
      <c r="D13" s="2">
        <v>68857267</v>
      </c>
      <c r="E13" s="2">
        <f>78885431</f>
        <v>78885431</v>
      </c>
      <c r="F13" s="27">
        <f>90875643</f>
        <v>90875643</v>
      </c>
      <c r="G13" s="70">
        <f>G6*G29</f>
        <v>103632569.39139999</v>
      </c>
      <c r="H13">
        <f t="shared" ref="H13:K13" si="8">H6*H29</f>
        <v>115786335.054928</v>
      </c>
      <c r="I13">
        <f t="shared" si="8"/>
        <v>131267703.47863041</v>
      </c>
      <c r="J13">
        <f t="shared" si="8"/>
        <v>140347362.12113973</v>
      </c>
      <c r="K13">
        <f t="shared" si="8"/>
        <v>150057142.83857498</v>
      </c>
    </row>
    <row r="14" spans="1:12" x14ac:dyDescent="0.3">
      <c r="A14" t="s">
        <v>60</v>
      </c>
      <c r="B14" s="2"/>
      <c r="C14" s="2"/>
      <c r="D14" s="2"/>
      <c r="E14" s="2"/>
      <c r="F14" s="27"/>
    </row>
    <row r="15" spans="1:12" s="8" customFormat="1" x14ac:dyDescent="0.3">
      <c r="A15" s="8" t="s">
        <v>61</v>
      </c>
      <c r="B15" s="9">
        <v>1356622</v>
      </c>
      <c r="C15" s="9">
        <v>2588237</v>
      </c>
      <c r="D15" s="9">
        <v>2690153</v>
      </c>
      <c r="E15" s="9">
        <v>2350632</v>
      </c>
      <c r="F15" s="28">
        <v>3245365</v>
      </c>
      <c r="G15" s="72">
        <f>G31*G6</f>
        <v>3342986.1094</v>
      </c>
      <c r="H15" s="8">
        <f t="shared" ref="H15:K15" si="9">H31*H6</f>
        <v>3735043.0662880004</v>
      </c>
      <c r="I15" s="8">
        <f t="shared" si="9"/>
        <v>4102115.7337072003</v>
      </c>
      <c r="J15" s="8">
        <f t="shared" si="9"/>
        <v>4385855.0662856167</v>
      </c>
      <c r="K15" s="8">
        <f t="shared" si="9"/>
        <v>4689285.713705468</v>
      </c>
    </row>
    <row r="16" spans="1:12" s="8" customFormat="1" x14ac:dyDescent="0.3">
      <c r="A16" s="8" t="s">
        <v>62</v>
      </c>
      <c r="B16" s="9">
        <v>46523776</v>
      </c>
      <c r="C16" s="9">
        <v>49303597</v>
      </c>
      <c r="D16" s="9">
        <v>56421307</v>
      </c>
      <c r="E16" s="9">
        <v>65746330</v>
      </c>
      <c r="F16" s="28">
        <v>77918197</v>
      </c>
      <c r="G16" s="72">
        <f>G32*G6</f>
        <v>88589131.899100006</v>
      </c>
      <c r="H16" s="8">
        <f t="shared" ref="H16:K16" si="10">H32*H6</f>
        <v>98978641.256632015</v>
      </c>
      <c r="I16" s="8">
        <f t="shared" si="10"/>
        <v>108706066.94324081</v>
      </c>
      <c r="J16" s="8">
        <f t="shared" si="10"/>
        <v>118418086.78971165</v>
      </c>
      <c r="K16" s="8">
        <f t="shared" si="10"/>
        <v>126610714.27004763</v>
      </c>
    </row>
    <row r="17" spans="1:12" s="8" customFormat="1" x14ac:dyDescent="0.3">
      <c r="A17" s="8" t="s">
        <v>63</v>
      </c>
      <c r="B17" s="9">
        <v>6678346</v>
      </c>
      <c r="C17" s="9">
        <v>8084988</v>
      </c>
      <c r="D17" s="9">
        <v>9745807</v>
      </c>
      <c r="E17" s="9">
        <v>10788469</v>
      </c>
      <c r="F17" s="28">
        <v>9712081</v>
      </c>
      <c r="G17" s="72">
        <f>G33*G6</f>
        <v>11700451.382900001</v>
      </c>
      <c r="H17" s="8">
        <f t="shared" ref="H17:K17" si="11">H33*H6</f>
        <v>13072650.732008003</v>
      </c>
      <c r="I17" s="8">
        <f t="shared" si="11"/>
        <v>16408462.934828801</v>
      </c>
      <c r="J17" s="8">
        <f t="shared" si="11"/>
        <v>17543420.265142467</v>
      </c>
      <c r="K17" s="8">
        <f t="shared" si="11"/>
        <v>18757142.854821872</v>
      </c>
    </row>
    <row r="18" spans="1:12" s="8" customFormat="1" x14ac:dyDescent="0.3">
      <c r="A18" s="8" t="s">
        <v>147</v>
      </c>
      <c r="B18" s="9"/>
      <c r="C18" s="10">
        <f>C13/B13</f>
        <v>1.099307234785317</v>
      </c>
      <c r="D18" s="10">
        <f t="shared" ref="D18:K18" si="12">D13/C13</f>
        <v>1.1480646140270654</v>
      </c>
      <c r="E18" s="10">
        <f t="shared" si="12"/>
        <v>1.1456369739449577</v>
      </c>
      <c r="F18" s="10">
        <f t="shared" si="12"/>
        <v>1.1519952651333045</v>
      </c>
      <c r="G18" s="73">
        <f t="shared" si="12"/>
        <v>1.1403778391026074</v>
      </c>
      <c r="H18" s="10">
        <f t="shared" si="12"/>
        <v>1.1172774711164943</v>
      </c>
      <c r="I18" s="10">
        <f t="shared" si="12"/>
        <v>1.1337063515859465</v>
      </c>
      <c r="J18" s="10">
        <f t="shared" si="12"/>
        <v>1.0691690217920773</v>
      </c>
      <c r="K18" s="10">
        <f t="shared" si="12"/>
        <v>1.0691839203151843</v>
      </c>
    </row>
    <row r="19" spans="1:12" s="8" customFormat="1" x14ac:dyDescent="0.3">
      <c r="B19" s="9"/>
      <c r="C19" s="9"/>
      <c r="D19" s="9"/>
      <c r="E19" s="9"/>
      <c r="F19" s="28"/>
    </row>
    <row r="20" spans="1:12" x14ac:dyDescent="0.3">
      <c r="A20" t="s">
        <v>6</v>
      </c>
      <c r="B20" s="2">
        <v>22166278</v>
      </c>
      <c r="C20" s="2">
        <v>24145924</v>
      </c>
      <c r="D20" s="2">
        <v>26083022</v>
      </c>
      <c r="E20" s="2">
        <v>30776943</v>
      </c>
      <c r="F20" s="27">
        <v>34236712</v>
      </c>
      <c r="G20" s="70">
        <f>G70</f>
        <v>35898562.000480004</v>
      </c>
      <c r="H20">
        <f t="shared" ref="H20:K20" si="13">H70</f>
        <v>37678053.718843795</v>
      </c>
      <c r="I20">
        <f t="shared" si="13"/>
        <v>39200247.08908508</v>
      </c>
      <c r="J20">
        <f t="shared" si="13"/>
        <v>40783937.071484126</v>
      </c>
      <c r="K20">
        <f t="shared" si="13"/>
        <v>42431608.129172079</v>
      </c>
    </row>
    <row r="21" spans="1:12" x14ac:dyDescent="0.3">
      <c r="A21" t="s">
        <v>9</v>
      </c>
      <c r="B21" s="2">
        <f>195274+31326</f>
        <v>226600</v>
      </c>
      <c r="C21" s="2">
        <f>233139+7384</f>
        <v>240523</v>
      </c>
      <c r="D21" s="2">
        <v>189623</v>
      </c>
      <c r="E21" s="2">
        <v>272484</v>
      </c>
      <c r="F21" s="27">
        <v>156879</v>
      </c>
      <c r="G21">
        <f>G36*G6</f>
        <v>0</v>
      </c>
      <c r="H21">
        <f t="shared" ref="H21:K21" si="14">H36*H6</f>
        <v>0</v>
      </c>
      <c r="I21">
        <f t="shared" si="14"/>
        <v>0</v>
      </c>
      <c r="J21">
        <f t="shared" si="14"/>
        <v>0</v>
      </c>
      <c r="K21">
        <f t="shared" si="14"/>
        <v>0</v>
      </c>
    </row>
    <row r="22" spans="1:12" x14ac:dyDescent="0.3">
      <c r="A22" t="s">
        <v>8</v>
      </c>
      <c r="B22" s="2">
        <v>5566172</v>
      </c>
      <c r="C22" s="2">
        <v>5240166</v>
      </c>
      <c r="D22" s="2">
        <v>5430337</v>
      </c>
      <c r="E22" s="2">
        <v>6219574</v>
      </c>
      <c r="F22" s="27">
        <v>7405570</v>
      </c>
      <c r="G22" s="70">
        <f>'STARE AMORT. IN INVEST.'!G95</f>
        <v>10825615.15</v>
      </c>
      <c r="H22">
        <f>'STARE AMORT. IN INVEST.'!H95</f>
        <v>13222034.267863519</v>
      </c>
      <c r="I22">
        <f>'STARE AMORT. IN INVEST.'!I95</f>
        <v>15130574.296404876</v>
      </c>
      <c r="J22">
        <f>'STARE AMORT. IN INVEST.'!J95</f>
        <v>16539778.801445488</v>
      </c>
      <c r="K22">
        <f>'STARE AMORT. IN INVEST.'!K95</f>
        <v>16845288.985135462</v>
      </c>
    </row>
    <row r="23" spans="1:12" x14ac:dyDescent="0.3">
      <c r="A23" t="s">
        <v>7</v>
      </c>
      <c r="B23" s="2">
        <f>1447884+184191+111062</f>
        <v>1743137</v>
      </c>
      <c r="C23" s="2">
        <f>816957+278847+235946</f>
        <v>1331750</v>
      </c>
      <c r="D23" s="2">
        <f>1361236+475197+92914</f>
        <v>1929347</v>
      </c>
      <c r="E23" s="2">
        <v>1935107</v>
      </c>
      <c r="F23" s="27">
        <v>2849565</v>
      </c>
      <c r="G23" s="70">
        <f>G38*G6</f>
        <v>3342986.1094</v>
      </c>
      <c r="H23">
        <f t="shared" ref="H23:K23" si="15">H38*H6</f>
        <v>3735043.0662880004</v>
      </c>
      <c r="I23">
        <f t="shared" si="15"/>
        <v>4102115.7337072003</v>
      </c>
      <c r="J23">
        <f t="shared" si="15"/>
        <v>4385855.0662856167</v>
      </c>
      <c r="K23">
        <f t="shared" si="15"/>
        <v>4689285.713705468</v>
      </c>
    </row>
    <row r="24" spans="1:12" s="1" customFormat="1" x14ac:dyDescent="0.3">
      <c r="A24" s="1" t="s">
        <v>141</v>
      </c>
      <c r="B24" s="36">
        <f>SUM(B20:B23)+B13</f>
        <v>84260931</v>
      </c>
      <c r="C24" s="36">
        <f t="shared" ref="C24:F24" si="16">SUM(C20:C23)+C13</f>
        <v>90935185</v>
      </c>
      <c r="D24" s="36">
        <f t="shared" si="16"/>
        <v>102489596</v>
      </c>
      <c r="E24" s="36">
        <f t="shared" si="16"/>
        <v>118089539</v>
      </c>
      <c r="F24" s="36">
        <f t="shared" si="16"/>
        <v>135524369</v>
      </c>
      <c r="G24" s="74">
        <f t="shared" ref="G24" si="17">SUM(G20:G23)+G13</f>
        <v>153699732.65127999</v>
      </c>
      <c r="H24" s="37">
        <f t="shared" ref="H24" si="18">SUM(H20:H23)+H13</f>
        <v>170421466.10792333</v>
      </c>
      <c r="I24" s="1">
        <f t="shared" ref="I24" si="19">SUM(I20:I23)+I13</f>
        <v>189700640.59782755</v>
      </c>
      <c r="J24" s="1">
        <f t="shared" ref="J24" si="20">SUM(J20:J23)+J13</f>
        <v>202056933.06035498</v>
      </c>
      <c r="K24" s="1">
        <f t="shared" ref="K24" si="21">SUM(K20:K23)+K13</f>
        <v>214023325.66658798</v>
      </c>
    </row>
    <row r="25" spans="1:12" s="1" customFormat="1" x14ac:dyDescent="0.3">
      <c r="A25" s="1" t="s">
        <v>142</v>
      </c>
      <c r="B25" s="36"/>
      <c r="C25" s="6">
        <f>C24/B24</f>
        <v>1.0792093550449853</v>
      </c>
      <c r="D25" s="6">
        <f t="shared" ref="D25:F25" si="22">D24/C24</f>
        <v>1.1270620497445516</v>
      </c>
      <c r="E25" s="6">
        <f t="shared" si="22"/>
        <v>1.1522100155414798</v>
      </c>
      <c r="F25" s="6">
        <f t="shared" si="22"/>
        <v>1.1476407660461778</v>
      </c>
      <c r="G25" s="75">
        <f>G24/F24</f>
        <v>1.1341114058334407</v>
      </c>
      <c r="H25" s="6">
        <f t="shared" ref="H25:K25" si="23">H24/G24</f>
        <v>1.1087948115991995</v>
      </c>
      <c r="I25" s="6">
        <f t="shared" si="23"/>
        <v>1.1131264442807647</v>
      </c>
      <c r="J25" s="6">
        <f t="shared" si="23"/>
        <v>1.0651357445266789</v>
      </c>
      <c r="K25" s="6">
        <f t="shared" si="23"/>
        <v>1.0592228755776403</v>
      </c>
    </row>
    <row r="26" spans="1:12" x14ac:dyDescent="0.3">
      <c r="B26" s="2"/>
      <c r="C26" s="2"/>
      <c r="D26" s="2"/>
      <c r="E26" s="2"/>
      <c r="F26" s="27"/>
    </row>
    <row r="27" spans="1:12" x14ac:dyDescent="0.3">
      <c r="F27" s="23"/>
    </row>
    <row r="28" spans="1:12" x14ac:dyDescent="0.3">
      <c r="A28" s="1" t="s">
        <v>10</v>
      </c>
      <c r="B28" s="1">
        <v>2013</v>
      </c>
      <c r="C28" s="1">
        <v>2014</v>
      </c>
      <c r="D28" s="1">
        <v>2015</v>
      </c>
      <c r="E28" s="1">
        <v>2016</v>
      </c>
      <c r="F28" s="22">
        <v>2017</v>
      </c>
      <c r="G28" s="1">
        <v>2018</v>
      </c>
      <c r="H28" s="1">
        <v>2019</v>
      </c>
      <c r="I28" s="1">
        <v>2020</v>
      </c>
      <c r="J28" s="1">
        <v>2021</v>
      </c>
      <c r="K28" s="1">
        <v>2022</v>
      </c>
    </row>
    <row r="29" spans="1:12" x14ac:dyDescent="0.3">
      <c r="A29" t="s">
        <v>5</v>
      </c>
      <c r="B29" s="3">
        <f>B13/B6</f>
        <v>0.62801482545079457</v>
      </c>
      <c r="C29" s="3">
        <f>C13/C6</f>
        <v>0.62461283902337905</v>
      </c>
      <c r="D29" s="3">
        <f>D13/D6</f>
        <v>0.61512129456673048</v>
      </c>
      <c r="E29" s="3">
        <f>E13/E6</f>
        <v>0.61812268613205357</v>
      </c>
      <c r="F29" s="25">
        <f>F13/F6</f>
        <v>0.62025611007496562</v>
      </c>
      <c r="G29" s="30">
        <v>0.62</v>
      </c>
      <c r="H29" s="30">
        <v>0.62</v>
      </c>
      <c r="I29" s="30">
        <v>0.64</v>
      </c>
      <c r="J29" s="30">
        <v>0.64</v>
      </c>
      <c r="K29" s="30">
        <v>0.64</v>
      </c>
    </row>
    <row r="30" spans="1:12" x14ac:dyDescent="0.3">
      <c r="A30" t="s">
        <v>60</v>
      </c>
      <c r="B30" s="3"/>
      <c r="C30" s="3"/>
      <c r="D30" s="3"/>
      <c r="E30" s="3"/>
      <c r="F30" s="25"/>
      <c r="G30" s="31"/>
      <c r="H30" s="31"/>
      <c r="I30" s="31"/>
      <c r="J30" s="31"/>
      <c r="K30" s="31"/>
    </row>
    <row r="31" spans="1:12" s="8" customFormat="1" x14ac:dyDescent="0.3">
      <c r="A31" s="8" t="s">
        <v>61</v>
      </c>
      <c r="B31" s="10">
        <f>B15/B6</f>
        <v>1.5615805388274845E-2</v>
      </c>
      <c r="C31" s="10">
        <f t="shared" ref="C31:F31" si="24">C15/C6</f>
        <v>2.695451353916941E-2</v>
      </c>
      <c r="D31" s="10">
        <f t="shared" si="24"/>
        <v>2.4031891883576698E-2</v>
      </c>
      <c r="E31" s="10">
        <f t="shared" si="24"/>
        <v>1.8418850572648342E-2</v>
      </c>
      <c r="F31" s="24">
        <f t="shared" si="24"/>
        <v>2.2150682011388253E-2</v>
      </c>
      <c r="G31" s="102">
        <v>0.02</v>
      </c>
      <c r="H31" s="102">
        <v>0.02</v>
      </c>
      <c r="I31" s="102">
        <v>0.02</v>
      </c>
      <c r="J31" s="102">
        <v>0.02</v>
      </c>
      <c r="K31" s="102">
        <v>0.02</v>
      </c>
    </row>
    <row r="32" spans="1:12" s="8" customFormat="1" x14ac:dyDescent="0.3">
      <c r="A32" s="8" t="s">
        <v>62</v>
      </c>
      <c r="B32" s="10">
        <f>B16/B6</f>
        <v>0.53552591063958266</v>
      </c>
      <c r="C32" s="10">
        <f t="shared" ref="C32:F32" si="25">C16/C6</f>
        <v>0.51345934428193873</v>
      </c>
      <c r="D32" s="10">
        <f t="shared" si="25"/>
        <v>0.50402737307286583</v>
      </c>
      <c r="E32" s="10">
        <f t="shared" si="25"/>
        <v>0.51516861336441722</v>
      </c>
      <c r="F32" s="24">
        <f t="shared" si="25"/>
        <v>0.53181728546641316</v>
      </c>
      <c r="G32" s="102">
        <v>0.53</v>
      </c>
      <c r="H32" s="102">
        <v>0.53</v>
      </c>
      <c r="I32" s="102">
        <v>0.53</v>
      </c>
      <c r="J32" s="102">
        <v>0.54</v>
      </c>
      <c r="K32" s="102">
        <v>0.54</v>
      </c>
      <c r="L32" s="8" t="s">
        <v>160</v>
      </c>
    </row>
    <row r="33" spans="1:13" s="8" customFormat="1" x14ac:dyDescent="0.3">
      <c r="A33" s="8" t="s">
        <v>63</v>
      </c>
      <c r="B33" s="10">
        <f>B17/B6</f>
        <v>7.6873109422937083E-2</v>
      </c>
      <c r="C33" s="10">
        <f t="shared" ref="C33:F33" si="26">C17/C6</f>
        <v>8.419898120227097E-2</v>
      </c>
      <c r="D33" s="10">
        <f t="shared" si="26"/>
        <v>8.7062029610287958E-2</v>
      </c>
      <c r="E33" s="10">
        <f t="shared" si="26"/>
        <v>8.4535222194987936E-2</v>
      </c>
      <c r="F33" s="24">
        <f t="shared" si="26"/>
        <v>6.6288142597164146E-2</v>
      </c>
      <c r="G33" s="102">
        <v>7.0000000000000007E-2</v>
      </c>
      <c r="H33" s="102">
        <v>7.0000000000000007E-2</v>
      </c>
      <c r="I33" s="102">
        <v>0.08</v>
      </c>
      <c r="J33" s="102">
        <v>0.08</v>
      </c>
      <c r="K33" s="102">
        <v>0.08</v>
      </c>
    </row>
    <row r="34" spans="1:13" x14ac:dyDescent="0.3">
      <c r="B34" s="3"/>
      <c r="C34" s="3"/>
      <c r="D34" s="3"/>
      <c r="E34" s="3"/>
      <c r="F34" s="25"/>
      <c r="G34" s="76"/>
      <c r="H34" s="76"/>
      <c r="I34" s="76"/>
      <c r="J34" s="76"/>
      <c r="K34" s="76"/>
    </row>
    <row r="35" spans="1:13" x14ac:dyDescent="0.3">
      <c r="A35" t="s">
        <v>6</v>
      </c>
      <c r="B35" s="3">
        <f t="shared" ref="B35:G35" si="27">B20/B6</f>
        <v>0.25515160702863299</v>
      </c>
      <c r="C35" s="3">
        <f t="shared" si="27"/>
        <v>0.25146137520395373</v>
      </c>
      <c r="D35" s="3">
        <f t="shared" si="27"/>
        <v>0.23300695711394573</v>
      </c>
      <c r="E35" s="3">
        <f t="shared" si="27"/>
        <v>0.24115893691565304</v>
      </c>
      <c r="F35" s="25">
        <f t="shared" si="27"/>
        <v>0.2336768038810674</v>
      </c>
      <c r="G35" s="87">
        <f t="shared" si="27"/>
        <v>0.21476943562247158</v>
      </c>
      <c r="H35" s="77">
        <f t="shared" ref="H35:K35" si="28">H20/H6</f>
        <v>0.20175432009831895</v>
      </c>
      <c r="I35" s="77">
        <f t="shared" si="28"/>
        <v>0.19112209227533755</v>
      </c>
      <c r="J35" s="77">
        <f t="shared" si="28"/>
        <v>0.18597941087927497</v>
      </c>
      <c r="K35" s="77">
        <f t="shared" si="28"/>
        <v>0.18097258610263983</v>
      </c>
    </row>
    <row r="36" spans="1:13" x14ac:dyDescent="0.3">
      <c r="A36" t="s">
        <v>9</v>
      </c>
      <c r="B36" s="3">
        <f>B21/B6</f>
        <v>2.608347425431019E-3</v>
      </c>
      <c r="C36" s="3">
        <f>C21/C6</f>
        <v>2.5048635267874014E-3</v>
      </c>
      <c r="D36" s="3">
        <f>D21/D6</f>
        <v>1.6939554867843815E-3</v>
      </c>
      <c r="E36" s="3">
        <f>E21/E6</f>
        <v>2.1351032741141578E-3</v>
      </c>
      <c r="F36" s="25">
        <f>F21/F6</f>
        <v>1.0707506993095006E-3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</row>
    <row r="37" spans="1:13" x14ac:dyDescent="0.3">
      <c r="A37" t="s">
        <v>8</v>
      </c>
      <c r="B37" s="3">
        <f>B22/B6</f>
        <v>6.4071096229948041E-2</v>
      </c>
      <c r="C37" s="3">
        <f>C22/C6</f>
        <v>5.4572330661564299E-2</v>
      </c>
      <c r="D37" s="3">
        <f>D22/D6</f>
        <v>4.8510724734015589E-2</v>
      </c>
      <c r="E37" s="3">
        <f>E22/E6</f>
        <v>4.8734725015029463E-2</v>
      </c>
      <c r="F37" s="25">
        <f>F22/F6</f>
        <v>5.0545447486823977E-2</v>
      </c>
      <c r="G37" s="87">
        <f>G22/G6</f>
        <v>6.4766138989090713E-2</v>
      </c>
      <c r="H37" s="77">
        <f t="shared" ref="H37:K37" si="29">H22/H6</f>
        <v>7.0799902615334392E-2</v>
      </c>
      <c r="I37" s="77">
        <f t="shared" si="29"/>
        <v>7.3769611969143251E-2</v>
      </c>
      <c r="J37" s="77">
        <f t="shared" si="29"/>
        <v>7.5423280302114662E-2</v>
      </c>
      <c r="K37" s="77">
        <f t="shared" si="29"/>
        <v>7.184586315950596E-2</v>
      </c>
    </row>
    <row r="38" spans="1:13" x14ac:dyDescent="0.3">
      <c r="A38" t="s">
        <v>7</v>
      </c>
      <c r="B38" s="3">
        <f>B23/B6</f>
        <v>2.0064902498338703E-2</v>
      </c>
      <c r="C38" s="3">
        <f>C23/C6</f>
        <v>1.3869160129381065E-2</v>
      </c>
      <c r="D38" s="3">
        <f>D23/D6</f>
        <v>1.7235398324891949E-2</v>
      </c>
      <c r="E38" s="3">
        <f>E23/E6</f>
        <v>1.5162920727313256E-2</v>
      </c>
      <c r="F38" s="25">
        <f>F23/F6</f>
        <v>1.9449217017433035E-2</v>
      </c>
      <c r="G38" s="30">
        <v>0.02</v>
      </c>
      <c r="H38" s="30">
        <v>0.02</v>
      </c>
      <c r="I38" s="30">
        <v>0.02</v>
      </c>
      <c r="J38" s="30">
        <v>0.02</v>
      </c>
      <c r="K38" s="30">
        <v>0.02</v>
      </c>
    </row>
    <row r="39" spans="1:13" x14ac:dyDescent="0.3">
      <c r="A39" t="s">
        <v>138</v>
      </c>
      <c r="B39" s="21">
        <f>SUM(B35:B38)+B29</f>
        <v>0.96991077863314534</v>
      </c>
      <c r="C39" s="21">
        <f t="shared" ref="C39:F39" si="30">SUM(C35:C38)+C29</f>
        <v>0.94702056854506556</v>
      </c>
      <c r="D39" s="21">
        <f t="shared" si="30"/>
        <v>0.91556833022636819</v>
      </c>
      <c r="E39" s="21">
        <f t="shared" si="30"/>
        <v>0.92531437206416345</v>
      </c>
      <c r="F39" s="21">
        <f t="shared" si="30"/>
        <v>0.92499832915959956</v>
      </c>
      <c r="G39" s="78">
        <f t="shared" ref="G39" si="31">SUM(G35:G38)+G29</f>
        <v>0.91953557461156232</v>
      </c>
      <c r="H39" s="21">
        <f t="shared" ref="H39" si="32">SUM(H35:H38)+H29</f>
        <v>0.91255422271365338</v>
      </c>
      <c r="I39" s="21">
        <f t="shared" ref="I39" si="33">SUM(I35:I38)+I29</f>
        <v>0.92489170424448086</v>
      </c>
      <c r="J39" s="21">
        <f t="shared" ref="J39" si="34">SUM(J35:J38)+J29</f>
        <v>0.92140269118138973</v>
      </c>
      <c r="K39" s="21">
        <f t="shared" ref="K39" si="35">SUM(K35:K38)+K29</f>
        <v>0.91281844926214584</v>
      </c>
    </row>
    <row r="40" spans="1:13" x14ac:dyDescent="0.3">
      <c r="B40" s="21"/>
      <c r="C40" s="21"/>
      <c r="D40" s="21"/>
      <c r="E40" s="21"/>
      <c r="F40" s="21"/>
      <c r="G40" s="53"/>
    </row>
    <row r="41" spans="1:13" x14ac:dyDescent="0.3">
      <c r="B41" s="21"/>
      <c r="C41" s="21"/>
      <c r="D41" s="21"/>
      <c r="E41" s="21"/>
      <c r="F41" s="21"/>
      <c r="G41" s="53"/>
    </row>
    <row r="42" spans="1:13" x14ac:dyDescent="0.3">
      <c r="B42" s="21"/>
      <c r="C42" s="21"/>
      <c r="D42" s="21"/>
      <c r="E42" s="21"/>
      <c r="F42" s="21"/>
      <c r="G42" s="53"/>
    </row>
    <row r="43" spans="1:13" x14ac:dyDescent="0.3">
      <c r="F43" s="23"/>
    </row>
    <row r="44" spans="1:13" s="1" customFormat="1" x14ac:dyDescent="0.3">
      <c r="A44" s="1" t="s">
        <v>200</v>
      </c>
      <c r="B44" s="1">
        <v>2013</v>
      </c>
      <c r="C44" s="1">
        <v>2014</v>
      </c>
      <c r="D44" s="1">
        <v>2015</v>
      </c>
      <c r="E44" s="1">
        <v>2016</v>
      </c>
      <c r="F44" s="22">
        <v>2017</v>
      </c>
      <c r="G44" s="29">
        <v>2018</v>
      </c>
      <c r="H44" s="1">
        <v>2019</v>
      </c>
      <c r="I44" s="29">
        <v>2020</v>
      </c>
      <c r="J44" s="1">
        <v>2021</v>
      </c>
      <c r="K44" s="29">
        <v>2022</v>
      </c>
    </row>
    <row r="45" spans="1:13" x14ac:dyDescent="0.3">
      <c r="A45" t="s">
        <v>17</v>
      </c>
      <c r="B45">
        <f>32183717+508647-1440000</f>
        <v>31252364</v>
      </c>
      <c r="C45">
        <f>35247361+522307-750000</f>
        <v>35019668</v>
      </c>
      <c r="D45">
        <f>39567100+1859207</f>
        <v>41426307</v>
      </c>
      <c r="E45">
        <f>46257106-2200931</f>
        <v>44056175</v>
      </c>
      <c r="F45" s="23">
        <f>52269549-2202223</f>
        <v>50067326</v>
      </c>
      <c r="G45" s="70">
        <f>G50*G6</f>
        <v>55159270.805100009</v>
      </c>
      <c r="H45">
        <f t="shared" ref="H45:K45" si="36">H50*H6</f>
        <v>56025645.994320013</v>
      </c>
      <c r="I45">
        <f t="shared" si="36"/>
        <v>59480678.138754413</v>
      </c>
      <c r="J45">
        <f t="shared" si="36"/>
        <v>61401970.92799864</v>
      </c>
      <c r="K45">
        <f t="shared" si="36"/>
        <v>63305357.135023817</v>
      </c>
      <c r="M45" t="s">
        <v>244</v>
      </c>
    </row>
    <row r="46" spans="1:13" x14ac:dyDescent="0.3">
      <c r="A46" t="s">
        <v>13</v>
      </c>
      <c r="B46">
        <f>20629665+857946-6213909</f>
        <v>15273702</v>
      </c>
      <c r="C46">
        <f>21812316+549628-7328284</f>
        <v>15033660</v>
      </c>
      <c r="D46">
        <f>26043988+676335-6248985</f>
        <v>20471338</v>
      </c>
      <c r="E46">
        <f>33763356-9191013</f>
        <v>24572343</v>
      </c>
      <c r="F46" s="23">
        <f>41434412-14004986</f>
        <v>27429426</v>
      </c>
      <c r="G46" s="70">
        <f>G51*G6</f>
        <v>41787326.3675</v>
      </c>
      <c r="H46">
        <f t="shared" ref="H46:K46" si="37">H51*H6</f>
        <v>46688038.328600004</v>
      </c>
      <c r="I46">
        <f t="shared" si="37"/>
        <v>49225388.804486409</v>
      </c>
      <c r="J46">
        <f t="shared" si="37"/>
        <v>52630260.795427404</v>
      </c>
      <c r="K46">
        <f t="shared" si="37"/>
        <v>56271428.564465612</v>
      </c>
      <c r="M46" t="s">
        <v>245</v>
      </c>
    </row>
    <row r="47" spans="1:13" s="1" customFormat="1" x14ac:dyDescent="0.3">
      <c r="A47" s="1" t="s">
        <v>81</v>
      </c>
      <c r="B47" s="1">
        <f>B45-B46</f>
        <v>15978662</v>
      </c>
      <c r="C47" s="1">
        <f t="shared" ref="C47:F47" si="38">C45-C46</f>
        <v>19986008</v>
      </c>
      <c r="D47" s="1">
        <f t="shared" si="38"/>
        <v>20954969</v>
      </c>
      <c r="E47" s="1">
        <f t="shared" si="38"/>
        <v>19483832</v>
      </c>
      <c r="F47" s="22">
        <f t="shared" si="38"/>
        <v>22637900</v>
      </c>
      <c r="G47" s="71">
        <f>G45-G46</f>
        <v>13371944.437600009</v>
      </c>
      <c r="H47" s="1">
        <f t="shared" ref="H47:K47" si="39">H45-H46</f>
        <v>9337607.6657200083</v>
      </c>
      <c r="I47" s="1">
        <f t="shared" si="39"/>
        <v>10255289.334268004</v>
      </c>
      <c r="J47" s="1">
        <f t="shared" si="39"/>
        <v>8771710.1325712353</v>
      </c>
      <c r="K47" s="1">
        <f t="shared" si="39"/>
        <v>7033928.5705582052</v>
      </c>
    </row>
    <row r="48" spans="1:13" x14ac:dyDescent="0.3">
      <c r="F48" s="23"/>
    </row>
    <row r="49" spans="1:13" s="1" customFormat="1" x14ac:dyDescent="0.3">
      <c r="A49" s="1" t="s">
        <v>31</v>
      </c>
      <c r="B49" s="1">
        <v>2013</v>
      </c>
      <c r="C49" s="1">
        <v>2014</v>
      </c>
      <c r="D49" s="1">
        <v>2015</v>
      </c>
      <c r="E49" s="1">
        <v>2016</v>
      </c>
      <c r="F49" s="22">
        <v>2017</v>
      </c>
      <c r="G49" s="1">
        <v>2018</v>
      </c>
      <c r="H49" s="1">
        <v>2019</v>
      </c>
      <c r="I49" s="1">
        <v>2020</v>
      </c>
      <c r="J49" s="1">
        <v>2021</v>
      </c>
      <c r="K49" s="1">
        <v>2022</v>
      </c>
    </row>
    <row r="50" spans="1:13" x14ac:dyDescent="0.3">
      <c r="A50" t="s">
        <v>17</v>
      </c>
      <c r="B50" s="3">
        <f>B45/B6</f>
        <v>0.35973973158884848</v>
      </c>
      <c r="C50" s="3">
        <f>C45/C6</f>
        <v>0.36470312233509439</v>
      </c>
      <c r="D50" s="3">
        <f>D45/D6</f>
        <v>0.37007282892826415</v>
      </c>
      <c r="E50" s="3">
        <f>E45/E6</f>
        <v>0.34521103436328848</v>
      </c>
      <c r="F50" s="25">
        <f>F45/F6</f>
        <v>0.34172594373406728</v>
      </c>
      <c r="G50" s="80">
        <f>AKTIVA!G36</f>
        <v>0.33000000000000007</v>
      </c>
      <c r="H50" s="77">
        <f>AKTIVA!H36</f>
        <v>0.30000000000000004</v>
      </c>
      <c r="I50" s="77">
        <f>AKTIVA!I36</f>
        <v>0.29000000000000004</v>
      </c>
      <c r="J50" s="77">
        <f>AKTIVA!J36</f>
        <v>0.28000000000000003</v>
      </c>
      <c r="K50" s="77">
        <f>AKTIVA!K36</f>
        <v>0.27</v>
      </c>
      <c r="M50" t="s">
        <v>161</v>
      </c>
    </row>
    <row r="51" spans="1:13" x14ac:dyDescent="0.3">
      <c r="A51" t="s">
        <v>13</v>
      </c>
      <c r="B51" s="3">
        <f>B46/B6</f>
        <v>0.17581253878420391</v>
      </c>
      <c r="C51" s="3">
        <f>C46/C6</f>
        <v>0.15656409826969847</v>
      </c>
      <c r="D51" s="3">
        <f>D46/D6</f>
        <v>0.18287620872424551</v>
      </c>
      <c r="E51" s="3">
        <f>E46/E6</f>
        <v>0.19254154369414755</v>
      </c>
      <c r="F51" s="25">
        <f>F46/F6</f>
        <v>0.18721484119071513</v>
      </c>
      <c r="G51" s="87">
        <f>PASIVA!G23</f>
        <v>0.25</v>
      </c>
      <c r="H51" s="77">
        <f>PASIVA!H23</f>
        <v>0.25</v>
      </c>
      <c r="I51" s="77">
        <f>PASIVA!I23</f>
        <v>0.24000000000000002</v>
      </c>
      <c r="J51" s="77">
        <f>PASIVA!J23</f>
        <v>0.24000000000000002</v>
      </c>
      <c r="K51" s="77">
        <f>PASIVA!K23</f>
        <v>0.24000000000000002</v>
      </c>
    </row>
    <row r="52" spans="1:13" x14ac:dyDescent="0.3">
      <c r="A52" s="1" t="s">
        <v>81</v>
      </c>
      <c r="B52" s="3">
        <f t="shared" ref="B52:G52" si="40">B47/B6</f>
        <v>0.18392719280464456</v>
      </c>
      <c r="C52" s="3">
        <f t="shared" si="40"/>
        <v>0.20813902406539592</v>
      </c>
      <c r="D52" s="3">
        <f t="shared" si="40"/>
        <v>0.18719662020401862</v>
      </c>
      <c r="E52" s="3">
        <f t="shared" si="40"/>
        <v>0.15266949066914093</v>
      </c>
      <c r="F52" s="25">
        <f t="shared" si="40"/>
        <v>0.15451110254335215</v>
      </c>
      <c r="G52" s="81">
        <f t="shared" si="40"/>
        <v>8.0000000000000057E-2</v>
      </c>
      <c r="H52" s="3">
        <f t="shared" ref="H52:K52" si="41">H47/H6</f>
        <v>5.0000000000000037E-2</v>
      </c>
      <c r="I52" s="3">
        <f t="shared" si="41"/>
        <v>5.0000000000000017E-2</v>
      </c>
      <c r="J52" s="3">
        <f t="shared" si="41"/>
        <v>4.0000000000000008E-2</v>
      </c>
      <c r="K52" s="3">
        <f t="shared" si="41"/>
        <v>3.0000000000000016E-2</v>
      </c>
    </row>
    <row r="53" spans="1:13" x14ac:dyDescent="0.3">
      <c r="A53" t="s">
        <v>247</v>
      </c>
      <c r="C53">
        <f>C47-B47</f>
        <v>4007346</v>
      </c>
      <c r="D53">
        <f t="shared" ref="D53:K53" si="42">D47-C47</f>
        <v>968961</v>
      </c>
      <c r="E53">
        <f t="shared" si="42"/>
        <v>-1471137</v>
      </c>
      <c r="F53">
        <f t="shared" si="42"/>
        <v>3154068</v>
      </c>
      <c r="G53">
        <f t="shared" si="42"/>
        <v>-9265955.5623999909</v>
      </c>
      <c r="H53">
        <f t="shared" si="42"/>
        <v>-4034336.7718800008</v>
      </c>
      <c r="I53">
        <f t="shared" si="42"/>
        <v>917681.66854799539</v>
      </c>
      <c r="J53">
        <f t="shared" si="42"/>
        <v>-1483579.2016967684</v>
      </c>
      <c r="K53">
        <f t="shared" si="42"/>
        <v>-1737781.5620130301</v>
      </c>
    </row>
    <row r="54" spans="1:13" x14ac:dyDescent="0.3">
      <c r="G54" s="98"/>
    </row>
    <row r="55" spans="1:13" s="1" customFormat="1" x14ac:dyDescent="0.3">
      <c r="A55" s="1" t="s">
        <v>50</v>
      </c>
      <c r="B55" s="1">
        <v>2013</v>
      </c>
      <c r="C55" s="1">
        <v>2014</v>
      </c>
      <c r="D55" s="1">
        <v>2015</v>
      </c>
      <c r="E55" s="1">
        <v>2016</v>
      </c>
      <c r="F55" s="22">
        <v>2017</v>
      </c>
      <c r="G55" s="1">
        <v>2018</v>
      </c>
      <c r="H55" s="1">
        <v>2019</v>
      </c>
      <c r="I55" s="1">
        <v>2020</v>
      </c>
      <c r="J55" s="1">
        <v>2021</v>
      </c>
      <c r="K55" s="1">
        <v>2022</v>
      </c>
    </row>
    <row r="56" spans="1:13" x14ac:dyDescent="0.3">
      <c r="A56" t="s">
        <v>51</v>
      </c>
      <c r="B56">
        <v>3011623</v>
      </c>
      <c r="C56">
        <v>6487750</v>
      </c>
      <c r="D56">
        <v>8547168</v>
      </c>
      <c r="E56">
        <v>10861125</v>
      </c>
      <c r="F56" s="23">
        <v>11548315</v>
      </c>
    </row>
    <row r="57" spans="1:13" x14ac:dyDescent="0.3">
      <c r="A57" s="4" t="s">
        <v>52</v>
      </c>
      <c r="B57">
        <v>126431</v>
      </c>
      <c r="C57">
        <v>211016</v>
      </c>
      <c r="D57">
        <v>156609</v>
      </c>
      <c r="E57">
        <v>643538</v>
      </c>
      <c r="F57" s="23">
        <v>703558</v>
      </c>
      <c r="M57" t="s">
        <v>53</v>
      </c>
    </row>
    <row r="58" spans="1:13" s="7" customFormat="1" x14ac:dyDescent="0.3">
      <c r="A58" s="7" t="s">
        <v>54</v>
      </c>
      <c r="B58" s="7">
        <f>B56-B57</f>
        <v>2885192</v>
      </c>
      <c r="C58" s="7">
        <f t="shared" ref="C58:F58" si="43">C56-C57</f>
        <v>6276734</v>
      </c>
      <c r="D58" s="7">
        <f t="shared" si="43"/>
        <v>8390559</v>
      </c>
      <c r="E58" s="7">
        <f t="shared" si="43"/>
        <v>10217587</v>
      </c>
      <c r="F58" s="39">
        <f t="shared" si="43"/>
        <v>10844757</v>
      </c>
      <c r="G58" s="82">
        <f>F58*G59</f>
        <v>11386994.85</v>
      </c>
      <c r="H58" s="7">
        <f t="shared" ref="H58:K58" si="44">G58*H59</f>
        <v>11842474.643999999</v>
      </c>
      <c r="I58" s="7">
        <f t="shared" si="44"/>
        <v>12197748.88332</v>
      </c>
      <c r="J58" s="7">
        <f t="shared" si="44"/>
        <v>12563681.349819601</v>
      </c>
      <c r="K58" s="7">
        <f t="shared" si="44"/>
        <v>12940591.790314188</v>
      </c>
    </row>
    <row r="59" spans="1:13" x14ac:dyDescent="0.3">
      <c r="A59" t="s">
        <v>107</v>
      </c>
      <c r="C59" s="3">
        <f>C58/B58</f>
        <v>2.1754995854695287</v>
      </c>
      <c r="D59" s="3">
        <f t="shared" ref="D59:F59" si="45">D58/C58</f>
        <v>1.3367714801997344</v>
      </c>
      <c r="E59" s="3">
        <f t="shared" si="45"/>
        <v>1.2177480666067659</v>
      </c>
      <c r="F59" s="3">
        <f t="shared" si="45"/>
        <v>1.0613814200945879</v>
      </c>
      <c r="G59" s="54">
        <v>1.05</v>
      </c>
      <c r="H59" s="30">
        <v>1.04</v>
      </c>
      <c r="I59" s="30">
        <v>1.03</v>
      </c>
      <c r="J59" s="30">
        <v>1.03</v>
      </c>
      <c r="K59" s="30">
        <v>1.03</v>
      </c>
      <c r="L59" t="s">
        <v>170</v>
      </c>
    </row>
    <row r="60" spans="1:13" ht="15" thickBot="1" x14ac:dyDescent="0.35">
      <c r="F60" s="23"/>
    </row>
    <row r="61" spans="1:13" s="1" customFormat="1" ht="15" thickBot="1" x14ac:dyDescent="0.35">
      <c r="A61" s="58" t="s">
        <v>55</v>
      </c>
      <c r="B61" s="58">
        <v>2013</v>
      </c>
      <c r="C61" s="58">
        <v>2014</v>
      </c>
      <c r="D61" s="58">
        <v>2015</v>
      </c>
      <c r="E61" s="58">
        <v>2016</v>
      </c>
      <c r="F61" s="58">
        <v>2017</v>
      </c>
      <c r="G61" s="58">
        <v>2018</v>
      </c>
      <c r="H61" s="58">
        <v>2019</v>
      </c>
      <c r="I61" s="58">
        <v>2020</v>
      </c>
      <c r="J61" s="58">
        <v>2021</v>
      </c>
      <c r="K61" s="58">
        <v>2022</v>
      </c>
    </row>
    <row r="62" spans="1:13" ht="15" thickBot="1" x14ac:dyDescent="0.35">
      <c r="A62" s="59" t="s">
        <v>56</v>
      </c>
      <c r="B62" s="59">
        <f>B58</f>
        <v>2885192</v>
      </c>
      <c r="C62" s="59">
        <f t="shared" ref="C62:K62" si="46">C58</f>
        <v>6276734</v>
      </c>
      <c r="D62" s="59">
        <f t="shared" si="46"/>
        <v>8390559</v>
      </c>
      <c r="E62" s="59">
        <f t="shared" si="46"/>
        <v>10217587</v>
      </c>
      <c r="F62" s="59">
        <f t="shared" si="46"/>
        <v>10844757</v>
      </c>
      <c r="G62" s="59">
        <f t="shared" si="46"/>
        <v>11386994.85</v>
      </c>
      <c r="H62" s="59">
        <f t="shared" si="46"/>
        <v>11842474.643999999</v>
      </c>
      <c r="I62" s="59">
        <f t="shared" si="46"/>
        <v>12197748.88332</v>
      </c>
      <c r="J62" s="59">
        <f t="shared" si="46"/>
        <v>12563681.349819601</v>
      </c>
      <c r="K62" s="59">
        <f t="shared" si="46"/>
        <v>12940591.790314188</v>
      </c>
    </row>
    <row r="63" spans="1:13" ht="15" thickBot="1" x14ac:dyDescent="0.35">
      <c r="A63" s="60" t="s">
        <v>48</v>
      </c>
      <c r="B63" s="59">
        <f>B22</f>
        <v>5566172</v>
      </c>
      <c r="C63" s="59">
        <f t="shared" ref="C63:F63" si="47">C22</f>
        <v>5240166</v>
      </c>
      <c r="D63" s="59">
        <f t="shared" si="47"/>
        <v>5430337</v>
      </c>
      <c r="E63" s="59">
        <f t="shared" si="47"/>
        <v>6219574</v>
      </c>
      <c r="F63" s="59">
        <f t="shared" si="47"/>
        <v>7405570</v>
      </c>
      <c r="G63" s="59">
        <f>'STARE AMORT. IN INVEST.'!G95</f>
        <v>10825615.15</v>
      </c>
      <c r="H63" s="59">
        <f>'STARE AMORT. IN INVEST.'!H95</f>
        <v>13222034.267863519</v>
      </c>
      <c r="I63" s="59">
        <f>'STARE AMORT. IN INVEST.'!I95</f>
        <v>15130574.296404876</v>
      </c>
      <c r="J63" s="59">
        <f>'STARE AMORT. IN INVEST.'!J95</f>
        <v>16539778.801445488</v>
      </c>
      <c r="K63" s="59">
        <f>'STARE AMORT. IN INVEST.'!K95</f>
        <v>16845288.985135462</v>
      </c>
    </row>
    <row r="64" spans="1:13" ht="15" thickBot="1" x14ac:dyDescent="0.35">
      <c r="A64" s="61" t="s">
        <v>58</v>
      </c>
      <c r="B64" s="59">
        <f>-NALOŽBE!B28</f>
        <v>-2779620</v>
      </c>
      <c r="C64" s="59">
        <f>-NALOŽBE!C28</f>
        <v>704149</v>
      </c>
      <c r="D64" s="59">
        <f>-NALOŽBE!D28</f>
        <v>5671900</v>
      </c>
      <c r="E64" s="59">
        <f>-NALOŽBE!E28</f>
        <v>18162580</v>
      </c>
      <c r="F64" s="59">
        <f>-NALOŽBE!F28</f>
        <v>9211658</v>
      </c>
      <c r="G64" s="59">
        <f>-NALOŽBE!G28</f>
        <v>9232301.5063999984</v>
      </c>
      <c r="H64" s="59">
        <f>-NALOŽBE!H28</f>
        <v>7320702.5967204832</v>
      </c>
      <c r="I64" s="59">
        <f>-NALOŽBE!I28</f>
        <v>5380004.3721311279</v>
      </c>
      <c r="J64" s="59">
        <f>-NALOŽBE!J28</f>
        <v>1003641.463696979</v>
      </c>
      <c r="K64" s="59">
        <f>-NALOŽBE!K28</f>
        <v>1911853.8696864098</v>
      </c>
    </row>
    <row r="65" spans="1:12" ht="15" thickBot="1" x14ac:dyDescent="0.35">
      <c r="A65" s="61" t="s">
        <v>57</v>
      </c>
      <c r="B65" s="59">
        <f>NALOŽBE!B48</f>
        <v>1265432.1792551689</v>
      </c>
      <c r="C65" s="59">
        <f>NALOŽBE!C48</f>
        <v>-4086343.6172028296</v>
      </c>
      <c r="D65" s="59">
        <f>NALOŽBE!D48</f>
        <v>-2520137.7554134876</v>
      </c>
      <c r="E65" s="59">
        <f>NALOŽBE!E48</f>
        <v>-24659.412151221186</v>
      </c>
      <c r="F65" s="59">
        <f>NALOŽBE!F48</f>
        <v>-974036.59999999776</v>
      </c>
      <c r="G65" s="59">
        <f>NALOŽBE!G48</f>
        <v>-5014479.1640999913</v>
      </c>
      <c r="H65" s="59">
        <f>NALOŽBE!H48</f>
        <v>0</v>
      </c>
      <c r="I65" s="59">
        <f>NALOŽBE!I48</f>
        <v>-2051057.8668535873</v>
      </c>
      <c r="J65" s="59">
        <f>NALOŽBE!J48</f>
        <v>-2192927.5331428163</v>
      </c>
      <c r="K65" s="59">
        <f>NALOŽBE!K48</f>
        <v>0</v>
      </c>
    </row>
    <row r="66" spans="1:12" s="7" customFormat="1" ht="15" thickBot="1" x14ac:dyDescent="0.35">
      <c r="A66" s="62" t="s">
        <v>59</v>
      </c>
      <c r="B66" s="62">
        <f>B62+B63-B64-B65</f>
        <v>9965551.8207448311</v>
      </c>
      <c r="C66" s="62">
        <f>C62+C63-C64-C65</f>
        <v>14899094.61720283</v>
      </c>
      <c r="D66" s="62">
        <f>D62+D63-D64-D65</f>
        <v>10669133.755413488</v>
      </c>
      <c r="E66" s="62">
        <f>E62+E63-E64-E65</f>
        <v>-1700759.5878487788</v>
      </c>
      <c r="F66" s="62">
        <f t="shared" ref="F66:K66" si="48">F62+F63-F64-F65</f>
        <v>10012705.599999998</v>
      </c>
      <c r="G66" s="62">
        <f t="shared" si="48"/>
        <v>17994787.657699995</v>
      </c>
      <c r="H66" s="62">
        <f t="shared" si="48"/>
        <v>17743806.315143038</v>
      </c>
      <c r="I66" s="62">
        <f t="shared" si="48"/>
        <v>23999376.674447335</v>
      </c>
      <c r="J66" s="62">
        <f t="shared" si="48"/>
        <v>30292746.220710926</v>
      </c>
      <c r="K66" s="62">
        <f t="shared" si="48"/>
        <v>27874026.905763239</v>
      </c>
    </row>
    <row r="67" spans="1:12" x14ac:dyDescent="0.3">
      <c r="F67" s="97"/>
    </row>
    <row r="68" spans="1:12" x14ac:dyDescent="0.3">
      <c r="F68" s="23"/>
    </row>
    <row r="69" spans="1:12" s="1" customFormat="1" x14ac:dyDescent="0.3">
      <c r="B69" s="1">
        <v>2013</v>
      </c>
      <c r="C69" s="1">
        <v>2014</v>
      </c>
      <c r="D69" s="1">
        <v>2015</v>
      </c>
      <c r="E69" s="1">
        <v>2016</v>
      </c>
      <c r="F69" s="22">
        <v>2017</v>
      </c>
      <c r="G69" s="1">
        <v>2018</v>
      </c>
      <c r="H69" s="1">
        <v>2019</v>
      </c>
      <c r="I69" s="1">
        <v>2020</v>
      </c>
      <c r="J69" s="1">
        <v>2021</v>
      </c>
      <c r="K69" s="1">
        <v>2022</v>
      </c>
    </row>
    <row r="70" spans="1:12" x14ac:dyDescent="0.3">
      <c r="A70" t="s">
        <v>239</v>
      </c>
      <c r="B70">
        <v>22166278</v>
      </c>
      <c r="C70">
        <v>24145924</v>
      </c>
      <c r="D70">
        <v>26083022</v>
      </c>
      <c r="E70">
        <v>30776943</v>
      </c>
      <c r="F70" s="23">
        <v>34236712</v>
      </c>
      <c r="G70">
        <f>G71*G72</f>
        <v>35898562.000480004</v>
      </c>
      <c r="H70">
        <f t="shared" ref="H70:K70" si="49">H71*H72</f>
        <v>37678053.718843795</v>
      </c>
      <c r="I70">
        <f t="shared" si="49"/>
        <v>39200247.08908508</v>
      </c>
      <c r="J70">
        <f t="shared" si="49"/>
        <v>40783937.071484126</v>
      </c>
      <c r="K70">
        <f t="shared" si="49"/>
        <v>42431608.129172079</v>
      </c>
    </row>
    <row r="71" spans="1:12" x14ac:dyDescent="0.3">
      <c r="A71" t="s">
        <v>240</v>
      </c>
      <c r="B71">
        <v>1014</v>
      </c>
      <c r="C71">
        <v>1068</v>
      </c>
      <c r="D71">
        <v>1086</v>
      </c>
      <c r="E71">
        <v>1225</v>
      </c>
      <c r="F71" s="23">
        <v>1265</v>
      </c>
      <c r="G71">
        <f>G73*F71</f>
        <v>1302.95</v>
      </c>
      <c r="H71">
        <f t="shared" ref="H71:K71" si="50">H73*G71</f>
        <v>1342.0385000000001</v>
      </c>
      <c r="I71">
        <f t="shared" si="50"/>
        <v>1368.8792700000001</v>
      </c>
      <c r="J71">
        <f t="shared" si="50"/>
        <v>1396.2568554000002</v>
      </c>
      <c r="K71">
        <f t="shared" si="50"/>
        <v>1424.1819925080001</v>
      </c>
    </row>
    <row r="72" spans="1:12" x14ac:dyDescent="0.3">
      <c r="A72" t="s">
        <v>238</v>
      </c>
      <c r="B72">
        <f>B70/B71</f>
        <v>21860.234714003946</v>
      </c>
      <c r="C72">
        <f t="shared" ref="C72:F72" si="51">C70/C71</f>
        <v>22608.54307116105</v>
      </c>
      <c r="D72">
        <f t="shared" si="51"/>
        <v>24017.515653775321</v>
      </c>
      <c r="E72">
        <f t="shared" si="51"/>
        <v>25124.035102040816</v>
      </c>
      <c r="F72" s="23">
        <f t="shared" si="51"/>
        <v>27064.594466403163</v>
      </c>
      <c r="G72">
        <f>F72*1.018</f>
        <v>27551.757166798419</v>
      </c>
      <c r="H72">
        <f>G72*1.019</f>
        <v>28075.240552967585</v>
      </c>
      <c r="I72">
        <f>H72*1.02</f>
        <v>28636.745364026938</v>
      </c>
      <c r="J72">
        <f t="shared" ref="J72:K72" si="52">I72*1.02</f>
        <v>29209.480271307479</v>
      </c>
      <c r="K72">
        <f t="shared" si="52"/>
        <v>29793.669876733627</v>
      </c>
      <c r="L72" t="s">
        <v>243</v>
      </c>
    </row>
    <row r="73" spans="1:12" x14ac:dyDescent="0.3">
      <c r="A73" t="s">
        <v>241</v>
      </c>
      <c r="C73" s="3">
        <f>C71/B71</f>
        <v>1.0532544378698225</v>
      </c>
      <c r="D73" s="3">
        <f t="shared" ref="D73:F73" si="53">D71/C71</f>
        <v>1.0168539325842696</v>
      </c>
      <c r="E73" s="3">
        <f t="shared" si="53"/>
        <v>1.1279926335174955</v>
      </c>
      <c r="F73" s="25">
        <f t="shared" si="53"/>
        <v>1.0326530612244897</v>
      </c>
      <c r="G73" s="21">
        <v>1.03</v>
      </c>
      <c r="H73" s="21">
        <v>1.03</v>
      </c>
      <c r="I73" s="21">
        <v>1.02</v>
      </c>
      <c r="J73" s="21">
        <v>1.02</v>
      </c>
      <c r="K73" s="21">
        <v>1.02</v>
      </c>
      <c r="L73" t="s">
        <v>242</v>
      </c>
    </row>
    <row r="74" spans="1:12" x14ac:dyDescent="0.3">
      <c r="F74" s="23"/>
    </row>
    <row r="75" spans="1:12" x14ac:dyDescent="0.3">
      <c r="F75" s="23"/>
    </row>
    <row r="76" spans="1:12" x14ac:dyDescent="0.3">
      <c r="F76" s="23"/>
    </row>
    <row r="77" spans="1:12" x14ac:dyDescent="0.3">
      <c r="F77" s="23"/>
    </row>
    <row r="78" spans="1:12" x14ac:dyDescent="0.3">
      <c r="F78" s="23"/>
    </row>
    <row r="79" spans="1:12" x14ac:dyDescent="0.3">
      <c r="F79" s="23"/>
    </row>
    <row r="80" spans="1:12" x14ac:dyDescent="0.3">
      <c r="F80" s="23"/>
    </row>
    <row r="81" spans="6:6" x14ac:dyDescent="0.3">
      <c r="F81" s="23"/>
    </row>
    <row r="82" spans="6:6" x14ac:dyDescent="0.3">
      <c r="F82" s="23"/>
    </row>
    <row r="83" spans="6:6" x14ac:dyDescent="0.3">
      <c r="F83" s="23"/>
    </row>
    <row r="84" spans="6:6" x14ac:dyDescent="0.3">
      <c r="F84" s="23"/>
    </row>
    <row r="85" spans="6:6" x14ac:dyDescent="0.3">
      <c r="F85" s="23"/>
    </row>
    <row r="86" spans="6:6" x14ac:dyDescent="0.3">
      <c r="F86" s="23"/>
    </row>
    <row r="87" spans="6:6" x14ac:dyDescent="0.3">
      <c r="F87" s="23"/>
    </row>
    <row r="88" spans="6:6" x14ac:dyDescent="0.3">
      <c r="F88" s="23"/>
    </row>
    <row r="89" spans="6:6" x14ac:dyDescent="0.3">
      <c r="F89" s="23"/>
    </row>
    <row r="90" spans="6:6" x14ac:dyDescent="0.3">
      <c r="F90" s="23"/>
    </row>
    <row r="91" spans="6:6" x14ac:dyDescent="0.3">
      <c r="F91" s="23"/>
    </row>
    <row r="92" spans="6:6" x14ac:dyDescent="0.3">
      <c r="F92" s="23"/>
    </row>
    <row r="93" spans="6:6" x14ac:dyDescent="0.3">
      <c r="F93" s="23"/>
    </row>
    <row r="94" spans="6:6" x14ac:dyDescent="0.3">
      <c r="F94" s="23"/>
    </row>
    <row r="95" spans="6:6" x14ac:dyDescent="0.3">
      <c r="F95" s="23"/>
    </row>
    <row r="96" spans="6:6" x14ac:dyDescent="0.3">
      <c r="F96" s="23"/>
    </row>
    <row r="97" spans="6:6" x14ac:dyDescent="0.3">
      <c r="F97" s="23"/>
    </row>
    <row r="98" spans="6:6" x14ac:dyDescent="0.3">
      <c r="F98" s="23"/>
    </row>
    <row r="99" spans="6:6" x14ac:dyDescent="0.3">
      <c r="F99" s="23"/>
    </row>
    <row r="100" spans="6:6" x14ac:dyDescent="0.3">
      <c r="F100" s="23"/>
    </row>
    <row r="101" spans="6:6" x14ac:dyDescent="0.3">
      <c r="F101" s="23"/>
    </row>
    <row r="102" spans="6:6" x14ac:dyDescent="0.3">
      <c r="F102" s="23"/>
    </row>
    <row r="103" spans="6:6" x14ac:dyDescent="0.3">
      <c r="F103" s="23"/>
    </row>
    <row r="104" spans="6:6" x14ac:dyDescent="0.3">
      <c r="F104" s="23"/>
    </row>
    <row r="105" spans="6:6" x14ac:dyDescent="0.3">
      <c r="F105" s="23"/>
    </row>
    <row r="106" spans="6:6" x14ac:dyDescent="0.3">
      <c r="F106" s="23"/>
    </row>
    <row r="107" spans="6:6" x14ac:dyDescent="0.3">
      <c r="F107" s="23"/>
    </row>
    <row r="108" spans="6:6" x14ac:dyDescent="0.3">
      <c r="F108" s="23"/>
    </row>
    <row r="109" spans="6:6" x14ac:dyDescent="0.3">
      <c r="F109" s="23"/>
    </row>
    <row r="110" spans="6:6" x14ac:dyDescent="0.3">
      <c r="F110" s="23"/>
    </row>
    <row r="111" spans="6:6" x14ac:dyDescent="0.3">
      <c r="F111" s="23"/>
    </row>
    <row r="112" spans="6:6" x14ac:dyDescent="0.3">
      <c r="F112" s="23"/>
    </row>
    <row r="113" spans="6:6" x14ac:dyDescent="0.3">
      <c r="F113" s="23"/>
    </row>
    <row r="114" spans="6:6" x14ac:dyDescent="0.3">
      <c r="F114" s="23"/>
    </row>
    <row r="115" spans="6:6" x14ac:dyDescent="0.3">
      <c r="F115" s="23"/>
    </row>
    <row r="116" spans="6:6" x14ac:dyDescent="0.3">
      <c r="F116" s="23"/>
    </row>
    <row r="117" spans="6:6" x14ac:dyDescent="0.3">
      <c r="F117" s="23"/>
    </row>
    <row r="118" spans="6:6" x14ac:dyDescent="0.3">
      <c r="F118" s="23"/>
    </row>
    <row r="119" spans="6:6" x14ac:dyDescent="0.3">
      <c r="F119" s="23"/>
    </row>
    <row r="120" spans="6:6" x14ac:dyDescent="0.3">
      <c r="F120" s="23"/>
    </row>
    <row r="121" spans="6:6" x14ac:dyDescent="0.3">
      <c r="F121" s="23"/>
    </row>
    <row r="122" spans="6:6" x14ac:dyDescent="0.3">
      <c r="F122" s="23"/>
    </row>
    <row r="123" spans="6:6" x14ac:dyDescent="0.3">
      <c r="F123" s="23"/>
    </row>
    <row r="124" spans="6:6" x14ac:dyDescent="0.3">
      <c r="F124" s="23"/>
    </row>
    <row r="125" spans="6:6" x14ac:dyDescent="0.3">
      <c r="F125" s="23"/>
    </row>
    <row r="126" spans="6:6" x14ac:dyDescent="0.3">
      <c r="F126" s="23"/>
    </row>
    <row r="127" spans="6:6" x14ac:dyDescent="0.3">
      <c r="F127" s="23"/>
    </row>
    <row r="128" spans="6:6" x14ac:dyDescent="0.3">
      <c r="F128" s="23"/>
    </row>
    <row r="129" spans="6:6" x14ac:dyDescent="0.3">
      <c r="F129" s="23"/>
    </row>
    <row r="130" spans="6:6" x14ac:dyDescent="0.3">
      <c r="F130" s="23"/>
    </row>
    <row r="131" spans="6:6" x14ac:dyDescent="0.3">
      <c r="F131" s="23"/>
    </row>
    <row r="132" spans="6:6" x14ac:dyDescent="0.3">
      <c r="F132" s="23"/>
    </row>
    <row r="133" spans="6:6" x14ac:dyDescent="0.3">
      <c r="F133" s="23"/>
    </row>
    <row r="134" spans="6:6" x14ac:dyDescent="0.3">
      <c r="F134" s="23"/>
    </row>
    <row r="135" spans="6:6" x14ac:dyDescent="0.3">
      <c r="F135" s="23"/>
    </row>
    <row r="136" spans="6:6" x14ac:dyDescent="0.3">
      <c r="F136" s="23"/>
    </row>
    <row r="137" spans="6:6" x14ac:dyDescent="0.3">
      <c r="F137" s="23"/>
    </row>
    <row r="138" spans="6:6" x14ac:dyDescent="0.3">
      <c r="F138" s="23"/>
    </row>
    <row r="139" spans="6:6" x14ac:dyDescent="0.3">
      <c r="F139" s="23"/>
    </row>
    <row r="140" spans="6:6" x14ac:dyDescent="0.3">
      <c r="F140" s="23"/>
    </row>
    <row r="141" spans="6:6" x14ac:dyDescent="0.3">
      <c r="F141" s="23"/>
    </row>
    <row r="142" spans="6:6" x14ac:dyDescent="0.3">
      <c r="F142" s="23"/>
    </row>
    <row r="143" spans="6:6" x14ac:dyDescent="0.3">
      <c r="F143" s="23"/>
    </row>
    <row r="144" spans="6:6" x14ac:dyDescent="0.3">
      <c r="F144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4B6-CF9E-42E8-BF6E-0A0861B52BD3}">
  <dimension ref="A1:F43"/>
  <sheetViews>
    <sheetView workbookViewId="0">
      <selection activeCell="C35" sqref="C35:F35"/>
    </sheetView>
  </sheetViews>
  <sheetFormatPr defaultRowHeight="14.4" x14ac:dyDescent="0.3"/>
  <cols>
    <col min="1" max="1" width="20.6640625" customWidth="1"/>
    <col min="2" max="6" width="10" bestFit="1" customWidth="1"/>
  </cols>
  <sheetData>
    <row r="1" spans="1:6" s="1" customFormat="1" x14ac:dyDescent="0.3">
      <c r="A1" s="63" t="s">
        <v>131</v>
      </c>
    </row>
    <row r="2" spans="1:6" s="1" customFormat="1" x14ac:dyDescent="0.3"/>
    <row r="4" spans="1:6" s="1" customFormat="1" x14ac:dyDescent="0.3">
      <c r="A4" s="1" t="s">
        <v>134</v>
      </c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x14ac:dyDescent="0.3">
      <c r="A5" t="s">
        <v>0</v>
      </c>
      <c r="B5">
        <v>122185320</v>
      </c>
      <c r="C5">
        <v>128922570</v>
      </c>
      <c r="D5">
        <v>127995087</v>
      </c>
      <c r="E5">
        <v>118838556</v>
      </c>
      <c r="F5">
        <v>122945814</v>
      </c>
    </row>
    <row r="6" spans="1:6" s="3" customFormat="1" x14ac:dyDescent="0.3">
      <c r="A6" s="3" t="s">
        <v>107</v>
      </c>
      <c r="C6" s="3">
        <f t="shared" ref="C6:E6" si="0">C5/B5</f>
        <v>1.0551396026953157</v>
      </c>
      <c r="D6" s="3">
        <f t="shared" si="0"/>
        <v>0.99280589116397544</v>
      </c>
      <c r="E6" s="3">
        <f t="shared" si="0"/>
        <v>0.92846185572732176</v>
      </c>
      <c r="F6" s="3">
        <f>F5/E5</f>
        <v>1.0345616619575888</v>
      </c>
    </row>
    <row r="7" spans="1:6" x14ac:dyDescent="0.3">
      <c r="A7" s="3" t="s">
        <v>128</v>
      </c>
      <c r="B7">
        <v>75500194</v>
      </c>
      <c r="C7">
        <v>92459528</v>
      </c>
      <c r="D7">
        <v>90138355</v>
      </c>
      <c r="E7">
        <v>85824942</v>
      </c>
      <c r="F7">
        <v>78916554</v>
      </c>
    </row>
    <row r="8" spans="1:6" x14ac:dyDescent="0.3">
      <c r="A8" s="3" t="s">
        <v>107</v>
      </c>
      <c r="C8" s="3">
        <f>C7/B7</f>
        <v>1.2246263632117289</v>
      </c>
      <c r="D8" s="3">
        <f t="shared" ref="D8:F8" si="1">D7/C7</f>
        <v>0.97489525362924201</v>
      </c>
      <c r="E8" s="3">
        <f t="shared" si="1"/>
        <v>0.95214675262267656</v>
      </c>
      <c r="F8" s="3">
        <f t="shared" si="1"/>
        <v>0.91950605687563414</v>
      </c>
    </row>
    <row r="9" spans="1:6" x14ac:dyDescent="0.3">
      <c r="A9" t="s">
        <v>132</v>
      </c>
      <c r="B9">
        <v>106853026</v>
      </c>
      <c r="C9">
        <v>111638223</v>
      </c>
      <c r="D9">
        <v>109179226</v>
      </c>
      <c r="E9">
        <v>102826891</v>
      </c>
      <c r="F9">
        <v>110471179</v>
      </c>
    </row>
    <row r="10" spans="1:6" s="3" customFormat="1" x14ac:dyDescent="0.3">
      <c r="A10" s="3" t="s">
        <v>107</v>
      </c>
      <c r="C10" s="3">
        <f t="shared" ref="C10:E10" si="2">C9/B9</f>
        <v>1.0447829806897559</v>
      </c>
      <c r="D10" s="3">
        <f t="shared" si="2"/>
        <v>0.97797352077164468</v>
      </c>
      <c r="E10" s="3">
        <f t="shared" si="2"/>
        <v>0.94181736551237316</v>
      </c>
      <c r="F10" s="3">
        <f>F9/E9</f>
        <v>1.074341331588057</v>
      </c>
    </row>
    <row r="11" spans="1:6" s="3" customFormat="1" x14ac:dyDescent="0.3">
      <c r="A11" s="3" t="s">
        <v>133</v>
      </c>
      <c r="B11" s="3">
        <f>B9/B5</f>
        <v>0.87451607116141283</v>
      </c>
      <c r="C11" s="3">
        <f>C9/C5</f>
        <v>0.86593234218027149</v>
      </c>
      <c r="D11" s="3">
        <f>D9/D5</f>
        <v>0.85299544348917078</v>
      </c>
      <c r="E11" s="3">
        <f>E9/E5</f>
        <v>0.86526540258533602</v>
      </c>
      <c r="F11" s="3">
        <f>F9/F5</f>
        <v>0.89853550442961805</v>
      </c>
    </row>
    <row r="12" spans="1:6" x14ac:dyDescent="0.3">
      <c r="A12" t="s">
        <v>56</v>
      </c>
      <c r="B12">
        <v>16291964</v>
      </c>
      <c r="C12">
        <v>16866641</v>
      </c>
      <c r="D12">
        <v>18373591</v>
      </c>
      <c r="E12">
        <v>17099318</v>
      </c>
      <c r="F12">
        <v>13357337</v>
      </c>
    </row>
    <row r="13" spans="1:6" x14ac:dyDescent="0.3">
      <c r="C13" s="3">
        <f>C12/B12</f>
        <v>1.0352736477934765</v>
      </c>
      <c r="D13" s="3">
        <f t="shared" ref="D13:F13" si="3">D12/C12</f>
        <v>1.0893449976198581</v>
      </c>
      <c r="E13" s="3">
        <f t="shared" si="3"/>
        <v>0.93064649147790435</v>
      </c>
      <c r="F13" s="3">
        <f t="shared" si="3"/>
        <v>0.78116197382842989</v>
      </c>
    </row>
    <row r="15" spans="1:6" s="1" customFormat="1" x14ac:dyDescent="0.3">
      <c r="A15" s="1" t="s">
        <v>135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x14ac:dyDescent="0.3">
      <c r="A16" t="s">
        <v>0</v>
      </c>
      <c r="B16">
        <v>31484000</v>
      </c>
      <c r="C16">
        <v>35158000</v>
      </c>
      <c r="D16">
        <v>33246000</v>
      </c>
      <c r="E16">
        <v>34144000</v>
      </c>
      <c r="F16">
        <v>40655000</v>
      </c>
    </row>
    <row r="17" spans="1:6" s="3" customFormat="1" x14ac:dyDescent="0.3">
      <c r="A17" s="3" t="s">
        <v>107</v>
      </c>
      <c r="C17" s="3">
        <f>C16/B16</f>
        <v>1.1166941938762547</v>
      </c>
      <c r="D17" s="3">
        <f t="shared" ref="D17:F17" si="4">D16/C16</f>
        <v>0.9456169292906309</v>
      </c>
      <c r="E17" s="3">
        <f t="shared" si="4"/>
        <v>1.0270107682127174</v>
      </c>
      <c r="F17" s="3">
        <f t="shared" si="4"/>
        <v>1.1906923617619494</v>
      </c>
    </row>
    <row r="18" spans="1:6" x14ac:dyDescent="0.3">
      <c r="A18" s="3" t="s">
        <v>136</v>
      </c>
      <c r="B18">
        <v>9102000</v>
      </c>
      <c r="C18">
        <v>10518000</v>
      </c>
      <c r="D18">
        <v>11197000</v>
      </c>
      <c r="E18">
        <v>11421000</v>
      </c>
      <c r="F18">
        <v>11670000</v>
      </c>
    </row>
    <row r="19" spans="1:6" s="3" customFormat="1" x14ac:dyDescent="0.3">
      <c r="A19" s="3" t="s">
        <v>107</v>
      </c>
      <c r="C19" s="3">
        <f>C18/B18</f>
        <v>1.1555702043506921</v>
      </c>
      <c r="D19" s="3">
        <f t="shared" ref="D19:F19" si="5">D18/C18</f>
        <v>1.0645559992393991</v>
      </c>
      <c r="E19" s="3">
        <f t="shared" si="5"/>
        <v>1.0200053585781905</v>
      </c>
      <c r="F19" s="3">
        <f t="shared" si="5"/>
        <v>1.0218019437877595</v>
      </c>
    </row>
    <row r="20" spans="1:6" x14ac:dyDescent="0.3">
      <c r="A20" t="s">
        <v>132</v>
      </c>
      <c r="B20">
        <f>(22811+6564+1186+79)*1000</f>
        <v>30640000</v>
      </c>
      <c r="C20">
        <f>(26533+6633+1213+128)*1000</f>
        <v>34507000</v>
      </c>
      <c r="D20">
        <f>(25268+7237+1204+93)*1000</f>
        <v>33802000</v>
      </c>
      <c r="E20">
        <f>(24017+7398+1519+97)*1000</f>
        <v>33031000</v>
      </c>
      <c r="F20">
        <f>(29081+8237+1879+105)*1000</f>
        <v>39302000</v>
      </c>
    </row>
    <row r="21" spans="1:6" s="3" customFormat="1" x14ac:dyDescent="0.3">
      <c r="A21" s="3" t="s">
        <v>107</v>
      </c>
      <c r="C21" s="3">
        <f>C20/B20</f>
        <v>1.1262075718015665</v>
      </c>
      <c r="D21" s="3">
        <f t="shared" ref="D21:F21" si="6">D20/C20</f>
        <v>0.97956936273799522</v>
      </c>
      <c r="E21" s="3">
        <f t="shared" si="6"/>
        <v>0.97719069877522036</v>
      </c>
      <c r="F21" s="3">
        <f t="shared" si="6"/>
        <v>1.1898519572522781</v>
      </c>
    </row>
    <row r="22" spans="1:6" s="3" customFormat="1" x14ac:dyDescent="0.3">
      <c r="A22" s="3" t="s">
        <v>133</v>
      </c>
      <c r="B22" s="3">
        <f>B20/B16</f>
        <v>0.97319273281666874</v>
      </c>
      <c r="C22" s="3">
        <f>C20/C16</f>
        <v>0.98148358837248995</v>
      </c>
      <c r="D22" s="3">
        <f>D20/D16</f>
        <v>1.0167238163989654</v>
      </c>
      <c r="E22" s="3">
        <f>E20/E16</f>
        <v>0.96740276476101217</v>
      </c>
      <c r="F22" s="3">
        <f>F20/F16</f>
        <v>0.96671996064444721</v>
      </c>
    </row>
    <row r="23" spans="1:6" x14ac:dyDescent="0.3">
      <c r="A23" t="s">
        <v>56</v>
      </c>
      <c r="B23">
        <v>990000</v>
      </c>
      <c r="C23">
        <v>736000</v>
      </c>
      <c r="D23">
        <v>89000</v>
      </c>
      <c r="E23">
        <v>1072000</v>
      </c>
      <c r="F23">
        <v>1025000</v>
      </c>
    </row>
    <row r="24" spans="1:6" x14ac:dyDescent="0.3">
      <c r="C24" s="3">
        <f>C23/B23</f>
        <v>0.74343434343434345</v>
      </c>
      <c r="D24" s="3">
        <f t="shared" ref="D24:F24" si="7">D23/C23</f>
        <v>0.12092391304347826</v>
      </c>
      <c r="E24" s="3">
        <f t="shared" si="7"/>
        <v>12.044943820224718</v>
      </c>
      <c r="F24" s="3">
        <f t="shared" si="7"/>
        <v>0.95615671641791045</v>
      </c>
    </row>
    <row r="26" spans="1:6" s="1" customFormat="1" x14ac:dyDescent="0.3">
      <c r="A26" s="1" t="s">
        <v>137</v>
      </c>
      <c r="B26" s="1">
        <v>2013</v>
      </c>
      <c r="C26" s="1">
        <v>2014</v>
      </c>
      <c r="D26" s="1">
        <v>2015</v>
      </c>
      <c r="E26" s="1">
        <v>2016</v>
      </c>
      <c r="F26" s="1">
        <v>2017</v>
      </c>
    </row>
    <row r="27" spans="1:6" x14ac:dyDescent="0.3">
      <c r="A27" t="s">
        <v>0</v>
      </c>
      <c r="B27">
        <v>65869587</v>
      </c>
      <c r="C27">
        <v>68007206</v>
      </c>
      <c r="D27">
        <v>68116130</v>
      </c>
      <c r="E27">
        <v>72659574</v>
      </c>
      <c r="F27">
        <v>79508462</v>
      </c>
    </row>
    <row r="28" spans="1:6" s="3" customFormat="1" x14ac:dyDescent="0.3">
      <c r="A28" s="3" t="s">
        <v>107</v>
      </c>
      <c r="C28" s="3">
        <f>C27/B27</f>
        <v>1.0324522909184173</v>
      </c>
      <c r="D28" s="3">
        <f t="shared" ref="D28:F28" si="8">D27/C27</f>
        <v>1.0016016538012162</v>
      </c>
      <c r="E28" s="3">
        <f t="shared" si="8"/>
        <v>1.0667014406132587</v>
      </c>
      <c r="F28" s="3">
        <f t="shared" si="8"/>
        <v>1.0942599525838124</v>
      </c>
    </row>
    <row r="29" spans="1:6" x14ac:dyDescent="0.3">
      <c r="A29" s="3" t="s">
        <v>136</v>
      </c>
      <c r="B29">
        <v>23815443</v>
      </c>
      <c r="C29">
        <v>24898691</v>
      </c>
      <c r="D29">
        <v>25448171</v>
      </c>
      <c r="E29">
        <v>26941232</v>
      </c>
      <c r="F29">
        <v>29813664</v>
      </c>
    </row>
    <row r="30" spans="1:6" x14ac:dyDescent="0.3">
      <c r="A30" s="3" t="s">
        <v>107</v>
      </c>
      <c r="C30" s="3">
        <f>C29/B29</f>
        <v>1.0454851081292085</v>
      </c>
      <c r="D30" s="3">
        <f t="shared" ref="D30:F30" si="9">D29/C29</f>
        <v>1.022068630033603</v>
      </c>
      <c r="E30" s="3">
        <f t="shared" si="9"/>
        <v>1.058670660457288</v>
      </c>
      <c r="F30" s="3">
        <f t="shared" si="9"/>
        <v>1.1066184352668058</v>
      </c>
    </row>
    <row r="31" spans="1:6" x14ac:dyDescent="0.3">
      <c r="A31" t="s">
        <v>132</v>
      </c>
      <c r="B31">
        <f>52639585+9175984+2509426+254591</f>
        <v>64579586</v>
      </c>
      <c r="C31">
        <f>52605568+9364094+2255999+285025</f>
        <v>64510686</v>
      </c>
      <c r="D31">
        <f>55431948+9134321+2430202+294576</f>
        <v>67291047</v>
      </c>
      <c r="E31">
        <f>59968496+9376812+2403348+289926</f>
        <v>72038582</v>
      </c>
      <c r="F31">
        <f>67099481+10035906+2407055+317524</f>
        <v>79859966</v>
      </c>
    </row>
    <row r="32" spans="1:6" x14ac:dyDescent="0.3">
      <c r="A32" s="3" t="s">
        <v>107</v>
      </c>
      <c r="C32" s="3">
        <f>C31/B31</f>
        <v>0.99893309938530728</v>
      </c>
      <c r="D32" s="3">
        <f t="shared" ref="D32:F32" si="10">D31/C31</f>
        <v>1.0430992316528769</v>
      </c>
      <c r="E32" s="3">
        <f t="shared" si="10"/>
        <v>1.0705522534075</v>
      </c>
      <c r="F32" s="3">
        <f t="shared" si="10"/>
        <v>1.1085721537383955</v>
      </c>
    </row>
    <row r="33" spans="1:6" x14ac:dyDescent="0.3">
      <c r="A33" s="3" t="s">
        <v>133</v>
      </c>
      <c r="B33" s="3">
        <f>B31/B27</f>
        <v>0.98041583287898859</v>
      </c>
      <c r="C33" s="3">
        <f>C31/C27</f>
        <v>0.94858603660323881</v>
      </c>
      <c r="D33" s="3">
        <f>D31/D27</f>
        <v>0.98788711278811636</v>
      </c>
      <c r="E33" s="3">
        <f>E31/E27</f>
        <v>0.99145340433732798</v>
      </c>
      <c r="F33" s="3">
        <f>F31/F27</f>
        <v>1.0044209633938084</v>
      </c>
    </row>
    <row r="34" spans="1:6" x14ac:dyDescent="0.3">
      <c r="A34" t="s">
        <v>56</v>
      </c>
      <c r="B34">
        <v>1285286</v>
      </c>
      <c r="C34">
        <v>1614831</v>
      </c>
      <c r="D34">
        <v>1278828</v>
      </c>
      <c r="E34">
        <v>1016561</v>
      </c>
      <c r="F34">
        <v>506580</v>
      </c>
    </row>
    <row r="35" spans="1:6" x14ac:dyDescent="0.3">
      <c r="C35" s="3">
        <f>C34/B34</f>
        <v>1.2563981868626906</v>
      </c>
      <c r="D35" s="3">
        <f t="shared" ref="D35:F35" si="11">D34/C34</f>
        <v>0.79192683321041024</v>
      </c>
      <c r="E35" s="3">
        <f t="shared" si="11"/>
        <v>0.79491612632816921</v>
      </c>
      <c r="F35" s="3">
        <f t="shared" si="11"/>
        <v>0.4983272031880035</v>
      </c>
    </row>
    <row r="37" spans="1:6" x14ac:dyDescent="0.3">
      <c r="A37" s="1" t="s">
        <v>140</v>
      </c>
      <c r="B37" s="1">
        <v>2013</v>
      </c>
      <c r="C37" s="1">
        <v>2014</v>
      </c>
      <c r="D37" s="1">
        <v>2015</v>
      </c>
      <c r="E37" s="1">
        <v>2016</v>
      </c>
      <c r="F37" s="1">
        <v>2017</v>
      </c>
    </row>
    <row r="38" spans="1:6" x14ac:dyDescent="0.3">
      <c r="A38" t="s">
        <v>0</v>
      </c>
      <c r="B38">
        <v>83764805</v>
      </c>
      <c r="C38">
        <v>92337092</v>
      </c>
      <c r="D38">
        <v>105932291</v>
      </c>
      <c r="E38">
        <v>120997840</v>
      </c>
      <c r="F38">
        <v>139357926</v>
      </c>
    </row>
    <row r="39" spans="1:6" x14ac:dyDescent="0.3">
      <c r="A39" s="8" t="s">
        <v>143</v>
      </c>
      <c r="B39" s="8"/>
      <c r="C39" s="10">
        <f>C38/B38</f>
        <v>1.1023375748322939</v>
      </c>
      <c r="D39" s="10">
        <f t="shared" ref="D39:F39" si="12">D38/C38</f>
        <v>1.1472344288252005</v>
      </c>
      <c r="E39" s="10">
        <f t="shared" si="12"/>
        <v>1.1422186649394754</v>
      </c>
      <c r="F39" s="10">
        <f t="shared" si="12"/>
        <v>1.1517389566623668</v>
      </c>
    </row>
    <row r="40" spans="1:6" x14ac:dyDescent="0.3">
      <c r="A40" t="s">
        <v>139</v>
      </c>
      <c r="B40" s="21">
        <f>FCF!B39</f>
        <v>0.96991077863314534</v>
      </c>
      <c r="C40" s="21">
        <f>FCF!C39</f>
        <v>0.94702056854506556</v>
      </c>
      <c r="D40" s="21">
        <f>FCF!D39</f>
        <v>0.91556833022636819</v>
      </c>
      <c r="E40" s="21">
        <f>FCF!E39</f>
        <v>0.92531437206416345</v>
      </c>
      <c r="F40" s="21">
        <f>FCF!F39</f>
        <v>0.92499832915959956</v>
      </c>
    </row>
    <row r="41" spans="1:6" x14ac:dyDescent="0.3">
      <c r="A41" t="s">
        <v>144</v>
      </c>
      <c r="B41" s="3"/>
      <c r="C41" s="3">
        <f>FCF!C25</f>
        <v>1.0792093550449853</v>
      </c>
      <c r="D41" s="3">
        <f>FCF!D25</f>
        <v>1.1270620497445516</v>
      </c>
      <c r="E41" s="3">
        <f>FCF!E25</f>
        <v>1.1522100155414798</v>
      </c>
      <c r="F41" s="3">
        <f>FCF!F25</f>
        <v>1.1476407660461778</v>
      </c>
    </row>
    <row r="42" spans="1:6" x14ac:dyDescent="0.3">
      <c r="A42" t="s">
        <v>136</v>
      </c>
      <c r="B42">
        <f>AKTIVA!B16</f>
        <v>54638312</v>
      </c>
      <c r="C42">
        <f>AKTIVA!C16</f>
        <v>58523283</v>
      </c>
      <c r="D42">
        <f>AKTIVA!D16</f>
        <v>69282719</v>
      </c>
      <c r="E42">
        <f>AKTIVA!E16</f>
        <v>91159908</v>
      </c>
      <c r="F42">
        <f>AKTIVA!F16</f>
        <v>106555791</v>
      </c>
    </row>
    <row r="43" spans="1:6" s="3" customFormat="1" x14ac:dyDescent="0.3">
      <c r="A43" s="3" t="s">
        <v>145</v>
      </c>
      <c r="C43" s="3">
        <f>C42/B42</f>
        <v>1.0711034228143799</v>
      </c>
      <c r="D43" s="3">
        <f t="shared" ref="D43:F43" si="13">D42/C42</f>
        <v>1.1838488110791734</v>
      </c>
      <c r="E43" s="3">
        <f t="shared" si="13"/>
        <v>1.3157668941947847</v>
      </c>
      <c r="F43" s="3">
        <f t="shared" si="13"/>
        <v>1.1688887509627588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DD1-17C4-4133-AF46-9D1C5CDC4E50}">
  <dimension ref="A1:L49"/>
  <sheetViews>
    <sheetView workbookViewId="0">
      <selection activeCell="G15" sqref="G15"/>
    </sheetView>
  </sheetViews>
  <sheetFormatPr defaultRowHeight="14.4" x14ac:dyDescent="0.3"/>
  <cols>
    <col min="1" max="1" width="26.6640625" customWidth="1"/>
    <col min="2" max="2" width="11" bestFit="1" customWidth="1"/>
    <col min="6" max="6" width="11" customWidth="1"/>
    <col min="7" max="7" width="11" bestFit="1" customWidth="1"/>
    <col min="8" max="8" width="10.44140625" customWidth="1"/>
    <col min="9" max="9" width="12.6640625" customWidth="1"/>
    <col min="10" max="10" width="13.21875" customWidth="1"/>
    <col min="11" max="11" width="12.6640625" customWidth="1"/>
  </cols>
  <sheetData>
    <row r="1" spans="1:11" x14ac:dyDescent="0.3">
      <c r="A1" s="63" t="s">
        <v>23</v>
      </c>
      <c r="B1" s="1">
        <v>2013</v>
      </c>
      <c r="C1" s="1">
        <v>2014</v>
      </c>
      <c r="D1" s="1">
        <v>2015</v>
      </c>
      <c r="E1" s="1">
        <v>2016</v>
      </c>
      <c r="F1" s="22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x14ac:dyDescent="0.3">
      <c r="A2" t="s">
        <v>12</v>
      </c>
      <c r="B2">
        <v>18476071</v>
      </c>
      <c r="C2">
        <v>19178194</v>
      </c>
      <c r="D2">
        <v>24573144</v>
      </c>
      <c r="E2">
        <v>41740919</v>
      </c>
      <c r="F2" s="23">
        <v>51032572</v>
      </c>
      <c r="G2" s="70">
        <f>G28*FCF!G$6</f>
        <v>52199528.906399995</v>
      </c>
      <c r="H2">
        <f>H28*FCF!H$6</f>
        <v>59692383.544383995</v>
      </c>
      <c r="I2">
        <f>I28*FCF!I$6</f>
        <v>65279866.326824002</v>
      </c>
      <c r="J2">
        <f>J28*FCF!J$6</f>
        <v>66503320.010260455</v>
      </c>
      <c r="K2">
        <f>K28*FCF!K$6</f>
        <v>68634632.862517223</v>
      </c>
    </row>
    <row r="3" spans="1:11" x14ac:dyDescent="0.3">
      <c r="A3" t="s">
        <v>22</v>
      </c>
      <c r="B3">
        <f>5074+240000</f>
        <v>245074</v>
      </c>
      <c r="C3">
        <f>5058+540000</f>
        <v>545058</v>
      </c>
      <c r="D3">
        <f>5011+300000</f>
        <v>305011</v>
      </c>
      <c r="E3">
        <f>4768+300000</f>
        <v>304768</v>
      </c>
      <c r="F3" s="23">
        <v>105298</v>
      </c>
      <c r="G3" s="70">
        <f>G29*FCF!G$6</f>
        <v>0</v>
      </c>
      <c r="H3">
        <f>H29*FCF!H$6</f>
        <v>0</v>
      </c>
      <c r="I3">
        <f>I29*FCF!I$6</f>
        <v>0</v>
      </c>
      <c r="J3">
        <f>J29*FCF!J$6</f>
        <v>0</v>
      </c>
      <c r="K3">
        <f>K29*FCF!K$6</f>
        <v>0</v>
      </c>
    </row>
    <row r="4" spans="1:11" x14ac:dyDescent="0.3">
      <c r="A4" t="s">
        <v>64</v>
      </c>
      <c r="B4">
        <v>2203353</v>
      </c>
      <c r="C4">
        <v>2211131</v>
      </c>
      <c r="D4">
        <v>2200624</v>
      </c>
      <c r="E4">
        <v>2200931</v>
      </c>
      <c r="F4" s="23">
        <v>2202223</v>
      </c>
      <c r="G4" s="70">
        <f>G30*FCF!G$6</f>
        <v>3342986.1094</v>
      </c>
      <c r="H4">
        <f>H30*FCF!H$6</f>
        <v>3735043.0662880004</v>
      </c>
      <c r="I4">
        <f>I30*FCF!I$6</f>
        <v>4102115.7337072003</v>
      </c>
      <c r="J4">
        <f>J30*FCF!J$6</f>
        <v>4385855.0662856167</v>
      </c>
      <c r="K4">
        <f>K30*FCF!K$6</f>
        <v>4689285.713705468</v>
      </c>
    </row>
    <row r="5" spans="1:11" s="1" customFormat="1" x14ac:dyDescent="0.3">
      <c r="A5" s="1" t="s">
        <v>19</v>
      </c>
      <c r="B5" s="1">
        <v>21945948</v>
      </c>
      <c r="C5" s="1">
        <v>22753615</v>
      </c>
      <c r="D5" s="1">
        <v>27856412</v>
      </c>
      <c r="E5" s="1">
        <v>44902802</v>
      </c>
      <c r="F5" s="22">
        <v>54286242</v>
      </c>
      <c r="G5" s="71">
        <f>G31*FCF!G$6</f>
        <v>55542515.015799999</v>
      </c>
      <c r="H5" s="1">
        <f>H31*FCF!H$6</f>
        <v>63427426.610671997</v>
      </c>
      <c r="I5" s="1">
        <f>I31*FCF!I$6</f>
        <v>69381982.060531199</v>
      </c>
      <c r="J5" s="1">
        <f>J31*FCF!J$6</f>
        <v>70889175.076546073</v>
      </c>
      <c r="K5" s="1">
        <f>K31*FCF!K$6</f>
        <v>73323918.576222688</v>
      </c>
    </row>
    <row r="6" spans="1:11" x14ac:dyDescent="0.3">
      <c r="A6" t="s">
        <v>11</v>
      </c>
      <c r="B6">
        <v>12903579</v>
      </c>
      <c r="C6">
        <v>14302025</v>
      </c>
      <c r="D6">
        <v>14059978</v>
      </c>
      <c r="E6">
        <v>18341310</v>
      </c>
      <c r="F6" s="23">
        <v>20723229</v>
      </c>
      <c r="G6" s="70">
        <f>G32*FCF!G$6</f>
        <v>23400902.765800003</v>
      </c>
      <c r="H6">
        <f>H32*FCF!H$6</f>
        <v>24277779.930872004</v>
      </c>
      <c r="I6">
        <f>I32*FCF!I$6</f>
        <v>24612694.402243201</v>
      </c>
      <c r="J6">
        <f>J32*FCF!J$6</f>
        <v>26315130.397713698</v>
      </c>
      <c r="K6">
        <f>K32*FCF!K$6</f>
        <v>28135714.282232806</v>
      </c>
    </row>
    <row r="7" spans="1:11" x14ac:dyDescent="0.3">
      <c r="A7" t="s">
        <v>20</v>
      </c>
      <c r="B7">
        <v>0</v>
      </c>
      <c r="C7">
        <v>0</v>
      </c>
      <c r="D7">
        <v>0</v>
      </c>
      <c r="E7">
        <v>0</v>
      </c>
      <c r="F7" s="23">
        <v>400000</v>
      </c>
      <c r="G7" s="70">
        <f>G33*FCF!G$6</f>
        <v>0</v>
      </c>
      <c r="H7">
        <f>H33*FCF!H$6</f>
        <v>0</v>
      </c>
      <c r="I7">
        <f>I33*FCF!I$6</f>
        <v>0</v>
      </c>
      <c r="J7">
        <f>J33*FCF!J$6</f>
        <v>0</v>
      </c>
      <c r="K7">
        <f>K33*FCF!K$6</f>
        <v>0</v>
      </c>
    </row>
    <row r="8" spans="1:11" x14ac:dyDescent="0.3">
      <c r="A8" t="s">
        <v>14</v>
      </c>
      <c r="B8">
        <f>15817189+1440000</f>
        <v>17257189</v>
      </c>
      <c r="C8">
        <f>18326282+750000</f>
        <v>19076282</v>
      </c>
      <c r="D8">
        <v>22009373</v>
      </c>
      <c r="E8">
        <v>21242290</v>
      </c>
      <c r="F8" s="23">
        <v>25008015</v>
      </c>
      <c r="G8" s="70">
        <f>G34*FCF!G$6</f>
        <v>28415381.929900002</v>
      </c>
      <c r="H8">
        <f>H34*FCF!H$6</f>
        <v>28012822.997160003</v>
      </c>
      <c r="I8">
        <f>I34*FCF!I$6</f>
        <v>30765868.002804</v>
      </c>
      <c r="J8">
        <f>J34*FCF!J$6</f>
        <v>30700985.46399932</v>
      </c>
      <c r="K8">
        <f>K34*FCF!K$6</f>
        <v>30480357.139085539</v>
      </c>
    </row>
    <row r="9" spans="1:11" x14ac:dyDescent="0.3">
      <c r="A9" t="s">
        <v>15</v>
      </c>
      <c r="B9">
        <v>2022949</v>
      </c>
      <c r="C9">
        <v>1869054</v>
      </c>
      <c r="D9">
        <v>3497749</v>
      </c>
      <c r="E9">
        <v>3392418</v>
      </c>
      <c r="F9" s="23">
        <v>3296221</v>
      </c>
      <c r="G9" s="70">
        <f>G35*FCF!G$6</f>
        <v>3342986.1094</v>
      </c>
      <c r="H9">
        <f>H35*FCF!H$6</f>
        <v>3735043.0662880004</v>
      </c>
      <c r="I9">
        <f>I35*FCF!I$6</f>
        <v>4102115.7337072003</v>
      </c>
      <c r="J9">
        <f>J35*FCF!J$6</f>
        <v>4385855.0662856167</v>
      </c>
      <c r="K9">
        <f>K35*FCF!K$6</f>
        <v>4689285.713705468</v>
      </c>
    </row>
    <row r="10" spans="1:11" s="1" customFormat="1" x14ac:dyDescent="0.3">
      <c r="A10" s="1" t="s">
        <v>21</v>
      </c>
      <c r="B10" s="1">
        <f>32183717+508647</f>
        <v>32692364</v>
      </c>
      <c r="C10" s="1">
        <f>35247361+522307</f>
        <v>35769668</v>
      </c>
      <c r="D10" s="1">
        <f>39567100+1859207</f>
        <v>41426307</v>
      </c>
      <c r="E10" s="1">
        <v>46257106</v>
      </c>
      <c r="F10" s="22">
        <v>52269549</v>
      </c>
      <c r="G10" s="71">
        <f>G36*FCF!G$6</f>
        <v>55159270.805100009</v>
      </c>
      <c r="H10" s="1">
        <f>H36*FCF!H$6</f>
        <v>56025645.994320013</v>
      </c>
      <c r="I10" s="1">
        <f>I36*FCF!I$6</f>
        <v>59480678.138754413</v>
      </c>
      <c r="J10" s="1">
        <f>J36*FCF!J$6</f>
        <v>61401970.92799864</v>
      </c>
      <c r="K10" s="1">
        <f>K36*FCF!K$6</f>
        <v>63305357.135023817</v>
      </c>
    </row>
    <row r="11" spans="1:11" x14ac:dyDescent="0.3">
      <c r="F11" s="23"/>
    </row>
    <row r="12" spans="1:11" s="1" customFormat="1" x14ac:dyDescent="0.3">
      <c r="A12" s="1" t="s">
        <v>65</v>
      </c>
      <c r="B12" s="1">
        <f>B2+B4</f>
        <v>20679424</v>
      </c>
      <c r="C12" s="1">
        <f t="shared" ref="C12:K12" si="0">C2+C4</f>
        <v>21389325</v>
      </c>
      <c r="D12" s="1">
        <f t="shared" si="0"/>
        <v>26773768</v>
      </c>
      <c r="E12" s="1">
        <f t="shared" si="0"/>
        <v>43941850</v>
      </c>
      <c r="F12" s="1">
        <f t="shared" si="0"/>
        <v>53234795</v>
      </c>
      <c r="G12" s="83">
        <f t="shared" si="0"/>
        <v>55542515.015799992</v>
      </c>
      <c r="H12" s="1">
        <f t="shared" si="0"/>
        <v>63427426.610671997</v>
      </c>
      <c r="I12" s="1">
        <f t="shared" si="0"/>
        <v>69381982.060531199</v>
      </c>
      <c r="J12" s="1">
        <f t="shared" si="0"/>
        <v>70889175.076546073</v>
      </c>
      <c r="K12" s="1">
        <f t="shared" si="0"/>
        <v>73323918.576222688</v>
      </c>
    </row>
    <row r="13" spans="1:11" x14ac:dyDescent="0.3">
      <c r="A13" t="s">
        <v>67</v>
      </c>
      <c r="B13" s="3">
        <f>B12/(B5+B10)</f>
        <v>0.3784784566551031</v>
      </c>
      <c r="C13" s="3">
        <f t="shared" ref="C13:K13" si="1">C12/(C5+C10)</f>
        <v>0.36548402453772116</v>
      </c>
      <c r="D13" s="3">
        <f t="shared" si="1"/>
        <v>0.38644222378166193</v>
      </c>
      <c r="E13" s="3">
        <f t="shared" si="1"/>
        <v>0.4820304338174628</v>
      </c>
      <c r="F13" s="3">
        <f t="shared" si="1"/>
        <v>0.49959551236403471</v>
      </c>
      <c r="G13" s="84">
        <f t="shared" si="1"/>
        <v>0.50173097573746461</v>
      </c>
      <c r="H13" s="3">
        <f t="shared" si="1"/>
        <v>0.53098195992340957</v>
      </c>
      <c r="I13" s="3">
        <f t="shared" si="1"/>
        <v>0.5384180487445489</v>
      </c>
      <c r="J13" s="3">
        <f t="shared" si="1"/>
        <v>0.5358572906618464</v>
      </c>
      <c r="K13" s="3">
        <f t="shared" si="1"/>
        <v>0.5366633043652087</v>
      </c>
    </row>
    <row r="14" spans="1:11" s="1" customFormat="1" x14ac:dyDescent="0.3">
      <c r="A14" s="1" t="s">
        <v>66</v>
      </c>
      <c r="B14" s="1">
        <f>B3+B6+B7+B8+B9</f>
        <v>32428791</v>
      </c>
      <c r="C14" s="1">
        <f t="shared" ref="C14:K14" si="2">C3+C6+C7+C8+C9</f>
        <v>35792419</v>
      </c>
      <c r="D14" s="1">
        <f t="shared" si="2"/>
        <v>39872111</v>
      </c>
      <c r="E14" s="1">
        <f t="shared" si="2"/>
        <v>43280786</v>
      </c>
      <c r="F14" s="1">
        <f t="shared" si="2"/>
        <v>49532763</v>
      </c>
      <c r="G14" s="83">
        <f t="shared" si="2"/>
        <v>55159270.805100001</v>
      </c>
      <c r="H14" s="1">
        <f t="shared" si="2"/>
        <v>56025645.994320013</v>
      </c>
      <c r="I14" s="1">
        <f t="shared" si="2"/>
        <v>59480678.138754398</v>
      </c>
      <c r="J14" s="1">
        <f t="shared" si="2"/>
        <v>61401970.92799864</v>
      </c>
      <c r="K14" s="1">
        <f t="shared" si="2"/>
        <v>63305357.13502381</v>
      </c>
    </row>
    <row r="15" spans="1:11" x14ac:dyDescent="0.3">
      <c r="A15" t="s">
        <v>67</v>
      </c>
      <c r="B15" s="3">
        <f>B14/(B5+B10)</f>
        <v>0.59351743882570895</v>
      </c>
      <c r="C15" s="3">
        <f t="shared" ref="C15:K15" si="3">C14/(C5+C10)</f>
        <v>0.611592808284525</v>
      </c>
      <c r="D15" s="3">
        <f t="shared" si="3"/>
        <v>0.57549864635075887</v>
      </c>
      <c r="E15" s="3">
        <f t="shared" si="3"/>
        <v>0.4747787371615162</v>
      </c>
      <c r="F15" s="3">
        <f t="shared" si="3"/>
        <v>0.46485284877665634</v>
      </c>
      <c r="G15" s="84">
        <f t="shared" si="3"/>
        <v>0.49826902426253522</v>
      </c>
      <c r="H15" s="3">
        <f t="shared" si="3"/>
        <v>0.46901804007659048</v>
      </c>
      <c r="I15" s="3">
        <f t="shared" si="3"/>
        <v>0.46158195125545098</v>
      </c>
      <c r="J15" s="3">
        <f t="shared" si="3"/>
        <v>0.46414270933815366</v>
      </c>
      <c r="K15" s="3">
        <f t="shared" si="3"/>
        <v>0.46333669563479141</v>
      </c>
    </row>
    <row r="16" spans="1:11" s="1" customFormat="1" x14ac:dyDescent="0.3">
      <c r="A16" s="1" t="s">
        <v>136</v>
      </c>
      <c r="B16" s="1">
        <f>B5+B10</f>
        <v>54638312</v>
      </c>
      <c r="C16" s="1">
        <f t="shared" ref="C16:K16" si="4">C5+C10</f>
        <v>58523283</v>
      </c>
      <c r="D16" s="1">
        <f t="shared" si="4"/>
        <v>69282719</v>
      </c>
      <c r="E16" s="1">
        <f t="shared" si="4"/>
        <v>91159908</v>
      </c>
      <c r="F16" s="22">
        <f t="shared" si="4"/>
        <v>106555791</v>
      </c>
      <c r="G16" s="71">
        <f t="shared" si="4"/>
        <v>110701785.82090001</v>
      </c>
      <c r="H16" s="1">
        <f t="shared" si="4"/>
        <v>119453072.604992</v>
      </c>
      <c r="I16" s="1">
        <f t="shared" si="4"/>
        <v>128862660.19928561</v>
      </c>
      <c r="J16" s="1">
        <f t="shared" si="4"/>
        <v>132291146.00454471</v>
      </c>
      <c r="K16" s="1">
        <f t="shared" si="4"/>
        <v>136629275.71124649</v>
      </c>
    </row>
    <row r="17" spans="1:12" s="1" customFormat="1" x14ac:dyDescent="0.3">
      <c r="F17" s="22"/>
    </row>
    <row r="18" spans="1:12" x14ac:dyDescent="0.3">
      <c r="F18" s="23"/>
    </row>
    <row r="19" spans="1:12" x14ac:dyDescent="0.3">
      <c r="A19" t="s">
        <v>32</v>
      </c>
      <c r="F19" s="23"/>
    </row>
    <row r="20" spans="1:12" x14ac:dyDescent="0.3">
      <c r="F20" s="23"/>
    </row>
    <row r="21" spans="1:12" x14ac:dyDescent="0.3">
      <c r="A21" s="1" t="s">
        <v>3</v>
      </c>
      <c r="B21" s="1">
        <v>2013</v>
      </c>
      <c r="C21" s="1">
        <v>2014</v>
      </c>
      <c r="D21" s="1">
        <v>2015</v>
      </c>
      <c r="E21" s="1">
        <v>2016</v>
      </c>
      <c r="F21" s="22">
        <v>2017</v>
      </c>
    </row>
    <row r="22" spans="1:12" x14ac:dyDescent="0.3">
      <c r="A22" t="s">
        <v>0</v>
      </c>
      <c r="B22">
        <v>83764805</v>
      </c>
      <c r="C22">
        <v>92337092</v>
      </c>
      <c r="D22">
        <v>105932291</v>
      </c>
      <c r="E22">
        <v>120997840</v>
      </c>
      <c r="F22" s="23">
        <v>139357926</v>
      </c>
    </row>
    <row r="23" spans="1:12" x14ac:dyDescent="0.3">
      <c r="A23" t="s">
        <v>1</v>
      </c>
      <c r="B23">
        <f>1262977+1685332+161816</f>
        <v>3110125</v>
      </c>
      <c r="C23">
        <f>1162820+2290650+231835</f>
        <v>3685305</v>
      </c>
      <c r="D23">
        <f>1043412+4437933+527322</f>
        <v>6008667</v>
      </c>
      <c r="E23">
        <v>6623153</v>
      </c>
      <c r="F23" s="23">
        <v>7155170</v>
      </c>
    </row>
    <row r="24" spans="1:12" x14ac:dyDescent="0.3">
      <c r="A24" s="1" t="s">
        <v>2</v>
      </c>
      <c r="B24" s="1">
        <f>B22+B23</f>
        <v>86874930</v>
      </c>
      <c r="C24" s="1">
        <f t="shared" ref="C24:F24" si="5">C22+C23</f>
        <v>96022397</v>
      </c>
      <c r="D24" s="1">
        <f t="shared" si="5"/>
        <v>111940958</v>
      </c>
      <c r="E24" s="1">
        <f t="shared" si="5"/>
        <v>127620993</v>
      </c>
      <c r="F24" s="22">
        <f t="shared" si="5"/>
        <v>146513096</v>
      </c>
    </row>
    <row r="25" spans="1:12" x14ac:dyDescent="0.3">
      <c r="F25" s="23"/>
    </row>
    <row r="26" spans="1:12" x14ac:dyDescent="0.3">
      <c r="F26" s="23"/>
    </row>
    <row r="27" spans="1:12" s="1" customFormat="1" x14ac:dyDescent="0.3">
      <c r="A27" s="1" t="s">
        <v>33</v>
      </c>
      <c r="B27" s="1">
        <v>2013</v>
      </c>
      <c r="C27" s="1">
        <v>2014</v>
      </c>
      <c r="D27" s="1">
        <v>2015</v>
      </c>
      <c r="E27" s="1">
        <v>2016</v>
      </c>
      <c r="F27" s="22">
        <v>2017</v>
      </c>
      <c r="G27" s="38">
        <v>2018</v>
      </c>
      <c r="H27" s="38">
        <v>2019</v>
      </c>
      <c r="I27" s="38">
        <v>2020</v>
      </c>
      <c r="J27" s="38">
        <v>2021</v>
      </c>
      <c r="K27" s="38">
        <v>2022</v>
      </c>
    </row>
    <row r="28" spans="1:12" x14ac:dyDescent="0.3">
      <c r="A28" t="s">
        <v>12</v>
      </c>
      <c r="B28" s="3">
        <f>B2/B24</f>
        <v>0.21267436992467217</v>
      </c>
      <c r="C28" s="3">
        <f>C2/C24</f>
        <v>0.19972625761466881</v>
      </c>
      <c r="D28" s="3">
        <f>D2/D24</f>
        <v>0.21951879311234768</v>
      </c>
      <c r="E28" s="3">
        <f>E2/E24</f>
        <v>0.32706937956516291</v>
      </c>
      <c r="F28" s="25">
        <f>F2/F24</f>
        <v>0.3483140647031307</v>
      </c>
      <c r="G28" s="87">
        <f>'STARE AMORT. IN INVEST.'!G41/FCF!G6</f>
        <v>0.312292825624506</v>
      </c>
      <c r="H28" s="77">
        <f>'STARE AMORT. IN INVEST.'!H41/FCF!H6</f>
        <v>0.3196342450943041</v>
      </c>
      <c r="I28" s="77">
        <f>'STARE AMORT. IN INVEST.'!I41/FCF!I6</f>
        <v>0.31827413249420294</v>
      </c>
      <c r="J28" s="77">
        <f>'STARE AMORT. IN INVEST.'!J41/FCF!J6</f>
        <v>0.30326273442766616</v>
      </c>
      <c r="K28" s="77">
        <f>'STARE AMORT. IN INVEST.'!K41/FCF!K6</f>
        <v>0.29272958421755974</v>
      </c>
      <c r="L28" t="s">
        <v>231</v>
      </c>
    </row>
    <row r="29" spans="1:12" x14ac:dyDescent="0.3">
      <c r="A29" t="s">
        <v>22</v>
      </c>
      <c r="B29" s="3">
        <f>B3/B24</f>
        <v>2.8209979564875619E-3</v>
      </c>
      <c r="C29" s="3">
        <f>C3/C24</f>
        <v>5.6763631926414005E-3</v>
      </c>
      <c r="D29" s="3">
        <f>D3/D24</f>
        <v>2.7247488805661286E-3</v>
      </c>
      <c r="E29" s="3">
        <f>E3/E24</f>
        <v>2.388071059751118E-3</v>
      </c>
      <c r="F29" s="25">
        <f>F3/F24</f>
        <v>7.186934333842758E-4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</row>
    <row r="30" spans="1:12" x14ac:dyDescent="0.3">
      <c r="A30" t="s">
        <v>18</v>
      </c>
      <c r="B30" s="3">
        <f>B4/B24</f>
        <v>2.5362357126503584E-2</v>
      </c>
      <c r="C30" s="3">
        <f>C4/C24</f>
        <v>2.302724227973605E-2</v>
      </c>
      <c r="D30" s="3">
        <f>D4/D24</f>
        <v>1.9658791914216062E-2</v>
      </c>
      <c r="E30" s="3">
        <f>E4/E24</f>
        <v>1.7245838229765224E-2</v>
      </c>
      <c r="F30" s="25">
        <f>F4/F24</f>
        <v>1.5030895258673668E-2</v>
      </c>
      <c r="G30" s="30">
        <v>0.02</v>
      </c>
      <c r="H30" s="30">
        <v>0.02</v>
      </c>
      <c r="I30" s="30">
        <v>0.02</v>
      </c>
      <c r="J30" s="30">
        <v>0.02</v>
      </c>
      <c r="K30" s="30">
        <v>0.02</v>
      </c>
    </row>
    <row r="31" spans="1:12" x14ac:dyDescent="0.3">
      <c r="A31" s="1" t="s">
        <v>19</v>
      </c>
      <c r="B31" s="3">
        <f>B5/B24</f>
        <v>0.25261543232322603</v>
      </c>
      <c r="C31" s="3">
        <f>C5/C24</f>
        <v>0.23696153929587907</v>
      </c>
      <c r="D31" s="3">
        <f>D5/D24</f>
        <v>0.2488491477802075</v>
      </c>
      <c r="E31" s="3">
        <f>E5/E24</f>
        <v>0.35184495077545747</v>
      </c>
      <c r="F31" s="25">
        <f>F5/F24</f>
        <v>0.37052143106715868</v>
      </c>
      <c r="G31" s="80">
        <f>SUM(G28:G30)</f>
        <v>0.33229282562450602</v>
      </c>
      <c r="H31" s="77">
        <f t="shared" ref="H31:K31" si="6">SUM(H28:H30)</f>
        <v>0.33963424509430412</v>
      </c>
      <c r="I31" s="77">
        <f t="shared" si="6"/>
        <v>0.33827413249420296</v>
      </c>
      <c r="J31" s="77">
        <f t="shared" si="6"/>
        <v>0.32326273442766618</v>
      </c>
      <c r="K31" s="77">
        <f t="shared" si="6"/>
        <v>0.31272958421755975</v>
      </c>
    </row>
    <row r="32" spans="1:12" x14ac:dyDescent="0.3">
      <c r="A32" t="s">
        <v>11</v>
      </c>
      <c r="B32" s="3">
        <f>B6/B24</f>
        <v>0.14853052543466796</v>
      </c>
      <c r="C32" s="3">
        <f>C6/C24</f>
        <v>0.14894467797965927</v>
      </c>
      <c r="D32" s="3">
        <f>D6/D24</f>
        <v>0.12560173015492684</v>
      </c>
      <c r="E32" s="3">
        <f>E6/E24</f>
        <v>0.14371702937619363</v>
      </c>
      <c r="F32" s="25">
        <f>F6/F24</f>
        <v>0.14144284412637079</v>
      </c>
      <c r="G32" s="30">
        <v>0.14000000000000001</v>
      </c>
      <c r="H32" s="30">
        <v>0.13</v>
      </c>
      <c r="I32" s="30">
        <v>0.12</v>
      </c>
      <c r="J32" s="30">
        <v>0.12</v>
      </c>
      <c r="K32" s="30">
        <v>0.12</v>
      </c>
      <c r="L32" t="s">
        <v>153</v>
      </c>
    </row>
    <row r="33" spans="1:12" x14ac:dyDescent="0.3">
      <c r="A33" t="s">
        <v>20</v>
      </c>
      <c r="B33" s="3">
        <f>B7/B24</f>
        <v>0</v>
      </c>
      <c r="C33" s="3">
        <f>C7/C24</f>
        <v>0</v>
      </c>
      <c r="D33" s="3">
        <f>D7/D24</f>
        <v>0</v>
      </c>
      <c r="E33" s="3">
        <f>E7/E24</f>
        <v>0</v>
      </c>
      <c r="F33" s="25">
        <f>F7/F24</f>
        <v>2.7301313733756605E-3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</row>
    <row r="34" spans="1:12" x14ac:dyDescent="0.3">
      <c r="A34" t="s">
        <v>14</v>
      </c>
      <c r="B34" s="3">
        <f>B8/B24</f>
        <v>0.19864406221679834</v>
      </c>
      <c r="C34" s="3">
        <f>C8/C24</f>
        <v>0.19866492189317039</v>
      </c>
      <c r="D34" s="3">
        <f>D8/D24</f>
        <v>0.19661590711060378</v>
      </c>
      <c r="E34" s="3">
        <f>E8/E24</f>
        <v>0.16644824257087545</v>
      </c>
      <c r="F34" s="25">
        <f>F8/F24</f>
        <v>0.17068791584337281</v>
      </c>
      <c r="G34" s="30">
        <v>0.17</v>
      </c>
      <c r="H34" s="30">
        <v>0.15</v>
      </c>
      <c r="I34" s="30">
        <v>0.15</v>
      </c>
      <c r="J34" s="30">
        <v>0.14000000000000001</v>
      </c>
      <c r="K34" s="30">
        <v>0.13</v>
      </c>
      <c r="L34" t="s">
        <v>154</v>
      </c>
    </row>
    <row r="35" spans="1:12" x14ac:dyDescent="0.3">
      <c r="A35" t="s">
        <v>15</v>
      </c>
      <c r="B35" s="3">
        <f>B9/B24</f>
        <v>2.3285762647520983E-2</v>
      </c>
      <c r="C35" s="3">
        <f>C9/C24</f>
        <v>1.9464771328297503E-2</v>
      </c>
      <c r="D35" s="3">
        <f>D9/D24</f>
        <v>3.1246373646364543E-2</v>
      </c>
      <c r="E35" s="3">
        <f>E9/E24</f>
        <v>2.6581974644249946E-2</v>
      </c>
      <c r="F35" s="25">
        <f>F9/F24</f>
        <v>2.2497790914199234E-2</v>
      </c>
      <c r="G35" s="30">
        <v>0.02</v>
      </c>
      <c r="H35" s="30">
        <v>0.02</v>
      </c>
      <c r="I35" s="30">
        <v>0.02</v>
      </c>
      <c r="J35" s="30">
        <v>0.02</v>
      </c>
      <c r="K35" s="30">
        <v>0.02</v>
      </c>
    </row>
    <row r="36" spans="1:12" x14ac:dyDescent="0.3">
      <c r="A36" s="1" t="s">
        <v>21</v>
      </c>
      <c r="B36" s="3">
        <f>B10/B24</f>
        <v>0.37631528451303503</v>
      </c>
      <c r="C36" s="3">
        <f t="shared" ref="C36:F36" si="7">C10/C24</f>
        <v>0.37251380008770246</v>
      </c>
      <c r="D36" s="3">
        <f t="shared" si="7"/>
        <v>0.37007282892826415</v>
      </c>
      <c r="E36" s="3">
        <f t="shared" si="7"/>
        <v>0.3624568725930537</v>
      </c>
      <c r="F36" s="25">
        <f t="shared" si="7"/>
        <v>0.35675683899274097</v>
      </c>
      <c r="G36" s="79">
        <f>SUM(G32:G35)</f>
        <v>0.33000000000000007</v>
      </c>
      <c r="H36" s="21">
        <f t="shared" ref="H36:K36" si="8">SUM(H32:H35)</f>
        <v>0.30000000000000004</v>
      </c>
      <c r="I36" s="21">
        <f t="shared" si="8"/>
        <v>0.29000000000000004</v>
      </c>
      <c r="J36" s="21">
        <f t="shared" si="8"/>
        <v>0.28000000000000003</v>
      </c>
      <c r="K36" s="21">
        <f t="shared" si="8"/>
        <v>0.27</v>
      </c>
    </row>
    <row r="37" spans="1:12" x14ac:dyDescent="0.3">
      <c r="F37" s="23"/>
    </row>
    <row r="38" spans="1:12" x14ac:dyDescent="0.3">
      <c r="F38" s="23"/>
    </row>
    <row r="39" spans="1:12" s="1" customFormat="1" x14ac:dyDescent="0.3">
      <c r="F39" s="22"/>
    </row>
    <row r="40" spans="1:12" x14ac:dyDescent="0.3">
      <c r="F40" s="23"/>
    </row>
    <row r="41" spans="1:12" x14ac:dyDescent="0.3">
      <c r="F41" s="23"/>
    </row>
    <row r="42" spans="1:12" x14ac:dyDescent="0.3">
      <c r="F42" s="23"/>
    </row>
    <row r="43" spans="1:12" x14ac:dyDescent="0.3">
      <c r="F43" s="23"/>
    </row>
    <row r="44" spans="1:12" x14ac:dyDescent="0.3">
      <c r="F44" s="23"/>
    </row>
    <row r="45" spans="1:12" x14ac:dyDescent="0.3">
      <c r="F45" s="23"/>
    </row>
    <row r="46" spans="1:12" x14ac:dyDescent="0.3">
      <c r="F46" s="23"/>
    </row>
    <row r="47" spans="1:12" x14ac:dyDescent="0.3">
      <c r="F47" s="23"/>
    </row>
    <row r="48" spans="1:12" x14ac:dyDescent="0.3">
      <c r="F48" s="23"/>
    </row>
    <row r="49" spans="6:6" x14ac:dyDescent="0.3">
      <c r="F49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9B27-82CA-422A-9F3B-36F90BCF2BB1}">
  <dimension ref="A1:L29"/>
  <sheetViews>
    <sheetView topLeftCell="A9" workbookViewId="0">
      <selection activeCell="H26" sqref="H26"/>
    </sheetView>
  </sheetViews>
  <sheetFormatPr defaultRowHeight="14.4" x14ac:dyDescent="0.3"/>
  <cols>
    <col min="1" max="1" width="21.77734375" customWidth="1"/>
    <col min="4" max="5" width="11.33203125" customWidth="1"/>
    <col min="6" max="6" width="10.88671875" customWidth="1"/>
    <col min="7" max="7" width="11" bestFit="1" customWidth="1"/>
  </cols>
  <sheetData>
    <row r="1" spans="1:11" s="1" customFormat="1" x14ac:dyDescent="0.3">
      <c r="A1" s="63" t="s">
        <v>24</v>
      </c>
      <c r="B1" s="1">
        <v>2013</v>
      </c>
      <c r="C1" s="1">
        <v>2014</v>
      </c>
      <c r="D1" s="1">
        <v>2015</v>
      </c>
      <c r="E1" s="1">
        <v>2016</v>
      </c>
      <c r="F1" s="22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x14ac:dyDescent="0.3">
      <c r="A2" t="s">
        <v>25</v>
      </c>
      <c r="B2">
        <v>2605609</v>
      </c>
      <c r="C2">
        <v>2764587</v>
      </c>
      <c r="D2">
        <f>2737214+283458</f>
        <v>3020672</v>
      </c>
      <c r="E2">
        <v>3321215</v>
      </c>
      <c r="F2" s="23">
        <v>3515142</v>
      </c>
      <c r="G2" s="85">
        <f>G18*FCF!G$6</f>
        <v>3342986.1094</v>
      </c>
      <c r="H2">
        <f>H18*FCF!H$6</f>
        <v>3735043.0662880004</v>
      </c>
      <c r="I2">
        <f>I18*FCF!I$6</f>
        <v>4102115.7337072003</v>
      </c>
      <c r="J2">
        <f>J18*FCF!J$6</f>
        <v>4385855.0662856167</v>
      </c>
      <c r="K2">
        <f>K18*FCF!K$6</f>
        <v>4689285.713705468</v>
      </c>
    </row>
    <row r="3" spans="1:11" x14ac:dyDescent="0.3">
      <c r="A3" t="s">
        <v>26</v>
      </c>
      <c r="B3">
        <v>7210577</v>
      </c>
      <c r="C3">
        <f>4566545+22729</f>
        <v>4589274</v>
      </c>
      <c r="D3">
        <f>2730994+144719</f>
        <v>2875713</v>
      </c>
      <c r="E3">
        <f>8221704+66679</f>
        <v>8288383</v>
      </c>
      <c r="F3" s="23">
        <v>5979791</v>
      </c>
      <c r="G3" s="85">
        <f>G19*FCF!G$6</f>
        <v>6685972.2187999999</v>
      </c>
      <c r="H3">
        <f>H19*FCF!H$6</f>
        <v>7470086.1325760009</v>
      </c>
      <c r="I3">
        <f>I19*FCF!I$6</f>
        <v>8204231.4674144005</v>
      </c>
      <c r="J3">
        <f>J19*FCF!J$6</f>
        <v>8771710.1325712334</v>
      </c>
      <c r="K3">
        <f>K19*FCF!K$6</f>
        <v>9378571.427410936</v>
      </c>
    </row>
    <row r="4" spans="1:11" s="1" customFormat="1" x14ac:dyDescent="0.3">
      <c r="A4" s="1" t="s">
        <v>30</v>
      </c>
      <c r="B4" s="1">
        <f>7210577+2930135</f>
        <v>10140712</v>
      </c>
      <c r="C4" s="1">
        <f>4589274+2987253</f>
        <v>7576527</v>
      </c>
      <c r="D4" s="1">
        <v>6294304</v>
      </c>
      <c r="E4" s="1">
        <v>11885886</v>
      </c>
      <c r="F4" s="22">
        <v>9773668</v>
      </c>
      <c r="G4" s="95">
        <f>G2+G3</f>
        <v>10028958.328199999</v>
      </c>
      <c r="H4" s="1">
        <f t="shared" ref="H4:K4" si="0">H2+H3</f>
        <v>11205129.198864002</v>
      </c>
      <c r="I4" s="1">
        <f t="shared" si="0"/>
        <v>12306347.2011216</v>
      </c>
      <c r="J4" s="1">
        <f t="shared" si="0"/>
        <v>13157565.198856849</v>
      </c>
      <c r="K4" s="1">
        <f t="shared" si="0"/>
        <v>14067857.141116403</v>
      </c>
    </row>
    <row r="5" spans="1:11" x14ac:dyDescent="0.3">
      <c r="A5" t="s">
        <v>28</v>
      </c>
      <c r="B5">
        <v>6213909</v>
      </c>
      <c r="C5">
        <v>7328284</v>
      </c>
      <c r="D5">
        <v>6248985</v>
      </c>
      <c r="E5">
        <v>9191013</v>
      </c>
      <c r="F5" s="23">
        <v>14004086</v>
      </c>
      <c r="G5" s="85">
        <f>G21*FCF!G$6</f>
        <v>11700451.382900001</v>
      </c>
      <c r="H5">
        <f>H21*FCF!H$6</f>
        <v>13072650.732008003</v>
      </c>
      <c r="I5">
        <f>I21*FCF!I$6</f>
        <v>14357405.067975203</v>
      </c>
      <c r="J5">
        <f>J21*FCF!J$6</f>
        <v>15350492.73199966</v>
      </c>
      <c r="K5">
        <f>K21*FCF!K$6</f>
        <v>16412499.997969138</v>
      </c>
    </row>
    <row r="6" spans="1:11" x14ac:dyDescent="0.3">
      <c r="A6" t="s">
        <v>27</v>
      </c>
      <c r="B6">
        <v>14415756</v>
      </c>
      <c r="C6">
        <v>14484032</v>
      </c>
      <c r="D6">
        <v>19795003</v>
      </c>
      <c r="E6">
        <v>23264538</v>
      </c>
      <c r="F6" s="23">
        <v>26181762</v>
      </c>
      <c r="G6" s="85">
        <f>G22*FCF!G$6</f>
        <v>30086874.9846</v>
      </c>
      <c r="H6">
        <f>H22*FCF!H$6</f>
        <v>33615387.596592002</v>
      </c>
      <c r="I6">
        <f>I22*FCF!I$6</f>
        <v>34867983.736511208</v>
      </c>
      <c r="J6">
        <f>J22*FCF!J$6</f>
        <v>37279768.063427746</v>
      </c>
      <c r="K6">
        <f>K22*FCF!K$6</f>
        <v>39858928.566496477</v>
      </c>
    </row>
    <row r="7" spans="1:11" s="1" customFormat="1" x14ac:dyDescent="0.3">
      <c r="A7" s="1" t="s">
        <v>29</v>
      </c>
      <c r="B7" s="1">
        <f>20629665+857946</f>
        <v>21487611</v>
      </c>
      <c r="C7" s="1">
        <f>21812316+549628</f>
        <v>22361944</v>
      </c>
      <c r="D7" s="1">
        <v>26720323</v>
      </c>
      <c r="E7" s="1">
        <v>33763356</v>
      </c>
      <c r="F7" s="22">
        <v>41434412</v>
      </c>
      <c r="G7" s="95">
        <f>G5+G6</f>
        <v>41787326.3675</v>
      </c>
      <c r="H7" s="1">
        <f t="shared" ref="H7:K7" si="1">H5+H6</f>
        <v>46688038.328600004</v>
      </c>
      <c r="I7" s="1">
        <f t="shared" si="1"/>
        <v>49225388.804486409</v>
      </c>
      <c r="J7" s="1">
        <f t="shared" si="1"/>
        <v>52630260.795427404</v>
      </c>
      <c r="K7" s="1">
        <f t="shared" si="1"/>
        <v>56271428.564465612</v>
      </c>
    </row>
    <row r="8" spans="1:11" x14ac:dyDescent="0.3">
      <c r="F8" s="23"/>
    </row>
    <row r="9" spans="1:11" x14ac:dyDescent="0.3">
      <c r="F9" s="23"/>
    </row>
    <row r="10" spans="1:11" x14ac:dyDescent="0.3">
      <c r="F10" s="23"/>
    </row>
    <row r="11" spans="1:11" x14ac:dyDescent="0.3">
      <c r="A11" s="1" t="s">
        <v>3</v>
      </c>
      <c r="B11" s="1">
        <v>2013</v>
      </c>
      <c r="C11" s="1">
        <v>2014</v>
      </c>
      <c r="D11" s="1">
        <v>2015</v>
      </c>
      <c r="E11" s="1">
        <v>2016</v>
      </c>
      <c r="F11" s="22">
        <v>2017</v>
      </c>
    </row>
    <row r="12" spans="1:11" x14ac:dyDescent="0.3">
      <c r="A12" t="s">
        <v>0</v>
      </c>
      <c r="B12">
        <v>83764805</v>
      </c>
      <c r="C12">
        <v>92337092</v>
      </c>
      <c r="D12">
        <v>105932291</v>
      </c>
      <c r="E12">
        <v>120997840</v>
      </c>
      <c r="F12" s="23">
        <v>139357926</v>
      </c>
    </row>
    <row r="13" spans="1:11" x14ac:dyDescent="0.3">
      <c r="A13" t="s">
        <v>1</v>
      </c>
      <c r="B13">
        <f>1262977+1685332+161816</f>
        <v>3110125</v>
      </c>
      <c r="C13">
        <f>1162820+2290650+231835</f>
        <v>3685305</v>
      </c>
      <c r="D13">
        <f>1043412+4437933+527322</f>
        <v>6008667</v>
      </c>
      <c r="E13">
        <v>6623153</v>
      </c>
      <c r="F13" s="23">
        <v>7155170</v>
      </c>
    </row>
    <row r="14" spans="1:11" x14ac:dyDescent="0.3">
      <c r="A14" s="1" t="s">
        <v>2</v>
      </c>
      <c r="B14" s="1">
        <f>B12+B13</f>
        <v>86874930</v>
      </c>
      <c r="C14" s="1">
        <f t="shared" ref="C14:F14" si="2">C12+C13</f>
        <v>96022397</v>
      </c>
      <c r="D14" s="1">
        <f t="shared" si="2"/>
        <v>111940958</v>
      </c>
      <c r="E14" s="1">
        <f t="shared" si="2"/>
        <v>127620993</v>
      </c>
      <c r="F14" s="22">
        <f t="shared" si="2"/>
        <v>146513096</v>
      </c>
    </row>
    <row r="15" spans="1:11" x14ac:dyDescent="0.3">
      <c r="F15" s="23"/>
    </row>
    <row r="16" spans="1:11" x14ac:dyDescent="0.3">
      <c r="F16" s="23"/>
    </row>
    <row r="17" spans="1:12" s="1" customFormat="1" x14ac:dyDescent="0.3">
      <c r="A17" s="1" t="s">
        <v>34</v>
      </c>
      <c r="B17" s="1">
        <v>2013</v>
      </c>
      <c r="C17" s="1">
        <v>2014</v>
      </c>
      <c r="D17" s="1">
        <v>2015</v>
      </c>
      <c r="E17" s="1">
        <v>2016</v>
      </c>
      <c r="F17" s="22">
        <v>2017</v>
      </c>
      <c r="G17" s="1">
        <v>2018</v>
      </c>
      <c r="H17" s="1">
        <v>2019</v>
      </c>
      <c r="I17" s="1">
        <v>2020</v>
      </c>
      <c r="J17" s="1">
        <v>2021</v>
      </c>
      <c r="K17" s="1">
        <v>2022</v>
      </c>
    </row>
    <row r="18" spans="1:12" x14ac:dyDescent="0.3">
      <c r="A18" t="s">
        <v>25</v>
      </c>
      <c r="B18" s="3">
        <f>B2/B14</f>
        <v>2.9992645749469957E-2</v>
      </c>
      <c r="C18" s="3">
        <f t="shared" ref="C18:F18" si="3">C2/C14</f>
        <v>2.8791064234732652E-2</v>
      </c>
      <c r="D18" s="3">
        <f t="shared" si="3"/>
        <v>2.698451088832025E-2</v>
      </c>
      <c r="E18" s="3">
        <f t="shared" si="3"/>
        <v>2.6024049193850107E-2</v>
      </c>
      <c r="F18" s="25">
        <f t="shared" si="3"/>
        <v>2.3991998640176166E-2</v>
      </c>
      <c r="G18" s="30">
        <v>0.02</v>
      </c>
      <c r="H18" s="30">
        <v>0.02</v>
      </c>
      <c r="I18" s="30">
        <v>0.02</v>
      </c>
      <c r="J18" s="30">
        <v>0.02</v>
      </c>
      <c r="K18" s="30">
        <v>0.02</v>
      </c>
      <c r="L18" t="s">
        <v>232</v>
      </c>
    </row>
    <row r="19" spans="1:12" x14ac:dyDescent="0.3">
      <c r="A19" t="s">
        <v>26</v>
      </c>
      <c r="B19" s="3">
        <f>B3/B14</f>
        <v>8.2999514359320917E-2</v>
      </c>
      <c r="C19" s="3">
        <f t="shared" ref="C19:F19" si="4">C3/C14</f>
        <v>4.7793787109896874E-2</v>
      </c>
      <c r="D19" s="3">
        <f t="shared" si="4"/>
        <v>2.5689551450863945E-2</v>
      </c>
      <c r="E19" s="3">
        <f t="shared" si="4"/>
        <v>6.4945294697714817E-2</v>
      </c>
      <c r="F19" s="25">
        <f t="shared" si="4"/>
        <v>4.0814037538323536E-2</v>
      </c>
      <c r="G19" s="30">
        <v>0.04</v>
      </c>
      <c r="H19" s="30">
        <v>0.04</v>
      </c>
      <c r="I19" s="30">
        <v>0.04</v>
      </c>
      <c r="J19" s="30">
        <v>0.04</v>
      </c>
      <c r="K19" s="30">
        <v>0.04</v>
      </c>
      <c r="L19" t="s">
        <v>233</v>
      </c>
    </row>
    <row r="20" spans="1:12" x14ac:dyDescent="0.3">
      <c r="A20" s="1" t="s">
        <v>30</v>
      </c>
      <c r="B20" s="3">
        <f>B4/B14</f>
        <v>0.11672771419787044</v>
      </c>
      <c r="C20" s="3">
        <f t="shared" ref="C20:F20" si="5">C4/C14</f>
        <v>7.8903747841245833E-2</v>
      </c>
      <c r="D20" s="3">
        <f t="shared" si="5"/>
        <v>5.6228784463323959E-2</v>
      </c>
      <c r="E20" s="3">
        <f t="shared" si="5"/>
        <v>9.3134254173997844E-2</v>
      </c>
      <c r="F20" s="25">
        <f t="shared" si="5"/>
        <v>6.6708494099394361E-2</v>
      </c>
      <c r="G20" s="96">
        <f t="shared" ref="G20:K20" si="6">G18+G19</f>
        <v>0.06</v>
      </c>
      <c r="H20" s="21">
        <f t="shared" si="6"/>
        <v>0.06</v>
      </c>
      <c r="I20" s="21">
        <f t="shared" si="6"/>
        <v>0.06</v>
      </c>
      <c r="J20" s="21">
        <f t="shared" si="6"/>
        <v>0.06</v>
      </c>
      <c r="K20" s="21">
        <f t="shared" si="6"/>
        <v>0.06</v>
      </c>
    </row>
    <row r="21" spans="1:12" x14ac:dyDescent="0.3">
      <c r="A21" t="s">
        <v>28</v>
      </c>
      <c r="B21" s="3">
        <f>B5/B14</f>
        <v>7.1527067705263181E-2</v>
      </c>
      <c r="C21" s="3">
        <f t="shared" ref="C21:F21" si="7">C5/C14</f>
        <v>7.631848640479158E-2</v>
      </c>
      <c r="D21" s="3">
        <f t="shared" si="7"/>
        <v>5.5823937115135287E-2</v>
      </c>
      <c r="E21" s="3">
        <f t="shared" si="7"/>
        <v>7.2018033898231776E-2</v>
      </c>
      <c r="F21" s="25">
        <f t="shared" si="7"/>
        <v>9.5582486360127158E-2</v>
      </c>
      <c r="G21" s="30">
        <v>7.0000000000000007E-2</v>
      </c>
      <c r="H21" s="30">
        <v>7.0000000000000007E-2</v>
      </c>
      <c r="I21" s="30">
        <v>7.0000000000000007E-2</v>
      </c>
      <c r="J21" s="30">
        <v>7.0000000000000007E-2</v>
      </c>
      <c r="K21" s="30">
        <v>7.0000000000000007E-2</v>
      </c>
      <c r="L21" t="s">
        <v>234</v>
      </c>
    </row>
    <row r="22" spans="1:12" x14ac:dyDescent="0.3">
      <c r="A22" t="s">
        <v>27</v>
      </c>
      <c r="B22" s="3">
        <f>B6/B14</f>
        <v>0.16593689341677742</v>
      </c>
      <c r="C22" s="3">
        <f t="shared" ref="C22:F22" si="8">C6/C14</f>
        <v>0.15084014201395118</v>
      </c>
      <c r="D22" s="3">
        <f t="shared" si="8"/>
        <v>0.17683431831984142</v>
      </c>
      <c r="E22" s="3">
        <f t="shared" si="8"/>
        <v>0.18229397415831108</v>
      </c>
      <c r="F22" s="25">
        <f t="shared" si="8"/>
        <v>0.17869912461613671</v>
      </c>
      <c r="G22" s="30">
        <v>0.18</v>
      </c>
      <c r="H22" s="30">
        <v>0.18</v>
      </c>
      <c r="I22" s="30">
        <v>0.17</v>
      </c>
      <c r="J22" s="30">
        <v>0.17</v>
      </c>
      <c r="K22" s="30">
        <v>0.17</v>
      </c>
      <c r="L22" t="s">
        <v>235</v>
      </c>
    </row>
    <row r="23" spans="1:12" x14ac:dyDescent="0.3">
      <c r="A23" s="1" t="s">
        <v>29</v>
      </c>
      <c r="B23" s="3">
        <f>B7/B14</f>
        <v>0.2473396064894671</v>
      </c>
      <c r="C23" s="3">
        <f t="shared" ref="C23:F23" si="9">C7/C14</f>
        <v>0.23288258467449005</v>
      </c>
      <c r="D23" s="3">
        <f t="shared" si="9"/>
        <v>0.23870014583938079</v>
      </c>
      <c r="E23" s="3">
        <f t="shared" si="9"/>
        <v>0.26455957759237936</v>
      </c>
      <c r="F23" s="25">
        <f t="shared" si="9"/>
        <v>0.28280347034643238</v>
      </c>
      <c r="G23" s="96">
        <f>G21+G22</f>
        <v>0.25</v>
      </c>
      <c r="H23" s="21">
        <f t="shared" ref="H23:K23" si="10">H21+H22</f>
        <v>0.25</v>
      </c>
      <c r="I23" s="21">
        <f t="shared" si="10"/>
        <v>0.24000000000000002</v>
      </c>
      <c r="J23" s="21">
        <f t="shared" si="10"/>
        <v>0.24000000000000002</v>
      </c>
      <c r="K23" s="21">
        <f t="shared" si="10"/>
        <v>0.24000000000000002</v>
      </c>
    </row>
    <row r="24" spans="1:12" x14ac:dyDescent="0.3">
      <c r="F24" s="23"/>
    </row>
    <row r="25" spans="1:12" x14ac:dyDescent="0.3">
      <c r="F25" s="39"/>
    </row>
    <row r="26" spans="1:12" s="1" customFormat="1" x14ac:dyDescent="0.3">
      <c r="A26" s="1" t="s">
        <v>223</v>
      </c>
      <c r="B26" s="1">
        <v>2013</v>
      </c>
      <c r="C26" s="1">
        <v>2014</v>
      </c>
      <c r="D26" s="1">
        <v>2015</v>
      </c>
      <c r="E26" s="1">
        <v>2016</v>
      </c>
      <c r="F26" s="22">
        <v>2017</v>
      </c>
    </row>
    <row r="27" spans="1:12" x14ac:dyDescent="0.3">
      <c r="A27" t="s">
        <v>224</v>
      </c>
      <c r="B27">
        <v>23009989</v>
      </c>
      <c r="C27">
        <v>28584812</v>
      </c>
      <c r="D27">
        <v>36268092</v>
      </c>
      <c r="E27">
        <v>45510666</v>
      </c>
      <c r="F27" s="23">
        <v>55347711</v>
      </c>
    </row>
    <row r="28" spans="1:12" x14ac:dyDescent="0.3">
      <c r="F28" s="23"/>
    </row>
    <row r="29" spans="1:12" x14ac:dyDescent="0.3">
      <c r="F2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3FD4-637A-4644-86FC-A642BAC96299}">
  <dimension ref="A1:M52"/>
  <sheetViews>
    <sheetView tabSelected="1" topLeftCell="A33" workbookViewId="0">
      <selection activeCell="B46" sqref="B46"/>
    </sheetView>
  </sheetViews>
  <sheetFormatPr defaultRowHeight="14.4" x14ac:dyDescent="0.3"/>
  <cols>
    <col min="1" max="1" width="26.77734375" customWidth="1"/>
    <col min="2" max="2" width="12.109375" bestFit="1" customWidth="1"/>
    <col min="3" max="3" width="10.6640625" customWidth="1"/>
    <col min="4" max="4" width="11.6640625" customWidth="1"/>
    <col min="5" max="5" width="13" customWidth="1"/>
    <col min="6" max="6" width="13.21875" customWidth="1"/>
    <col min="7" max="7" width="10" bestFit="1" customWidth="1"/>
    <col min="8" max="8" width="11.33203125" customWidth="1"/>
    <col min="9" max="9" width="12.109375" customWidth="1"/>
    <col min="10" max="10" width="12.21875" customWidth="1"/>
    <col min="11" max="11" width="13.21875" customWidth="1"/>
  </cols>
  <sheetData>
    <row r="1" spans="1:13" s="1" customFormat="1" x14ac:dyDescent="0.3">
      <c r="A1" s="1" t="s">
        <v>40</v>
      </c>
      <c r="B1" s="1">
        <v>2013</v>
      </c>
      <c r="C1" s="1">
        <v>2014</v>
      </c>
      <c r="D1" s="1">
        <v>2015</v>
      </c>
      <c r="E1" s="1">
        <v>2016</v>
      </c>
      <c r="F1" s="22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M1" s="1" t="s">
        <v>167</v>
      </c>
    </row>
    <row r="2" spans="1:13" x14ac:dyDescent="0.3">
      <c r="A2" t="s">
        <v>35</v>
      </c>
      <c r="B2">
        <v>193557</v>
      </c>
      <c r="C2">
        <v>2509077</v>
      </c>
      <c r="D2">
        <v>3683044</v>
      </c>
      <c r="E2">
        <v>-647140</v>
      </c>
      <c r="F2" s="23">
        <v>3881874</v>
      </c>
      <c r="G2" s="85">
        <f>G10*FCF!G6</f>
        <v>5014479.1640999997</v>
      </c>
      <c r="H2">
        <f>H10*FCF!H6</f>
        <v>3735043.0662880004</v>
      </c>
      <c r="I2">
        <f>I10*FCF!I6</f>
        <v>4102115.7337072003</v>
      </c>
      <c r="J2">
        <f>J10*FCF!J6</f>
        <v>2192927.5331428084</v>
      </c>
      <c r="K2">
        <f>K10*FCF!K6</f>
        <v>2344642.856852734</v>
      </c>
    </row>
    <row r="3" spans="1:13" x14ac:dyDescent="0.3">
      <c r="A3" s="4" t="s">
        <v>36</v>
      </c>
      <c r="B3">
        <v>-307473</v>
      </c>
      <c r="C3">
        <v>1398446</v>
      </c>
      <c r="D3">
        <v>-242047</v>
      </c>
      <c r="E3">
        <v>4301951</v>
      </c>
      <c r="F3" s="23">
        <v>2407626</v>
      </c>
      <c r="G3" s="85">
        <f>AKTIVA!G6-AKTIVA!F6</f>
        <v>2677673.765800003</v>
      </c>
      <c r="H3">
        <f>AKTIVA!H6-AKTIVA!G6</f>
        <v>876877.16507200152</v>
      </c>
      <c r="I3">
        <f>AKTIVA!I6-AKTIVA!H6</f>
        <v>334914.47137119621</v>
      </c>
      <c r="J3">
        <f>AKTIVA!J6-AKTIVA!I6</f>
        <v>1702435.9954704978</v>
      </c>
      <c r="K3">
        <f>AKTIVA!K6-AKTIVA!J6</f>
        <v>1820583.8845191076</v>
      </c>
    </row>
    <row r="4" spans="1:13" x14ac:dyDescent="0.3">
      <c r="A4" s="4" t="s">
        <v>37</v>
      </c>
      <c r="B4">
        <v>633442</v>
      </c>
      <c r="C4">
        <v>42080</v>
      </c>
      <c r="D4">
        <v>5432961</v>
      </c>
      <c r="E4">
        <v>3762408</v>
      </c>
      <c r="F4" s="23">
        <v>2612359</v>
      </c>
      <c r="G4" s="85">
        <f>G12*FCF!G6</f>
        <v>5348777.7750399997</v>
      </c>
      <c r="H4">
        <f>H12*FCF!H6</f>
        <v>5602564.599432</v>
      </c>
      <c r="I4">
        <f>I12*FCF!I6</f>
        <v>6153173.6005608002</v>
      </c>
      <c r="J4">
        <f>J12*FCF!J6</f>
        <v>6578782.5994284246</v>
      </c>
      <c r="K4">
        <f>K12*FCF!K6</f>
        <v>7033928.5705582015</v>
      </c>
    </row>
    <row r="5" spans="1:13" x14ac:dyDescent="0.3">
      <c r="A5" s="4" t="s">
        <v>39</v>
      </c>
      <c r="B5">
        <f>-1617+9989</f>
        <v>8372</v>
      </c>
      <c r="C5">
        <f>13660-251200</f>
        <v>-237540</v>
      </c>
      <c r="D5">
        <f>1336900+558045</f>
        <v>1894945</v>
      </c>
      <c r="E5">
        <f>-487798+439469</f>
        <v>-48329</v>
      </c>
      <c r="F5" s="23">
        <f>-443955+21765</f>
        <v>-422190</v>
      </c>
      <c r="G5" s="85">
        <f>G13*FCF!G6</f>
        <v>0</v>
      </c>
      <c r="H5">
        <f>H13*FCF!H6</f>
        <v>0</v>
      </c>
      <c r="I5">
        <f>I13*FCF!I6</f>
        <v>0</v>
      </c>
      <c r="J5">
        <f>J13*FCF!J6</f>
        <v>0</v>
      </c>
      <c r="K5">
        <f>K13*FCF!K6</f>
        <v>0</v>
      </c>
    </row>
    <row r="6" spans="1:13" s="38" customFormat="1" x14ac:dyDescent="0.3">
      <c r="A6" s="55" t="s">
        <v>38</v>
      </c>
      <c r="B6" s="38">
        <f>B2+B3-B4-B5</f>
        <v>-755730</v>
      </c>
      <c r="C6" s="38">
        <f t="shared" ref="C6:K6" si="0">C2+C3-C4-C5</f>
        <v>4102983</v>
      </c>
      <c r="D6" s="38">
        <f t="shared" si="0"/>
        <v>-3886909</v>
      </c>
      <c r="E6" s="38">
        <f t="shared" si="0"/>
        <v>-59268</v>
      </c>
      <c r="F6" s="56">
        <f t="shared" si="0"/>
        <v>4099331</v>
      </c>
      <c r="G6" s="86">
        <f t="shared" si="0"/>
        <v>2343375.1548600029</v>
      </c>
      <c r="H6" s="38">
        <f t="shared" si="0"/>
        <v>-990644.36807199847</v>
      </c>
      <c r="I6" s="38">
        <f t="shared" si="0"/>
        <v>-1716143.3954824032</v>
      </c>
      <c r="J6" s="38">
        <f t="shared" si="0"/>
        <v>-2683419.0708151185</v>
      </c>
      <c r="K6" s="38">
        <f t="shared" si="0"/>
        <v>-2868701.8291863599</v>
      </c>
    </row>
    <row r="7" spans="1:13" x14ac:dyDescent="0.3">
      <c r="A7" s="4"/>
      <c r="F7" s="23"/>
    </row>
    <row r="8" spans="1:13" x14ac:dyDescent="0.3">
      <c r="F8" s="23"/>
    </row>
    <row r="9" spans="1:13" s="1" customFormat="1" x14ac:dyDescent="0.3">
      <c r="A9" s="5" t="s">
        <v>42</v>
      </c>
      <c r="B9" s="1">
        <v>2013</v>
      </c>
      <c r="C9" s="1">
        <v>2014</v>
      </c>
      <c r="D9" s="1">
        <v>2015</v>
      </c>
      <c r="E9" s="1">
        <v>2016</v>
      </c>
      <c r="F9" s="22">
        <v>2017</v>
      </c>
      <c r="G9" s="1">
        <v>2018</v>
      </c>
      <c r="H9" s="1">
        <v>2019</v>
      </c>
      <c r="I9" s="1">
        <v>2020</v>
      </c>
      <c r="J9" s="1">
        <v>2021</v>
      </c>
      <c r="K9" s="1">
        <v>2022</v>
      </c>
    </row>
    <row r="10" spans="1:13" x14ac:dyDescent="0.3">
      <c r="A10" t="s">
        <v>35</v>
      </c>
      <c r="B10" s="3">
        <f>B2/B19</f>
        <v>2.2279960398241473E-3</v>
      </c>
      <c r="C10" s="3">
        <f t="shared" ref="C10:F10" si="1">C2/C19</f>
        <v>2.6130122537974136E-2</v>
      </c>
      <c r="D10" s="3">
        <f t="shared" si="1"/>
        <v>3.2901665894265436E-2</v>
      </c>
      <c r="E10" s="3">
        <f t="shared" si="1"/>
        <v>-5.0707958368573424E-3</v>
      </c>
      <c r="F10" s="25">
        <f t="shared" si="1"/>
        <v>2.6495064987228173E-2</v>
      </c>
      <c r="G10" s="21">
        <v>0.03</v>
      </c>
      <c r="H10" s="21">
        <v>0.02</v>
      </c>
      <c r="I10" s="21">
        <v>0.02</v>
      </c>
      <c r="J10" s="21">
        <v>0.01</v>
      </c>
      <c r="K10" s="21">
        <v>0.01</v>
      </c>
      <c r="L10" t="s">
        <v>169</v>
      </c>
    </row>
    <row r="11" spans="1:13" x14ac:dyDescent="0.3">
      <c r="A11" s="4" t="s">
        <v>36</v>
      </c>
      <c r="B11" s="3">
        <f>B3/B19</f>
        <v>-3.5392604057350031E-3</v>
      </c>
      <c r="C11" s="3">
        <f t="shared" ref="C11:F11" si="2">C3/C19</f>
        <v>1.4563748080564995E-2</v>
      </c>
      <c r="D11" s="3">
        <f t="shared" si="2"/>
        <v>-2.1622737943693495E-3</v>
      </c>
      <c r="E11" s="3">
        <f t="shared" si="2"/>
        <v>3.3708803691881631E-2</v>
      </c>
      <c r="F11" s="25">
        <f t="shared" si="2"/>
        <v>1.6432838194887372E-2</v>
      </c>
      <c r="G11" s="3">
        <f>G3/FCF!G6</f>
        <v>1.6019652359731715E-2</v>
      </c>
      <c r="H11" s="3">
        <f>H3/FCF!H6</f>
        <v>4.6954059137179847E-3</v>
      </c>
      <c r="I11" s="3">
        <f>I3/FCF!I6</f>
        <v>1.6328865059520119E-3</v>
      </c>
      <c r="J11" s="3">
        <f>J3/FCF!J6</f>
        <v>7.7633025703801551E-3</v>
      </c>
      <c r="K11" s="3">
        <f>K3/FCF!K6</f>
        <v>7.7648665305167959E-3</v>
      </c>
    </row>
    <row r="12" spans="1:13" x14ac:dyDescent="0.3">
      <c r="A12" s="4" t="s">
        <v>37</v>
      </c>
      <c r="B12" s="3">
        <f>B4/B19</f>
        <v>7.2914245801406685E-3</v>
      </c>
      <c r="C12" s="3">
        <f t="shared" ref="C12:F12" si="3">C4/C19</f>
        <v>4.3823109310633018E-4</v>
      </c>
      <c r="D12" s="3">
        <f t="shared" si="3"/>
        <v>4.8534165662580807E-2</v>
      </c>
      <c r="E12" s="3">
        <f t="shared" si="3"/>
        <v>2.9481105824023794E-2</v>
      </c>
      <c r="F12" s="25">
        <f t="shared" si="3"/>
        <v>1.7830208161050669E-2</v>
      </c>
      <c r="G12" s="21">
        <v>3.2000000000000001E-2</v>
      </c>
      <c r="H12" s="21">
        <v>0.03</v>
      </c>
      <c r="I12" s="21">
        <v>0.03</v>
      </c>
      <c r="J12" s="21">
        <v>0.03</v>
      </c>
      <c r="K12" s="21">
        <v>0.03</v>
      </c>
      <c r="L12" t="s">
        <v>168</v>
      </c>
    </row>
    <row r="13" spans="1:13" x14ac:dyDescent="0.3">
      <c r="A13" s="4" t="s">
        <v>39</v>
      </c>
      <c r="B13" s="3">
        <f>B5/B19</f>
        <v>9.636842297311779E-5</v>
      </c>
      <c r="C13" s="3">
        <f t="shared" ref="C13:F13" si="4">C5/C19</f>
        <v>-2.4737978578060283E-3</v>
      </c>
      <c r="D13" s="3">
        <f t="shared" si="4"/>
        <v>1.6928075602140193E-2</v>
      </c>
      <c r="E13" s="3">
        <f t="shared" si="4"/>
        <v>-3.7869161541471475E-4</v>
      </c>
      <c r="F13" s="25">
        <f t="shared" si="4"/>
        <v>-2.8815854113136753E-3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</row>
    <row r="14" spans="1:13" s="1" customFormat="1" x14ac:dyDescent="0.3">
      <c r="A14" s="5" t="s">
        <v>41</v>
      </c>
      <c r="B14" s="6">
        <f>B6/B19</f>
        <v>-8.6990573690246421E-3</v>
      </c>
      <c r="C14" s="6">
        <f t="shared" ref="C14:F14" si="5">C6/C19</f>
        <v>4.2729437383238832E-2</v>
      </c>
      <c r="D14" s="6">
        <f t="shared" si="5"/>
        <v>-3.4722849164824904E-2</v>
      </c>
      <c r="E14" s="6">
        <f t="shared" si="5"/>
        <v>-4.6440635358478992E-4</v>
      </c>
      <c r="F14" s="26">
        <f t="shared" si="5"/>
        <v>2.7979280432378548E-2</v>
      </c>
    </row>
    <row r="15" spans="1:13" x14ac:dyDescent="0.3">
      <c r="F15" s="23"/>
    </row>
    <row r="16" spans="1:13" x14ac:dyDescent="0.3">
      <c r="A16" s="1" t="s">
        <v>3</v>
      </c>
      <c r="B16" s="1">
        <v>2013</v>
      </c>
      <c r="C16" s="1">
        <v>2014</v>
      </c>
      <c r="D16" s="1">
        <v>2015</v>
      </c>
      <c r="E16" s="1">
        <v>2016</v>
      </c>
      <c r="F16" s="22">
        <v>2017</v>
      </c>
      <c r="G16" s="1"/>
      <c r="H16" s="1"/>
      <c r="I16" s="1"/>
      <c r="J16" s="1"/>
      <c r="K16" s="1"/>
    </row>
    <row r="17" spans="1:12" x14ac:dyDescent="0.3">
      <c r="A17" t="s">
        <v>0</v>
      </c>
      <c r="B17">
        <v>83764805</v>
      </c>
      <c r="C17">
        <v>92337092</v>
      </c>
      <c r="D17">
        <v>105932291</v>
      </c>
      <c r="E17">
        <v>120997840</v>
      </c>
      <c r="F17" s="23">
        <v>139357926</v>
      </c>
    </row>
    <row r="18" spans="1:12" x14ac:dyDescent="0.3">
      <c r="A18" t="s">
        <v>1</v>
      </c>
      <c r="B18">
        <f>1262977+1685332+161816</f>
        <v>3110125</v>
      </c>
      <c r="C18">
        <f>1162820+2290650+231835</f>
        <v>3685305</v>
      </c>
      <c r="D18">
        <f>1043412+4437933+527322</f>
        <v>6008667</v>
      </c>
      <c r="E18">
        <v>6623153</v>
      </c>
      <c r="F18" s="23">
        <v>7155170</v>
      </c>
    </row>
    <row r="19" spans="1:12" x14ac:dyDescent="0.3">
      <c r="A19" s="1" t="s">
        <v>2</v>
      </c>
      <c r="B19" s="1">
        <f>B17+B18</f>
        <v>86874930</v>
      </c>
      <c r="C19" s="1">
        <f t="shared" ref="C19:F19" si="6">C17+C18</f>
        <v>96022397</v>
      </c>
      <c r="D19" s="1">
        <f t="shared" si="6"/>
        <v>111940958</v>
      </c>
      <c r="E19" s="1">
        <f t="shared" si="6"/>
        <v>127620993</v>
      </c>
      <c r="F19" s="22">
        <f t="shared" si="6"/>
        <v>146513096</v>
      </c>
    </row>
    <row r="20" spans="1:12" x14ac:dyDescent="0.3">
      <c r="F20" s="23"/>
    </row>
    <row r="21" spans="1:12" x14ac:dyDescent="0.3">
      <c r="F21" s="23"/>
    </row>
    <row r="22" spans="1:12" x14ac:dyDescent="0.3">
      <c r="F22" s="23"/>
    </row>
    <row r="23" spans="1:12" s="1" customFormat="1" x14ac:dyDescent="0.3">
      <c r="A23" s="63" t="s">
        <v>43</v>
      </c>
      <c r="B23" s="1">
        <v>2013</v>
      </c>
      <c r="C23" s="1">
        <v>2014</v>
      </c>
      <c r="D23" s="1">
        <v>2015</v>
      </c>
      <c r="E23" s="1">
        <v>2016</v>
      </c>
      <c r="F23" s="22">
        <v>2017</v>
      </c>
      <c r="G23" s="1">
        <v>2018</v>
      </c>
      <c r="H23" s="1">
        <v>2019</v>
      </c>
      <c r="I23" s="1">
        <v>2020</v>
      </c>
      <c r="J23" s="1">
        <v>2021</v>
      </c>
      <c r="K23" s="1">
        <v>2022</v>
      </c>
    </row>
    <row r="24" spans="1:12" x14ac:dyDescent="0.3">
      <c r="A24" s="4" t="s">
        <v>46</v>
      </c>
      <c r="B24">
        <v>38833</v>
      </c>
      <c r="C24">
        <v>0</v>
      </c>
      <c r="D24">
        <v>232554</v>
      </c>
      <c r="E24">
        <v>0</v>
      </c>
      <c r="F24" s="23">
        <v>0</v>
      </c>
      <c r="G24" s="85">
        <f>G32*FCF!G6</f>
        <v>0</v>
      </c>
      <c r="H24">
        <f>H32*FCF!H6</f>
        <v>0</v>
      </c>
      <c r="I24">
        <f>I32*FCF!I6</f>
        <v>0</v>
      </c>
      <c r="J24">
        <f>J32*FCF!J6</f>
        <v>0</v>
      </c>
      <c r="K24">
        <f>K32*FCF!K6</f>
        <v>0</v>
      </c>
    </row>
    <row r="25" spans="1:12" x14ac:dyDescent="0.3">
      <c r="A25" s="4" t="s">
        <v>45</v>
      </c>
      <c r="B25">
        <v>2747719</v>
      </c>
      <c r="C25">
        <v>5973615</v>
      </c>
      <c r="D25">
        <v>10869683</v>
      </c>
      <c r="E25">
        <v>24581401</v>
      </c>
      <c r="F25" s="23">
        <v>16697295</v>
      </c>
      <c r="G25" s="85">
        <f>G33*FCF!G6</f>
        <v>20057916.656399999</v>
      </c>
      <c r="H25">
        <f>H33*FCF!H6</f>
        <v>20542736.864584003</v>
      </c>
      <c r="I25">
        <f>I33*FCF!I6</f>
        <v>20510578.668536004</v>
      </c>
      <c r="J25">
        <f>J33*FCF!J6</f>
        <v>17543420.265142467</v>
      </c>
      <c r="K25">
        <f>K33*FCF!K6</f>
        <v>18757142.854821872</v>
      </c>
    </row>
    <row r="26" spans="1:12" x14ac:dyDescent="0.3">
      <c r="A26" s="4" t="s">
        <v>47</v>
      </c>
      <c r="B26">
        <v>0</v>
      </c>
      <c r="C26">
        <v>29300</v>
      </c>
      <c r="D26">
        <v>0</v>
      </c>
      <c r="E26">
        <v>199247</v>
      </c>
      <c r="F26" s="23">
        <v>80067</v>
      </c>
      <c r="G26" s="85">
        <f>G34*FCF!G6</f>
        <v>0</v>
      </c>
      <c r="H26">
        <f>H34*FCF!H6</f>
        <v>0</v>
      </c>
      <c r="I26">
        <f>I34*FCF!I6</f>
        <v>0</v>
      </c>
      <c r="J26">
        <f>J34*FCF!J6</f>
        <v>0</v>
      </c>
      <c r="K26">
        <f>K34*FCF!K6</f>
        <v>0</v>
      </c>
    </row>
    <row r="27" spans="1:12" x14ac:dyDescent="0.3">
      <c r="A27" s="4" t="s">
        <v>48</v>
      </c>
      <c r="B27">
        <v>5566172</v>
      </c>
      <c r="C27">
        <v>5240166</v>
      </c>
      <c r="D27">
        <v>5430337</v>
      </c>
      <c r="E27">
        <v>6219574</v>
      </c>
      <c r="F27" s="23">
        <v>7405570</v>
      </c>
      <c r="G27" s="85">
        <f>FCF!G22</f>
        <v>10825615.15</v>
      </c>
      <c r="H27">
        <f>FCF!H22</f>
        <v>13222034.267863519</v>
      </c>
      <c r="I27">
        <f>FCF!I22</f>
        <v>15130574.296404876</v>
      </c>
      <c r="J27">
        <f>FCF!J22</f>
        <v>16539778.801445488</v>
      </c>
      <c r="K27">
        <f>FCF!K22</f>
        <v>16845288.985135462</v>
      </c>
      <c r="L27" s="31"/>
    </row>
    <row r="28" spans="1:12" s="7" customFormat="1" x14ac:dyDescent="0.3">
      <c r="A28" s="7" t="s">
        <v>44</v>
      </c>
      <c r="B28" s="7">
        <f>-B24-B25+B26+B27</f>
        <v>2779620</v>
      </c>
      <c r="C28" s="7">
        <f t="shared" ref="C28:K28" si="7">-C24-C25+C26+C27</f>
        <v>-704149</v>
      </c>
      <c r="D28" s="7">
        <f t="shared" si="7"/>
        <v>-5671900</v>
      </c>
      <c r="E28" s="7">
        <f t="shared" si="7"/>
        <v>-18162580</v>
      </c>
      <c r="F28" s="39">
        <f t="shared" si="7"/>
        <v>-9211658</v>
      </c>
      <c r="G28" s="88">
        <f t="shared" si="7"/>
        <v>-9232301.5063999984</v>
      </c>
      <c r="H28" s="7">
        <f t="shared" si="7"/>
        <v>-7320702.5967204832</v>
      </c>
      <c r="I28" s="7">
        <f t="shared" si="7"/>
        <v>-5380004.3721311279</v>
      </c>
      <c r="J28" s="7">
        <f t="shared" si="7"/>
        <v>-1003641.463696979</v>
      </c>
      <c r="K28" s="7">
        <f t="shared" si="7"/>
        <v>-1911853.8696864098</v>
      </c>
    </row>
    <row r="29" spans="1:12" x14ac:dyDescent="0.3">
      <c r="F29" s="23"/>
    </row>
    <row r="30" spans="1:12" x14ac:dyDescent="0.3">
      <c r="F30" s="23"/>
    </row>
    <row r="31" spans="1:12" s="1" customFormat="1" x14ac:dyDescent="0.3">
      <c r="A31" s="1" t="s">
        <v>49</v>
      </c>
      <c r="B31" s="1">
        <v>2013</v>
      </c>
      <c r="C31" s="1">
        <v>2014</v>
      </c>
      <c r="D31" s="1">
        <v>2015</v>
      </c>
      <c r="E31" s="1">
        <v>2016</v>
      </c>
      <c r="F31" s="22">
        <v>2017</v>
      </c>
      <c r="G31" s="1">
        <v>2018</v>
      </c>
      <c r="H31" s="1">
        <v>2019</v>
      </c>
      <c r="I31" s="1">
        <v>2020</v>
      </c>
      <c r="J31" s="1">
        <v>2021</v>
      </c>
      <c r="K31" s="1">
        <v>2022</v>
      </c>
    </row>
    <row r="32" spans="1:12" x14ac:dyDescent="0.3">
      <c r="A32" s="4" t="s">
        <v>46</v>
      </c>
      <c r="B32" s="3">
        <f>B24/B19</f>
        <v>4.4699892132287188E-4</v>
      </c>
      <c r="C32" s="3">
        <f t="shared" ref="C32:F32" si="8">C24/C19</f>
        <v>0</v>
      </c>
      <c r="D32" s="3">
        <f t="shared" si="8"/>
        <v>2.0774701606537977E-3</v>
      </c>
      <c r="E32" s="3">
        <f t="shared" si="8"/>
        <v>0</v>
      </c>
      <c r="F32" s="25">
        <f t="shared" si="8"/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1:11" x14ac:dyDescent="0.3">
      <c r="A33" s="4" t="s">
        <v>45</v>
      </c>
      <c r="B33" s="3">
        <f>B25/B19</f>
        <v>3.1628445628675617E-2</v>
      </c>
      <c r="C33" s="3">
        <f t="shared" ref="C33:F33" si="9">C25/C19</f>
        <v>6.2210642377527818E-2</v>
      </c>
      <c r="D33" s="3">
        <f t="shared" si="9"/>
        <v>9.7101929393886371E-2</v>
      </c>
      <c r="E33" s="3">
        <f t="shared" si="9"/>
        <v>0.19261251947788871</v>
      </c>
      <c r="F33" s="25">
        <f t="shared" si="9"/>
        <v>0.11396452232502137</v>
      </c>
      <c r="G33" s="87">
        <f>'STARE AMORT. IN INVEST.'!G66</f>
        <v>0.12</v>
      </c>
      <c r="H33" s="77">
        <f>'STARE AMORT. IN INVEST.'!H66</f>
        <v>0.11</v>
      </c>
      <c r="I33" s="77">
        <f>'STARE AMORT. IN INVEST.'!I66</f>
        <v>0.1</v>
      </c>
      <c r="J33" s="77">
        <f>'STARE AMORT. IN INVEST.'!J66</f>
        <v>0.08</v>
      </c>
      <c r="K33" s="77">
        <f>'STARE AMORT. IN INVEST.'!K66</f>
        <v>0.08</v>
      </c>
    </row>
    <row r="34" spans="1:11" x14ac:dyDescent="0.3">
      <c r="A34" s="4" t="s">
        <v>47</v>
      </c>
      <c r="B34" s="3">
        <f>B26/B19</f>
        <v>0</v>
      </c>
      <c r="C34" s="3">
        <f t="shared" ref="C34:F34" si="10">C26/C19</f>
        <v>3.0513714420188863E-4</v>
      </c>
      <c r="D34" s="3">
        <f t="shared" si="10"/>
        <v>0</v>
      </c>
      <c r="E34" s="3">
        <f t="shared" si="10"/>
        <v>1.5612400069634311E-3</v>
      </c>
      <c r="F34" s="25">
        <f t="shared" si="10"/>
        <v>5.4648357168017255E-4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</row>
    <row r="35" spans="1:11" x14ac:dyDescent="0.3">
      <c r="A35" s="4" t="s">
        <v>48</v>
      </c>
      <c r="B35" s="3">
        <f>B27/B19</f>
        <v>6.4071096229948041E-2</v>
      </c>
      <c r="C35" s="3">
        <f t="shared" ref="C35:F35" si="11">C27/C19</f>
        <v>5.4572330661564299E-2</v>
      </c>
      <c r="D35" s="3">
        <f t="shared" si="11"/>
        <v>4.8510724734015589E-2</v>
      </c>
      <c r="E35" s="3">
        <f t="shared" si="11"/>
        <v>4.8734725015029463E-2</v>
      </c>
      <c r="F35" s="25">
        <f t="shared" si="11"/>
        <v>5.0545447486823977E-2</v>
      </c>
      <c r="G35" s="77">
        <v>0.05</v>
      </c>
      <c r="H35" s="77">
        <v>0.05</v>
      </c>
      <c r="I35" s="77">
        <v>0.05</v>
      </c>
      <c r="J35" s="77">
        <v>0.05</v>
      </c>
      <c r="K35" s="77">
        <v>0.05</v>
      </c>
    </row>
    <row r="36" spans="1:11" x14ac:dyDescent="0.3">
      <c r="A36" s="1" t="s">
        <v>44</v>
      </c>
      <c r="B36" s="3">
        <f>B28/B19</f>
        <v>3.1995651679949555E-2</v>
      </c>
      <c r="C36" s="3">
        <f t="shared" ref="C36:F36" si="12">C28/C19</f>
        <v>-7.3331745717616272E-3</v>
      </c>
      <c r="D36" s="3">
        <f t="shared" si="12"/>
        <v>-5.0668674820524583E-2</v>
      </c>
      <c r="E36" s="3">
        <f t="shared" si="12"/>
        <v>-0.14231655445589583</v>
      </c>
      <c r="F36" s="25">
        <f t="shared" si="12"/>
        <v>-6.287259126651723E-2</v>
      </c>
      <c r="G36" s="89">
        <f>G28/FCF!G6</f>
        <v>-5.5233861010909283E-2</v>
      </c>
      <c r="H36" s="3">
        <f>H28/FCF!H6</f>
        <v>-3.9200097384665608E-2</v>
      </c>
      <c r="I36" s="3">
        <f>I28/FCF!I6</f>
        <v>-2.6230388030856762E-2</v>
      </c>
      <c r="J36" s="3">
        <f>J28/FCF!J6</f>
        <v>-4.5767196978853363E-3</v>
      </c>
      <c r="K36" s="3">
        <f>K28/FCF!K6</f>
        <v>-8.1541368404940522E-3</v>
      </c>
    </row>
    <row r="37" spans="1:11" x14ac:dyDescent="0.3">
      <c r="F37" s="23"/>
    </row>
    <row r="38" spans="1:11" x14ac:dyDescent="0.3">
      <c r="F38" s="23"/>
    </row>
    <row r="39" spans="1:11" s="1" customFormat="1" x14ac:dyDescent="0.3">
      <c r="A39" s="63" t="s">
        <v>171</v>
      </c>
      <c r="B39" s="1">
        <v>2013</v>
      </c>
      <c r="C39" s="1">
        <v>2014</v>
      </c>
      <c r="D39" s="1">
        <v>2015</v>
      </c>
      <c r="E39" s="1">
        <v>2016</v>
      </c>
      <c r="F39" s="22">
        <v>2017</v>
      </c>
      <c r="G39" s="1">
        <v>2018</v>
      </c>
      <c r="H39" s="1">
        <v>2019</v>
      </c>
      <c r="I39" s="1">
        <v>2020</v>
      </c>
      <c r="J39" s="1">
        <v>2021</v>
      </c>
      <c r="K39" s="1">
        <v>2022</v>
      </c>
    </row>
    <row r="40" spans="1:11" x14ac:dyDescent="0.3">
      <c r="A40" t="s">
        <v>172</v>
      </c>
      <c r="B40">
        <f>AKTIVA!B6+AKTIVA!B3+AKTIVA!B8+AKTIVA!B9</f>
        <v>32428791</v>
      </c>
      <c r="C40">
        <f>AKTIVA!C6+AKTIVA!C3+AKTIVA!C8+AKTIVA!C9</f>
        <v>35792419</v>
      </c>
      <c r="D40">
        <f>AKTIVA!D6+AKTIVA!D3+AKTIVA!D8+AKTIVA!D9</f>
        <v>39872111</v>
      </c>
      <c r="E40">
        <f>AKTIVA!E6+AKTIVA!E3+AKTIVA!E8+AKTIVA!E9</f>
        <v>43280786</v>
      </c>
      <c r="F40" s="23">
        <f>AKTIVA!F6+AKTIVA!F3+AKTIVA!F8+AKTIVA!F9</f>
        <v>49132763</v>
      </c>
      <c r="G40">
        <f>AKTIVA!G6+AKTIVA!G3+AKTIVA!G8+AKTIVA!G9</f>
        <v>55159270.805100001</v>
      </c>
      <c r="H40">
        <f>AKTIVA!H6+AKTIVA!H3+AKTIVA!H8+AKTIVA!H9</f>
        <v>56025645.994320013</v>
      </c>
      <c r="I40">
        <f>AKTIVA!I6+AKTIVA!I3+AKTIVA!I8+AKTIVA!I9</f>
        <v>59480678.138754398</v>
      </c>
      <c r="J40">
        <f>AKTIVA!J6+AKTIVA!J3+AKTIVA!J8+AKTIVA!J9</f>
        <v>61401970.92799864</v>
      </c>
      <c r="K40">
        <f>AKTIVA!K6+AKTIVA!K3+AKTIVA!K8+AKTIVA!K9</f>
        <v>63305357.13502381</v>
      </c>
    </row>
    <row r="41" spans="1:11" s="76" customFormat="1" x14ac:dyDescent="0.3">
      <c r="A41" s="76" t="s">
        <v>173</v>
      </c>
      <c r="C41" s="76">
        <f>C40-B40</f>
        <v>3363628</v>
      </c>
      <c r="D41" s="76">
        <f t="shared" ref="D41:K41" si="13">D40-C40</f>
        <v>4079692</v>
      </c>
      <c r="E41" s="76">
        <f t="shared" si="13"/>
        <v>3408675</v>
      </c>
      <c r="F41" s="100">
        <f t="shared" si="13"/>
        <v>5851977</v>
      </c>
      <c r="G41" s="101">
        <f t="shared" si="13"/>
        <v>6026507.8051000014</v>
      </c>
      <c r="H41" s="76">
        <f t="shared" si="13"/>
        <v>866375.18922001123</v>
      </c>
      <c r="I41" s="76">
        <f t="shared" si="13"/>
        <v>3455032.144434385</v>
      </c>
      <c r="J41" s="76">
        <f t="shared" si="13"/>
        <v>1921292.789244242</v>
      </c>
      <c r="K41" s="76">
        <f t="shared" si="13"/>
        <v>1903386.2070251703</v>
      </c>
    </row>
    <row r="42" spans="1:11" x14ac:dyDescent="0.3">
      <c r="F42" s="23"/>
    </row>
    <row r="43" spans="1:11" s="1" customFormat="1" x14ac:dyDescent="0.3">
      <c r="A43" s="1" t="s">
        <v>16</v>
      </c>
      <c r="B43" s="1">
        <v>2013</v>
      </c>
      <c r="C43" s="1">
        <v>2014</v>
      </c>
      <c r="D43" s="1">
        <v>2015</v>
      </c>
      <c r="E43" s="1">
        <v>2016</v>
      </c>
      <c r="F43" s="22">
        <v>2017</v>
      </c>
      <c r="G43" s="1">
        <v>2018</v>
      </c>
      <c r="H43" s="1">
        <v>2019</v>
      </c>
      <c r="I43" s="1">
        <v>2020</v>
      </c>
      <c r="J43" s="1">
        <v>2021</v>
      </c>
      <c r="K43" s="1">
        <v>2022</v>
      </c>
    </row>
    <row r="44" spans="1:11" x14ac:dyDescent="0.3">
      <c r="A44" t="s">
        <v>172</v>
      </c>
      <c r="B44">
        <f>AKTIVA!B6+AKTIVA!B3+AKTIVA!B8+AKTIVA!B9-PASIVA!B6</f>
        <v>18013035</v>
      </c>
      <c r="C44">
        <f>AKTIVA!C6+AKTIVA!C3+AKTIVA!C8+AKTIVA!C9-PASIVA!C6</f>
        <v>21308387</v>
      </c>
      <c r="D44">
        <f>AKTIVA!D6+AKTIVA!D3+AKTIVA!D8+AKTIVA!D9-PASIVA!D6</f>
        <v>20077108</v>
      </c>
      <c r="E44">
        <f>AKTIVA!E6+AKTIVA!E3+AKTIVA!E8+AKTIVA!E9-PASIVA!E6</f>
        <v>20016248</v>
      </c>
      <c r="F44" s="23">
        <f>AKTIVA!F6+AKTIVA!F3+AKTIVA!F8+AKTIVA!F9-PASIVA!F6</f>
        <v>22951001</v>
      </c>
      <c r="G44">
        <f>AKTIVA!G6+AKTIVA!G3+AKTIVA!G8+AKTIVA!G9-PASIVA!G6</f>
        <v>25072395.820500001</v>
      </c>
      <c r="H44">
        <f>AKTIVA!H6+AKTIVA!H3+AKTIVA!H8+AKTIVA!H9-PASIVA!H6</f>
        <v>22410258.397728011</v>
      </c>
      <c r="I44">
        <f>AKTIVA!I6+AKTIVA!I3+AKTIVA!I8+AKTIVA!I9-PASIVA!I6</f>
        <v>24612694.40224319</v>
      </c>
      <c r="J44">
        <f>AKTIVA!J6+AKTIVA!J3+AKTIVA!J8+AKTIVA!J9-PASIVA!J6</f>
        <v>24122202.864570893</v>
      </c>
      <c r="K44">
        <f>AKTIVA!K6+AKTIVA!K3+AKTIVA!K8+AKTIVA!K9-PASIVA!K6</f>
        <v>23446428.568527333</v>
      </c>
    </row>
    <row r="45" spans="1:11" x14ac:dyDescent="0.3">
      <c r="A45" t="s">
        <v>248</v>
      </c>
      <c r="B45" s="3">
        <f>B44/FCF!B6</f>
        <v>0.20734445483869743</v>
      </c>
      <c r="C45" s="3">
        <f>C44/FCF!C6</f>
        <v>0.22191059237981739</v>
      </c>
      <c r="D45" s="3">
        <f>D44/FCF!D6</f>
        <v>0.17935444147261989</v>
      </c>
      <c r="E45" s="3">
        <f>E44/FCF!E6</f>
        <v>0.15684134349275905</v>
      </c>
      <c r="F45" s="25">
        <f>F44/FCF!F6</f>
        <v>0.15664811970119039</v>
      </c>
      <c r="G45" s="3">
        <f>G44/FCF!G6</f>
        <v>0.15000000000000002</v>
      </c>
      <c r="H45" s="3">
        <f>H44/FCF!H6</f>
        <v>0.12000000000000005</v>
      </c>
      <c r="I45" s="3">
        <f>I44/FCF!I6</f>
        <v>0.11999999999999994</v>
      </c>
      <c r="J45" s="3">
        <f>J44/FCF!J6</f>
        <v>0.11</v>
      </c>
      <c r="K45" s="3">
        <f>K44/FCF!K6</f>
        <v>9.9999999999999978E-2</v>
      </c>
    </row>
    <row r="46" spans="1:11" x14ac:dyDescent="0.3">
      <c r="A46" t="s">
        <v>249</v>
      </c>
      <c r="B46" s="21">
        <f>C45</f>
        <v>0.22191059237981739</v>
      </c>
      <c r="C46" s="21">
        <f t="shared" ref="C46:J46" si="14">D45</f>
        <v>0.17935444147261989</v>
      </c>
      <c r="D46" s="21">
        <f t="shared" si="14"/>
        <v>0.15684134349275905</v>
      </c>
      <c r="E46" s="21">
        <f t="shared" si="14"/>
        <v>0.15664811970119039</v>
      </c>
      <c r="F46" s="99">
        <f t="shared" si="14"/>
        <v>0.15000000000000002</v>
      </c>
      <c r="G46" s="21">
        <f t="shared" si="14"/>
        <v>0.12000000000000005</v>
      </c>
      <c r="H46" s="21">
        <f t="shared" si="14"/>
        <v>0.11999999999999994</v>
      </c>
      <c r="I46" s="21">
        <f t="shared" si="14"/>
        <v>0.11</v>
      </c>
      <c r="J46" s="21">
        <f t="shared" si="14"/>
        <v>9.9999999999999978E-2</v>
      </c>
    </row>
    <row r="47" spans="1:11" x14ac:dyDescent="0.3">
      <c r="A47" t="s">
        <v>250</v>
      </c>
      <c r="B47">
        <f>B46*FCF!B6</f>
        <v>19278467.179255169</v>
      </c>
      <c r="C47">
        <f>C46*FCF!C6</f>
        <v>17222043.38279717</v>
      </c>
      <c r="D47">
        <f>D46*FCF!D6</f>
        <v>17556970.244586512</v>
      </c>
      <c r="E47">
        <f>E46*FCF!E6</f>
        <v>19991588.587848779</v>
      </c>
      <c r="F47" s="23">
        <f>F46*FCF!F6</f>
        <v>21976964.400000002</v>
      </c>
      <c r="G47">
        <f>G46*FCF!G6</f>
        <v>20057916.65640001</v>
      </c>
      <c r="H47">
        <f>H46*FCF!H6</f>
        <v>22410258.397727992</v>
      </c>
      <c r="I47">
        <f>I46*FCF!I6</f>
        <v>22561636.535389602</v>
      </c>
      <c r="J47">
        <f>J46*FCF!J6</f>
        <v>21929275.331428077</v>
      </c>
    </row>
    <row r="48" spans="1:11" s="7" customFormat="1" x14ac:dyDescent="0.3">
      <c r="A48" s="7" t="s">
        <v>251</v>
      </c>
      <c r="B48" s="7">
        <f>B47-B44</f>
        <v>1265432.1792551689</v>
      </c>
      <c r="C48" s="7">
        <f t="shared" ref="C48:J48" si="15">C47-C44</f>
        <v>-4086343.6172028296</v>
      </c>
      <c r="D48" s="7">
        <f t="shared" si="15"/>
        <v>-2520137.7554134876</v>
      </c>
      <c r="E48" s="7">
        <f t="shared" si="15"/>
        <v>-24659.412151221186</v>
      </c>
      <c r="F48" s="39">
        <f t="shared" si="15"/>
        <v>-974036.59999999776</v>
      </c>
      <c r="G48" s="7">
        <f t="shared" si="15"/>
        <v>-5014479.1640999913</v>
      </c>
      <c r="H48" s="7">
        <f t="shared" si="15"/>
        <v>0</v>
      </c>
      <c r="I48" s="7">
        <f t="shared" si="15"/>
        <v>-2051057.8668535873</v>
      </c>
      <c r="J48" s="7">
        <f t="shared" si="15"/>
        <v>-2192927.5331428163</v>
      </c>
    </row>
    <row r="49" spans="6:6" x14ac:dyDescent="0.3">
      <c r="F49" s="23"/>
    </row>
    <row r="50" spans="6:6" x14ac:dyDescent="0.3">
      <c r="F50" s="23"/>
    </row>
    <row r="51" spans="6:6" x14ac:dyDescent="0.3">
      <c r="F51" s="23"/>
    </row>
    <row r="52" spans="6:6" x14ac:dyDescent="0.3">
      <c r="F52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5AAF-E25B-49E6-970D-4B0AD18872FC}">
  <dimension ref="A1:R97"/>
  <sheetViews>
    <sheetView topLeftCell="A76" workbookViewId="0">
      <selection activeCell="I84" sqref="I84"/>
    </sheetView>
  </sheetViews>
  <sheetFormatPr defaultRowHeight="14.4" x14ac:dyDescent="0.3"/>
  <cols>
    <col min="1" max="1" width="26.5546875" customWidth="1"/>
    <col min="7" max="7" width="13" customWidth="1"/>
    <col min="8" max="8" width="12.109375" customWidth="1"/>
    <col min="9" max="9" width="11.6640625" customWidth="1"/>
    <col min="10" max="10" width="12.44140625" customWidth="1"/>
    <col min="11" max="11" width="11.6640625" customWidth="1"/>
  </cols>
  <sheetData>
    <row r="1" spans="1:18" s="7" customFormat="1" x14ac:dyDescent="0.3">
      <c r="A1" s="63" t="s">
        <v>75</v>
      </c>
      <c r="F1" s="39"/>
    </row>
    <row r="2" spans="1:18" s="1" customFormat="1" x14ac:dyDescent="0.3">
      <c r="A2" s="1" t="s">
        <v>68</v>
      </c>
      <c r="B2" s="1">
        <v>2013</v>
      </c>
      <c r="C2" s="1">
        <v>2014</v>
      </c>
      <c r="D2" s="1">
        <v>2015</v>
      </c>
      <c r="E2" s="1">
        <v>2016</v>
      </c>
      <c r="F2" s="22">
        <v>2017</v>
      </c>
      <c r="G2" s="1">
        <v>2018</v>
      </c>
      <c r="H2" s="1">
        <v>2019</v>
      </c>
      <c r="I2" s="1">
        <v>2020</v>
      </c>
      <c r="J2" s="1">
        <v>2021</v>
      </c>
      <c r="K2" s="1">
        <v>2022</v>
      </c>
      <c r="L2" s="7" t="s">
        <v>183</v>
      </c>
    </row>
    <row r="3" spans="1:18" s="1" customFormat="1" x14ac:dyDescent="0.3">
      <c r="A3" s="1" t="s">
        <v>69</v>
      </c>
      <c r="B3" s="1">
        <f>B5</f>
        <v>107197</v>
      </c>
      <c r="C3" s="1">
        <f t="shared" ref="C3:F3" si="0">C5</f>
        <v>157764</v>
      </c>
      <c r="D3" s="1">
        <f t="shared" si="0"/>
        <v>227677</v>
      </c>
      <c r="E3" s="1">
        <f t="shared" si="0"/>
        <v>229868</v>
      </c>
      <c r="F3" s="22">
        <f t="shared" si="0"/>
        <v>202012</v>
      </c>
      <c r="G3" s="1">
        <f>G51*FCF!G6</f>
        <v>217294.09711099998</v>
      </c>
      <c r="H3" s="1">
        <f>H51*FCF!H6</f>
        <v>242777.79930872002</v>
      </c>
      <c r="I3" s="1">
        <f>I51*FCF!I6</f>
        <v>246126.944022432</v>
      </c>
      <c r="J3" s="1">
        <f>J51*FCF!J6</f>
        <v>263151.30397713697</v>
      </c>
      <c r="K3" s="1">
        <f>K51*FCF!K6</f>
        <v>257910.71425380075</v>
      </c>
      <c r="N3" s="5"/>
      <c r="O3" s="5"/>
      <c r="P3" s="5"/>
      <c r="Q3" s="5"/>
      <c r="R3" s="5"/>
    </row>
    <row r="4" spans="1:18" x14ac:dyDescent="0.3">
      <c r="A4" t="s">
        <v>60</v>
      </c>
      <c r="F4" s="23"/>
      <c r="N4" s="4"/>
      <c r="O4" s="4"/>
      <c r="P4" s="4"/>
      <c r="Q4" s="4"/>
      <c r="R4" s="4"/>
    </row>
    <row r="5" spans="1:18" s="8" customFormat="1" x14ac:dyDescent="0.3">
      <c r="A5" s="8" t="s">
        <v>175</v>
      </c>
      <c r="B5" s="8">
        <v>107197</v>
      </c>
      <c r="C5" s="8">
        <v>157764</v>
      </c>
      <c r="D5" s="8">
        <v>227677</v>
      </c>
      <c r="E5" s="8">
        <v>229868</v>
      </c>
      <c r="F5" s="46">
        <v>202012</v>
      </c>
      <c r="G5" s="8">
        <f>G3</f>
        <v>217294.09711099998</v>
      </c>
      <c r="H5" s="8">
        <f t="shared" ref="H5:K5" si="1">H3</f>
        <v>242777.79930872002</v>
      </c>
      <c r="I5" s="8">
        <f t="shared" si="1"/>
        <v>246126.944022432</v>
      </c>
      <c r="J5" s="8">
        <f t="shared" si="1"/>
        <v>263151.30397713697</v>
      </c>
      <c r="K5" s="8">
        <f t="shared" si="1"/>
        <v>257910.71425380075</v>
      </c>
      <c r="N5" s="4"/>
      <c r="O5" s="4"/>
      <c r="P5" s="4"/>
      <c r="Q5" s="4"/>
      <c r="R5" s="4"/>
    </row>
    <row r="6" spans="1:18" s="1" customFormat="1" x14ac:dyDescent="0.3">
      <c r="A6" s="1" t="s">
        <v>73</v>
      </c>
      <c r="B6" s="1">
        <f>B8+B9+B10</f>
        <v>5456856</v>
      </c>
      <c r="C6" s="1">
        <f t="shared" ref="C6:F6" si="2">C8+C9+C10</f>
        <v>5088687</v>
      </c>
      <c r="D6" s="1">
        <f t="shared" si="2"/>
        <v>5202660</v>
      </c>
      <c r="E6" s="1">
        <f t="shared" si="2"/>
        <v>5989706</v>
      </c>
      <c r="F6" s="22">
        <f t="shared" si="2"/>
        <v>7203558</v>
      </c>
      <c r="G6" s="1">
        <f>G54*FCF!G6</f>
        <v>10825615.15</v>
      </c>
      <c r="H6" s="1">
        <f>H54*FCF!H6</f>
        <v>13222034.267863519</v>
      </c>
      <c r="I6" s="1">
        <f>I54*FCF!I6</f>
        <v>15130574.296404876</v>
      </c>
      <c r="J6" s="1">
        <f>J54*FCF!J6</f>
        <v>16539778.801445488</v>
      </c>
      <c r="K6" s="1">
        <f>K54*FCF!K6</f>
        <v>16845288.985135462</v>
      </c>
      <c r="N6" s="4"/>
      <c r="O6" s="4"/>
      <c r="P6" s="4"/>
      <c r="Q6" s="4"/>
      <c r="R6" s="4"/>
    </row>
    <row r="7" spans="1:18" x14ac:dyDescent="0.3">
      <c r="A7" t="s">
        <v>60</v>
      </c>
      <c r="F7" s="23"/>
      <c r="N7" s="4"/>
      <c r="O7" s="4"/>
      <c r="P7" s="4"/>
      <c r="Q7" s="4"/>
      <c r="R7" s="4"/>
    </row>
    <row r="8" spans="1:18" s="8" customFormat="1" x14ac:dyDescent="0.3">
      <c r="A8" s="8" t="s">
        <v>176</v>
      </c>
      <c r="B8" s="8">
        <v>773576</v>
      </c>
      <c r="C8" s="8">
        <v>707981</v>
      </c>
      <c r="D8" s="8">
        <v>744985</v>
      </c>
      <c r="E8" s="8">
        <v>738768</v>
      </c>
      <c r="F8" s="46">
        <v>1105166</v>
      </c>
      <c r="G8" s="8">
        <f>G56*G6</f>
        <v>1515586.1210000003</v>
      </c>
      <c r="H8" s="8">
        <f t="shared" ref="H8:K8" si="3">H56*H6</f>
        <v>1851084.797500893</v>
      </c>
      <c r="I8" s="8">
        <f t="shared" si="3"/>
        <v>2118280.4014966828</v>
      </c>
      <c r="J8" s="8">
        <f t="shared" si="3"/>
        <v>2315569.0322023686</v>
      </c>
      <c r="K8" s="8">
        <f t="shared" si="3"/>
        <v>2358340.4579189648</v>
      </c>
      <c r="N8" s="4"/>
      <c r="O8" s="4"/>
      <c r="P8" s="4"/>
      <c r="Q8" s="4"/>
      <c r="R8" s="4"/>
    </row>
    <row r="9" spans="1:18" s="8" customFormat="1" x14ac:dyDescent="0.3">
      <c r="A9" s="8" t="s">
        <v>177</v>
      </c>
      <c r="B9" s="8">
        <v>3689628</v>
      </c>
      <c r="C9" s="8">
        <v>3329485</v>
      </c>
      <c r="D9" s="8">
        <v>3318631</v>
      </c>
      <c r="E9" s="8">
        <v>3876816</v>
      </c>
      <c r="F9" s="46">
        <v>4262598</v>
      </c>
      <c r="G9" s="8">
        <f>G57*G6</f>
        <v>6928393.6960000005</v>
      </c>
      <c r="H9" s="8">
        <f t="shared" ref="H9:K9" si="4">H57*H6</f>
        <v>8462101.9314326532</v>
      </c>
      <c r="I9" s="8">
        <f t="shared" si="4"/>
        <v>9683567.5496991202</v>
      </c>
      <c r="J9" s="8">
        <f t="shared" si="4"/>
        <v>10585458.432925113</v>
      </c>
      <c r="K9" s="8">
        <f t="shared" si="4"/>
        <v>10780984.950486695</v>
      </c>
      <c r="N9" s="4"/>
      <c r="O9" s="4"/>
      <c r="P9" s="4"/>
      <c r="Q9" s="4"/>
      <c r="R9" s="4"/>
    </row>
    <row r="10" spans="1:18" s="8" customFormat="1" x14ac:dyDescent="0.3">
      <c r="A10" s="8" t="s">
        <v>178</v>
      </c>
      <c r="B10" s="8">
        <v>993652</v>
      </c>
      <c r="C10" s="8">
        <v>1051221</v>
      </c>
      <c r="D10" s="8">
        <v>1139044</v>
      </c>
      <c r="E10" s="8">
        <v>1374122</v>
      </c>
      <c r="F10" s="46">
        <v>1835794</v>
      </c>
      <c r="G10" s="8">
        <f>G58*G6</f>
        <v>2381635.3330000001</v>
      </c>
      <c r="H10" s="8">
        <f t="shared" ref="H10:K10" si="5">H58*H6</f>
        <v>2908847.5389299742</v>
      </c>
      <c r="I10" s="8">
        <f t="shared" si="5"/>
        <v>3328726.3452090728</v>
      </c>
      <c r="J10" s="8">
        <f t="shared" si="5"/>
        <v>3638751.3363180072</v>
      </c>
      <c r="K10" s="8">
        <f t="shared" si="5"/>
        <v>3705963.5767298015</v>
      </c>
      <c r="N10" s="4"/>
      <c r="O10" s="4"/>
      <c r="P10" s="4"/>
      <c r="Q10" s="4"/>
      <c r="R10" s="4"/>
    </row>
    <row r="11" spans="1:18" s="8" customFormat="1" x14ac:dyDescent="0.3">
      <c r="G11" s="57"/>
      <c r="N11" s="4"/>
      <c r="O11" s="4"/>
      <c r="P11" s="4"/>
      <c r="Q11" s="4"/>
      <c r="R11" s="4"/>
    </row>
    <row r="12" spans="1:18" x14ac:dyDescent="0.3">
      <c r="F12" s="23"/>
    </row>
    <row r="13" spans="1:18" x14ac:dyDescent="0.3">
      <c r="A13" s="63" t="s">
        <v>76</v>
      </c>
      <c r="B13" s="1">
        <v>2013</v>
      </c>
      <c r="C13" s="1">
        <v>2014</v>
      </c>
      <c r="D13" s="1">
        <v>2015</v>
      </c>
      <c r="E13" s="1">
        <v>2016</v>
      </c>
      <c r="F13" s="22">
        <v>2017</v>
      </c>
      <c r="G13" s="1">
        <v>2018</v>
      </c>
      <c r="H13" s="1">
        <v>2019</v>
      </c>
      <c r="I13" s="1">
        <v>2020</v>
      </c>
      <c r="J13" s="1">
        <v>2021</v>
      </c>
      <c r="K13" s="1">
        <v>2022</v>
      </c>
      <c r="L13" s="7" t="s">
        <v>184</v>
      </c>
    </row>
    <row r="14" spans="1:18" s="1" customFormat="1" x14ac:dyDescent="0.3">
      <c r="A14" s="1" t="s">
        <v>69</v>
      </c>
      <c r="B14" s="1">
        <f>B16</f>
        <v>146030</v>
      </c>
      <c r="C14" s="1">
        <f t="shared" ref="C14:F14" si="6">C16</f>
        <v>128464</v>
      </c>
      <c r="D14" s="1">
        <f t="shared" si="6"/>
        <v>460181</v>
      </c>
      <c r="E14" s="1">
        <f t="shared" si="6"/>
        <v>30645</v>
      </c>
      <c r="F14" s="22">
        <f t="shared" si="6"/>
        <v>125857</v>
      </c>
      <c r="G14" s="1">
        <f>G63*FCF!G6</f>
        <v>200579.16656399998</v>
      </c>
      <c r="H14" s="1">
        <f>H63*FCF!H6</f>
        <v>224102.58397728001</v>
      </c>
      <c r="I14" s="1">
        <f>I63*FCF!I6</f>
        <v>225616.36535389602</v>
      </c>
      <c r="J14" s="1">
        <f>J63*FCF!J6</f>
        <v>219292.75331428085</v>
      </c>
      <c r="K14" s="1">
        <f>K63*FCF!K6</f>
        <v>234464.28568527338</v>
      </c>
    </row>
    <row r="15" spans="1:18" x14ac:dyDescent="0.3">
      <c r="A15" t="s">
        <v>60</v>
      </c>
      <c r="F15" s="23"/>
    </row>
    <row r="16" spans="1:18" s="8" customFormat="1" x14ac:dyDescent="0.3">
      <c r="A16" s="8" t="s">
        <v>70</v>
      </c>
      <c r="B16" s="8">
        <v>146030</v>
      </c>
      <c r="C16" s="8">
        <v>128464</v>
      </c>
      <c r="D16" s="8">
        <v>460181</v>
      </c>
      <c r="E16" s="8">
        <v>30645</v>
      </c>
      <c r="F16" s="46">
        <v>125857</v>
      </c>
      <c r="G16" s="8">
        <f>G14</f>
        <v>200579.16656399998</v>
      </c>
      <c r="H16" s="8">
        <f t="shared" ref="H16:K16" si="7">H14</f>
        <v>224102.58397728001</v>
      </c>
      <c r="I16" s="8">
        <f t="shared" si="7"/>
        <v>225616.36535389602</v>
      </c>
      <c r="J16" s="8">
        <f t="shared" si="7"/>
        <v>219292.75331428085</v>
      </c>
      <c r="K16" s="8">
        <f t="shared" si="7"/>
        <v>234464.28568527338</v>
      </c>
    </row>
    <row r="17" spans="1:12" s="1" customFormat="1" x14ac:dyDescent="0.3">
      <c r="A17" s="1" t="s">
        <v>73</v>
      </c>
      <c r="B17" s="1">
        <f>B19+B20+B21</f>
        <v>1208645</v>
      </c>
      <c r="C17" s="1">
        <f t="shared" ref="C17:F17" si="8">C19+C20+C21</f>
        <v>3838174</v>
      </c>
      <c r="D17" s="1">
        <f t="shared" si="8"/>
        <v>8524069</v>
      </c>
      <c r="E17" s="1">
        <f t="shared" si="8"/>
        <v>20961802</v>
      </c>
      <c r="F17" s="22">
        <f t="shared" si="8"/>
        <v>16054474</v>
      </c>
      <c r="G17" s="1">
        <f>G66*FCF!G6</f>
        <v>20057916.656399999</v>
      </c>
      <c r="H17" s="1">
        <f>H66*FCF!H6</f>
        <v>20542736.864584003</v>
      </c>
      <c r="I17" s="1">
        <f>I66*FCF!I6</f>
        <v>20510578.668536004</v>
      </c>
      <c r="J17" s="1">
        <f>J66*FCF!J6</f>
        <v>17543420.265142467</v>
      </c>
      <c r="K17" s="1">
        <f>K66*FCF!K6</f>
        <v>18757142.854821872</v>
      </c>
    </row>
    <row r="18" spans="1:12" x14ac:dyDescent="0.3">
      <c r="A18" t="s">
        <v>60</v>
      </c>
      <c r="F18" s="23"/>
    </row>
    <row r="19" spans="1:12" s="8" customFormat="1" x14ac:dyDescent="0.3">
      <c r="A19" s="8" t="s">
        <v>74</v>
      </c>
      <c r="B19" s="8">
        <v>166123</v>
      </c>
      <c r="C19" s="8">
        <v>1015251</v>
      </c>
      <c r="D19" s="8">
        <v>1758500</v>
      </c>
      <c r="E19" s="8">
        <v>8312984</v>
      </c>
      <c r="F19" s="46">
        <v>4082310</v>
      </c>
      <c r="G19" s="8">
        <f>G68*G17</f>
        <v>5215058.3306639995</v>
      </c>
      <c r="H19" s="8">
        <f t="shared" ref="H19:K19" si="9">H68*H17</f>
        <v>5341111.584791841</v>
      </c>
      <c r="I19" s="8">
        <f t="shared" si="9"/>
        <v>5332750.4538193615</v>
      </c>
      <c r="J19" s="8">
        <f t="shared" si="9"/>
        <v>4561289.268937042</v>
      </c>
      <c r="K19" s="8">
        <f t="shared" si="9"/>
        <v>4876857.1422536867</v>
      </c>
    </row>
    <row r="20" spans="1:12" s="8" customFormat="1" x14ac:dyDescent="0.3">
      <c r="A20" s="8" t="s">
        <v>71</v>
      </c>
      <c r="B20" s="8">
        <v>410054</v>
      </c>
      <c r="C20" s="8">
        <v>1822419</v>
      </c>
      <c r="D20" s="8">
        <v>5117011</v>
      </c>
      <c r="E20" s="8">
        <v>9931729</v>
      </c>
      <c r="F20" s="46">
        <v>8598383</v>
      </c>
      <c r="G20" s="8">
        <f>G69*G17</f>
        <v>9828379.1616359986</v>
      </c>
      <c r="H20" s="8">
        <f t="shared" ref="H20:K20" si="10">H69*H17</f>
        <v>10065941.063646162</v>
      </c>
      <c r="I20" s="8">
        <f t="shared" si="10"/>
        <v>10050183.547582641</v>
      </c>
      <c r="J20" s="8">
        <f t="shared" si="10"/>
        <v>8596275.9299198091</v>
      </c>
      <c r="K20" s="8">
        <f t="shared" si="10"/>
        <v>9190999.9988627173</v>
      </c>
    </row>
    <row r="21" spans="1:12" s="8" customFormat="1" x14ac:dyDescent="0.3">
      <c r="A21" s="8" t="s">
        <v>72</v>
      </c>
      <c r="B21" s="8">
        <v>632468</v>
      </c>
      <c r="C21" s="8">
        <v>1000504</v>
      </c>
      <c r="D21" s="8">
        <v>1648558</v>
      </c>
      <c r="E21" s="8">
        <v>2717089</v>
      </c>
      <c r="F21" s="46">
        <v>3373781</v>
      </c>
      <c r="G21" s="8">
        <f>G70*G17</f>
        <v>5014479.1640999997</v>
      </c>
      <c r="H21" s="8">
        <f t="shared" ref="H21:K21" si="11">H70*H17</f>
        <v>5135684.2161460007</v>
      </c>
      <c r="I21" s="8">
        <f t="shared" si="11"/>
        <v>5127644.6671340009</v>
      </c>
      <c r="J21" s="8">
        <f t="shared" si="11"/>
        <v>4385855.0662856167</v>
      </c>
      <c r="K21" s="8">
        <f t="shared" si="11"/>
        <v>4689285.713705468</v>
      </c>
    </row>
    <row r="22" spans="1:12" s="8" customFormat="1" x14ac:dyDescent="0.3">
      <c r="F22" s="46"/>
    </row>
    <row r="23" spans="1:12" x14ac:dyDescent="0.3">
      <c r="F23" s="23"/>
    </row>
    <row r="24" spans="1:12" s="1" customFormat="1" x14ac:dyDescent="0.3">
      <c r="A24" s="63" t="s">
        <v>77</v>
      </c>
      <c r="B24" s="1">
        <v>2013</v>
      </c>
      <c r="C24" s="1">
        <v>2014</v>
      </c>
      <c r="D24" s="1">
        <v>2015</v>
      </c>
      <c r="E24" s="1">
        <v>2016</v>
      </c>
      <c r="F24" s="22">
        <v>2017</v>
      </c>
      <c r="G24" s="1">
        <v>2018</v>
      </c>
      <c r="H24" s="1">
        <v>2019</v>
      </c>
      <c r="I24" s="1">
        <v>2020</v>
      </c>
      <c r="J24" s="1">
        <v>2021</v>
      </c>
      <c r="K24" s="1">
        <v>2022</v>
      </c>
      <c r="L24" t="s">
        <v>78</v>
      </c>
    </row>
    <row r="25" spans="1:12" s="1" customFormat="1" x14ac:dyDescent="0.3">
      <c r="A25" s="1" t="s">
        <v>69</v>
      </c>
      <c r="B25" s="1">
        <f>B27</f>
        <v>38833</v>
      </c>
      <c r="C25" s="1">
        <f t="shared" ref="C25:F25" si="12">C27</f>
        <v>-29300</v>
      </c>
      <c r="D25" s="1">
        <f t="shared" si="12"/>
        <v>232504</v>
      </c>
      <c r="E25" s="1">
        <f t="shared" si="12"/>
        <v>-199223</v>
      </c>
      <c r="F25" s="22">
        <f t="shared" si="12"/>
        <v>-76155</v>
      </c>
      <c r="G25" s="1">
        <f>G14-G87</f>
        <v>88834.766563999976</v>
      </c>
      <c r="H25" s="1">
        <f t="shared" ref="H25:K25" si="13">H14-H87</f>
        <v>51950.542713760049</v>
      </c>
      <c r="I25" s="1">
        <f t="shared" si="13"/>
        <v>18137.955045019218</v>
      </c>
      <c r="J25" s="1">
        <f t="shared" si="13"/>
        <v>-519.46642520904425</v>
      </c>
      <c r="K25" s="1">
        <f t="shared" si="13"/>
        <v>15005.303114925598</v>
      </c>
    </row>
    <row r="26" spans="1:12" x14ac:dyDescent="0.3">
      <c r="A26" t="s">
        <v>60</v>
      </c>
      <c r="F26" s="23"/>
    </row>
    <row r="27" spans="1:12" x14ac:dyDescent="0.3">
      <c r="A27" s="8" t="s">
        <v>70</v>
      </c>
      <c r="B27">
        <f>B16-B5</f>
        <v>38833</v>
      </c>
      <c r="C27">
        <f>C16-C5</f>
        <v>-29300</v>
      </c>
      <c r="D27">
        <f>D16-D5</f>
        <v>232504</v>
      </c>
      <c r="E27">
        <f>E16-E5</f>
        <v>-199223</v>
      </c>
      <c r="F27" s="23">
        <f>F16-F5</f>
        <v>-76155</v>
      </c>
      <c r="G27">
        <f t="shared" ref="G27:K32" si="14">G16-G89</f>
        <v>88834.766563999976</v>
      </c>
      <c r="H27">
        <f t="shared" si="14"/>
        <v>51950.542713760049</v>
      </c>
      <c r="I27">
        <f t="shared" si="14"/>
        <v>18137.955045019218</v>
      </c>
      <c r="J27">
        <f t="shared" si="14"/>
        <v>-519.46642520904425</v>
      </c>
      <c r="K27">
        <f t="shared" si="14"/>
        <v>15005.303114925598</v>
      </c>
    </row>
    <row r="28" spans="1:12" s="1" customFormat="1" x14ac:dyDescent="0.3">
      <c r="A28" s="1" t="s">
        <v>73</v>
      </c>
      <c r="B28" s="1">
        <f>SUM(B30:B32)</f>
        <v>-4248211</v>
      </c>
      <c r="C28" s="1">
        <f t="shared" ref="C28:F28" si="15">SUM(C30:C32)</f>
        <v>-1250513</v>
      </c>
      <c r="D28" s="1">
        <f t="shared" si="15"/>
        <v>3321409</v>
      </c>
      <c r="E28" s="1">
        <f t="shared" si="15"/>
        <v>14972096</v>
      </c>
      <c r="F28" s="22">
        <f t="shared" si="15"/>
        <v>8850916</v>
      </c>
      <c r="G28" s="1">
        <f t="shared" si="14"/>
        <v>9344045.9063999988</v>
      </c>
      <c r="H28" s="1">
        <f t="shared" si="14"/>
        <v>7492854.6379840039</v>
      </c>
      <c r="I28" s="1">
        <f t="shared" si="14"/>
        <v>5587482.7824400049</v>
      </c>
      <c r="J28" s="1">
        <f t="shared" si="14"/>
        <v>1223453.6834364682</v>
      </c>
      <c r="K28" s="1">
        <f t="shared" si="14"/>
        <v>2131312.8522567563</v>
      </c>
    </row>
    <row r="29" spans="1:12" x14ac:dyDescent="0.3">
      <c r="A29" t="s">
        <v>60</v>
      </c>
      <c r="F29" s="23"/>
    </row>
    <row r="30" spans="1:12" x14ac:dyDescent="0.3">
      <c r="A30" s="8" t="s">
        <v>74</v>
      </c>
      <c r="B30">
        <f t="shared" ref="B30:F32" si="16">B19-B8</f>
        <v>-607453</v>
      </c>
      <c r="C30">
        <f t="shared" si="16"/>
        <v>307270</v>
      </c>
      <c r="D30">
        <f t="shared" si="16"/>
        <v>1013515</v>
      </c>
      <c r="E30">
        <f t="shared" si="16"/>
        <v>7574216</v>
      </c>
      <c r="F30" s="23">
        <f t="shared" si="16"/>
        <v>2977144</v>
      </c>
      <c r="G30">
        <f t="shared" si="14"/>
        <v>3637444.1006639996</v>
      </c>
      <c r="H30">
        <f t="shared" si="14"/>
        <v>3436127.3857320808</v>
      </c>
      <c r="I30">
        <f t="shared" si="14"/>
        <v>3118514.790043714</v>
      </c>
      <c r="J30">
        <f t="shared" si="14"/>
        <v>2066387.2740574605</v>
      </c>
      <c r="K30">
        <f t="shared" si="14"/>
        <v>2195980.2927089338</v>
      </c>
    </row>
    <row r="31" spans="1:12" x14ac:dyDescent="0.3">
      <c r="A31" s="8" t="s">
        <v>71</v>
      </c>
      <c r="B31">
        <f t="shared" si="16"/>
        <v>-3279574</v>
      </c>
      <c r="C31">
        <f t="shared" si="16"/>
        <v>-1507066</v>
      </c>
      <c r="D31">
        <f t="shared" si="16"/>
        <v>1798380</v>
      </c>
      <c r="E31">
        <f t="shared" si="16"/>
        <v>6054913</v>
      </c>
      <c r="F31" s="23">
        <f t="shared" si="16"/>
        <v>4335785</v>
      </c>
      <c r="G31">
        <f t="shared" si="14"/>
        <v>2927480.6116359988</v>
      </c>
      <c r="H31">
        <f t="shared" si="14"/>
        <v>2140424.299573563</v>
      </c>
      <c r="I31">
        <f t="shared" si="14"/>
        <v>1375518.2786592953</v>
      </c>
      <c r="J31">
        <f t="shared" si="14"/>
        <v>-559820.73653429002</v>
      </c>
      <c r="K31">
        <f t="shared" si="14"/>
        <v>230840.59019562043</v>
      </c>
    </row>
    <row r="32" spans="1:12" x14ac:dyDescent="0.3">
      <c r="A32" s="8" t="s">
        <v>72</v>
      </c>
      <c r="B32">
        <f t="shared" si="16"/>
        <v>-361184</v>
      </c>
      <c r="C32">
        <f t="shared" si="16"/>
        <v>-50717</v>
      </c>
      <c r="D32">
        <f t="shared" si="16"/>
        <v>509514</v>
      </c>
      <c r="E32">
        <f t="shared" si="16"/>
        <v>1342967</v>
      </c>
      <c r="F32" s="23">
        <f t="shared" si="16"/>
        <v>1537987</v>
      </c>
      <c r="G32">
        <f t="shared" si="14"/>
        <v>2490166.8140999996</v>
      </c>
      <c r="H32">
        <f t="shared" si="14"/>
        <v>1490796.7998010009</v>
      </c>
      <c r="I32">
        <f t="shared" si="14"/>
        <v>811898.69087855052</v>
      </c>
      <c r="J32">
        <f t="shared" si="14"/>
        <v>-295245.32086518221</v>
      </c>
      <c r="K32">
        <f t="shared" si="14"/>
        <v>141045.72094400041</v>
      </c>
    </row>
    <row r="33" spans="1:11" x14ac:dyDescent="0.3">
      <c r="F33" s="23"/>
    </row>
    <row r="34" spans="1:11" x14ac:dyDescent="0.3">
      <c r="F34" s="23"/>
    </row>
    <row r="35" spans="1:11" x14ac:dyDescent="0.3">
      <c r="F35" s="23"/>
    </row>
    <row r="36" spans="1:11" x14ac:dyDescent="0.3">
      <c r="F36" s="23"/>
      <c r="G36" t="s">
        <v>182</v>
      </c>
    </row>
    <row r="37" spans="1:11" s="1" customFormat="1" x14ac:dyDescent="0.3">
      <c r="A37" s="63" t="s">
        <v>79</v>
      </c>
      <c r="B37" s="1">
        <v>2013</v>
      </c>
      <c r="C37" s="1">
        <v>2014</v>
      </c>
      <c r="D37" s="1">
        <v>2015</v>
      </c>
      <c r="E37" s="1">
        <v>2016</v>
      </c>
      <c r="F37" s="22">
        <v>2017</v>
      </c>
      <c r="G37" s="1">
        <v>2018</v>
      </c>
      <c r="H37" s="1">
        <v>2019</v>
      </c>
      <c r="I37" s="1">
        <v>2020</v>
      </c>
      <c r="J37" s="1">
        <v>2021</v>
      </c>
      <c r="K37" s="1">
        <v>2022</v>
      </c>
    </row>
    <row r="38" spans="1:11" s="1" customFormat="1" x14ac:dyDescent="0.3">
      <c r="A38" s="1" t="s">
        <v>69</v>
      </c>
      <c r="B38" s="1">
        <f>B40</f>
        <v>240390</v>
      </c>
      <c r="C38" s="1">
        <f t="shared" ref="C38:F38" si="17">C40</f>
        <v>211090</v>
      </c>
      <c r="D38" s="1">
        <f t="shared" si="17"/>
        <v>443644</v>
      </c>
      <c r="E38" s="1">
        <f t="shared" si="17"/>
        <v>244397</v>
      </c>
      <c r="F38" s="22">
        <f t="shared" si="17"/>
        <v>164330</v>
      </c>
      <c r="G38" s="1">
        <f>F38+G14-G87</f>
        <v>253164.76656399993</v>
      </c>
      <c r="H38" s="1">
        <f t="shared" ref="H38:K38" si="18">G38+H14-H87</f>
        <v>305115.30927775998</v>
      </c>
      <c r="I38" s="1">
        <f t="shared" si="18"/>
        <v>323253.26432277926</v>
      </c>
      <c r="J38" s="1">
        <f t="shared" si="18"/>
        <v>322733.79789757024</v>
      </c>
      <c r="K38" s="1">
        <f t="shared" si="18"/>
        <v>337739.10101249587</v>
      </c>
    </row>
    <row r="39" spans="1:11" x14ac:dyDescent="0.3">
      <c r="A39" t="s">
        <v>60</v>
      </c>
      <c r="F39" s="23"/>
    </row>
    <row r="40" spans="1:11" x14ac:dyDescent="0.3">
      <c r="A40" s="8" t="s">
        <v>70</v>
      </c>
      <c r="B40">
        <v>240390</v>
      </c>
      <c r="C40">
        <v>211090</v>
      </c>
      <c r="D40">
        <v>443644</v>
      </c>
      <c r="E40">
        <v>244397</v>
      </c>
      <c r="F40" s="23">
        <v>164330</v>
      </c>
      <c r="G40">
        <f t="shared" ref="G40:K45" si="19">F40+G16-G89</f>
        <v>253164.76656399993</v>
      </c>
      <c r="H40">
        <f t="shared" si="19"/>
        <v>305115.30927775998</v>
      </c>
      <c r="I40">
        <f t="shared" si="19"/>
        <v>323253.26432277926</v>
      </c>
      <c r="J40">
        <f t="shared" si="19"/>
        <v>322733.79789757024</v>
      </c>
      <c r="K40">
        <f t="shared" si="19"/>
        <v>337739.10101249587</v>
      </c>
    </row>
    <row r="41" spans="1:11" s="1" customFormat="1" x14ac:dyDescent="0.3">
      <c r="A41" s="1" t="s">
        <v>73</v>
      </c>
      <c r="B41" s="1">
        <f>SUM(B43:B45)</f>
        <v>16819374</v>
      </c>
      <c r="C41" s="1">
        <f t="shared" ref="C41:F41" si="20">SUM(C43:C45)</f>
        <v>17401687</v>
      </c>
      <c r="D41" s="1">
        <f t="shared" si="20"/>
        <v>20044610</v>
      </c>
      <c r="E41" s="1">
        <f t="shared" si="20"/>
        <v>34209780</v>
      </c>
      <c r="F41" s="22">
        <f t="shared" si="20"/>
        <v>42855483</v>
      </c>
      <c r="G41" s="1">
        <f t="shared" si="19"/>
        <v>52199528.906399995</v>
      </c>
      <c r="H41" s="1">
        <f t="shared" si="19"/>
        <v>59692383.544383995</v>
      </c>
      <c r="I41" s="1">
        <f t="shared" si="19"/>
        <v>65279866.326823995</v>
      </c>
      <c r="J41" s="1">
        <f t="shared" si="19"/>
        <v>66503320.010260463</v>
      </c>
      <c r="K41" s="1">
        <f t="shared" si="19"/>
        <v>68634632.862517223</v>
      </c>
    </row>
    <row r="42" spans="1:11" x14ac:dyDescent="0.3">
      <c r="A42" t="s">
        <v>60</v>
      </c>
      <c r="F42" s="23"/>
    </row>
    <row r="43" spans="1:11" x14ac:dyDescent="0.3">
      <c r="A43" s="8" t="s">
        <v>74</v>
      </c>
      <c r="B43">
        <v>5971597</v>
      </c>
      <c r="C43">
        <v>6288588</v>
      </c>
      <c r="D43">
        <v>7301671</v>
      </c>
      <c r="E43">
        <v>14551903</v>
      </c>
      <c r="F43" s="23">
        <v>17529047</v>
      </c>
      <c r="G43">
        <f t="shared" si="19"/>
        <v>21166491.100664001</v>
      </c>
      <c r="H43">
        <f t="shared" si="19"/>
        <v>24602618.486396085</v>
      </c>
      <c r="I43">
        <f t="shared" si="19"/>
        <v>27721133.276439797</v>
      </c>
      <c r="J43">
        <f t="shared" si="19"/>
        <v>29787520.550497256</v>
      </c>
      <c r="K43">
        <f t="shared" si="19"/>
        <v>31983500.843206193</v>
      </c>
    </row>
    <row r="44" spans="1:11" x14ac:dyDescent="0.3">
      <c r="A44" s="8" t="s">
        <v>71</v>
      </c>
      <c r="B44">
        <v>8700466</v>
      </c>
      <c r="C44">
        <v>8648021</v>
      </c>
      <c r="D44">
        <v>9792792</v>
      </c>
      <c r="E44">
        <v>15525706</v>
      </c>
      <c r="F44" s="23">
        <v>19716853</v>
      </c>
      <c r="G44">
        <f t="shared" si="19"/>
        <v>22644333.611635998</v>
      </c>
      <c r="H44">
        <f t="shared" si="19"/>
        <v>24784757.911209561</v>
      </c>
      <c r="I44">
        <f t="shared" si="19"/>
        <v>26160276.189868856</v>
      </c>
      <c r="J44">
        <f t="shared" si="19"/>
        <v>25600455.453334562</v>
      </c>
      <c r="K44">
        <f t="shared" si="19"/>
        <v>25831296.043530189</v>
      </c>
    </row>
    <row r="45" spans="1:11" x14ac:dyDescent="0.3">
      <c r="A45" s="8" t="s">
        <v>72</v>
      </c>
      <c r="B45">
        <v>2147311</v>
      </c>
      <c r="C45">
        <v>2465078</v>
      </c>
      <c r="D45">
        <v>2950147</v>
      </c>
      <c r="E45">
        <v>4132171</v>
      </c>
      <c r="F45" s="23">
        <v>5609583</v>
      </c>
      <c r="G45">
        <f t="shared" si="19"/>
        <v>8099749.8140999991</v>
      </c>
      <c r="H45">
        <f t="shared" si="19"/>
        <v>9590546.6139010005</v>
      </c>
      <c r="I45">
        <f t="shared" si="19"/>
        <v>10402445.304779552</v>
      </c>
      <c r="J45">
        <f t="shared" si="19"/>
        <v>10107199.983914372</v>
      </c>
      <c r="K45">
        <f t="shared" si="19"/>
        <v>10248245.704858374</v>
      </c>
    </row>
    <row r="46" spans="1:11" x14ac:dyDescent="0.3">
      <c r="F46" s="23"/>
    </row>
    <row r="47" spans="1:11" x14ac:dyDescent="0.3">
      <c r="F47" s="23"/>
    </row>
    <row r="48" spans="1:11" x14ac:dyDescent="0.3">
      <c r="F48" s="23"/>
    </row>
    <row r="49" spans="1:16" s="1" customFormat="1" x14ac:dyDescent="0.3">
      <c r="A49" s="1" t="s">
        <v>80</v>
      </c>
      <c r="F49" s="22"/>
    </row>
    <row r="50" spans="1:16" x14ac:dyDescent="0.3">
      <c r="A50" s="11" t="s">
        <v>163</v>
      </c>
      <c r="B50" s="1">
        <v>2013</v>
      </c>
      <c r="C50" s="1">
        <v>2014</v>
      </c>
      <c r="D50" s="1">
        <v>2015</v>
      </c>
      <c r="E50" s="1">
        <v>2016</v>
      </c>
      <c r="F50" s="22">
        <v>2017</v>
      </c>
      <c r="G50" s="1">
        <v>2018</v>
      </c>
      <c r="H50" s="1">
        <v>2019</v>
      </c>
      <c r="I50" s="1">
        <v>2020</v>
      </c>
      <c r="J50" s="1">
        <v>2021</v>
      </c>
      <c r="K50" s="1">
        <v>2022</v>
      </c>
    </row>
    <row r="51" spans="1:16" s="1" customFormat="1" x14ac:dyDescent="0.3">
      <c r="A51" s="1" t="s">
        <v>69</v>
      </c>
      <c r="B51" s="43">
        <f>B3/FCF!B6</f>
        <v>1.2339232963986273E-3</v>
      </c>
      <c r="C51" s="43">
        <f>C3/FCF!C6</f>
        <v>1.6429916866166131E-3</v>
      </c>
      <c r="D51" s="43">
        <f>D3/FCF!D6</f>
        <v>2.0339025506642527E-3</v>
      </c>
      <c r="E51" s="43">
        <f>E3/FCF!E6</f>
        <v>1.8011770210877454E-3</v>
      </c>
      <c r="F51" s="47">
        <f>F3/FCF!F6</f>
        <v>1.3787982474959099E-3</v>
      </c>
      <c r="G51" s="90">
        <v>1.2999999999999999E-3</v>
      </c>
      <c r="H51" s="90">
        <v>1.2999999999999999E-3</v>
      </c>
      <c r="I51" s="90">
        <v>1.1999999999999999E-3</v>
      </c>
      <c r="J51" s="90">
        <v>1.1999999999999999E-3</v>
      </c>
      <c r="K51" s="90">
        <v>1.1000000000000001E-3</v>
      </c>
      <c r="L51" t="s">
        <v>174</v>
      </c>
      <c r="M51"/>
      <c r="N51"/>
      <c r="O51"/>
      <c r="P51"/>
    </row>
    <row r="52" spans="1:16" x14ac:dyDescent="0.3">
      <c r="A52" t="s">
        <v>60</v>
      </c>
      <c r="B52" s="3"/>
      <c r="C52" s="3"/>
      <c r="D52" s="3"/>
      <c r="E52" s="3"/>
      <c r="F52" s="25"/>
    </row>
    <row r="53" spans="1:16" x14ac:dyDescent="0.3">
      <c r="A53" s="8" t="s">
        <v>70</v>
      </c>
      <c r="B53" s="3">
        <f>B5/B3</f>
        <v>1</v>
      </c>
      <c r="C53" s="3">
        <f t="shared" ref="C53:K53" si="21">C5/C3</f>
        <v>1</v>
      </c>
      <c r="D53" s="3">
        <f t="shared" si="21"/>
        <v>1</v>
      </c>
      <c r="E53" s="3">
        <f t="shared" si="21"/>
        <v>1</v>
      </c>
      <c r="F53" s="25">
        <f t="shared" si="21"/>
        <v>1</v>
      </c>
      <c r="G53" s="3">
        <f t="shared" si="21"/>
        <v>1</v>
      </c>
      <c r="H53" s="3">
        <f t="shared" si="21"/>
        <v>1</v>
      </c>
      <c r="I53" s="3">
        <f t="shared" si="21"/>
        <v>1</v>
      </c>
      <c r="J53" s="3">
        <f t="shared" si="21"/>
        <v>1</v>
      </c>
      <c r="K53" s="3">
        <f t="shared" si="21"/>
        <v>1</v>
      </c>
    </row>
    <row r="54" spans="1:16" s="1" customFormat="1" x14ac:dyDescent="0.3">
      <c r="A54" s="1" t="s">
        <v>73</v>
      </c>
      <c r="B54" s="40">
        <f>B6/FCF!B6</f>
        <v>6.2812781546989452E-2</v>
      </c>
      <c r="C54" s="40">
        <f>C6/FCF!C6</f>
        <v>5.2994792454514543E-2</v>
      </c>
      <c r="D54" s="40">
        <f>D6/FCF!D6</f>
        <v>4.6476822183351335E-2</v>
      </c>
      <c r="E54" s="40">
        <f>E6/FCF!E6</f>
        <v>4.693354799394172E-2</v>
      </c>
      <c r="F54" s="48">
        <f>F6/FCF!F6</f>
        <v>4.9166649239328064E-2</v>
      </c>
      <c r="G54" s="91">
        <f>FCF!G37</f>
        <v>6.4766138989090713E-2</v>
      </c>
      <c r="H54" s="91">
        <f>FCF!H37</f>
        <v>7.0799902615334392E-2</v>
      </c>
      <c r="I54" s="91">
        <f>FCF!I37</f>
        <v>7.3769611969143251E-2</v>
      </c>
      <c r="J54" s="91">
        <f>FCF!J37</f>
        <v>7.5423280302114662E-2</v>
      </c>
      <c r="K54" s="91">
        <f>FCF!K37</f>
        <v>7.184586315950596E-2</v>
      </c>
    </row>
    <row r="55" spans="1:16" x14ac:dyDescent="0.3">
      <c r="A55" t="s">
        <v>60</v>
      </c>
      <c r="B55" s="3"/>
      <c r="C55" s="3"/>
      <c r="D55" s="3"/>
      <c r="E55" s="3"/>
      <c r="F55" s="25"/>
    </row>
    <row r="56" spans="1:16" x14ac:dyDescent="0.3">
      <c r="A56" s="8" t="s">
        <v>74</v>
      </c>
      <c r="B56" s="3">
        <f>B8/B6</f>
        <v>0.14176221619188778</v>
      </c>
      <c r="C56" s="3">
        <f t="shared" ref="C56:F56" si="22">C8/C6</f>
        <v>0.13912842350099347</v>
      </c>
      <c r="D56" s="3">
        <f t="shared" si="22"/>
        <v>0.14319309737711094</v>
      </c>
      <c r="E56" s="3">
        <f t="shared" si="22"/>
        <v>0.12333960965696814</v>
      </c>
      <c r="F56" s="25">
        <f t="shared" si="22"/>
        <v>0.15341946299314865</v>
      </c>
      <c r="G56" s="92">
        <v>0.14000000000000001</v>
      </c>
      <c r="H56" s="92">
        <v>0.14000000000000001</v>
      </c>
      <c r="I56" s="92">
        <v>0.14000000000000001</v>
      </c>
      <c r="J56" s="92">
        <v>0.14000000000000001</v>
      </c>
      <c r="K56" s="92">
        <v>0.14000000000000001</v>
      </c>
      <c r="L56" t="s">
        <v>166</v>
      </c>
    </row>
    <row r="57" spans="1:16" x14ac:dyDescent="0.3">
      <c r="A57" s="8" t="s">
        <v>71</v>
      </c>
      <c r="B57" s="3">
        <f>B9/B6</f>
        <v>0.67614538481499242</v>
      </c>
      <c r="C57" s="3">
        <f t="shared" ref="C57:F57" si="23">C9/C6</f>
        <v>0.65429156872882921</v>
      </c>
      <c r="D57" s="3">
        <f t="shared" si="23"/>
        <v>0.63787197318294875</v>
      </c>
      <c r="E57" s="3">
        <f t="shared" si="23"/>
        <v>0.6472464591751248</v>
      </c>
      <c r="F57" s="25">
        <f t="shared" si="23"/>
        <v>0.59173508424586851</v>
      </c>
      <c r="G57" s="92">
        <v>0.64</v>
      </c>
      <c r="H57" s="92">
        <v>0.64</v>
      </c>
      <c r="I57" s="92">
        <v>0.64</v>
      </c>
      <c r="J57" s="92">
        <v>0.64</v>
      </c>
      <c r="K57" s="92">
        <v>0.64</v>
      </c>
    </row>
    <row r="58" spans="1:16" x14ac:dyDescent="0.3">
      <c r="A58" s="8" t="s">
        <v>72</v>
      </c>
      <c r="B58" s="3">
        <f>B10/B6</f>
        <v>0.18209239899311985</v>
      </c>
      <c r="C58" s="3">
        <f t="shared" ref="C58:F58" si="24">C10/C6</f>
        <v>0.20658000777017727</v>
      </c>
      <c r="D58" s="3">
        <f t="shared" si="24"/>
        <v>0.21893492943994033</v>
      </c>
      <c r="E58" s="3">
        <f t="shared" si="24"/>
        <v>0.22941393116790706</v>
      </c>
      <c r="F58" s="25">
        <f t="shared" si="24"/>
        <v>0.25484545276098286</v>
      </c>
      <c r="G58" s="92">
        <v>0.22</v>
      </c>
      <c r="H58" s="92">
        <v>0.22</v>
      </c>
      <c r="I58" s="92">
        <v>0.22</v>
      </c>
      <c r="J58" s="92">
        <v>0.22</v>
      </c>
      <c r="K58" s="92">
        <v>0.22</v>
      </c>
    </row>
    <row r="59" spans="1:16" x14ac:dyDescent="0.3">
      <c r="F59" s="23"/>
    </row>
    <row r="60" spans="1:16" x14ac:dyDescent="0.3">
      <c r="F60" s="23"/>
    </row>
    <row r="61" spans="1:16" x14ac:dyDescent="0.3">
      <c r="F61" s="23"/>
    </row>
    <row r="62" spans="1:16" s="1" customFormat="1" x14ac:dyDescent="0.3">
      <c r="A62" s="11" t="s">
        <v>162</v>
      </c>
      <c r="B62" s="1">
        <v>2013</v>
      </c>
      <c r="C62" s="1">
        <v>2014</v>
      </c>
      <c r="D62" s="1">
        <v>2015</v>
      </c>
      <c r="E62" s="1">
        <v>2016</v>
      </c>
      <c r="F62" s="22">
        <v>2017</v>
      </c>
      <c r="G62" s="1">
        <v>2018</v>
      </c>
      <c r="H62" s="1">
        <v>2019</v>
      </c>
      <c r="I62" s="1">
        <v>2020</v>
      </c>
      <c r="J62" s="1">
        <v>2021</v>
      </c>
      <c r="K62" s="1">
        <v>2022</v>
      </c>
    </row>
    <row r="63" spans="1:16" s="44" customFormat="1" x14ac:dyDescent="0.3">
      <c r="A63" s="43" t="s">
        <v>69</v>
      </c>
      <c r="B63" s="44">
        <f>B14/FCF!B6</f>
        <v>1.6809222177214991E-3</v>
      </c>
      <c r="C63" s="44">
        <f>C14/FCF!C6</f>
        <v>1.3378545424147243E-3</v>
      </c>
      <c r="D63" s="44">
        <f>D14/FCF!D6</f>
        <v>4.1109260472828903E-3</v>
      </c>
      <c r="E63" s="44">
        <f>E14/FCF!E6</f>
        <v>2.4012507095913288E-4</v>
      </c>
      <c r="F63" s="44">
        <f>F14/FCF!F6</f>
        <v>8.5901536064735126E-4</v>
      </c>
      <c r="G63" s="103">
        <f>0.12%</f>
        <v>1.1999999999999999E-3</v>
      </c>
      <c r="H63" s="104">
        <f>0.12%</f>
        <v>1.1999999999999999E-3</v>
      </c>
      <c r="I63" s="104">
        <v>1.1000000000000001E-3</v>
      </c>
      <c r="J63" s="104">
        <v>1E-3</v>
      </c>
      <c r="K63" s="104">
        <v>1E-3</v>
      </c>
      <c r="L63" s="44" t="s">
        <v>164</v>
      </c>
    </row>
    <row r="64" spans="1:16" x14ac:dyDescent="0.3">
      <c r="A64" t="s">
        <v>60</v>
      </c>
      <c r="F64" s="23"/>
      <c r="G64" s="76"/>
      <c r="H64" s="76"/>
      <c r="I64" s="76"/>
      <c r="J64" s="76"/>
      <c r="K64" s="76"/>
    </row>
    <row r="65" spans="1:13" x14ac:dyDescent="0.3">
      <c r="A65" s="8" t="s">
        <v>70</v>
      </c>
      <c r="B65" s="45">
        <f>B16/B14</f>
        <v>1</v>
      </c>
      <c r="C65" s="45">
        <f t="shared" ref="C65:K65" si="25">C16/C14</f>
        <v>1</v>
      </c>
      <c r="D65" s="45">
        <f t="shared" si="25"/>
        <v>1</v>
      </c>
      <c r="E65" s="45">
        <f t="shared" si="25"/>
        <v>1</v>
      </c>
      <c r="F65" s="49">
        <f t="shared" si="25"/>
        <v>1</v>
      </c>
      <c r="G65" s="94">
        <f t="shared" si="25"/>
        <v>1</v>
      </c>
      <c r="H65" s="94">
        <f t="shared" si="25"/>
        <v>1</v>
      </c>
      <c r="I65" s="94">
        <f t="shared" si="25"/>
        <v>1</v>
      </c>
      <c r="J65" s="94">
        <f t="shared" si="25"/>
        <v>1</v>
      </c>
      <c r="K65" s="94">
        <f t="shared" si="25"/>
        <v>1</v>
      </c>
    </row>
    <row r="66" spans="1:13" x14ac:dyDescent="0.3">
      <c r="A66" s="1" t="s">
        <v>73</v>
      </c>
      <c r="B66" s="42">
        <f>B17/FCF!B6</f>
        <v>1.3912471641703769E-2</v>
      </c>
      <c r="C66" s="42">
        <f>C17/FCF!C6</f>
        <v>3.9971653696584973E-2</v>
      </c>
      <c r="D66" s="42">
        <f>D17/FCF!D6</f>
        <v>7.6147901110512201E-2</v>
      </c>
      <c r="E66" s="42">
        <f>E17/FCF!E6</f>
        <v>0.16425042234234927</v>
      </c>
      <c r="F66" s="50">
        <f>F17/FCF!F6</f>
        <v>0.10957705787610959</v>
      </c>
      <c r="G66" s="105">
        <v>0.12</v>
      </c>
      <c r="H66" s="105">
        <v>0.11</v>
      </c>
      <c r="I66" s="105">
        <v>0.1</v>
      </c>
      <c r="J66" s="105">
        <v>0.08</v>
      </c>
      <c r="K66" s="105">
        <v>0.08</v>
      </c>
      <c r="L66" t="s">
        <v>185</v>
      </c>
    </row>
    <row r="67" spans="1:13" x14ac:dyDescent="0.3">
      <c r="A67" t="s">
        <v>60</v>
      </c>
      <c r="F67" s="23"/>
      <c r="G67" s="76"/>
      <c r="H67" s="76"/>
      <c r="I67" s="76"/>
      <c r="J67" s="76"/>
      <c r="K67" s="76"/>
    </row>
    <row r="68" spans="1:13" s="41" customFormat="1" x14ac:dyDescent="0.3">
      <c r="A68" s="15" t="s">
        <v>74</v>
      </c>
      <c r="B68" s="41">
        <f>B19/B17</f>
        <v>0.13744565194908348</v>
      </c>
      <c r="C68" s="41">
        <f t="shared" ref="C68:F68" si="26">C19/C17</f>
        <v>0.26451406319776016</v>
      </c>
      <c r="D68" s="41">
        <f t="shared" si="26"/>
        <v>0.20629818928026039</v>
      </c>
      <c r="E68" s="41">
        <f t="shared" si="26"/>
        <v>0.39657773697127757</v>
      </c>
      <c r="F68" s="51">
        <f t="shared" si="26"/>
        <v>0.25427865154598028</v>
      </c>
      <c r="G68" s="106">
        <v>0.26</v>
      </c>
      <c r="H68" s="106">
        <v>0.26</v>
      </c>
      <c r="I68" s="106">
        <v>0.26</v>
      </c>
      <c r="J68" s="106">
        <v>0.26</v>
      </c>
      <c r="K68" s="106">
        <v>0.26</v>
      </c>
      <c r="L68" s="41" t="s">
        <v>165</v>
      </c>
    </row>
    <row r="69" spans="1:13" s="41" customFormat="1" x14ac:dyDescent="0.3">
      <c r="A69" s="15" t="s">
        <v>71</v>
      </c>
      <c r="B69" s="41">
        <f>B20/B17</f>
        <v>0.33926752685858957</v>
      </c>
      <c r="C69" s="41">
        <f t="shared" ref="C69:F69" si="27">C20/C17</f>
        <v>0.47481406522997655</v>
      </c>
      <c r="D69" s="41">
        <f t="shared" si="27"/>
        <v>0.60030145227590248</v>
      </c>
      <c r="E69" s="41">
        <f t="shared" si="27"/>
        <v>0.47380129818991706</v>
      </c>
      <c r="F69" s="51">
        <f t="shared" si="27"/>
        <v>0.5355755037505433</v>
      </c>
      <c r="G69" s="106">
        <v>0.49</v>
      </c>
      <c r="H69" s="106">
        <v>0.49</v>
      </c>
      <c r="I69" s="106">
        <v>0.49</v>
      </c>
      <c r="J69" s="106">
        <v>0.49</v>
      </c>
      <c r="K69" s="106">
        <v>0.49</v>
      </c>
    </row>
    <row r="70" spans="1:13" s="41" customFormat="1" x14ac:dyDescent="0.3">
      <c r="A70" s="15" t="s">
        <v>72</v>
      </c>
      <c r="B70" s="41">
        <f>B21/B17</f>
        <v>0.52328682119232695</v>
      </c>
      <c r="C70" s="41">
        <f t="shared" ref="C70:F70" si="28">C21/C17</f>
        <v>0.26067187157226329</v>
      </c>
      <c r="D70" s="41">
        <f t="shared" si="28"/>
        <v>0.1934003584438371</v>
      </c>
      <c r="E70" s="41">
        <f t="shared" si="28"/>
        <v>0.12962096483880536</v>
      </c>
      <c r="F70" s="51">
        <f t="shared" si="28"/>
        <v>0.21014584470347641</v>
      </c>
      <c r="G70" s="106">
        <v>0.25</v>
      </c>
      <c r="H70" s="106">
        <v>0.25</v>
      </c>
      <c r="I70" s="106">
        <v>0.25</v>
      </c>
      <c r="J70" s="106">
        <v>0.25</v>
      </c>
      <c r="K70" s="106">
        <v>0.25</v>
      </c>
    </row>
    <row r="71" spans="1:13" x14ac:dyDescent="0.3">
      <c r="F71" s="23"/>
    </row>
    <row r="72" spans="1:13" x14ac:dyDescent="0.3">
      <c r="F72" s="23"/>
    </row>
    <row r="73" spans="1:13" x14ac:dyDescent="0.3">
      <c r="A73" s="15" t="s">
        <v>179</v>
      </c>
      <c r="B73" s="52"/>
      <c r="F73" s="23"/>
      <c r="M73" s="21">
        <f>(F75+E75+C75)/3</f>
        <v>0.66699762002900531</v>
      </c>
    </row>
    <row r="74" spans="1:13" s="1" customFormat="1" x14ac:dyDescent="0.3">
      <c r="A74" s="64" t="s">
        <v>188</v>
      </c>
      <c r="B74" s="1">
        <v>2013</v>
      </c>
      <c r="C74" s="1">
        <v>2014</v>
      </c>
      <c r="D74" s="1">
        <v>2015</v>
      </c>
      <c r="E74" s="1">
        <v>2016</v>
      </c>
      <c r="F74" s="22">
        <v>2017</v>
      </c>
      <c r="G74" s="1">
        <v>2018</v>
      </c>
      <c r="H74" s="1">
        <v>2019</v>
      </c>
      <c r="I74" s="1">
        <v>2020</v>
      </c>
      <c r="J74" s="1">
        <v>2021</v>
      </c>
      <c r="K74" s="1">
        <v>2022</v>
      </c>
    </row>
    <row r="75" spans="1:13" s="3" customFormat="1" x14ac:dyDescent="0.3">
      <c r="A75" s="6" t="s">
        <v>69</v>
      </c>
      <c r="C75" s="3">
        <f>C3/B38</f>
        <v>0.65628353924872085</v>
      </c>
      <c r="D75" s="3">
        <f t="shared" ref="D75:F75" si="29">D3/C38</f>
        <v>1.0785778577857785</v>
      </c>
      <c r="E75" s="3">
        <f t="shared" si="29"/>
        <v>0.51813616322997724</v>
      </c>
      <c r="F75" s="25">
        <f t="shared" si="29"/>
        <v>0.82657315760831762</v>
      </c>
      <c r="G75" s="93">
        <f>G77</f>
        <v>0.68</v>
      </c>
      <c r="H75" s="92">
        <f t="shared" ref="H75:K75" si="30">H77</f>
        <v>0.68</v>
      </c>
      <c r="I75" s="92">
        <f t="shared" si="30"/>
        <v>0.68</v>
      </c>
      <c r="J75" s="92">
        <f t="shared" si="30"/>
        <v>0.68</v>
      </c>
      <c r="K75" s="92">
        <f t="shared" si="30"/>
        <v>0.68</v>
      </c>
    </row>
    <row r="76" spans="1:13" s="3" customFormat="1" x14ac:dyDescent="0.3">
      <c r="A76" s="3" t="s">
        <v>60</v>
      </c>
      <c r="F76" s="25"/>
      <c r="G76" s="92"/>
      <c r="H76" s="92"/>
      <c r="I76" s="92"/>
      <c r="J76" s="92"/>
      <c r="K76" s="92"/>
    </row>
    <row r="77" spans="1:13" s="3" customFormat="1" x14ac:dyDescent="0.3">
      <c r="A77" s="10" t="s">
        <v>70</v>
      </c>
      <c r="C77" s="3">
        <f t="shared" ref="C77:F82" si="31">C5/B40</f>
        <v>0.65628353924872085</v>
      </c>
      <c r="D77" s="3">
        <f t="shared" si="31"/>
        <v>1.0785778577857785</v>
      </c>
      <c r="E77" s="3">
        <f t="shared" si="31"/>
        <v>0.51813616322997724</v>
      </c>
      <c r="F77" s="25">
        <f t="shared" si="31"/>
        <v>0.82657315760831762</v>
      </c>
      <c r="G77" s="107">
        <v>0.68</v>
      </c>
      <c r="H77" s="107">
        <v>0.68</v>
      </c>
      <c r="I77" s="107">
        <v>0.68</v>
      </c>
      <c r="J77" s="107">
        <v>0.68</v>
      </c>
      <c r="K77" s="107">
        <v>0.68</v>
      </c>
      <c r="L77" s="3" t="s">
        <v>180</v>
      </c>
    </row>
    <row r="78" spans="1:13" s="3" customFormat="1" x14ac:dyDescent="0.3">
      <c r="A78" s="6" t="s">
        <v>73</v>
      </c>
      <c r="C78" s="3">
        <f t="shared" si="31"/>
        <v>0.30254913173344028</v>
      </c>
      <c r="D78" s="3">
        <f t="shared" si="31"/>
        <v>0.29897446149904894</v>
      </c>
      <c r="E78" s="3">
        <f t="shared" si="31"/>
        <v>0.29881878470072504</v>
      </c>
      <c r="F78" s="25">
        <f t="shared" si="31"/>
        <v>0.21057013520694959</v>
      </c>
      <c r="G78" s="107">
        <v>0.25</v>
      </c>
      <c r="H78" s="107">
        <v>0.25</v>
      </c>
      <c r="I78" s="107">
        <v>0.25</v>
      </c>
      <c r="J78" s="107">
        <v>0.25</v>
      </c>
      <c r="K78" s="107">
        <v>0.25</v>
      </c>
      <c r="L78" s="3" t="s">
        <v>246</v>
      </c>
    </row>
    <row r="79" spans="1:13" s="3" customFormat="1" x14ac:dyDescent="0.3">
      <c r="A79" s="3" t="s">
        <v>60</v>
      </c>
      <c r="F79" s="25"/>
      <c r="G79" s="107"/>
      <c r="H79" s="107"/>
      <c r="I79" s="107"/>
      <c r="J79" s="107"/>
      <c r="K79" s="107"/>
    </row>
    <row r="80" spans="1:13" s="3" customFormat="1" x14ac:dyDescent="0.3">
      <c r="A80" s="10" t="s">
        <v>74</v>
      </c>
      <c r="C80" s="3">
        <f t="shared" si="31"/>
        <v>0.1185580674650349</v>
      </c>
      <c r="D80" s="3">
        <f t="shared" si="31"/>
        <v>0.1184661803253767</v>
      </c>
      <c r="E80" s="3">
        <f t="shared" si="31"/>
        <v>0.10117793584509628</v>
      </c>
      <c r="F80" s="25">
        <f t="shared" si="31"/>
        <v>7.5946493046304672E-2</v>
      </c>
      <c r="G80" s="107">
        <v>0.09</v>
      </c>
      <c r="H80" s="107">
        <v>0.09</v>
      </c>
      <c r="I80" s="107">
        <v>0.09</v>
      </c>
      <c r="J80" s="107">
        <v>0.09</v>
      </c>
      <c r="K80" s="107">
        <v>0.09</v>
      </c>
    </row>
    <row r="81" spans="1:12" s="3" customFormat="1" x14ac:dyDescent="0.3">
      <c r="A81" s="10" t="s">
        <v>71</v>
      </c>
      <c r="C81" s="3">
        <f t="shared" si="31"/>
        <v>0.3826789277723745</v>
      </c>
      <c r="D81" s="3">
        <f t="shared" si="31"/>
        <v>0.38374455843712685</v>
      </c>
      <c r="E81" s="3">
        <f t="shared" si="31"/>
        <v>0.39588464658495759</v>
      </c>
      <c r="F81" s="25">
        <f t="shared" si="31"/>
        <v>0.27455099304340813</v>
      </c>
      <c r="G81" s="107">
        <v>0.35</v>
      </c>
      <c r="H81" s="107">
        <v>0.35</v>
      </c>
      <c r="I81" s="107">
        <v>0.35</v>
      </c>
      <c r="J81" s="107">
        <v>0.35</v>
      </c>
      <c r="K81" s="107">
        <v>0.35</v>
      </c>
      <c r="L81" s="3" t="s">
        <v>181</v>
      </c>
    </row>
    <row r="82" spans="1:12" s="3" customFormat="1" x14ac:dyDescent="0.3">
      <c r="A82" s="10" t="s">
        <v>72</v>
      </c>
      <c r="C82" s="3">
        <f t="shared" si="31"/>
        <v>0.48955228190047922</v>
      </c>
      <c r="D82" s="3">
        <f t="shared" si="31"/>
        <v>0.46207219406444744</v>
      </c>
      <c r="E82" s="3">
        <f t="shared" si="31"/>
        <v>0.46578085769963329</v>
      </c>
      <c r="F82" s="25">
        <f t="shared" si="31"/>
        <v>0.44426864231901342</v>
      </c>
      <c r="G82" s="107">
        <v>0.45</v>
      </c>
      <c r="H82" s="107">
        <v>0.45</v>
      </c>
      <c r="I82" s="107">
        <v>0.45</v>
      </c>
      <c r="J82" s="107">
        <v>0.45</v>
      </c>
      <c r="K82" s="107">
        <v>0.45</v>
      </c>
    </row>
    <row r="83" spans="1:12" x14ac:dyDescent="0.3">
      <c r="F83" s="23"/>
    </row>
    <row r="84" spans="1:12" x14ac:dyDescent="0.3">
      <c r="F84" s="23"/>
    </row>
    <row r="85" spans="1:12" x14ac:dyDescent="0.3">
      <c r="F85" s="23"/>
    </row>
    <row r="86" spans="1:12" x14ac:dyDescent="0.3">
      <c r="A86" s="64" t="s">
        <v>187</v>
      </c>
      <c r="F86" s="23"/>
      <c r="G86" s="1">
        <v>2018</v>
      </c>
      <c r="H86" s="1">
        <v>2019</v>
      </c>
      <c r="I86" s="1">
        <v>2020</v>
      </c>
      <c r="J86" s="1">
        <v>2021</v>
      </c>
      <c r="K86" s="1">
        <v>2022</v>
      </c>
    </row>
    <row r="87" spans="1:12" s="1" customFormat="1" x14ac:dyDescent="0.3">
      <c r="A87" s="6" t="s">
        <v>69</v>
      </c>
      <c r="F87" s="22"/>
      <c r="G87" s="1">
        <f>G75*F38</f>
        <v>111744.40000000001</v>
      </c>
      <c r="H87" s="1">
        <f t="shared" ref="H87:K87" si="32">H75*G38</f>
        <v>172152.04126351996</v>
      </c>
      <c r="I87" s="1">
        <f t="shared" si="32"/>
        <v>207478.4103088768</v>
      </c>
      <c r="J87" s="1">
        <f t="shared" si="32"/>
        <v>219812.2197394899</v>
      </c>
      <c r="K87" s="1">
        <f t="shared" si="32"/>
        <v>219458.98257034778</v>
      </c>
    </row>
    <row r="88" spans="1:12" x14ac:dyDescent="0.3">
      <c r="A88" s="3" t="s">
        <v>60</v>
      </c>
      <c r="F88" s="23"/>
    </row>
    <row r="89" spans="1:12" x14ac:dyDescent="0.3">
      <c r="A89" s="10" t="s">
        <v>70</v>
      </c>
      <c r="F89" s="23"/>
      <c r="G89">
        <f t="shared" ref="G89:K94" si="33">G77*F40</f>
        <v>111744.40000000001</v>
      </c>
      <c r="H89">
        <f t="shared" si="33"/>
        <v>172152.04126351996</v>
      </c>
      <c r="I89">
        <f t="shared" si="33"/>
        <v>207478.4103088768</v>
      </c>
      <c r="J89">
        <f t="shared" si="33"/>
        <v>219812.2197394899</v>
      </c>
      <c r="K89">
        <f t="shared" si="33"/>
        <v>219458.98257034778</v>
      </c>
    </row>
    <row r="90" spans="1:12" s="1" customFormat="1" x14ac:dyDescent="0.3">
      <c r="A90" s="6" t="s">
        <v>73</v>
      </c>
      <c r="F90" s="22"/>
      <c r="G90" s="1">
        <f t="shared" si="33"/>
        <v>10713870.75</v>
      </c>
      <c r="H90" s="1">
        <f t="shared" si="33"/>
        <v>13049882.226599999</v>
      </c>
      <c r="I90" s="1">
        <f t="shared" si="33"/>
        <v>14923095.886095999</v>
      </c>
      <c r="J90" s="1">
        <f t="shared" si="33"/>
        <v>16319966.581705999</v>
      </c>
      <c r="K90" s="1">
        <f t="shared" si="33"/>
        <v>16625830.002565116</v>
      </c>
    </row>
    <row r="91" spans="1:12" x14ac:dyDescent="0.3">
      <c r="A91" s="3" t="s">
        <v>60</v>
      </c>
      <c r="F91" s="23"/>
    </row>
    <row r="92" spans="1:12" x14ac:dyDescent="0.3">
      <c r="A92" s="10" t="s">
        <v>74</v>
      </c>
      <c r="F92" s="23"/>
      <c r="G92">
        <f t="shared" si="33"/>
        <v>1577614.23</v>
      </c>
      <c r="H92">
        <f t="shared" si="33"/>
        <v>1904984.19905976</v>
      </c>
      <c r="I92">
        <f t="shared" si="33"/>
        <v>2214235.6637756475</v>
      </c>
      <c r="J92">
        <f t="shared" si="33"/>
        <v>2494901.9948795815</v>
      </c>
      <c r="K92">
        <f t="shared" si="33"/>
        <v>2680876.8495447529</v>
      </c>
    </row>
    <row r="93" spans="1:12" x14ac:dyDescent="0.3">
      <c r="A93" s="10" t="s">
        <v>71</v>
      </c>
      <c r="F93" s="23"/>
      <c r="G93">
        <f t="shared" si="33"/>
        <v>6900898.5499999998</v>
      </c>
      <c r="H93">
        <f t="shared" si="33"/>
        <v>7925516.7640725989</v>
      </c>
      <c r="I93">
        <f t="shared" si="33"/>
        <v>8674665.268923346</v>
      </c>
      <c r="J93">
        <f t="shared" si="33"/>
        <v>9156096.6664540991</v>
      </c>
      <c r="K93">
        <f t="shared" si="33"/>
        <v>8960159.4086670969</v>
      </c>
    </row>
    <row r="94" spans="1:12" x14ac:dyDescent="0.3">
      <c r="A94" s="10" t="s">
        <v>72</v>
      </c>
      <c r="F94" s="23"/>
      <c r="G94">
        <f t="shared" si="33"/>
        <v>2524312.35</v>
      </c>
      <c r="H94">
        <f t="shared" si="33"/>
        <v>3644887.4163449998</v>
      </c>
      <c r="I94">
        <f t="shared" si="33"/>
        <v>4315745.9762554504</v>
      </c>
      <c r="J94">
        <f t="shared" si="33"/>
        <v>4681100.3871507989</v>
      </c>
      <c r="K94">
        <f t="shared" si="33"/>
        <v>4548239.9927614676</v>
      </c>
    </row>
    <row r="95" spans="1:12" s="7" customFormat="1" x14ac:dyDescent="0.3">
      <c r="A95" s="7" t="s">
        <v>186</v>
      </c>
      <c r="F95" s="39"/>
      <c r="G95" s="7">
        <f>G90+G87</f>
        <v>10825615.15</v>
      </c>
      <c r="H95" s="7">
        <f t="shared" ref="H95:K95" si="34">H90+H87</f>
        <v>13222034.267863519</v>
      </c>
      <c r="I95" s="7">
        <f t="shared" si="34"/>
        <v>15130574.296404876</v>
      </c>
      <c r="J95" s="7">
        <f t="shared" si="34"/>
        <v>16539778.801445488</v>
      </c>
      <c r="K95" s="7">
        <f t="shared" si="34"/>
        <v>16845288.985135462</v>
      </c>
    </row>
    <row r="96" spans="1:12" x14ac:dyDescent="0.3">
      <c r="F96" s="23"/>
    </row>
    <row r="97" spans="6:6" x14ac:dyDescent="0.3">
      <c r="F9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6DE-7AAF-409D-8150-330958E68E90}">
  <dimension ref="A1:K87"/>
  <sheetViews>
    <sheetView topLeftCell="A63" workbookViewId="0">
      <selection activeCell="H15" sqref="H15"/>
    </sheetView>
  </sheetViews>
  <sheetFormatPr defaultRowHeight="14.4" x14ac:dyDescent="0.3"/>
  <cols>
    <col min="1" max="1" width="21.77734375" customWidth="1"/>
    <col min="2" max="2" width="9.33203125" customWidth="1"/>
    <col min="3" max="3" width="9" bestFit="1" customWidth="1"/>
    <col min="4" max="7" width="9.77734375" bestFit="1" customWidth="1"/>
  </cols>
  <sheetData>
    <row r="1" spans="1:9" s="1" customFormat="1" x14ac:dyDescent="0.3">
      <c r="A1" s="63" t="s">
        <v>83</v>
      </c>
      <c r="B1">
        <v>2016</v>
      </c>
      <c r="C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t="s">
        <v>94</v>
      </c>
    </row>
    <row r="2" spans="1:9" x14ac:dyDescent="0.3">
      <c r="A2" t="s">
        <v>91</v>
      </c>
      <c r="B2" s="12">
        <v>3.1E-2</v>
      </c>
      <c r="C2" s="12">
        <v>4.3999999999999997E-2</v>
      </c>
      <c r="D2" s="12">
        <v>3.9E-2</v>
      </c>
      <c r="E2" s="12">
        <v>3.2000000000000001E-2</v>
      </c>
    </row>
    <row r="3" spans="1:9" x14ac:dyDescent="0.3">
      <c r="A3" t="s">
        <v>103</v>
      </c>
      <c r="B3" s="13">
        <v>8136.4</v>
      </c>
      <c r="C3" s="13">
        <v>8766.1</v>
      </c>
      <c r="D3" s="13">
        <v>9419.1</v>
      </c>
      <c r="E3" s="13">
        <v>9923.5</v>
      </c>
    </row>
    <row r="4" spans="1:9" s="8" customFormat="1" x14ac:dyDescent="0.3">
      <c r="A4" s="8" t="s">
        <v>104</v>
      </c>
      <c r="B4" s="15">
        <v>0.20100000000000001</v>
      </c>
      <c r="C4" s="16">
        <v>0.20499999999999999</v>
      </c>
      <c r="D4" s="16">
        <v>0.20799999999999999</v>
      </c>
      <c r="E4" s="16">
        <v>0.20899999999999999</v>
      </c>
    </row>
    <row r="5" spans="1:9" x14ac:dyDescent="0.3">
      <c r="A5" t="s">
        <v>105</v>
      </c>
      <c r="B5" s="17">
        <v>4.9000000000000002E-2</v>
      </c>
      <c r="C5" s="18">
        <v>6.5000000000000002E-2</v>
      </c>
      <c r="D5" s="18">
        <v>0.06</v>
      </c>
      <c r="E5" s="18">
        <v>0.05</v>
      </c>
    </row>
    <row r="6" spans="1:9" x14ac:dyDescent="0.3">
      <c r="A6" t="s">
        <v>97</v>
      </c>
      <c r="B6" s="12">
        <v>6.4000000000000001E-2</v>
      </c>
      <c r="C6" s="12">
        <v>8.7999999999999995E-2</v>
      </c>
      <c r="D6" s="12">
        <v>7.4999999999999997E-2</v>
      </c>
      <c r="E6" s="12">
        <v>6.0999999999999999E-2</v>
      </c>
    </row>
    <row r="7" spans="1:9" s="8" customFormat="1" x14ac:dyDescent="0.3">
      <c r="A7" s="8" t="s">
        <v>101</v>
      </c>
      <c r="B7" s="14">
        <v>6.2E-2</v>
      </c>
      <c r="C7" s="14">
        <v>0.09</v>
      </c>
      <c r="D7" s="14">
        <v>0.08</v>
      </c>
      <c r="E7" s="14">
        <v>6.4000000000000001E-2</v>
      </c>
    </row>
    <row r="8" spans="1:9" s="8" customFormat="1" x14ac:dyDescent="0.3">
      <c r="A8" s="8" t="s">
        <v>102</v>
      </c>
      <c r="B8" s="14">
        <v>7.5999999999999998E-2</v>
      </c>
      <c r="C8" s="14">
        <v>0.08</v>
      </c>
      <c r="D8" s="14">
        <v>5.5E-2</v>
      </c>
      <c r="E8" s="14">
        <v>4.7E-2</v>
      </c>
    </row>
    <row r="9" spans="1:9" x14ac:dyDescent="0.3">
      <c r="A9" t="s">
        <v>98</v>
      </c>
      <c r="B9" s="12">
        <v>6.6000000000000003E-2</v>
      </c>
      <c r="C9" s="12">
        <v>8.8999999999999996E-2</v>
      </c>
      <c r="D9" s="12">
        <v>7.6999999999999999E-2</v>
      </c>
      <c r="E9" s="12">
        <v>6.3E-2</v>
      </c>
    </row>
    <row r="10" spans="1:9" s="8" customFormat="1" x14ac:dyDescent="0.3">
      <c r="A10" s="8" t="s">
        <v>99</v>
      </c>
      <c r="B10" s="14">
        <v>7.0000000000000007E-2</v>
      </c>
      <c r="C10" s="14">
        <v>9.4E-2</v>
      </c>
      <c r="D10" s="14">
        <v>8.2000000000000003E-2</v>
      </c>
      <c r="E10" s="14">
        <v>6.6000000000000003E-2</v>
      </c>
    </row>
    <row r="11" spans="1:9" s="8" customFormat="1" x14ac:dyDescent="0.3">
      <c r="A11" s="8" t="s">
        <v>100</v>
      </c>
      <c r="B11" s="14">
        <v>4.2000000000000003E-2</v>
      </c>
      <c r="C11" s="14">
        <v>0.06</v>
      </c>
      <c r="D11" s="14">
        <v>4.8000000000000001E-2</v>
      </c>
      <c r="E11" s="14">
        <v>4.3999999999999997E-2</v>
      </c>
    </row>
    <row r="12" spans="1:9" x14ac:dyDescent="0.3">
      <c r="A12" t="s">
        <v>84</v>
      </c>
      <c r="B12" s="12">
        <v>-3.5999999999999997E-2</v>
      </c>
      <c r="C12" s="12">
        <v>0.09</v>
      </c>
      <c r="D12" s="12">
        <v>0.08</v>
      </c>
      <c r="E12" s="12">
        <v>7.0000000000000007E-2</v>
      </c>
    </row>
    <row r="13" spans="1:9" x14ac:dyDescent="0.3">
      <c r="A13" t="s">
        <v>85</v>
      </c>
      <c r="B13" s="12">
        <v>2.5000000000000001E-2</v>
      </c>
      <c r="C13" s="12">
        <v>1.0999999999999999E-2</v>
      </c>
      <c r="D13" s="12">
        <v>8.9999999999999993E-3</v>
      </c>
      <c r="E13" s="12">
        <v>8.9999999999999993E-3</v>
      </c>
    </row>
    <row r="14" spans="1:9" x14ac:dyDescent="0.3">
      <c r="A14" t="s">
        <v>86</v>
      </c>
      <c r="B14" s="12">
        <v>4.2000000000000003E-2</v>
      </c>
      <c r="C14" s="12">
        <v>3.3000000000000002E-2</v>
      </c>
      <c r="D14" s="12">
        <v>0.03</v>
      </c>
      <c r="E14" s="12">
        <v>2.3E-2</v>
      </c>
    </row>
    <row r="16" spans="1:9" x14ac:dyDescent="0.3">
      <c r="A16" t="s">
        <v>92</v>
      </c>
      <c r="B16" s="12">
        <v>1.9E-2</v>
      </c>
      <c r="C16" s="12">
        <v>2.7E-2</v>
      </c>
      <c r="D16" s="12">
        <v>1.7000000000000001E-2</v>
      </c>
      <c r="E16" s="12">
        <v>8.9999999999999993E-3</v>
      </c>
    </row>
    <row r="17" spans="1:9" x14ac:dyDescent="0.3">
      <c r="A17" t="s">
        <v>87</v>
      </c>
      <c r="B17" s="12">
        <v>1.9E-2</v>
      </c>
      <c r="C17" s="12">
        <v>1.2999999999999999E-2</v>
      </c>
      <c r="D17" s="12">
        <v>1.7999999999999999E-2</v>
      </c>
      <c r="E17" s="12">
        <v>1.9E-2</v>
      </c>
    </row>
    <row r="19" spans="1:9" x14ac:dyDescent="0.3">
      <c r="A19" t="s">
        <v>88</v>
      </c>
      <c r="B19" s="12">
        <v>-1E-3</v>
      </c>
      <c r="C19" s="12">
        <v>1.4999999999999999E-2</v>
      </c>
      <c r="D19" s="12">
        <v>1.6E-2</v>
      </c>
      <c r="E19" s="12">
        <v>2.1000000000000001E-2</v>
      </c>
    </row>
    <row r="21" spans="1:9" s="1" customFormat="1" x14ac:dyDescent="0.3">
      <c r="A21" s="63" t="s">
        <v>106</v>
      </c>
      <c r="B21">
        <v>2016</v>
      </c>
      <c r="C21">
        <v>2017</v>
      </c>
      <c r="D21" s="1">
        <v>2018</v>
      </c>
      <c r="E21" s="1">
        <v>2019</v>
      </c>
      <c r="F21" s="1">
        <v>2020</v>
      </c>
      <c r="G21" s="1">
        <v>2021</v>
      </c>
      <c r="H21" s="1">
        <v>2022</v>
      </c>
    </row>
    <row r="22" spans="1:9" x14ac:dyDescent="0.3">
      <c r="A22" t="s">
        <v>89</v>
      </c>
      <c r="B22" s="12">
        <v>1.7999999999999999E-2</v>
      </c>
      <c r="C22" s="12">
        <v>1.9E-2</v>
      </c>
      <c r="D22" s="12">
        <v>1.7999999999999999E-2</v>
      </c>
      <c r="E22" s="12">
        <v>1.4999999999999999E-2</v>
      </c>
    </row>
    <row r="23" spans="1:9" x14ac:dyDescent="0.3">
      <c r="A23" t="s">
        <v>90</v>
      </c>
      <c r="B23" s="13">
        <v>1.1100000000000001</v>
      </c>
      <c r="C23" s="13">
        <v>1.1299999999999999</v>
      </c>
      <c r="D23" s="13">
        <v>1.18</v>
      </c>
      <c r="E23" s="13">
        <v>1.18</v>
      </c>
    </row>
    <row r="24" spans="1:9" x14ac:dyDescent="0.3">
      <c r="A24" t="s">
        <v>93</v>
      </c>
      <c r="B24" s="12">
        <v>3.9E-2</v>
      </c>
      <c r="C24" s="12">
        <v>4.5999999999999999E-2</v>
      </c>
      <c r="D24" s="12">
        <v>4.7E-2</v>
      </c>
      <c r="E24" s="12">
        <v>4.7E-2</v>
      </c>
    </row>
    <row r="26" spans="1:9" x14ac:dyDescent="0.3">
      <c r="A26" t="s">
        <v>96</v>
      </c>
      <c r="B26" s="33">
        <v>-0.02</v>
      </c>
      <c r="C26" s="35">
        <v>7.4999999999999997E-2</v>
      </c>
      <c r="D26" s="19">
        <v>2.1000000000000001E-2</v>
      </c>
      <c r="E26" s="20">
        <v>0.08</v>
      </c>
    </row>
    <row r="27" spans="1:9" x14ac:dyDescent="0.3">
      <c r="A27" t="s">
        <v>95</v>
      </c>
      <c r="B27">
        <v>45</v>
      </c>
      <c r="C27">
        <v>51</v>
      </c>
      <c r="D27">
        <v>52</v>
      </c>
      <c r="E27">
        <v>52</v>
      </c>
    </row>
    <row r="30" spans="1:9" s="1" customFormat="1" x14ac:dyDescent="0.3">
      <c r="A30" s="63" t="s">
        <v>121</v>
      </c>
      <c r="B30">
        <v>2016</v>
      </c>
      <c r="C30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9" s="32" customFormat="1" x14ac:dyDescent="0.3">
      <c r="A31" s="32" t="s">
        <v>109</v>
      </c>
      <c r="B31" s="34">
        <v>2.2000000000000002</v>
      </c>
      <c r="C31" s="34">
        <v>2.5</v>
      </c>
      <c r="D31" s="32">
        <v>1.5</v>
      </c>
      <c r="E31" s="32">
        <v>1.2</v>
      </c>
      <c r="F31" s="32">
        <v>1.8</v>
      </c>
      <c r="I31" s="32" t="s">
        <v>150</v>
      </c>
    </row>
    <row r="32" spans="1:9" x14ac:dyDescent="0.3">
      <c r="A32" s="32" t="s">
        <v>110</v>
      </c>
      <c r="B32" s="34">
        <v>4</v>
      </c>
      <c r="C32" s="34">
        <v>5.3</v>
      </c>
      <c r="D32" s="32">
        <v>3.3</v>
      </c>
      <c r="E32" s="32">
        <v>3.1</v>
      </c>
      <c r="F32" s="32">
        <v>3.1</v>
      </c>
      <c r="I32" t="s">
        <v>149</v>
      </c>
    </row>
    <row r="33" spans="1:9" x14ac:dyDescent="0.3">
      <c r="A33" s="32" t="s">
        <v>111</v>
      </c>
      <c r="D33" s="32">
        <v>1.9</v>
      </c>
      <c r="E33" s="32">
        <v>1.3</v>
      </c>
      <c r="F33" s="32">
        <v>1.6</v>
      </c>
      <c r="G33" s="32">
        <v>1.4</v>
      </c>
    </row>
    <row r="34" spans="1:9" x14ac:dyDescent="0.3">
      <c r="A34" s="32" t="s">
        <v>112</v>
      </c>
      <c r="D34" s="32">
        <v>0.9</v>
      </c>
      <c r="E34" s="32">
        <v>1.2</v>
      </c>
      <c r="F34" s="32">
        <v>2</v>
      </c>
      <c r="G34" s="32">
        <v>1</v>
      </c>
      <c r="I34" t="s">
        <v>155</v>
      </c>
    </row>
    <row r="35" spans="1:9" x14ac:dyDescent="0.3">
      <c r="A35" s="32" t="s">
        <v>113</v>
      </c>
      <c r="D35" s="32">
        <v>3.1</v>
      </c>
      <c r="E35" s="32">
        <v>2.4</v>
      </c>
      <c r="F35" s="32">
        <v>2.1</v>
      </c>
      <c r="G35" s="32">
        <v>1.8</v>
      </c>
      <c r="I35" t="s">
        <v>156</v>
      </c>
    </row>
    <row r="36" spans="1:9" x14ac:dyDescent="0.3">
      <c r="A36" s="32" t="s">
        <v>114</v>
      </c>
      <c r="D36" s="32">
        <v>0.9</v>
      </c>
      <c r="E36" s="32">
        <v>2.7</v>
      </c>
      <c r="F36" s="32">
        <v>1.9</v>
      </c>
      <c r="G36" s="32">
        <v>2.9</v>
      </c>
      <c r="H36" s="32">
        <v>2.4</v>
      </c>
      <c r="I36" t="s">
        <v>157</v>
      </c>
    </row>
    <row r="37" spans="1:9" x14ac:dyDescent="0.3">
      <c r="A37" s="32" t="s">
        <v>118</v>
      </c>
      <c r="B37">
        <v>0.4</v>
      </c>
      <c r="C37">
        <v>1.7</v>
      </c>
      <c r="D37" s="32">
        <v>1.9</v>
      </c>
      <c r="E37" s="32">
        <v>1.7</v>
      </c>
      <c r="F37" s="32">
        <v>1.5</v>
      </c>
      <c r="G37" s="32"/>
      <c r="H37" s="32"/>
    </row>
    <row r="39" spans="1:9" s="1" customFormat="1" x14ac:dyDescent="0.3">
      <c r="A39" s="63" t="s">
        <v>122</v>
      </c>
      <c r="B39">
        <v>2016</v>
      </c>
      <c r="C39">
        <v>2017</v>
      </c>
      <c r="D39" s="1">
        <v>2018</v>
      </c>
      <c r="E39" s="1">
        <v>2019</v>
      </c>
      <c r="F39" s="1">
        <v>2020</v>
      </c>
      <c r="G39" s="1">
        <v>2021</v>
      </c>
      <c r="H39" s="1">
        <v>2022</v>
      </c>
    </row>
    <row r="40" spans="1:9" x14ac:dyDescent="0.3">
      <c r="A40" t="s">
        <v>108</v>
      </c>
      <c r="B40">
        <v>4.8</v>
      </c>
      <c r="C40">
        <v>7</v>
      </c>
      <c r="D40">
        <v>4.3</v>
      </c>
      <c r="E40">
        <v>3.8</v>
      </c>
      <c r="F40">
        <v>3.7</v>
      </c>
      <c r="I40" t="s">
        <v>152</v>
      </c>
    </row>
    <row r="41" spans="1:9" x14ac:dyDescent="0.3">
      <c r="A41" t="s">
        <v>115</v>
      </c>
      <c r="B41">
        <v>9.8000000000000007</v>
      </c>
      <c r="C41">
        <v>11.2</v>
      </c>
      <c r="D41">
        <v>8.6</v>
      </c>
      <c r="E41">
        <v>3.6</v>
      </c>
      <c r="F41">
        <v>3.5</v>
      </c>
      <c r="I41" t="s">
        <v>151</v>
      </c>
    </row>
    <row r="42" spans="1:9" x14ac:dyDescent="0.3">
      <c r="A42" t="s">
        <v>86</v>
      </c>
      <c r="D42">
        <v>5</v>
      </c>
      <c r="E42">
        <v>3.8</v>
      </c>
      <c r="F42">
        <v>3.2</v>
      </c>
      <c r="G42">
        <v>4.2</v>
      </c>
    </row>
    <row r="43" spans="1:9" x14ac:dyDescent="0.3">
      <c r="A43" t="s">
        <v>116</v>
      </c>
      <c r="D43">
        <v>6.5</v>
      </c>
      <c r="E43">
        <v>4</v>
      </c>
      <c r="F43">
        <v>5.5</v>
      </c>
      <c r="G43">
        <v>3</v>
      </c>
    </row>
    <row r="44" spans="1:9" x14ac:dyDescent="0.3">
      <c r="A44" t="s">
        <v>117</v>
      </c>
      <c r="D44">
        <v>-0.5</v>
      </c>
      <c r="E44">
        <v>5</v>
      </c>
      <c r="F44">
        <v>6</v>
      </c>
      <c r="G44">
        <v>4</v>
      </c>
    </row>
    <row r="45" spans="1:9" x14ac:dyDescent="0.3">
      <c r="A45" t="s">
        <v>119</v>
      </c>
      <c r="B45">
        <v>-1.6</v>
      </c>
      <c r="C45">
        <v>1.3</v>
      </c>
      <c r="D45">
        <v>4.5999999999999996</v>
      </c>
      <c r="E45">
        <v>3.1</v>
      </c>
      <c r="F45">
        <v>3</v>
      </c>
    </row>
    <row r="47" spans="1:9" s="1" customFormat="1" x14ac:dyDescent="0.3">
      <c r="A47" s="63" t="s">
        <v>123</v>
      </c>
      <c r="B47">
        <v>2016</v>
      </c>
      <c r="C47">
        <v>2017</v>
      </c>
      <c r="D47" s="1">
        <v>2018</v>
      </c>
      <c r="E47" s="1">
        <v>2019</v>
      </c>
      <c r="F47" s="1">
        <v>2020</v>
      </c>
      <c r="G47" s="1">
        <v>2021</v>
      </c>
      <c r="H47" s="1">
        <v>2022</v>
      </c>
    </row>
    <row r="48" spans="1:9" x14ac:dyDescent="0.3">
      <c r="A48" t="s">
        <v>108</v>
      </c>
      <c r="B48">
        <v>2.2000000000000002</v>
      </c>
      <c r="C48">
        <v>4.4000000000000004</v>
      </c>
      <c r="D48">
        <v>4.7</v>
      </c>
      <c r="E48">
        <v>3.1</v>
      </c>
      <c r="F48">
        <v>1.8</v>
      </c>
    </row>
    <row r="49" spans="1:8" x14ac:dyDescent="0.3">
      <c r="A49" t="s">
        <v>115</v>
      </c>
      <c r="B49">
        <v>3.9</v>
      </c>
      <c r="C49">
        <v>7.7</v>
      </c>
      <c r="D49">
        <v>7.6</v>
      </c>
      <c r="E49">
        <v>5.7</v>
      </c>
      <c r="F49">
        <v>2.6</v>
      </c>
    </row>
    <row r="50" spans="1:8" x14ac:dyDescent="0.3">
      <c r="A50" t="s">
        <v>86</v>
      </c>
      <c r="D50">
        <v>5.2</v>
      </c>
      <c r="E50">
        <v>3.4</v>
      </c>
      <c r="F50">
        <v>1.8</v>
      </c>
      <c r="G50">
        <v>2.1</v>
      </c>
    </row>
    <row r="51" spans="1:8" x14ac:dyDescent="0.3">
      <c r="A51" t="s">
        <v>116</v>
      </c>
      <c r="D51">
        <v>2.1</v>
      </c>
      <c r="E51">
        <v>0.5</v>
      </c>
      <c r="F51">
        <v>1.2</v>
      </c>
      <c r="G51">
        <v>1.5</v>
      </c>
    </row>
    <row r="52" spans="1:8" x14ac:dyDescent="0.3">
      <c r="A52" t="s">
        <v>117</v>
      </c>
      <c r="D52">
        <v>15.5</v>
      </c>
      <c r="E52">
        <v>4.5</v>
      </c>
      <c r="F52">
        <v>1.5</v>
      </c>
      <c r="G52">
        <v>3</v>
      </c>
    </row>
    <row r="53" spans="1:8" x14ac:dyDescent="0.3">
      <c r="A53" t="s">
        <v>118</v>
      </c>
      <c r="B53">
        <v>0.4</v>
      </c>
      <c r="C53">
        <v>2.2999999999999998</v>
      </c>
      <c r="D53">
        <v>2.9</v>
      </c>
      <c r="E53">
        <v>3.5</v>
      </c>
      <c r="F53">
        <v>2.6</v>
      </c>
    </row>
    <row r="55" spans="1:8" s="1" customFormat="1" x14ac:dyDescent="0.3">
      <c r="A55" s="63" t="s">
        <v>124</v>
      </c>
      <c r="B55">
        <v>2016</v>
      </c>
      <c r="C55">
        <v>2017</v>
      </c>
      <c r="D55" s="1">
        <v>2018</v>
      </c>
      <c r="E55" s="1">
        <v>2019</v>
      </c>
      <c r="F55" s="1">
        <v>2020</v>
      </c>
      <c r="G55" s="1">
        <v>2021</v>
      </c>
      <c r="H55" s="1">
        <v>2022</v>
      </c>
    </row>
    <row r="56" spans="1:8" x14ac:dyDescent="0.3">
      <c r="A56" t="s">
        <v>108</v>
      </c>
      <c r="B56">
        <v>2.1</v>
      </c>
      <c r="C56">
        <v>2.7</v>
      </c>
      <c r="D56">
        <v>2.7</v>
      </c>
      <c r="E56">
        <v>1.3</v>
      </c>
      <c r="F56">
        <v>1.6</v>
      </c>
    </row>
    <row r="57" spans="1:8" x14ac:dyDescent="0.3">
      <c r="A57" t="s">
        <v>115</v>
      </c>
      <c r="B57">
        <v>3.4</v>
      </c>
      <c r="C57">
        <v>5.0999999999999996</v>
      </c>
      <c r="D57">
        <v>2.5</v>
      </c>
      <c r="E57">
        <v>2.4</v>
      </c>
      <c r="F57">
        <v>2.2999999999999998</v>
      </c>
    </row>
    <row r="58" spans="1:8" x14ac:dyDescent="0.3">
      <c r="A58" t="s">
        <v>118</v>
      </c>
      <c r="B58">
        <v>1</v>
      </c>
      <c r="C58">
        <v>2.2000000000000002</v>
      </c>
      <c r="D58">
        <v>2.1</v>
      </c>
      <c r="E58">
        <v>2</v>
      </c>
      <c r="F58">
        <v>2</v>
      </c>
    </row>
    <row r="59" spans="1:8" x14ac:dyDescent="0.3">
      <c r="A59" t="s">
        <v>86</v>
      </c>
      <c r="D59">
        <v>1.7</v>
      </c>
      <c r="E59">
        <v>0.9</v>
      </c>
      <c r="F59">
        <v>1.3</v>
      </c>
      <c r="G59">
        <v>1.2</v>
      </c>
    </row>
    <row r="60" spans="1:8" x14ac:dyDescent="0.3">
      <c r="A60" t="s">
        <v>116</v>
      </c>
      <c r="D60">
        <v>1.1000000000000001</v>
      </c>
      <c r="E60">
        <v>1.3</v>
      </c>
      <c r="F60">
        <v>1.3</v>
      </c>
      <c r="G60">
        <v>1.2</v>
      </c>
    </row>
    <row r="61" spans="1:8" x14ac:dyDescent="0.3">
      <c r="A61" t="s">
        <v>117</v>
      </c>
      <c r="D61">
        <v>3.6</v>
      </c>
      <c r="E61">
        <v>2.4</v>
      </c>
      <c r="F61">
        <v>1.4</v>
      </c>
      <c r="G61">
        <v>0.8</v>
      </c>
    </row>
    <row r="63" spans="1:8" s="1" customFormat="1" x14ac:dyDescent="0.3">
      <c r="A63" s="63" t="s">
        <v>120</v>
      </c>
      <c r="B63">
        <v>2016</v>
      </c>
      <c r="C63">
        <v>2017</v>
      </c>
      <c r="D63" s="1">
        <v>2018</v>
      </c>
      <c r="E63" s="1">
        <v>2019</v>
      </c>
      <c r="F63" s="1">
        <v>2020</v>
      </c>
      <c r="G63" s="1">
        <v>2021</v>
      </c>
      <c r="H63" s="1">
        <v>2022</v>
      </c>
    </row>
    <row r="64" spans="1:8" x14ac:dyDescent="0.3">
      <c r="A64" t="s">
        <v>108</v>
      </c>
      <c r="B64">
        <v>1.6</v>
      </c>
      <c r="C64">
        <v>2.2000000000000002</v>
      </c>
      <c r="D64">
        <v>2.9</v>
      </c>
      <c r="E64">
        <v>2.2999999999999998</v>
      </c>
      <c r="F64">
        <v>1.5</v>
      </c>
    </row>
    <row r="65" spans="1:11" x14ac:dyDescent="0.3">
      <c r="A65" t="s">
        <v>115</v>
      </c>
      <c r="B65">
        <v>1.9</v>
      </c>
      <c r="C65">
        <v>4.5999999999999996</v>
      </c>
      <c r="D65">
        <v>4.0999999999999996</v>
      </c>
      <c r="E65">
        <v>2.9</v>
      </c>
      <c r="F65">
        <v>1</v>
      </c>
      <c r="I65" t="s">
        <v>158</v>
      </c>
    </row>
    <row r="66" spans="1:11" x14ac:dyDescent="0.3">
      <c r="A66" t="s">
        <v>118</v>
      </c>
      <c r="B66">
        <v>1.3</v>
      </c>
      <c r="C66">
        <v>2.1</v>
      </c>
      <c r="D66">
        <v>2.4</v>
      </c>
      <c r="E66">
        <v>2.2000000000000002</v>
      </c>
      <c r="F66">
        <v>1.4</v>
      </c>
    </row>
    <row r="67" spans="1:11" x14ac:dyDescent="0.3">
      <c r="A67" t="s">
        <v>86</v>
      </c>
      <c r="D67">
        <v>2.6</v>
      </c>
      <c r="E67">
        <v>2.2999999999999998</v>
      </c>
      <c r="F67">
        <v>1.7</v>
      </c>
      <c r="G67">
        <v>1.9</v>
      </c>
      <c r="I67" t="s">
        <v>159</v>
      </c>
    </row>
    <row r="68" spans="1:11" x14ac:dyDescent="0.3">
      <c r="A68" t="s">
        <v>116</v>
      </c>
      <c r="D68">
        <v>1.6</v>
      </c>
      <c r="E68">
        <v>2.2000000000000002</v>
      </c>
      <c r="F68">
        <v>1.5</v>
      </c>
      <c r="G68">
        <v>0.9</v>
      </c>
    </row>
    <row r="69" spans="1:11" x14ac:dyDescent="0.3">
      <c r="A69" t="s">
        <v>117</v>
      </c>
      <c r="D69">
        <v>5.6</v>
      </c>
      <c r="E69">
        <v>2.5</v>
      </c>
      <c r="F69">
        <v>-0.4</v>
      </c>
      <c r="G69">
        <v>2.2000000000000002</v>
      </c>
    </row>
    <row r="72" spans="1:11" s="1" customFormat="1" x14ac:dyDescent="0.3">
      <c r="A72" s="63" t="s">
        <v>125</v>
      </c>
      <c r="B72" s="1">
        <v>2013</v>
      </c>
      <c r="C72" s="1">
        <v>2014</v>
      </c>
      <c r="D72" s="1">
        <v>2015</v>
      </c>
      <c r="E72" s="1">
        <v>2016</v>
      </c>
      <c r="F72" s="1">
        <v>2017</v>
      </c>
      <c r="G72" s="1">
        <v>2018</v>
      </c>
      <c r="H72" s="1">
        <v>2019</v>
      </c>
      <c r="I72" s="1">
        <v>2020</v>
      </c>
      <c r="J72" s="1">
        <v>2021</v>
      </c>
      <c r="K72" s="1">
        <v>2022</v>
      </c>
    </row>
    <row r="73" spans="1:11" s="3" customFormat="1" x14ac:dyDescent="0.3">
      <c r="A73" s="3" t="s">
        <v>226</v>
      </c>
      <c r="D73" s="3">
        <v>1.044</v>
      </c>
      <c r="E73" s="3">
        <v>1.0760000000000001</v>
      </c>
      <c r="F73" s="3">
        <v>1.111</v>
      </c>
    </row>
    <row r="74" spans="1:11" s="3" customFormat="1" x14ac:dyDescent="0.3">
      <c r="A74" s="3" t="s">
        <v>227</v>
      </c>
      <c r="D74" s="3">
        <v>1.04</v>
      </c>
      <c r="E74" s="3">
        <v>1.08</v>
      </c>
      <c r="F74" s="3">
        <v>1.133</v>
      </c>
    </row>
    <row r="75" spans="1:11" s="3" customFormat="1" x14ac:dyDescent="0.3">
      <c r="A75" s="3" t="s">
        <v>228</v>
      </c>
      <c r="D75" s="3">
        <v>1.218</v>
      </c>
      <c r="E75" s="3">
        <v>1.121</v>
      </c>
      <c r="F75" s="3">
        <v>1.0640000000000001</v>
      </c>
    </row>
    <row r="76" spans="1:11" s="3" customFormat="1" x14ac:dyDescent="0.3">
      <c r="A76" s="3" t="s">
        <v>229</v>
      </c>
      <c r="D76" s="3">
        <v>1.1579999999999999</v>
      </c>
      <c r="E76" s="3">
        <v>1.0960000000000001</v>
      </c>
      <c r="F76" s="3">
        <v>1.032</v>
      </c>
    </row>
    <row r="77" spans="1:11" s="3" customFormat="1" x14ac:dyDescent="0.3">
      <c r="A77" s="3" t="s">
        <v>126</v>
      </c>
      <c r="B77" s="3">
        <v>0.8</v>
      </c>
      <c r="C77" s="3">
        <v>0.79300000000000004</v>
      </c>
      <c r="D77" s="3">
        <v>0.79900000000000004</v>
      </c>
      <c r="E77" s="3">
        <v>0.80300000000000005</v>
      </c>
    </row>
    <row r="78" spans="1:11" s="3" customFormat="1" x14ac:dyDescent="0.3">
      <c r="A78" s="3" t="s">
        <v>127</v>
      </c>
      <c r="B78" s="3">
        <v>0.10730000000000001</v>
      </c>
      <c r="C78" s="3">
        <v>9.74E-2</v>
      </c>
      <c r="D78" s="3">
        <v>0.1249</v>
      </c>
      <c r="E78" s="3">
        <v>0.14319999999999999</v>
      </c>
      <c r="F78" s="3">
        <v>0.13200000000000001</v>
      </c>
    </row>
    <row r="79" spans="1:11" s="3" customFormat="1" x14ac:dyDescent="0.3">
      <c r="A79" s="3" t="s">
        <v>230</v>
      </c>
      <c r="D79" s="3">
        <v>1.0269999999999999</v>
      </c>
      <c r="E79" s="3">
        <v>1.0429999999999999</v>
      </c>
      <c r="F79" s="3">
        <v>1.077</v>
      </c>
    </row>
    <row r="80" spans="1:11" s="3" customFormat="1" x14ac:dyDescent="0.3">
      <c r="A80" s="3" t="s">
        <v>129</v>
      </c>
      <c r="B80" s="3">
        <v>0.94899999999999995</v>
      </c>
      <c r="C80" s="3">
        <v>0.97</v>
      </c>
      <c r="D80" s="3">
        <v>1</v>
      </c>
      <c r="E80" s="3">
        <v>1.02</v>
      </c>
      <c r="F80" s="3">
        <v>1.0569999999999999</v>
      </c>
      <c r="G80" s="3">
        <v>1.075</v>
      </c>
    </row>
    <row r="81" spans="1:7" s="3" customFormat="1" x14ac:dyDescent="0.3">
      <c r="A81" s="3" t="s">
        <v>130</v>
      </c>
      <c r="B81" s="3">
        <v>0.99</v>
      </c>
      <c r="C81" s="3">
        <v>1.0169999999999999</v>
      </c>
      <c r="D81" s="3">
        <v>1.052</v>
      </c>
      <c r="E81" s="3">
        <v>1.0780000000000001</v>
      </c>
      <c r="F81" s="3">
        <v>1.08</v>
      </c>
    </row>
    <row r="84" spans="1:7" s="1" customFormat="1" x14ac:dyDescent="0.3">
      <c r="A84" s="1" t="s">
        <v>140</v>
      </c>
      <c r="B84" s="1">
        <v>2013</v>
      </c>
      <c r="C84" s="1">
        <v>2014</v>
      </c>
      <c r="D84" s="1">
        <v>2015</v>
      </c>
      <c r="E84" s="1">
        <v>2016</v>
      </c>
      <c r="F84" s="1">
        <v>2017</v>
      </c>
    </row>
    <row r="85" spans="1:7" x14ac:dyDescent="0.3">
      <c r="A85" t="s">
        <v>0</v>
      </c>
      <c r="D85" s="21">
        <f>FCF!D3</f>
        <v>1.1472344288252005</v>
      </c>
      <c r="E85" s="21">
        <f>FCF!E3</f>
        <v>1.1422186649394754</v>
      </c>
      <c r="F85" s="21">
        <f>FCF!F3</f>
        <v>1.1517389566623668</v>
      </c>
    </row>
    <row r="86" spans="1:7" x14ac:dyDescent="0.3">
      <c r="A86" t="s">
        <v>5</v>
      </c>
      <c r="D86" s="21">
        <f>FCF!D18</f>
        <v>1.1480646140270654</v>
      </c>
      <c r="E86" s="21">
        <f>FCF!E18</f>
        <v>1.1456369739449577</v>
      </c>
      <c r="F86" s="21">
        <f>FCF!F18</f>
        <v>1.1519952651333045</v>
      </c>
    </row>
    <row r="87" spans="1:7" s="3" customFormat="1" x14ac:dyDescent="0.3">
      <c r="A87" s="3" t="s">
        <v>126</v>
      </c>
      <c r="B87" s="3">
        <f>12118924/15822263</f>
        <v>0.76594125631712728</v>
      </c>
      <c r="C87" s="3">
        <f>14513067/18331340</f>
        <v>0.79170791660620554</v>
      </c>
      <c r="D87" s="3">
        <f>(93647948+3603017)/105932291</f>
        <v>0.91804835033729237</v>
      </c>
      <c r="E87" s="3">
        <f>(111317256+3368395)/120997840</f>
        <v>0.9478322175007422</v>
      </c>
      <c r="F87" s="3">
        <f>21978284/25008015</f>
        <v>0.87884960081797781</v>
      </c>
      <c r="G87" s="3" t="s">
        <v>148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B49E-3FBE-4509-9974-DFB27872E871}">
  <dimension ref="A2:F64"/>
  <sheetViews>
    <sheetView workbookViewId="0">
      <selection activeCell="F1" sqref="F1"/>
    </sheetView>
  </sheetViews>
  <sheetFormatPr defaultRowHeight="14.4" x14ac:dyDescent="0.3"/>
  <cols>
    <col min="1" max="1" width="25.6640625" customWidth="1"/>
    <col min="2" max="2" width="14.44140625" bestFit="1" customWidth="1"/>
  </cols>
  <sheetData>
    <row r="2" spans="1:6" s="1" customFormat="1" x14ac:dyDescent="0.3">
      <c r="A2" s="1" t="s">
        <v>189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x14ac:dyDescent="0.3">
      <c r="A3" t="s">
        <v>193</v>
      </c>
      <c r="B3">
        <v>240390</v>
      </c>
      <c r="C3">
        <v>211090</v>
      </c>
      <c r="D3">
        <v>443644</v>
      </c>
      <c r="E3">
        <v>244397</v>
      </c>
      <c r="F3">
        <v>164330</v>
      </c>
    </row>
    <row r="4" spans="1:6" x14ac:dyDescent="0.3">
      <c r="A4" t="s">
        <v>194</v>
      </c>
      <c r="B4">
        <f>18476071-295624</f>
        <v>18180447</v>
      </c>
      <c r="C4">
        <f>19178194-388906</f>
        <v>18789288</v>
      </c>
      <c r="D4">
        <f>24573144-1772747</f>
        <v>22800397</v>
      </c>
      <c r="E4">
        <v>41740919</v>
      </c>
      <c r="F4">
        <v>51032572</v>
      </c>
    </row>
    <row r="5" spans="1:6" x14ac:dyDescent="0.3">
      <c r="A5" t="s">
        <v>190</v>
      </c>
      <c r="B5">
        <v>2443353</v>
      </c>
      <c r="C5">
        <v>2751131</v>
      </c>
      <c r="D5">
        <v>2500624</v>
      </c>
      <c r="E5">
        <v>2200931</v>
      </c>
      <c r="F5">
        <v>2202223</v>
      </c>
    </row>
    <row r="6" spans="1:6" x14ac:dyDescent="0.3">
      <c r="A6" t="s">
        <v>192</v>
      </c>
      <c r="B6">
        <v>5074</v>
      </c>
      <c r="C6">
        <v>5058</v>
      </c>
      <c r="D6">
        <v>5011</v>
      </c>
      <c r="E6">
        <v>304768</v>
      </c>
      <c r="F6">
        <v>431298</v>
      </c>
    </row>
    <row r="7" spans="1:6" x14ac:dyDescent="0.3">
      <c r="A7" t="s">
        <v>191</v>
      </c>
      <c r="B7">
        <v>781060</v>
      </c>
      <c r="C7">
        <v>608142</v>
      </c>
      <c r="D7">
        <v>333989</v>
      </c>
      <c r="E7">
        <v>411787</v>
      </c>
      <c r="F7">
        <v>455819</v>
      </c>
    </row>
    <row r="10" spans="1:6" s="1" customFormat="1" x14ac:dyDescent="0.3">
      <c r="A10" s="1" t="s">
        <v>195</v>
      </c>
      <c r="B10" s="1">
        <v>2013</v>
      </c>
      <c r="C10" s="1">
        <v>2014</v>
      </c>
      <c r="D10" s="1">
        <v>2015</v>
      </c>
      <c r="E10" s="1">
        <v>2016</v>
      </c>
      <c r="F10" s="1">
        <v>2017</v>
      </c>
    </row>
    <row r="11" spans="1:6" x14ac:dyDescent="0.3">
      <c r="A11" t="s">
        <v>11</v>
      </c>
      <c r="B11">
        <v>12903579</v>
      </c>
      <c r="C11">
        <v>14302025</v>
      </c>
      <c r="D11">
        <v>14059978</v>
      </c>
      <c r="E11">
        <v>18341310</v>
      </c>
      <c r="F11">
        <v>20723229</v>
      </c>
    </row>
    <row r="12" spans="1:6" x14ac:dyDescent="0.3">
      <c r="A12" t="s">
        <v>196</v>
      </c>
      <c r="B12">
        <v>1440000</v>
      </c>
      <c r="C12">
        <v>750000</v>
      </c>
      <c r="F12">
        <v>400000</v>
      </c>
    </row>
    <row r="13" spans="1:6" x14ac:dyDescent="0.3">
      <c r="A13" t="s">
        <v>197</v>
      </c>
      <c r="B13">
        <f>15817189-41932</f>
        <v>15775257</v>
      </c>
      <c r="C13">
        <f>18326282-105754</f>
        <v>18220528</v>
      </c>
      <c r="D13">
        <f>22009373-4501</f>
        <v>22004872</v>
      </c>
      <c r="E13">
        <v>21242290</v>
      </c>
      <c r="F13">
        <v>25008015</v>
      </c>
    </row>
    <row r="14" spans="1:6" x14ac:dyDescent="0.3">
      <c r="A14" t="s">
        <v>199</v>
      </c>
      <c r="B14">
        <f>508647+295624</f>
        <v>804271</v>
      </c>
      <c r="C14">
        <f>522307+388906</f>
        <v>911213</v>
      </c>
      <c r="D14">
        <f>1859207+1772747</f>
        <v>3631954</v>
      </c>
      <c r="E14">
        <v>3281088</v>
      </c>
      <c r="F14">
        <v>2842084</v>
      </c>
    </row>
    <row r="15" spans="1:6" x14ac:dyDescent="0.3">
      <c r="A15" t="s">
        <v>198</v>
      </c>
      <c r="B15">
        <f>2022949+41932</f>
        <v>2064881</v>
      </c>
      <c r="C15">
        <f>1869054+105754</f>
        <v>1974808</v>
      </c>
      <c r="D15">
        <f>3497749+4501</f>
        <v>3502250</v>
      </c>
      <c r="E15">
        <v>3392418</v>
      </c>
      <c r="F15">
        <v>3296221</v>
      </c>
    </row>
    <row r="20" spans="1:6" s="1" customFormat="1" x14ac:dyDescent="0.3">
      <c r="A20" s="1" t="s">
        <v>200</v>
      </c>
      <c r="B20" s="1">
        <v>2013</v>
      </c>
      <c r="C20" s="1">
        <v>2014</v>
      </c>
      <c r="D20" s="1">
        <v>2015</v>
      </c>
      <c r="E20" s="1">
        <v>2016</v>
      </c>
      <c r="F20" s="1">
        <v>2017</v>
      </c>
    </row>
    <row r="21" spans="1:6" x14ac:dyDescent="0.3">
      <c r="A21" t="s">
        <v>17</v>
      </c>
      <c r="B21">
        <f>FCF!B45</f>
        <v>31252364</v>
      </c>
      <c r="C21">
        <f>FCF!C45</f>
        <v>35019668</v>
      </c>
      <c r="D21">
        <f>FCF!D45</f>
        <v>41426307</v>
      </c>
      <c r="E21">
        <f>FCF!E45</f>
        <v>44056175</v>
      </c>
      <c r="F21">
        <f>FCF!F45</f>
        <v>50067326</v>
      </c>
    </row>
    <row r="22" spans="1:6" x14ac:dyDescent="0.3">
      <c r="A22" s="4" t="s">
        <v>201</v>
      </c>
      <c r="B22">
        <f>FCF!B46</f>
        <v>15273702</v>
      </c>
      <c r="C22">
        <f>FCF!C46</f>
        <v>15033660</v>
      </c>
      <c r="D22">
        <f>FCF!D46</f>
        <v>20471338</v>
      </c>
      <c r="E22">
        <f>FCF!E46</f>
        <v>24572343</v>
      </c>
      <c r="F22">
        <f>FCF!F46</f>
        <v>27429426</v>
      </c>
    </row>
    <row r="23" spans="1:6" s="1" customFormat="1" x14ac:dyDescent="0.3">
      <c r="A23" s="1" t="s">
        <v>202</v>
      </c>
      <c r="B23" s="1">
        <f>B21-B22</f>
        <v>15978662</v>
      </c>
      <c r="C23" s="1">
        <f t="shared" ref="C23:F23" si="0">C21-C22</f>
        <v>19986008</v>
      </c>
      <c r="D23" s="1">
        <f t="shared" si="0"/>
        <v>20954969</v>
      </c>
      <c r="E23" s="1">
        <f t="shared" si="0"/>
        <v>19483832</v>
      </c>
      <c r="F23" s="1">
        <f t="shared" si="0"/>
        <v>22637900</v>
      </c>
    </row>
    <row r="27" spans="1:6" s="1" customFormat="1" x14ac:dyDescent="0.3">
      <c r="A27" s="1" t="s">
        <v>203</v>
      </c>
      <c r="B27" s="1">
        <v>2013</v>
      </c>
      <c r="C27" s="1">
        <v>2014</v>
      </c>
      <c r="D27" s="1">
        <v>2015</v>
      </c>
      <c r="E27" s="1">
        <v>2016</v>
      </c>
      <c r="F27" s="1">
        <v>2017</v>
      </c>
    </row>
    <row r="28" spans="1:6" x14ac:dyDescent="0.3">
      <c r="A28" t="s">
        <v>204</v>
      </c>
      <c r="B28">
        <f>FCF!B56</f>
        <v>3011623</v>
      </c>
      <c r="C28">
        <f>FCF!C56</f>
        <v>6487750</v>
      </c>
      <c r="D28">
        <f>FCF!D56</f>
        <v>8547168</v>
      </c>
      <c r="E28">
        <f>FCF!E56</f>
        <v>10861125</v>
      </c>
      <c r="F28">
        <f>FCF!F56</f>
        <v>11548315</v>
      </c>
    </row>
    <row r="29" spans="1:6" x14ac:dyDescent="0.3">
      <c r="A29" t="s">
        <v>205</v>
      </c>
      <c r="B29">
        <f>KAZALNIKI!B28+FCF!B22</f>
        <v>8577795</v>
      </c>
      <c r="C29">
        <f>KAZALNIKI!C28+FCF!C22</f>
        <v>11727916</v>
      </c>
      <c r="D29">
        <f>KAZALNIKI!D28+FCF!D22</f>
        <v>13977505</v>
      </c>
      <c r="E29">
        <f>KAZALNIKI!E28+FCF!E22</f>
        <v>17080699</v>
      </c>
      <c r="F29">
        <f>KAZALNIKI!F28+FCF!F22</f>
        <v>18953885</v>
      </c>
    </row>
    <row r="30" spans="1:6" s="3" customFormat="1" x14ac:dyDescent="0.3">
      <c r="A30" s="3" t="s">
        <v>236</v>
      </c>
      <c r="C30" s="3">
        <f>C28/B28</f>
        <v>2.1542371007260868</v>
      </c>
      <c r="D30" s="3">
        <f t="shared" ref="D30:F30" si="1">D28/C28</f>
        <v>1.3174317752687759</v>
      </c>
      <c r="E30" s="3">
        <f t="shared" si="1"/>
        <v>1.2707279182999562</v>
      </c>
      <c r="F30" s="3">
        <f t="shared" si="1"/>
        <v>1.0632706096283764</v>
      </c>
    </row>
    <row r="31" spans="1:6" s="3" customFormat="1" x14ac:dyDescent="0.3">
      <c r="A31" s="3" t="s">
        <v>237</v>
      </c>
      <c r="C31" s="3">
        <f>C29/B29</f>
        <v>1.3672413481553243</v>
      </c>
      <c r="D31" s="3">
        <f t="shared" ref="D31:F31" si="2">D29/C29</f>
        <v>1.1918148970371207</v>
      </c>
      <c r="E31" s="3">
        <f t="shared" si="2"/>
        <v>1.2220134423132025</v>
      </c>
      <c r="F31" s="3">
        <f t="shared" si="2"/>
        <v>1.1096668233542433</v>
      </c>
    </row>
    <row r="34" spans="1:6" s="1" customFormat="1" x14ac:dyDescent="0.3">
      <c r="A34" s="1" t="s">
        <v>206</v>
      </c>
      <c r="B34" s="1">
        <v>2013</v>
      </c>
      <c r="C34" s="1">
        <v>2014</v>
      </c>
      <c r="D34" s="1">
        <v>2015</v>
      </c>
      <c r="E34" s="1">
        <v>2016</v>
      </c>
      <c r="F34" s="1">
        <v>2017</v>
      </c>
    </row>
    <row r="35" spans="1:6" s="1" customFormat="1" x14ac:dyDescent="0.3">
      <c r="A35" s="1" t="s">
        <v>207</v>
      </c>
    </row>
    <row r="36" spans="1:6" x14ac:dyDescent="0.3">
      <c r="A36" t="s">
        <v>208</v>
      </c>
      <c r="B36">
        <f>B21/B22</f>
        <v>2.0461551495505148</v>
      </c>
      <c r="C36">
        <f t="shared" ref="C36:F36" si="3">C21/C22</f>
        <v>2.3294173208653115</v>
      </c>
      <c r="D36">
        <f t="shared" si="3"/>
        <v>2.0236247870070829</v>
      </c>
      <c r="E36">
        <f t="shared" si="3"/>
        <v>1.792917142659127</v>
      </c>
      <c r="F36">
        <f t="shared" si="3"/>
        <v>1.8253143904651887</v>
      </c>
    </row>
    <row r="38" spans="1:6" x14ac:dyDescent="0.3">
      <c r="A38" s="1" t="s">
        <v>209</v>
      </c>
    </row>
    <row r="39" spans="1:6" x14ac:dyDescent="0.3">
      <c r="A39" t="s">
        <v>210</v>
      </c>
      <c r="B39">
        <f>(B21-B11)/B22</f>
        <v>1.2013318709504741</v>
      </c>
      <c r="C39">
        <f t="shared" ref="C39:F39" si="4">(C21-C11)/C22</f>
        <v>1.3780837799976853</v>
      </c>
      <c r="D39">
        <f t="shared" si="4"/>
        <v>1.3368119367673965</v>
      </c>
      <c r="E39">
        <f t="shared" si="4"/>
        <v>1.0464962580084447</v>
      </c>
      <c r="F39">
        <f t="shared" si="4"/>
        <v>1.0698035387251632</v>
      </c>
    </row>
    <row r="41" spans="1:6" s="1" customFormat="1" x14ac:dyDescent="0.3">
      <c r="A41" s="1" t="s">
        <v>211</v>
      </c>
    </row>
    <row r="42" spans="1:6" x14ac:dyDescent="0.3">
      <c r="A42" t="s">
        <v>212</v>
      </c>
      <c r="B42">
        <f>B15/B22</f>
        <v>0.13519191352561416</v>
      </c>
      <c r="C42">
        <f t="shared" ref="C42:F42" si="5">C15/C22</f>
        <v>0.13135909685332781</v>
      </c>
      <c r="D42">
        <f t="shared" si="5"/>
        <v>0.17108065921240712</v>
      </c>
      <c r="E42">
        <f t="shared" si="5"/>
        <v>0.13805838539694812</v>
      </c>
      <c r="F42">
        <f t="shared" si="5"/>
        <v>0.12017097988124141</v>
      </c>
    </row>
    <row r="47" spans="1:6" s="1" customFormat="1" x14ac:dyDescent="0.3">
      <c r="A47" s="1" t="s">
        <v>213</v>
      </c>
      <c r="B47" s="1">
        <v>2013</v>
      </c>
      <c r="C47" s="1">
        <v>2014</v>
      </c>
      <c r="D47" s="1">
        <v>2015</v>
      </c>
      <c r="E47" s="1">
        <v>2016</v>
      </c>
      <c r="F47" s="1">
        <v>2017</v>
      </c>
    </row>
    <row r="48" spans="1:6" s="1" customFormat="1" x14ac:dyDescent="0.3">
      <c r="A48" s="1" t="s">
        <v>214</v>
      </c>
    </row>
    <row r="49" spans="1:6" x14ac:dyDescent="0.3">
      <c r="A49" t="s">
        <v>215</v>
      </c>
      <c r="B49">
        <f>(PASIVA!B4+PASIVA!B7)/AKTIVA!B16</f>
        <v>0.57886713264494705</v>
      </c>
      <c r="C49">
        <f>(PASIVA!C4+PASIVA!C7)/AKTIVA!C16</f>
        <v>0.5115651321201512</v>
      </c>
      <c r="D49">
        <f>(PASIVA!D4+PASIVA!D7)/AKTIVA!D16</f>
        <v>0.47652037155181509</v>
      </c>
      <c r="E49">
        <f>(PASIVA!E4+PASIVA!E7)/AKTIVA!E16</f>
        <v>0.50076007097330555</v>
      </c>
      <c r="F49">
        <f>(PASIVA!F4+PASIVA!F7)/AKTIVA!F16</f>
        <v>0.48057528848901321</v>
      </c>
    </row>
    <row r="53" spans="1:6" s="1" customFormat="1" x14ac:dyDescent="0.3">
      <c r="A53" s="1" t="s">
        <v>216</v>
      </c>
      <c r="B53" s="1">
        <v>2013</v>
      </c>
      <c r="C53" s="1">
        <v>2014</v>
      </c>
      <c r="D53" s="1">
        <v>2015</v>
      </c>
      <c r="E53" s="1">
        <v>2016</v>
      </c>
      <c r="F53" s="1">
        <v>2017</v>
      </c>
    </row>
    <row r="54" spans="1:6" x14ac:dyDescent="0.3">
      <c r="A54" s="1" t="s">
        <v>217</v>
      </c>
    </row>
    <row r="55" spans="1:6" x14ac:dyDescent="0.3">
      <c r="A55" t="s">
        <v>218</v>
      </c>
      <c r="B55" s="3">
        <f>FCF!B58/$B61</f>
        <v>3.7947073618181934E-2</v>
      </c>
      <c r="C55" s="3">
        <f>FCF!C58/$B61</f>
        <v>8.2553842926136475E-2</v>
      </c>
      <c r="D55" s="3">
        <f>FCF!D58/$B61</f>
        <v>0.11035562280454785</v>
      </c>
      <c r="E55" s="3">
        <f>FCF!E58/$B61</f>
        <v>0.13438534630942367</v>
      </c>
      <c r="F55" s="3">
        <f>FCF!F58/$B61</f>
        <v>0.14263410970579907</v>
      </c>
    </row>
    <row r="57" spans="1:6" x14ac:dyDescent="0.3">
      <c r="A57" s="1" t="s">
        <v>221</v>
      </c>
    </row>
    <row r="58" spans="1:6" x14ac:dyDescent="0.3">
      <c r="A58" t="s">
        <v>222</v>
      </c>
      <c r="B58" s="3">
        <f>FCF!B58/$B64</f>
        <v>7.6440562317114547E-2</v>
      </c>
      <c r="C58" s="3">
        <f>FCF!C58/$B64</f>
        <v>0.16629641163394035</v>
      </c>
      <c r="D58" s="3">
        <f>FCF!D58/$B64</f>
        <v>0.22230030033180678</v>
      </c>
      <c r="E58" s="3">
        <f>FCF!E58/$B64</f>
        <v>0.27070576093516113</v>
      </c>
      <c r="F58" s="3">
        <f>FCF!F58/$B64</f>
        <v>0.28732206496914736</v>
      </c>
    </row>
    <row r="60" spans="1:6" x14ac:dyDescent="0.3">
      <c r="A60" s="65"/>
      <c r="B60" s="66" t="s">
        <v>220</v>
      </c>
    </row>
    <row r="61" spans="1:6" x14ac:dyDescent="0.3">
      <c r="A61" s="67" t="s">
        <v>219</v>
      </c>
      <c r="B61" s="68">
        <f>SUM(AKTIVA!B16:F16)/5</f>
        <v>76032002.599999994</v>
      </c>
    </row>
    <row r="63" spans="1:6" x14ac:dyDescent="0.3">
      <c r="A63" s="65"/>
      <c r="B63" s="66" t="s">
        <v>220</v>
      </c>
    </row>
    <row r="64" spans="1:6" x14ac:dyDescent="0.3">
      <c r="A64" s="67" t="s">
        <v>225</v>
      </c>
      <c r="B64" s="68">
        <f>SUM(PASIVA!B27:F27)/5</f>
        <v>37744254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FCF</vt:lpstr>
      <vt:lpstr>PRIMERJAVA S PODJETJI</vt:lpstr>
      <vt:lpstr>AKTIVA</vt:lpstr>
      <vt:lpstr>PASIVA</vt:lpstr>
      <vt:lpstr>NALOŽBE</vt:lpstr>
      <vt:lpstr>STARE AMORT. IN INVEST.</vt:lpstr>
      <vt:lpstr>MAKRO ANALIZA</vt:lpstr>
      <vt:lpstr>KAZALNIKI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2019-03-16T05:37:46Z</dcterms:created>
  <dcterms:modified xsi:type="dcterms:W3CDTF">2019-03-28T23:13:12Z</dcterms:modified>
</cp:coreProperties>
</file>