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73D44FA4-7CCE-41A1-AAD8-7187160F329F}" xr6:coauthVersionLast="45" xr6:coauthVersionMax="45" xr10:uidLastSave="{00000000-0000-0000-0000-000000000000}"/>
  <bookViews>
    <workbookView xWindow="-108" yWindow="-108" windowWidth="23256" windowHeight="12576" firstSheet="11" activeTab="14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3" l="1"/>
  <c r="C79" i="13"/>
  <c r="D79" i="13"/>
  <c r="E79" i="13"/>
  <c r="F79" i="13"/>
  <c r="B79" i="13"/>
  <c r="B55" i="14"/>
  <c r="C54" i="14"/>
  <c r="D54" i="14"/>
  <c r="E54" i="14"/>
  <c r="F54" i="14"/>
  <c r="B54" i="14"/>
  <c r="B41" i="14"/>
  <c r="C41" i="14"/>
  <c r="D41" i="14"/>
  <c r="E41" i="14"/>
  <c r="F41" i="14"/>
  <c r="B37" i="14"/>
  <c r="B51" i="14" s="1"/>
  <c r="C15" i="15" l="1"/>
  <c r="C17" i="15" l="1"/>
  <c r="C20" i="15" s="1"/>
  <c r="C14" i="15"/>
  <c r="H27" i="15"/>
  <c r="H13" i="15" l="1"/>
  <c r="C8" i="15" l="1"/>
  <c r="F5" i="15" l="1"/>
  <c r="J3" i="15"/>
  <c r="I3" i="15"/>
  <c r="H3" i="15"/>
  <c r="C3" i="15" s="1"/>
  <c r="G3" i="15"/>
  <c r="C4" i="15" l="1"/>
  <c r="C11" i="15"/>
  <c r="C10" i="15"/>
  <c r="G9" i="15" l="1"/>
  <c r="H9" i="15" s="1"/>
  <c r="C9" i="15" s="1"/>
  <c r="F5" i="5"/>
  <c r="B5" i="5"/>
  <c r="C5" i="5"/>
  <c r="D5" i="5"/>
  <c r="E5" i="5"/>
  <c r="C5" i="15" l="1"/>
  <c r="H31" i="4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G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E47" i="9"/>
  <c r="F47" i="9"/>
  <c r="B47" i="9"/>
  <c r="D20" i="10"/>
  <c r="E20" i="10"/>
  <c r="F20" i="10"/>
  <c r="B15" i="14" l="1"/>
  <c r="C58" i="13"/>
  <c r="D58" i="13"/>
  <c r="F58" i="13"/>
  <c r="B58" i="13"/>
  <c r="B64" i="13"/>
  <c r="E58" i="13" s="1"/>
  <c r="C28" i="13"/>
  <c r="D28" i="13"/>
  <c r="E28" i="13"/>
  <c r="F28" i="13"/>
  <c r="B28" i="13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C53" i="14" l="1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G43" i="9"/>
  <c r="H43" i="9" s="1"/>
  <c r="I43" i="9" s="1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E52" i="14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2" i="13"/>
  <c r="E42" i="13"/>
  <c r="F39" i="13"/>
  <c r="E36" i="13"/>
  <c r="D42" i="13"/>
  <c r="D14" i="13"/>
  <c r="C14" i="13"/>
  <c r="F87" i="12"/>
  <c r="E87" i="12"/>
  <c r="D87" i="12"/>
  <c r="C87" i="12"/>
  <c r="B87" i="12"/>
  <c r="F33" i="14" l="1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F46" i="9"/>
  <c r="C30" i="13"/>
  <c r="D30" i="13"/>
  <c r="E30" i="13"/>
  <c r="J43" i="9"/>
  <c r="E17" i="9"/>
  <c r="E86" i="12" s="1"/>
  <c r="F17" i="9"/>
  <c r="F86" i="12" s="1"/>
  <c r="C23" i="9"/>
  <c r="B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6" i="13"/>
  <c r="E39" i="13"/>
  <c r="F23" i="13"/>
  <c r="J46" i="9" l="1"/>
  <c r="G46" i="9"/>
  <c r="G44" i="9" s="1"/>
  <c r="I46" i="9"/>
  <c r="K46" i="9"/>
  <c r="H46" i="9"/>
  <c r="D24" i="9"/>
  <c r="D43" i="14" s="1"/>
  <c r="C24" i="9"/>
  <c r="C43" i="14" s="1"/>
  <c r="K43" i="9"/>
  <c r="E24" i="9"/>
  <c r="E43" i="14" s="1"/>
  <c r="H44" i="9" l="1"/>
  <c r="G42" i="9"/>
  <c r="G19" i="9" s="1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G47" i="9" s="1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49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B21" i="13" s="1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C39" i="13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49" i="13"/>
  <c r="F18" i="6"/>
  <c r="F46" i="14" s="1"/>
  <c r="D5" i="8"/>
  <c r="B20" i="8"/>
  <c r="B22" i="13"/>
  <c r="B42" i="13" s="1"/>
  <c r="B30" i="6"/>
  <c r="B16" i="8"/>
  <c r="B31" i="9"/>
  <c r="B32" i="9"/>
  <c r="B34" i="9"/>
  <c r="B28" i="9"/>
  <c r="B36" i="9"/>
  <c r="B30" i="9"/>
  <c r="B37" i="9"/>
  <c r="B35" i="9"/>
  <c r="B38" i="9"/>
  <c r="B42" i="14" s="1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5" i="13"/>
  <c r="E40" i="14"/>
  <c r="E85" i="12"/>
  <c r="F36" i="6"/>
  <c r="D29" i="13"/>
  <c r="D12" i="5"/>
  <c r="C20" i="4"/>
  <c r="E15" i="6"/>
  <c r="E16" i="6" s="1"/>
  <c r="E6" i="13"/>
  <c r="C20" i="8"/>
  <c r="C22" i="13"/>
  <c r="C42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H47" i="9" s="1"/>
  <c r="C5" i="9"/>
  <c r="B14" i="6"/>
  <c r="B15" i="6"/>
  <c r="B16" i="6" s="1"/>
  <c r="B17" i="6"/>
  <c r="C15" i="6"/>
  <c r="C16" i="6" s="1"/>
  <c r="C17" i="6"/>
  <c r="D15" i="6"/>
  <c r="D16" i="6" s="1"/>
  <c r="E29" i="13" l="1"/>
  <c r="E31" i="13" s="1"/>
  <c r="E12" i="5"/>
  <c r="B61" i="13"/>
  <c r="B44" i="14"/>
  <c r="B45" i="14" s="1"/>
  <c r="E70" i="13"/>
  <c r="E71" i="13" s="1"/>
  <c r="F70" i="13"/>
  <c r="F71" i="13" s="1"/>
  <c r="C70" i="13"/>
  <c r="C71" i="13" s="1"/>
  <c r="B70" i="13"/>
  <c r="B71" i="13" s="1"/>
  <c r="D70" i="13"/>
  <c r="D71" i="13" s="1"/>
  <c r="D49" i="13"/>
  <c r="D17" i="8"/>
  <c r="B36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F31" i="13"/>
  <c r="B49" i="13"/>
  <c r="D15" i="8"/>
  <c r="D39" i="13"/>
  <c r="D23" i="13"/>
  <c r="D36" i="13"/>
  <c r="B23" i="13"/>
  <c r="C49" i="13"/>
  <c r="C17" i="8"/>
  <c r="C23" i="13"/>
  <c r="C44" i="14"/>
  <c r="C18" i="6"/>
  <c r="C46" i="14" s="1"/>
  <c r="K44" i="9"/>
  <c r="K42" i="9" s="1"/>
  <c r="K19" i="9" s="1"/>
  <c r="J42" i="9"/>
  <c r="J19" i="9" s="1"/>
  <c r="B29" i="13"/>
  <c r="B12" i="5"/>
  <c r="D44" i="14"/>
  <c r="D18" i="6"/>
  <c r="D46" i="14" s="1"/>
  <c r="B39" i="13"/>
  <c r="K43" i="4"/>
  <c r="K26" i="4"/>
  <c r="C36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I47" i="9" s="1"/>
  <c r="H6" i="9"/>
  <c r="F36" i="4" l="1"/>
  <c r="F55" i="13"/>
  <c r="C55" i="13"/>
  <c r="B55" i="13"/>
  <c r="E55" i="13"/>
  <c r="D55" i="13"/>
  <c r="G7" i="11"/>
  <c r="F48" i="4" s="1"/>
  <c r="C31" i="13"/>
  <c r="D31" i="13"/>
  <c r="G5" i="8"/>
  <c r="G9" i="11"/>
  <c r="F72" i="4" s="1"/>
  <c r="G20" i="10"/>
  <c r="G21" i="10" s="1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J47" i="9" s="1"/>
  <c r="I6" i="9"/>
  <c r="K60" i="4" l="1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K47" i="9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K9" i="6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sharedStrings.xml><?xml version="1.0" encoding="utf-8"?>
<sst xmlns="http://schemas.openxmlformats.org/spreadsheetml/2006/main" count="468" uniqueCount="321">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</sst>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59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9" fontId="0" fillId="5" borderId="1" xfId="2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9" fontId="0" fillId="5" borderId="3" xfId="2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0" fontId="2" fillId="0" borderId="38" xfId="0" applyFon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164" fontId="0" fillId="5" borderId="13" xfId="0" applyNumberFormat="1" applyFill="1" applyBorder="1"/>
    <xf numFmtId="164" fontId="0" fillId="5" borderId="16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9" fontId="0" fillId="2" borderId="45" xfId="2" applyFont="1" applyFill="1" applyBorder="1"/>
    <xf numFmtId="9" fontId="0" fillId="2" borderId="46" xfId="2" applyFont="1" applyFill="1" applyBorder="1"/>
    <xf numFmtId="9" fontId="0" fillId="2" borderId="24" xfId="2" applyFont="1" applyFill="1" applyBorder="1"/>
    <xf numFmtId="9" fontId="0" fillId="2" borderId="47" xfId="2" applyFont="1" applyFill="1" applyBorder="1"/>
    <xf numFmtId="0" fontId="2" fillId="2" borderId="13" xfId="0" applyFont="1" applyFill="1" applyBorder="1"/>
    <xf numFmtId="0" fontId="0" fillId="0" borderId="48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7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43" fontId="0" fillId="7" borderId="10" xfId="1" applyFont="1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2" xfId="0" applyFill="1" applyBorder="1"/>
    <xf numFmtId="0" fontId="0" fillId="0" borderId="50" xfId="0" applyFont="1" applyFill="1" applyBorder="1"/>
    <xf numFmtId="5" fontId="0" fillId="5" borderId="51" xfId="1" applyNumberFormat="1" applyFont="1" applyFill="1" applyBorder="1"/>
    <xf numFmtId="0" fontId="15" fillId="0" borderId="53" xfId="0" applyFont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3" xfId="0" applyBorder="1"/>
    <xf numFmtId="0" fontId="15" fillId="0" borderId="55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2" fillId="10" borderId="54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6" xfId="0" applyNumberFormat="1" applyFont="1" applyFill="1" applyBorder="1"/>
    <xf numFmtId="0" fontId="15" fillId="0" borderId="55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50" xfId="0" applyNumberFormat="1" applyBorder="1"/>
    <xf numFmtId="10" fontId="0" fillId="0" borderId="57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9" xfId="0" applyBorder="1"/>
    <xf numFmtId="0" fontId="0" fillId="0" borderId="32" xfId="0" applyBorder="1"/>
    <xf numFmtId="10" fontId="0" fillId="0" borderId="45" xfId="0" applyNumberFormat="1" applyBorder="1"/>
    <xf numFmtId="10" fontId="0" fillId="0" borderId="47" xfId="0" applyNumberFormat="1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9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7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DELNICE'!$C$13:$G$13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DELNICE'!$C$14:$G$14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DELNICE'!$C$13:$G$13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DELNICE'!$C$14:$G$14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120859.93812502398</c:v>
                </c:pt>
                <c:pt idx="6">
                  <c:v>131420.51524274453</c:v>
                </c:pt>
                <c:pt idx="7">
                  <c:v>142903.861234829</c:v>
                </c:pt>
                <c:pt idx="8">
                  <c:v>155390.60639127038</c:v>
                </c:pt>
                <c:pt idx="9">
                  <c:v>168968.42636720664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37202109.690460496</c:v>
                      </c:pt>
                      <c:pt idx="6">
                        <c:v>40424353.992318377</c:v>
                      </c:pt>
                      <c:pt idx="7">
                        <c:v>43925691.561392717</c:v>
                      </c:pt>
                      <c:pt idx="8">
                        <c:v>47730295.937771909</c:v>
                      </c:pt>
                      <c:pt idx="9">
                        <c:v>51864434.442043714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1302.95</c:v>
                      </c:pt>
                      <c:pt idx="6">
                        <c:v>1342.0385000000001</c:v>
                      </c:pt>
                      <c:pt idx="7">
                        <c:v>1382.2996550000003</c:v>
                      </c:pt>
                      <c:pt idx="8">
                        <c:v>1423.7686446500004</c:v>
                      </c:pt>
                      <c:pt idx="9">
                        <c:v>1466.4817039895004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</c:v>
                      </c:pt>
                      <c:pt idx="6">
                        <c:v>1.03</c:v>
                      </c:pt>
                      <c:pt idx="7">
                        <c:v>1.03</c:v>
                      </c:pt>
                      <c:pt idx="8">
                        <c:v>1.03</c:v>
                      </c:pt>
                      <c:pt idx="9">
                        <c:v>1.03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10190.756758657404</c:v>
                      </c:pt>
                      <c:pt idx="6">
                        <c:v>9409.2804264812203</c:v>
                      </c:pt>
                      <c:pt idx="7">
                        <c:v>11173.206190149493</c:v>
                      </c:pt>
                      <c:pt idx="8">
                        <c:v>11713.463822363263</c:v>
                      </c:pt>
                      <c:pt idx="9">
                        <c:v>13905.84590465691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X'!$A$54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X'!$B$55:$F$55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X'!$A$57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X'!$B$53:$F$53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X'!$A$35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X'!$B$34:$F$34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X'!$B$36:$F$36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X'!$A$38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X'!$B$39:$F$39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X'!$A$41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X'!$B$42:$F$42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X'!$A$71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X'!$B$68:$F$68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X'!$B$71:$F$71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X'!$B$58:$F$58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17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32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33</xdr:row>
      <xdr:rowOff>160020</xdr:rowOff>
    </xdr:from>
    <xdr:to>
      <xdr:col>16</xdr:col>
      <xdr:colOff>64770</xdr:colOff>
      <xdr:row>52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34</xdr:row>
      <xdr:rowOff>0</xdr:rowOff>
    </xdr:from>
    <xdr:to>
      <xdr:col>25</xdr:col>
      <xdr:colOff>15240</xdr:colOff>
      <xdr:row>53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32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54</xdr:row>
      <xdr:rowOff>53340</xdr:rowOff>
    </xdr:from>
    <xdr:to>
      <xdr:col>15</xdr:col>
      <xdr:colOff>388620</xdr:colOff>
      <xdr:row>69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54</xdr:row>
      <xdr:rowOff>76200</xdr:rowOff>
    </xdr:from>
    <xdr:to>
      <xdr:col>23</xdr:col>
      <xdr:colOff>403860</xdr:colOff>
      <xdr:row>69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69</xdr:row>
      <xdr:rowOff>129540</xdr:rowOff>
    </xdr:from>
    <xdr:to>
      <xdr:col>15</xdr:col>
      <xdr:colOff>312420</xdr:colOff>
      <xdr:row>84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3"/>
      <c r="B2" t="s">
        <v>21</v>
      </c>
    </row>
    <row r="3" spans="1:2" x14ac:dyDescent="0.3">
      <c r="A3" s="14"/>
      <c r="B3" t="s">
        <v>22</v>
      </c>
    </row>
    <row r="4" spans="1:2" x14ac:dyDescent="0.3">
      <c r="A4" s="15"/>
      <c r="B4" t="s">
        <v>23</v>
      </c>
    </row>
    <row r="5" spans="1:2" x14ac:dyDescent="0.3">
      <c r="A5" s="17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G10" sqref="G10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3" customFormat="1" x14ac:dyDescent="0.3">
      <c r="A1" s="61" t="s">
        <v>33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50" t="s">
        <v>234</v>
      </c>
      <c r="B2" s="7">
        <v>38833</v>
      </c>
      <c r="C2" s="7">
        <v>0</v>
      </c>
      <c r="D2" s="7">
        <v>232554</v>
      </c>
      <c r="E2" s="7">
        <v>0</v>
      </c>
      <c r="F2" s="24">
        <v>0</v>
      </c>
      <c r="G2" s="35">
        <f>G9*'PRIHODKI IN STROŠKI'!G$6</f>
        <v>0</v>
      </c>
      <c r="H2" s="35">
        <f>H9*'PRIHODKI IN STROŠKI'!H$6</f>
        <v>0</v>
      </c>
      <c r="I2" s="35">
        <f>I9*'PRIHODKI IN STROŠKI'!I$6</f>
        <v>0</v>
      </c>
      <c r="J2" s="35">
        <f>J9*'PRIHODKI IN STROŠKI'!J$6</f>
        <v>0</v>
      </c>
      <c r="K2" s="287">
        <f>K9*'PRIHODKI IN STROŠKI'!K$6</f>
        <v>0</v>
      </c>
    </row>
    <row r="3" spans="1:11" s="3" customFormat="1" x14ac:dyDescent="0.3">
      <c r="A3" s="50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4">
        <v>16697295</v>
      </c>
      <c r="G3" s="35">
        <f>G10*'PRIHODKI IN STROŠKI'!G$6</f>
        <v>13216163.1984</v>
      </c>
      <c r="H3" s="35">
        <f>H10*'PRIHODKI IN STROŠKI'!H$6</f>
        <v>14777374.514688</v>
      </c>
      <c r="I3" s="35">
        <f>I10*'PRIHODKI IN STROŠKI'!I$6</f>
        <v>14458458.811587844</v>
      </c>
      <c r="J3" s="35">
        <f>J10*'PRIHODKI IN STROŠKI'!J$6</f>
        <v>16168236.199147476</v>
      </c>
      <c r="K3" s="287">
        <f>K10*'PRIHODKI IN STROŠKI'!K$6</f>
        <v>18081167.859627787</v>
      </c>
    </row>
    <row r="4" spans="1:11" s="3" customFormat="1" x14ac:dyDescent="0.3">
      <c r="A4" s="50" t="s">
        <v>236</v>
      </c>
      <c r="B4" s="7">
        <v>0</v>
      </c>
      <c r="C4" s="7">
        <v>29300</v>
      </c>
      <c r="D4" s="7">
        <v>0</v>
      </c>
      <c r="E4" s="7">
        <v>199247</v>
      </c>
      <c r="F4" s="24">
        <v>80067</v>
      </c>
      <c r="G4" s="35">
        <f>G11*'PRIHODKI IN STROŠKI'!G$6</f>
        <v>0</v>
      </c>
      <c r="H4" s="35">
        <f>H11*'PRIHODKI IN STROŠKI'!H$6</f>
        <v>0</v>
      </c>
      <c r="I4" s="35">
        <f>I11*'PRIHODKI IN STROŠKI'!I$6</f>
        <v>0</v>
      </c>
      <c r="J4" s="35">
        <f>J11*'PRIHODKI IN STROŠKI'!J$6</f>
        <v>0</v>
      </c>
      <c r="K4" s="287">
        <f>K11*'PRIHODKI IN STROŠKI'!K$6</f>
        <v>0</v>
      </c>
    </row>
    <row r="5" spans="1:11" s="53" customFormat="1" ht="15" thickBot="1" x14ac:dyDescent="0.35">
      <c r="A5" s="65" t="s">
        <v>37</v>
      </c>
      <c r="B5" s="66">
        <f>B2+B3-B4</f>
        <v>2786552</v>
      </c>
      <c r="C5" s="66">
        <f t="shared" ref="C5:K5" si="0">C2+C3-C4</f>
        <v>5944315</v>
      </c>
      <c r="D5" s="66">
        <f t="shared" si="0"/>
        <v>11102237</v>
      </c>
      <c r="E5" s="66">
        <f t="shared" si="0"/>
        <v>24382154</v>
      </c>
      <c r="F5" s="66">
        <f t="shared" si="0"/>
        <v>16617228</v>
      </c>
      <c r="G5" s="66">
        <f t="shared" si="0"/>
        <v>13216163.1984</v>
      </c>
      <c r="H5" s="66">
        <f t="shared" si="0"/>
        <v>14777374.514688</v>
      </c>
      <c r="I5" s="66">
        <f t="shared" si="0"/>
        <v>14458458.811587844</v>
      </c>
      <c r="J5" s="66">
        <f t="shared" si="0"/>
        <v>16168236.199147476</v>
      </c>
      <c r="K5" s="66">
        <f t="shared" si="0"/>
        <v>18081167.859627787</v>
      </c>
    </row>
    <row r="6" spans="1:11" x14ac:dyDescent="0.3">
      <c r="A6" s="137"/>
      <c r="B6" s="288"/>
      <c r="C6" s="288"/>
      <c r="D6" s="288"/>
      <c r="E6" s="288"/>
      <c r="F6" s="407"/>
    </row>
    <row r="7" spans="1:11" ht="15" thickBot="1" x14ac:dyDescent="0.35">
      <c r="A7" s="137"/>
      <c r="B7" s="137"/>
      <c r="C7" s="137"/>
      <c r="D7" s="137"/>
      <c r="E7" s="137"/>
      <c r="F7" s="29"/>
    </row>
    <row r="8" spans="1:11" s="33" customFormat="1" x14ac:dyDescent="0.3">
      <c r="A8" s="193" t="s">
        <v>38</v>
      </c>
      <c r="B8" s="62">
        <v>2013</v>
      </c>
      <c r="C8" s="62">
        <v>2014</v>
      </c>
      <c r="D8" s="62">
        <v>2015</v>
      </c>
      <c r="E8" s="62">
        <v>2016</v>
      </c>
      <c r="F8" s="304">
        <v>2017</v>
      </c>
      <c r="G8" s="63">
        <v>2018</v>
      </c>
      <c r="H8" s="62">
        <v>2019</v>
      </c>
      <c r="I8" s="62">
        <v>2020</v>
      </c>
      <c r="J8" s="62">
        <v>2021</v>
      </c>
      <c r="K8" s="64">
        <v>2022</v>
      </c>
    </row>
    <row r="9" spans="1:11" x14ac:dyDescent="0.3">
      <c r="A9" s="344" t="s">
        <v>34</v>
      </c>
      <c r="B9" s="16">
        <f>B2/'PRIHODKI IN STROŠKI'!B$6</f>
        <v>4.4699892132287188E-4</v>
      </c>
      <c r="C9" s="16">
        <f>C2/'PRIHODKI IN STROŠKI'!C$6</f>
        <v>0</v>
      </c>
      <c r="D9" s="16">
        <f>D2/'PRIHODKI IN STROŠKI'!D$6</f>
        <v>2.0774701606537977E-3</v>
      </c>
      <c r="E9" s="16">
        <f>E2/'PRIHODKI IN STROŠKI'!E$6</f>
        <v>0</v>
      </c>
      <c r="F9" s="32">
        <f>F2/'PRIHODKI IN STROŠKI'!F$6</f>
        <v>0</v>
      </c>
      <c r="G9" s="38">
        <v>0</v>
      </c>
      <c r="H9" s="39">
        <v>0</v>
      </c>
      <c r="I9" s="39">
        <v>0</v>
      </c>
      <c r="J9" s="39">
        <v>0</v>
      </c>
      <c r="K9" s="345">
        <v>0</v>
      </c>
    </row>
    <row r="10" spans="1:11" x14ac:dyDescent="0.3">
      <c r="A10" s="344" t="s">
        <v>35</v>
      </c>
      <c r="B10" s="16">
        <f>B3/'PRIHODKI IN STROŠKI'!B$6</f>
        <v>3.1628445628675617E-2</v>
      </c>
      <c r="C10" s="16">
        <f>C3/'PRIHODKI IN STROŠKI'!C$6</f>
        <v>6.2210642377527818E-2</v>
      </c>
      <c r="D10" s="16">
        <f>D3/'PRIHODKI IN STROŠKI'!D$6</f>
        <v>9.7101929393886371E-2</v>
      </c>
      <c r="E10" s="16">
        <f>E3/'PRIHODKI IN STROŠKI'!E$6</f>
        <v>0.19261251947788871</v>
      </c>
      <c r="F10" s="32">
        <f>F3/'PRIHODKI IN STROŠKI'!F$6</f>
        <v>0.11396452232502137</v>
      </c>
      <c r="G10" s="23">
        <f>INVESTICIJE!G19</f>
        <v>0.08</v>
      </c>
      <c r="H10" s="23">
        <f>INVESTICIJE!H19</f>
        <v>0.08</v>
      </c>
      <c r="I10" s="23">
        <f>INVESTICIJE!I19</f>
        <v>7.0000000000000007E-2</v>
      </c>
      <c r="J10" s="23">
        <f>INVESTICIJE!J19</f>
        <v>7.0000000000000007E-2</v>
      </c>
      <c r="K10" s="346">
        <f>INVESTICIJE!K19</f>
        <v>7.0000000000000007E-2</v>
      </c>
    </row>
    <row r="11" spans="1:11" x14ac:dyDescent="0.3">
      <c r="A11" s="344" t="s">
        <v>36</v>
      </c>
      <c r="B11" s="16">
        <f>B4/'PRIHODKI IN STROŠKI'!B$6</f>
        <v>0</v>
      </c>
      <c r="C11" s="16">
        <f>C4/'PRIHODKI IN STROŠKI'!C$6</f>
        <v>3.0513714420188863E-4</v>
      </c>
      <c r="D11" s="16">
        <f>D4/'PRIHODKI IN STROŠKI'!D$6</f>
        <v>0</v>
      </c>
      <c r="E11" s="16">
        <f>E4/'PRIHODKI IN STROŠKI'!E$6</f>
        <v>1.5612400069634311E-3</v>
      </c>
      <c r="F11" s="32">
        <f>F4/'PRIHODKI IN STROŠKI'!F$6</f>
        <v>5.4648357168017255E-4</v>
      </c>
      <c r="G11" s="67">
        <v>0</v>
      </c>
      <c r="H11" s="68">
        <v>0</v>
      </c>
      <c r="I11" s="68">
        <v>0</v>
      </c>
      <c r="J11" s="68">
        <v>0</v>
      </c>
      <c r="K11" s="347">
        <v>0</v>
      </c>
    </row>
    <row r="12" spans="1:11" ht="15" thickBot="1" x14ac:dyDescent="0.35">
      <c r="A12" s="348" t="s">
        <v>37</v>
      </c>
      <c r="B12" s="349">
        <f>B5/'PRIHODKI IN STROŠKI'!B$6</f>
        <v>3.2075444549998486E-2</v>
      </c>
      <c r="C12" s="349">
        <f>C5/'PRIHODKI IN STROŠKI'!C$6</f>
        <v>6.1905505233325928E-2</v>
      </c>
      <c r="D12" s="349">
        <f>D5/'PRIHODKI IN STROŠKI'!D$6</f>
        <v>9.9179399554540165E-2</v>
      </c>
      <c r="E12" s="349">
        <f>E5/'PRIHODKI IN STROŠKI'!E$6</f>
        <v>0.19105127947092529</v>
      </c>
      <c r="F12" s="350">
        <f>F5/'PRIHODKI IN STROŠKI'!F$6</f>
        <v>0.11341803875334121</v>
      </c>
      <c r="G12" s="351">
        <f>G5/'PRIHODKI IN STROŠKI'!G$6</f>
        <v>0.08</v>
      </c>
      <c r="H12" s="351">
        <f>H5/'PRIHODKI IN STROŠKI'!H$6</f>
        <v>0.08</v>
      </c>
      <c r="I12" s="351">
        <f>I5/'PRIHODKI IN STROŠKI'!I$6</f>
        <v>7.0000000000000007E-2</v>
      </c>
      <c r="J12" s="351">
        <f>J5/'PRIHODKI IN STROŠKI'!J$6</f>
        <v>7.0000000000000007E-2</v>
      </c>
      <c r="K12" s="352">
        <f>K5/'PRIHODKI IN STROŠKI'!K$6</f>
        <v>7.0000000000000007E-2</v>
      </c>
    </row>
    <row r="13" spans="1:11" x14ac:dyDescent="0.3">
      <c r="F13" s="29"/>
    </row>
    <row r="14" spans="1:11" x14ac:dyDescent="0.3">
      <c r="F14" s="29"/>
    </row>
    <row r="15" spans="1:11" x14ac:dyDescent="0.3">
      <c r="E15" s="137"/>
      <c r="F15" s="29"/>
    </row>
    <row r="16" spans="1:11" x14ac:dyDescent="0.3">
      <c r="F16" s="29"/>
    </row>
    <row r="17" spans="1:11" x14ac:dyDescent="0.3">
      <c r="F17" s="29"/>
    </row>
    <row r="18" spans="1:11" ht="15" thickBot="1" x14ac:dyDescent="0.35">
      <c r="F18" s="29"/>
      <c r="G18" s="461"/>
    </row>
    <row r="19" spans="1:11" s="33" customFormat="1" x14ac:dyDescent="0.3">
      <c r="A19" s="193" t="s">
        <v>40</v>
      </c>
      <c r="B19" s="62">
        <v>2013</v>
      </c>
      <c r="C19" s="62">
        <v>2014</v>
      </c>
      <c r="D19" s="62">
        <v>2015</v>
      </c>
      <c r="E19" s="62">
        <v>2016</v>
      </c>
      <c r="F19" s="304">
        <v>2017</v>
      </c>
      <c r="G19" s="63">
        <v>2018</v>
      </c>
      <c r="H19" s="62">
        <v>2019</v>
      </c>
      <c r="I19" s="62">
        <v>2020</v>
      </c>
      <c r="J19" s="62">
        <v>2021</v>
      </c>
      <c r="K19" s="64">
        <v>2022</v>
      </c>
    </row>
    <row r="20" spans="1:11" s="3" customFormat="1" x14ac:dyDescent="0.3">
      <c r="A20" s="50" t="s">
        <v>39</v>
      </c>
      <c r="B20" s="36">
        <f>AKTIVA!B7+AKTIVA!B9+AKTIVA!B10-PASIVA!B7</f>
        <v>16327961</v>
      </c>
      <c r="C20" s="36">
        <f>AKTIVA!C7+AKTIVA!C9+AKTIVA!C10-PASIVA!C7</f>
        <v>20013329</v>
      </c>
      <c r="D20" s="36">
        <f>AKTIVA!D7+AKTIVA!D9+AKTIVA!D10-PASIVA!D7</f>
        <v>19772097</v>
      </c>
      <c r="E20" s="36">
        <f>AKTIVA!E7+AKTIVA!E9+AKTIVA!E10-PASIVA!E7</f>
        <v>19711480</v>
      </c>
      <c r="F20" s="36">
        <f>AKTIVA!F7+AKTIVA!F9+AKTIVA!F10-PASIVA!F7</f>
        <v>22845703</v>
      </c>
      <c r="G20" s="36">
        <f>AKTIVA!G7+AKTIVA!G9+AKTIVA!G10-PASIVA!G7</f>
        <v>24780305.997000005</v>
      </c>
      <c r="H20" s="36">
        <f>AKTIVA!H7+AKTIVA!H9+AKTIVA!H10-PASIVA!H7</f>
        <v>22166061.772032011</v>
      </c>
      <c r="I20" s="36">
        <f>AKTIVA!I7+AKTIVA!I9+AKTIVA!I10-PASIVA!I7</f>
        <v>26851423.507234558</v>
      </c>
      <c r="J20" s="36">
        <f>AKTIVA!J7+AKTIVA!J9+AKTIVA!J10-PASIVA!J7</f>
        <v>30026724.369845308</v>
      </c>
      <c r="K20" s="71">
        <f>AKTIVA!K7+AKTIVA!K9+AKTIVA!K10-PASIVA!K7</f>
        <v>30996287.759361923</v>
      </c>
    </row>
    <row r="21" spans="1:11" ht="15" thickBot="1" x14ac:dyDescent="0.35">
      <c r="A21" s="57" t="s">
        <v>41</v>
      </c>
      <c r="B21" s="435">
        <f>B20/'PRIHODKI IN STROŠKI'!B$6</f>
        <v>0.18794790395802333</v>
      </c>
      <c r="C21" s="435">
        <f>C20/'PRIHODKI IN STROŠKI'!C$6</f>
        <v>0.20842355143456792</v>
      </c>
      <c r="D21" s="435">
        <f>D20/'PRIHODKI IN STROŠKI'!D$6</f>
        <v>0.17662969259205374</v>
      </c>
      <c r="E21" s="435">
        <f>E20/'PRIHODKI IN STROŠKI'!E$6</f>
        <v>0.15445327243300794</v>
      </c>
      <c r="F21" s="436">
        <f>F20/'PRIHODKI IN STROŠKI'!F$6</f>
        <v>0.15592942626780612</v>
      </c>
      <c r="G21" s="437">
        <f>G20/'PRIHODKI IN STROŠKI'!G$6</f>
        <v>0.15000000000000005</v>
      </c>
      <c r="H21" s="435">
        <f>H20/'PRIHODKI IN STROŠKI'!H$6</f>
        <v>0.12000000000000005</v>
      </c>
      <c r="I21" s="435">
        <f>I20/'PRIHODKI IN STROŠKI'!I$6</f>
        <v>0.12999999999999998</v>
      </c>
      <c r="J21" s="435">
        <f>J20/'PRIHODKI IN STROŠKI'!J$6</f>
        <v>0.13</v>
      </c>
      <c r="K21" s="438">
        <f>K20/'PRIHODKI IN STROŠKI'!K$6</f>
        <v>0.12000000000000001</v>
      </c>
    </row>
    <row r="22" spans="1:11" s="6" customFormat="1" ht="15" thickBot="1" x14ac:dyDescent="0.35">
      <c r="A22" s="285" t="s">
        <v>224</v>
      </c>
      <c r="B22" s="439"/>
      <c r="C22" s="361">
        <f>C20-B20</f>
        <v>3685368</v>
      </c>
      <c r="D22" s="361">
        <f t="shared" ref="D22:K22" si="1">D20-C20</f>
        <v>-241232</v>
      </c>
      <c r="E22" s="361">
        <f t="shared" si="1"/>
        <v>-60617</v>
      </c>
      <c r="F22" s="361">
        <f t="shared" si="1"/>
        <v>3134223</v>
      </c>
      <c r="G22" s="361">
        <f t="shared" si="1"/>
        <v>1934602.9970000051</v>
      </c>
      <c r="H22" s="361">
        <f t="shared" si="1"/>
        <v>-2614244.2249679938</v>
      </c>
      <c r="I22" s="361">
        <f t="shared" si="1"/>
        <v>4685361.7352025472</v>
      </c>
      <c r="J22" s="361">
        <f t="shared" si="1"/>
        <v>3175300.8626107499</v>
      </c>
      <c r="K22" s="362">
        <f t="shared" si="1"/>
        <v>969563.38951661438</v>
      </c>
    </row>
    <row r="23" spans="1:11" x14ac:dyDescent="0.3">
      <c r="F23" s="29"/>
    </row>
    <row r="24" spans="1:11" x14ac:dyDescent="0.3">
      <c r="F24" s="29"/>
    </row>
    <row r="25" spans="1:11" x14ac:dyDescent="0.3">
      <c r="B25" s="43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workbookViewId="0">
      <selection activeCell="G2" sqref="G2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3" customFormat="1" x14ac:dyDescent="0.3">
      <c r="A1" s="61" t="s">
        <v>45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s="118" t="s">
        <v>46</v>
      </c>
    </row>
    <row r="2" spans="1:12" s="4" customFormat="1" x14ac:dyDescent="0.3">
      <c r="A2" s="250" t="s">
        <v>42</v>
      </c>
      <c r="B2" s="41">
        <f>B4</f>
        <v>146030</v>
      </c>
      <c r="C2" s="41">
        <f>C4</f>
        <v>128464</v>
      </c>
      <c r="D2" s="41">
        <f>D4</f>
        <v>460181</v>
      </c>
      <c r="E2" s="41">
        <f>E4</f>
        <v>30645</v>
      </c>
      <c r="F2" s="45">
        <f>F4</f>
        <v>125857</v>
      </c>
      <c r="G2" s="40">
        <f>G16*'PRIHODKI IN STROŠKI'!G$6</f>
        <v>214762.65197399998</v>
      </c>
      <c r="H2" s="41">
        <f>H16*'PRIHODKI IN STROŠKI'!H$6</f>
        <v>240132.33586368</v>
      </c>
      <c r="I2" s="41">
        <f>I16*'PRIHODKI IN STROŠKI'!I$6</f>
        <v>268514.23507234565</v>
      </c>
      <c r="J2" s="41">
        <f>J16*'PRIHODKI IN STROŠKI'!J$6</f>
        <v>300267.24369845307</v>
      </c>
      <c r="K2" s="106">
        <f>K16*'PRIHODKI IN STROŠKI'!K$6</f>
        <v>335793.11739308748</v>
      </c>
    </row>
    <row r="3" spans="1:12" s="3" customFormat="1" x14ac:dyDescent="0.3">
      <c r="A3" s="50" t="s">
        <v>43</v>
      </c>
      <c r="B3" s="2"/>
      <c r="C3" s="2"/>
      <c r="D3" s="2"/>
      <c r="E3" s="2"/>
      <c r="F3" s="51"/>
      <c r="G3" s="22"/>
      <c r="H3" s="2"/>
      <c r="I3" s="2"/>
      <c r="J3" s="2"/>
      <c r="K3" s="52"/>
    </row>
    <row r="4" spans="1:12" s="75" customFormat="1" x14ac:dyDescent="0.3">
      <c r="A4" s="301" t="s">
        <v>47</v>
      </c>
      <c r="B4" s="97">
        <v>146030</v>
      </c>
      <c r="C4" s="97">
        <v>128464</v>
      </c>
      <c r="D4" s="97">
        <v>460181</v>
      </c>
      <c r="E4" s="97">
        <v>30645</v>
      </c>
      <c r="F4" s="148">
        <v>125857</v>
      </c>
      <c r="G4" s="269">
        <f>G2</f>
        <v>214762.65197399998</v>
      </c>
      <c r="H4" s="119">
        <f>H2</f>
        <v>240132.33586368</v>
      </c>
      <c r="I4" s="119">
        <f>I2</f>
        <v>268514.23507234565</v>
      </c>
      <c r="J4" s="119">
        <f>J2</f>
        <v>300267.24369845307</v>
      </c>
      <c r="K4" s="337">
        <f>K2</f>
        <v>335793.11739308748</v>
      </c>
    </row>
    <row r="5" spans="1:12" s="4" customFormat="1" x14ac:dyDescent="0.3">
      <c r="A5" s="250" t="s">
        <v>44</v>
      </c>
      <c r="B5" s="41">
        <f>B7+B8+B9</f>
        <v>1208645</v>
      </c>
      <c r="C5" s="41">
        <f>C7+C8+C9</f>
        <v>3838174</v>
      </c>
      <c r="D5" s="41">
        <f>D7+D8+D9</f>
        <v>8524069</v>
      </c>
      <c r="E5" s="41">
        <f>E7+E8+E9</f>
        <v>20961802</v>
      </c>
      <c r="F5" s="45">
        <f>F7+F8+F9</f>
        <v>16054474</v>
      </c>
      <c r="G5" s="40">
        <f>G19*'PRIHODKI IN STROŠKI'!G$6</f>
        <v>13216163.1984</v>
      </c>
      <c r="H5" s="41">
        <f>H19*'PRIHODKI IN STROŠKI'!H$6</f>
        <v>14777374.514688</v>
      </c>
      <c r="I5" s="41">
        <f>I19*'PRIHODKI IN STROŠKI'!I$6</f>
        <v>14458458.811587844</v>
      </c>
      <c r="J5" s="41">
        <f>J19*'PRIHODKI IN STROŠKI'!J$6</f>
        <v>16168236.199147476</v>
      </c>
      <c r="K5" s="106">
        <f>K19*'PRIHODKI IN STROŠKI'!K$6</f>
        <v>18081167.859627787</v>
      </c>
    </row>
    <row r="6" spans="1:12" s="3" customFormat="1" x14ac:dyDescent="0.3">
      <c r="A6" s="50" t="s">
        <v>43</v>
      </c>
      <c r="B6" s="2"/>
      <c r="C6" s="2"/>
      <c r="D6" s="2"/>
      <c r="E6" s="2"/>
      <c r="F6" s="51"/>
      <c r="G6" s="22"/>
      <c r="H6" s="2"/>
      <c r="I6" s="2"/>
      <c r="J6" s="2"/>
      <c r="K6" s="52"/>
    </row>
    <row r="7" spans="1:12" s="75" customFormat="1" x14ac:dyDescent="0.3">
      <c r="A7" s="301" t="s">
        <v>48</v>
      </c>
      <c r="B7" s="97">
        <v>166123</v>
      </c>
      <c r="C7" s="97">
        <v>1015251</v>
      </c>
      <c r="D7" s="97">
        <v>1758500</v>
      </c>
      <c r="E7" s="97">
        <v>8312984</v>
      </c>
      <c r="F7" s="148">
        <v>4082310</v>
      </c>
      <c r="G7" s="269">
        <f>G21*G5</f>
        <v>3436202.4315840001</v>
      </c>
      <c r="H7" s="119">
        <f>H21*H5</f>
        <v>3842117.3738188799</v>
      </c>
      <c r="I7" s="119">
        <f>I21*I5</f>
        <v>3759199.2910128394</v>
      </c>
      <c r="J7" s="119">
        <f>J21*J5</f>
        <v>4203741.4117783438</v>
      </c>
      <c r="K7" s="337">
        <f>K21*K5</f>
        <v>4701103.6435032245</v>
      </c>
    </row>
    <row r="8" spans="1:12" s="75" customFormat="1" x14ac:dyDescent="0.3">
      <c r="A8" s="301" t="s">
        <v>49</v>
      </c>
      <c r="B8" s="97">
        <v>410054</v>
      </c>
      <c r="C8" s="97">
        <v>1822419</v>
      </c>
      <c r="D8" s="97">
        <v>5117011</v>
      </c>
      <c r="E8" s="97">
        <v>9931729</v>
      </c>
      <c r="F8" s="148">
        <v>8598383</v>
      </c>
      <c r="G8" s="269">
        <f>G22*G5</f>
        <v>6475919.967216</v>
      </c>
      <c r="H8" s="119">
        <f>H22*H5</f>
        <v>7240913.5121971201</v>
      </c>
      <c r="I8" s="119">
        <f>I22*I5</f>
        <v>7084644.8176780436</v>
      </c>
      <c r="J8" s="119">
        <f>J22*J5</f>
        <v>7922435.7375822626</v>
      </c>
      <c r="K8" s="337">
        <f>K22*K5</f>
        <v>8859772.2512176149</v>
      </c>
    </row>
    <row r="9" spans="1:12" s="75" customFormat="1" x14ac:dyDescent="0.3">
      <c r="A9" s="301" t="s">
        <v>50</v>
      </c>
      <c r="B9" s="97">
        <v>632468</v>
      </c>
      <c r="C9" s="97">
        <v>1000504</v>
      </c>
      <c r="D9" s="97">
        <v>1648558</v>
      </c>
      <c r="E9" s="97">
        <v>2717089</v>
      </c>
      <c r="F9" s="148">
        <v>3373781</v>
      </c>
      <c r="G9" s="269">
        <f>G23*G5</f>
        <v>3304040.7996</v>
      </c>
      <c r="H9" s="119">
        <f>H23*H5</f>
        <v>3694343.628672</v>
      </c>
      <c r="I9" s="119">
        <f>I23*I5</f>
        <v>3614614.702896961</v>
      </c>
      <c r="J9" s="119">
        <f>J23*J5</f>
        <v>4042059.049786869</v>
      </c>
      <c r="K9" s="337">
        <f>K23*K5</f>
        <v>4520291.9649069468</v>
      </c>
    </row>
    <row r="10" spans="1:12" s="75" customFormat="1" ht="15" thickBot="1" x14ac:dyDescent="0.35">
      <c r="A10" s="338" t="s">
        <v>51</v>
      </c>
      <c r="B10" s="339">
        <f t="shared" ref="B10:F10" si="0">B5+B2</f>
        <v>1354675</v>
      </c>
      <c r="C10" s="339">
        <f t="shared" si="0"/>
        <v>3966638</v>
      </c>
      <c r="D10" s="339">
        <f t="shared" si="0"/>
        <v>8984250</v>
      </c>
      <c r="E10" s="339">
        <f t="shared" si="0"/>
        <v>20992447</v>
      </c>
      <c r="F10" s="340">
        <f t="shared" si="0"/>
        <v>16180331</v>
      </c>
      <c r="G10" s="339">
        <f>G5+G2</f>
        <v>13430925.850374</v>
      </c>
      <c r="H10" s="341">
        <f>H5+H2</f>
        <v>15017506.85055168</v>
      </c>
      <c r="I10" s="341">
        <f>I5+I2</f>
        <v>14726973.04666019</v>
      </c>
      <c r="J10" s="341">
        <f>J5+J2</f>
        <v>16468503.442845929</v>
      </c>
      <c r="K10" s="342">
        <f>K5+K2</f>
        <v>18416960.977020875</v>
      </c>
    </row>
    <row r="11" spans="1:12" s="75" customFormat="1" x14ac:dyDescent="0.3">
      <c r="A11" s="135"/>
      <c r="B11" s="101"/>
      <c r="C11" s="101"/>
      <c r="D11" s="101"/>
      <c r="E11" s="101"/>
      <c r="F11" s="270"/>
      <c r="G11" s="268"/>
      <c r="H11" s="268"/>
      <c r="I11" s="268"/>
      <c r="J11" s="268"/>
      <c r="K11" s="268"/>
    </row>
    <row r="12" spans="1:12" s="77" customFormat="1" x14ac:dyDescent="0.3">
      <c r="A12" s="136"/>
      <c r="B12" s="136"/>
      <c r="C12" s="136"/>
      <c r="D12" s="136"/>
      <c r="E12" s="136"/>
      <c r="F12" s="271"/>
      <c r="G12" s="136"/>
      <c r="H12" s="136"/>
      <c r="I12" s="136"/>
      <c r="J12" s="136"/>
      <c r="K12" s="136"/>
    </row>
    <row r="13" spans="1:12" x14ac:dyDescent="0.3">
      <c r="A13" s="137"/>
      <c r="B13" s="137"/>
      <c r="C13" s="137"/>
      <c r="D13" s="137"/>
      <c r="E13" s="137"/>
      <c r="F13" s="29"/>
      <c r="G13" s="137"/>
      <c r="H13" s="137"/>
      <c r="I13" s="137"/>
      <c r="J13" s="137"/>
      <c r="K13" s="137"/>
    </row>
    <row r="14" spans="1:12" ht="15" thickBot="1" x14ac:dyDescent="0.35">
      <c r="A14" s="137"/>
      <c r="B14" s="137"/>
      <c r="C14" s="137"/>
      <c r="D14" s="137"/>
      <c r="E14" s="137"/>
      <c r="F14" s="29"/>
      <c r="G14" s="137"/>
      <c r="H14" s="137"/>
      <c r="I14" s="137"/>
      <c r="J14" s="137"/>
      <c r="K14" s="137"/>
    </row>
    <row r="15" spans="1:12" s="33" customFormat="1" x14ac:dyDescent="0.3">
      <c r="A15" s="193" t="s">
        <v>53</v>
      </c>
      <c r="B15" s="62">
        <v>2013</v>
      </c>
      <c r="C15" s="62">
        <v>2014</v>
      </c>
      <c r="D15" s="62">
        <v>2015</v>
      </c>
      <c r="E15" s="62">
        <v>2016</v>
      </c>
      <c r="F15" s="304">
        <v>2017</v>
      </c>
      <c r="G15" s="63">
        <v>2018</v>
      </c>
      <c r="H15" s="62">
        <v>2019</v>
      </c>
      <c r="I15" s="62">
        <v>2020</v>
      </c>
      <c r="J15" s="62">
        <v>2021</v>
      </c>
      <c r="K15" s="64">
        <v>2022</v>
      </c>
    </row>
    <row r="16" spans="1:12" s="79" customFormat="1" x14ac:dyDescent="0.3">
      <c r="A16" s="317" t="s">
        <v>42</v>
      </c>
      <c r="B16" s="120">
        <f>B2/'PRIHODKI IN STROŠKI'!B$6</f>
        <v>1.6809222177214991E-3</v>
      </c>
      <c r="C16" s="120">
        <f>C2/'PRIHODKI IN STROŠKI'!C$6</f>
        <v>1.3378545424147243E-3</v>
      </c>
      <c r="D16" s="120">
        <f>D2/'PRIHODKI IN STROŠKI'!D$6</f>
        <v>4.1109260472828903E-3</v>
      </c>
      <c r="E16" s="120">
        <f>E2/'PRIHODKI IN STROŠKI'!E$6</f>
        <v>2.4012507095913288E-4</v>
      </c>
      <c r="F16" s="272">
        <f>F2/'PRIHODKI IN STROŠKI'!F$6</f>
        <v>8.5901536064735126E-4</v>
      </c>
      <c r="G16" s="126">
        <f>0.13%</f>
        <v>1.2999999999999999E-3</v>
      </c>
      <c r="H16" s="126">
        <f t="shared" ref="H16:K16" si="1">0.13%</f>
        <v>1.2999999999999999E-3</v>
      </c>
      <c r="I16" s="126">
        <f t="shared" si="1"/>
        <v>1.2999999999999999E-3</v>
      </c>
      <c r="J16" s="126">
        <f t="shared" si="1"/>
        <v>1.2999999999999999E-3</v>
      </c>
      <c r="K16" s="126">
        <f t="shared" si="1"/>
        <v>1.2999999999999999E-3</v>
      </c>
    </row>
    <row r="17" spans="1:11" x14ac:dyDescent="0.3">
      <c r="A17" s="57" t="s">
        <v>43</v>
      </c>
      <c r="B17" s="5"/>
      <c r="C17" s="5"/>
      <c r="D17" s="5"/>
      <c r="E17" s="5"/>
      <c r="F17" s="54"/>
      <c r="G17" s="80"/>
      <c r="H17" s="81"/>
      <c r="I17" s="81"/>
      <c r="J17" s="81"/>
      <c r="K17" s="328"/>
    </row>
    <row r="18" spans="1:11" x14ac:dyDescent="0.3">
      <c r="A18" s="174" t="s">
        <v>47</v>
      </c>
      <c r="B18" s="122">
        <f t="shared" ref="B18:K18" si="2">B4/B2</f>
        <v>1</v>
      </c>
      <c r="C18" s="122">
        <f t="shared" si="2"/>
        <v>1</v>
      </c>
      <c r="D18" s="122">
        <f t="shared" si="2"/>
        <v>1</v>
      </c>
      <c r="E18" s="122">
        <f t="shared" si="2"/>
        <v>1</v>
      </c>
      <c r="F18" s="123">
        <f t="shared" si="2"/>
        <v>1</v>
      </c>
      <c r="G18" s="127">
        <f t="shared" si="2"/>
        <v>1</v>
      </c>
      <c r="H18" s="128">
        <f t="shared" si="2"/>
        <v>1</v>
      </c>
      <c r="I18" s="128">
        <f t="shared" si="2"/>
        <v>1</v>
      </c>
      <c r="J18" s="128">
        <f t="shared" si="2"/>
        <v>1</v>
      </c>
      <c r="K18" s="329">
        <f t="shared" si="2"/>
        <v>1</v>
      </c>
    </row>
    <row r="19" spans="1:11" x14ac:dyDescent="0.3">
      <c r="A19" s="92" t="s">
        <v>44</v>
      </c>
      <c r="B19" s="121">
        <f>B5/'PRIHODKI IN STROŠKI'!B$6</f>
        <v>1.3912471641703769E-2</v>
      </c>
      <c r="C19" s="121">
        <f>C5/'PRIHODKI IN STROŠKI'!C$6</f>
        <v>3.9971653696584973E-2</v>
      </c>
      <c r="D19" s="121">
        <f>D5/'PRIHODKI IN STROŠKI'!D$6</f>
        <v>7.6147901110512201E-2</v>
      </c>
      <c r="E19" s="121">
        <f>E5/'PRIHODKI IN STROŠKI'!E$6</f>
        <v>0.16425042234234927</v>
      </c>
      <c r="F19" s="273">
        <f>F5/'PRIHODKI IN STROŠKI'!F$6</f>
        <v>0.10957705787610959</v>
      </c>
      <c r="G19" s="129">
        <v>0.08</v>
      </c>
      <c r="H19" s="130">
        <v>0.08</v>
      </c>
      <c r="I19" s="130">
        <v>7.0000000000000007E-2</v>
      </c>
      <c r="J19" s="130">
        <v>7.0000000000000007E-2</v>
      </c>
      <c r="K19" s="130">
        <v>7.0000000000000007E-2</v>
      </c>
    </row>
    <row r="20" spans="1:11" x14ac:dyDescent="0.3">
      <c r="A20" s="57" t="s">
        <v>43</v>
      </c>
      <c r="B20" s="5"/>
      <c r="C20" s="5"/>
      <c r="D20" s="5"/>
      <c r="E20" s="5"/>
      <c r="F20" s="54"/>
      <c r="G20" s="133"/>
      <c r="H20" s="134"/>
      <c r="I20" s="134"/>
      <c r="J20" s="134"/>
      <c r="K20" s="330"/>
    </row>
    <row r="21" spans="1:11" s="82" customFormat="1" x14ac:dyDescent="0.3">
      <c r="A21" s="322" t="s">
        <v>48</v>
      </c>
      <c r="B21" s="124">
        <f>B7/B5</f>
        <v>0.13744565194908348</v>
      </c>
      <c r="C21" s="124">
        <f>C7/C5</f>
        <v>0.26451406319776016</v>
      </c>
      <c r="D21" s="124">
        <f>D7/D5</f>
        <v>0.20629818928026039</v>
      </c>
      <c r="E21" s="124">
        <f>E7/E5</f>
        <v>0.39657773697127757</v>
      </c>
      <c r="F21" s="125">
        <f>F7/F5</f>
        <v>0.25427865154598028</v>
      </c>
      <c r="G21" s="131">
        <v>0.26</v>
      </c>
      <c r="H21" s="132">
        <v>0.26</v>
      </c>
      <c r="I21" s="132">
        <v>0.26</v>
      </c>
      <c r="J21" s="132">
        <v>0.26</v>
      </c>
      <c r="K21" s="331">
        <v>0.26</v>
      </c>
    </row>
    <row r="22" spans="1:11" s="82" customFormat="1" x14ac:dyDescent="0.3">
      <c r="A22" s="322" t="s">
        <v>49</v>
      </c>
      <c r="B22" s="124">
        <f>B8/B5</f>
        <v>0.33926752685858957</v>
      </c>
      <c r="C22" s="124">
        <f>C8/C5</f>
        <v>0.47481406522997655</v>
      </c>
      <c r="D22" s="124">
        <f>D8/D5</f>
        <v>0.60030145227590248</v>
      </c>
      <c r="E22" s="124">
        <f>E8/E5</f>
        <v>0.47380129818991706</v>
      </c>
      <c r="F22" s="125">
        <f>F8/F5</f>
        <v>0.5355755037505433</v>
      </c>
      <c r="G22" s="131">
        <v>0.49</v>
      </c>
      <c r="H22" s="132">
        <v>0.49</v>
      </c>
      <c r="I22" s="132">
        <v>0.49</v>
      </c>
      <c r="J22" s="132">
        <v>0.49</v>
      </c>
      <c r="K22" s="331">
        <v>0.49</v>
      </c>
    </row>
    <row r="23" spans="1:11" s="82" customFormat="1" ht="15" thickBot="1" x14ac:dyDescent="0.35">
      <c r="A23" s="323" t="s">
        <v>50</v>
      </c>
      <c r="B23" s="332">
        <f>B9/B5</f>
        <v>0.52328682119232695</v>
      </c>
      <c r="C23" s="332">
        <f>C9/C5</f>
        <v>0.26067187157226329</v>
      </c>
      <c r="D23" s="332">
        <f>D9/D5</f>
        <v>0.1934003584438371</v>
      </c>
      <c r="E23" s="332">
        <f>E9/E5</f>
        <v>0.12962096483880536</v>
      </c>
      <c r="F23" s="333">
        <f>F9/F5</f>
        <v>0.21014584470347641</v>
      </c>
      <c r="G23" s="334">
        <v>0.25</v>
      </c>
      <c r="H23" s="335">
        <v>0.25</v>
      </c>
      <c r="I23" s="335">
        <v>0.25</v>
      </c>
      <c r="J23" s="335">
        <v>0.25</v>
      </c>
      <c r="K23" s="336">
        <v>0.25</v>
      </c>
    </row>
    <row r="24" spans="1:11" x14ac:dyDescent="0.3">
      <c r="F24" s="29"/>
    </row>
    <row r="25" spans="1:11" x14ac:dyDescent="0.3">
      <c r="F25" s="29"/>
    </row>
    <row r="26" spans="1:11" x14ac:dyDescent="0.3">
      <c r="A26" s="83"/>
      <c r="F26" s="29"/>
    </row>
    <row r="27" spans="1:11" ht="15" thickBot="1" x14ac:dyDescent="0.35">
      <c r="A27" s="83" t="s">
        <v>244</v>
      </c>
      <c r="F27" s="29"/>
    </row>
    <row r="28" spans="1:11" s="165" customFormat="1" x14ac:dyDescent="0.3">
      <c r="A28" s="61" t="s">
        <v>221</v>
      </c>
      <c r="B28" s="143">
        <v>2013</v>
      </c>
      <c r="C28" s="143">
        <v>2014</v>
      </c>
      <c r="D28" s="143">
        <v>2015</v>
      </c>
      <c r="E28" s="143">
        <v>2016</v>
      </c>
      <c r="F28" s="151">
        <v>2017</v>
      </c>
      <c r="G28" s="146">
        <v>2018</v>
      </c>
      <c r="H28" s="146">
        <v>2019</v>
      </c>
      <c r="I28" s="146">
        <v>2020</v>
      </c>
      <c r="J28" s="146">
        <v>2021</v>
      </c>
      <c r="K28" s="316">
        <v>2022</v>
      </c>
    </row>
    <row r="29" spans="1:11" x14ac:dyDescent="0.3">
      <c r="A29" s="317" t="s">
        <v>42</v>
      </c>
      <c r="B29" s="295">
        <f>B31</f>
        <v>240390</v>
      </c>
      <c r="C29" s="295">
        <f t="shared" ref="C29:K29" si="3">C31</f>
        <v>211090</v>
      </c>
      <c r="D29" s="295">
        <f t="shared" si="3"/>
        <v>443644</v>
      </c>
      <c r="E29" s="295">
        <f t="shared" si="3"/>
        <v>244397</v>
      </c>
      <c r="F29" s="300">
        <f t="shared" si="3"/>
        <v>164330</v>
      </c>
      <c r="G29" s="299">
        <f t="shared" si="3"/>
        <v>190386.58589503999</v>
      </c>
      <c r="H29" s="295">
        <f t="shared" si="3"/>
        <v>232207.56224521276</v>
      </c>
      <c r="I29" s="295">
        <f t="shared" si="3"/>
        <v>102678.73466403742</v>
      </c>
      <c r="J29" s="295">
        <f t="shared" si="3"/>
        <v>0</v>
      </c>
      <c r="K29" s="318">
        <f t="shared" si="3"/>
        <v>0</v>
      </c>
    </row>
    <row r="30" spans="1:11" x14ac:dyDescent="0.3">
      <c r="A30" s="57" t="s">
        <v>43</v>
      </c>
      <c r="B30" s="296"/>
      <c r="C30" s="296"/>
      <c r="D30" s="296"/>
      <c r="E30" s="296"/>
      <c r="F30" s="297"/>
      <c r="G30" s="298"/>
      <c r="H30" s="296"/>
      <c r="I30" s="296"/>
      <c r="J30" s="296"/>
      <c r="K30" s="319"/>
    </row>
    <row r="31" spans="1:11" x14ac:dyDescent="0.3">
      <c r="A31" s="174" t="s">
        <v>47</v>
      </c>
      <c r="B31" s="292">
        <v>240390</v>
      </c>
      <c r="C31" s="292">
        <v>211090</v>
      </c>
      <c r="D31" s="292">
        <v>443644</v>
      </c>
      <c r="E31" s="292">
        <v>244397</v>
      </c>
      <c r="F31" s="293">
        <v>164330</v>
      </c>
      <c r="G31" s="294">
        <f>AKTIVA!G3</f>
        <v>190386.58589503999</v>
      </c>
      <c r="H31" s="294">
        <f>AKTIVA!H3</f>
        <v>232207.56224521276</v>
      </c>
      <c r="I31" s="294">
        <f>AKTIVA!I3</f>
        <v>102678.73466403742</v>
      </c>
      <c r="J31" s="294">
        <f>AKTIVA!J3</f>
        <v>0</v>
      </c>
      <c r="K31" s="294">
        <f>AKTIVA!K3</f>
        <v>0</v>
      </c>
    </row>
    <row r="32" spans="1:11" x14ac:dyDescent="0.3">
      <c r="A32" s="92" t="s">
        <v>44</v>
      </c>
      <c r="B32" s="295">
        <f>SUM(B34:B36)</f>
        <v>16819374</v>
      </c>
      <c r="C32" s="295">
        <f t="shared" ref="C32:F32" si="4">SUM(C34:C36)</f>
        <v>17401687</v>
      </c>
      <c r="D32" s="295">
        <f t="shared" si="4"/>
        <v>20044610</v>
      </c>
      <c r="E32" s="295">
        <f t="shared" si="4"/>
        <v>34209780</v>
      </c>
      <c r="F32" s="300">
        <f t="shared" si="4"/>
        <v>42855483</v>
      </c>
      <c r="G32" s="299">
        <f>AKTIVA!G2</f>
        <v>57650135.418910973</v>
      </c>
      <c r="H32" s="299">
        <f>AKTIVA!H2</f>
        <v>65247272.693211831</v>
      </c>
      <c r="I32" s="299">
        <f>AKTIVA!I2</f>
        <v>71956409.32558845</v>
      </c>
      <c r="J32" s="299">
        <f>AKTIVA!J2</f>
        <v>79738941.568726242</v>
      </c>
      <c r="K32" s="299">
        <f>AKTIVA!K2</f>
        <v>88722730.705389395</v>
      </c>
    </row>
    <row r="33" spans="1:11" x14ac:dyDescent="0.3">
      <c r="A33" s="57" t="s">
        <v>43</v>
      </c>
      <c r="B33" s="289"/>
      <c r="C33" s="289"/>
      <c r="D33" s="289"/>
      <c r="E33" s="289"/>
      <c r="F33" s="290"/>
      <c r="G33" s="291"/>
      <c r="H33" s="289"/>
      <c r="I33" s="289"/>
      <c r="J33" s="289"/>
      <c r="K33" s="321"/>
    </row>
    <row r="34" spans="1:11" x14ac:dyDescent="0.3">
      <c r="A34" s="322" t="s">
        <v>48</v>
      </c>
      <c r="B34" s="292">
        <v>5971597</v>
      </c>
      <c r="C34" s="292">
        <v>6288588</v>
      </c>
      <c r="D34" s="292">
        <v>7301671</v>
      </c>
      <c r="E34" s="292">
        <v>14551903</v>
      </c>
      <c r="F34" s="293">
        <v>17529047</v>
      </c>
      <c r="G34" s="294">
        <f>F34+G7-AMORTIZACIJA!G56</f>
        <v>19782271.298636481</v>
      </c>
      <c r="H34" s="294">
        <f>G34+H7-AMORTIZACIJA!H56</f>
        <v>22326147.018293276</v>
      </c>
      <c r="I34" s="294">
        <f>H34+I7-AMORTIZACIJA!I56</f>
        <v>24674328.676413644</v>
      </c>
      <c r="J34" s="294">
        <f>I34+J7-AMORTIZACIJA!J56</f>
        <v>27340940.212946165</v>
      </c>
      <c r="K34" s="320">
        <f>J34+K7-AMORTIZACIJA!K56</f>
        <v>30363880.871898469</v>
      </c>
    </row>
    <row r="35" spans="1:11" x14ac:dyDescent="0.3">
      <c r="A35" s="322" t="s">
        <v>49</v>
      </c>
      <c r="B35" s="292">
        <v>8700466</v>
      </c>
      <c r="C35" s="292">
        <v>8648021</v>
      </c>
      <c r="D35" s="292">
        <v>9792792</v>
      </c>
      <c r="E35" s="292">
        <v>15525706</v>
      </c>
      <c r="F35" s="293">
        <v>19716853</v>
      </c>
      <c r="G35" s="294">
        <f>F35+G8-AMORTIZACIJA!G68</f>
        <v>21681689.952658497</v>
      </c>
      <c r="H35" s="294">
        <f>G35+H8-AMORTIZACIJA!H68</f>
        <v>24092920.255761445</v>
      </c>
      <c r="I35" s="294">
        <f>H35+I8-AMORTIZACIJA!I68</f>
        <v>26036157.492367476</v>
      </c>
      <c r="J35" s="294">
        <f>I35+J8-AMORTIZACIJA!J68</f>
        <v>28468598.476424113</v>
      </c>
      <c r="K35" s="320">
        <f>J35+K8-AMORTIZACIJA!K68</f>
        <v>31448545.995062526</v>
      </c>
    </row>
    <row r="36" spans="1:11" ht="15" thickBot="1" x14ac:dyDescent="0.35">
      <c r="A36" s="323" t="s">
        <v>50</v>
      </c>
      <c r="B36" s="324">
        <v>2147311</v>
      </c>
      <c r="C36" s="324">
        <v>2465078</v>
      </c>
      <c r="D36" s="324">
        <v>2950147</v>
      </c>
      <c r="E36" s="324">
        <v>4132171</v>
      </c>
      <c r="F36" s="325">
        <v>5609583</v>
      </c>
      <c r="G36" s="326">
        <f>F36+G9-AMORTIZACIJA!G80</f>
        <v>8009085.1676159995</v>
      </c>
      <c r="H36" s="326">
        <f>G36+H9-AMORTIZACIJA!H80</f>
        <v>10651116.419157118</v>
      </c>
      <c r="I36" s="326">
        <f>H36+I9-AMORTIZACIJA!I80</f>
        <v>13068834.156807318</v>
      </c>
      <c r="J36" s="326">
        <f>I36+J9-AMORTIZACIJA!J80</f>
        <v>15752313.879355954</v>
      </c>
      <c r="K36" s="327">
        <f>J36+K9-AMORTIZACIJA!K80</f>
        <v>18733214.838428389</v>
      </c>
    </row>
    <row r="37" spans="1:11" x14ac:dyDescent="0.3">
      <c r="F37" s="29"/>
    </row>
    <row r="38" spans="1:11" x14ac:dyDescent="0.3">
      <c r="F38" s="29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topLeftCell="A13" workbookViewId="0">
      <selection activeCell="D27" sqref="D27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3" customFormat="1" x14ac:dyDescent="0.3">
      <c r="A1" s="193" t="s">
        <v>68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98"/>
      <c r="H1" s="98"/>
      <c r="I1" s="98"/>
      <c r="J1" s="98"/>
      <c r="K1" s="98"/>
    </row>
    <row r="2" spans="1:12" x14ac:dyDescent="0.3">
      <c r="A2" s="250" t="s">
        <v>42</v>
      </c>
      <c r="B2" s="41">
        <f>B4</f>
        <v>107197</v>
      </c>
      <c r="C2" s="41">
        <f>C4</f>
        <v>157764</v>
      </c>
      <c r="D2" s="41">
        <f>D4</f>
        <v>227677</v>
      </c>
      <c r="E2" s="41">
        <f>E4</f>
        <v>229868</v>
      </c>
      <c r="F2" s="45">
        <f>F4</f>
        <v>202012</v>
      </c>
      <c r="G2" s="99"/>
      <c r="H2" s="99"/>
      <c r="I2" s="99"/>
      <c r="J2" s="99"/>
      <c r="K2" s="99"/>
    </row>
    <row r="3" spans="1:12" x14ac:dyDescent="0.3">
      <c r="A3" s="50" t="s">
        <v>43</v>
      </c>
      <c r="B3" s="2"/>
      <c r="C3" s="2"/>
      <c r="D3" s="2"/>
      <c r="E3" s="2"/>
      <c r="F3" s="51"/>
      <c r="G3" s="100"/>
      <c r="H3" s="100"/>
      <c r="I3" s="100"/>
      <c r="J3" s="100"/>
      <c r="K3" s="100"/>
    </row>
    <row r="4" spans="1:12" x14ac:dyDescent="0.3">
      <c r="A4" s="301" t="s">
        <v>47</v>
      </c>
      <c r="B4" s="97">
        <v>107197</v>
      </c>
      <c r="C4" s="97">
        <v>157764</v>
      </c>
      <c r="D4" s="97">
        <v>227677</v>
      </c>
      <c r="E4" s="97">
        <v>229868</v>
      </c>
      <c r="F4" s="148">
        <v>202012</v>
      </c>
      <c r="G4" s="240"/>
      <c r="H4" s="240"/>
      <c r="I4" s="240"/>
      <c r="J4" s="240"/>
      <c r="K4" s="240"/>
      <c r="L4" s="463"/>
    </row>
    <row r="5" spans="1:12" x14ac:dyDescent="0.3">
      <c r="A5" s="250" t="s">
        <v>44</v>
      </c>
      <c r="B5" s="41">
        <f>B7+B8+B9</f>
        <v>5456856</v>
      </c>
      <c r="C5" s="41">
        <f>C7+C8+C9</f>
        <v>5088687</v>
      </c>
      <c r="D5" s="41">
        <f>D7+D8+D9</f>
        <v>5202660</v>
      </c>
      <c r="E5" s="41">
        <f>E7+E8+E9</f>
        <v>5989706</v>
      </c>
      <c r="F5" s="45">
        <f>F7+F8+F9</f>
        <v>7203558</v>
      </c>
      <c r="G5" s="99"/>
      <c r="H5" s="99"/>
      <c r="I5" s="99"/>
      <c r="J5" s="99"/>
      <c r="K5" s="99"/>
    </row>
    <row r="6" spans="1:12" x14ac:dyDescent="0.3">
      <c r="A6" s="50" t="s">
        <v>43</v>
      </c>
      <c r="B6" s="2"/>
      <c r="C6" s="2"/>
      <c r="D6" s="2"/>
      <c r="E6" s="2"/>
      <c r="F6" s="51"/>
      <c r="G6" s="100"/>
      <c r="H6" s="100"/>
      <c r="I6" s="100"/>
      <c r="J6" s="100"/>
      <c r="K6" s="100"/>
    </row>
    <row r="7" spans="1:12" x14ac:dyDescent="0.3">
      <c r="A7" s="301" t="s">
        <v>48</v>
      </c>
      <c r="B7" s="97">
        <v>773576</v>
      </c>
      <c r="C7" s="97">
        <v>707981</v>
      </c>
      <c r="D7" s="97">
        <v>744985</v>
      </c>
      <c r="E7" s="97">
        <v>738768</v>
      </c>
      <c r="F7" s="148">
        <v>1105166</v>
      </c>
      <c r="G7" s="240"/>
      <c r="H7" s="240"/>
      <c r="I7" s="240"/>
      <c r="J7" s="240"/>
      <c r="K7" s="240"/>
    </row>
    <row r="8" spans="1:12" x14ac:dyDescent="0.3">
      <c r="A8" s="301" t="s">
        <v>49</v>
      </c>
      <c r="B8" s="97">
        <v>3689628</v>
      </c>
      <c r="C8" s="97">
        <v>3329485</v>
      </c>
      <c r="D8" s="97">
        <v>3318631</v>
      </c>
      <c r="E8" s="97">
        <v>3876816</v>
      </c>
      <c r="F8" s="148">
        <v>4262598</v>
      </c>
      <c r="G8" s="240"/>
      <c r="H8" s="240"/>
      <c r="I8" s="240"/>
      <c r="J8" s="240"/>
      <c r="K8" s="240"/>
      <c r="L8" s="463"/>
    </row>
    <row r="9" spans="1:12" ht="15" thickBot="1" x14ac:dyDescent="0.35">
      <c r="A9" s="302" t="s">
        <v>50</v>
      </c>
      <c r="B9" s="303">
        <v>993652</v>
      </c>
      <c r="C9" s="303">
        <v>1051221</v>
      </c>
      <c r="D9" s="303">
        <v>1139044</v>
      </c>
      <c r="E9" s="303">
        <v>1374122</v>
      </c>
      <c r="F9" s="408">
        <v>1835794</v>
      </c>
      <c r="G9" s="240"/>
      <c r="H9" s="240"/>
      <c r="I9" s="240"/>
      <c r="J9" s="240"/>
      <c r="K9" s="240"/>
    </row>
    <row r="10" spans="1:12" x14ac:dyDescent="0.3">
      <c r="F10" s="29"/>
    </row>
    <row r="11" spans="1:12" ht="15" thickBot="1" x14ac:dyDescent="0.35">
      <c r="F11" s="29"/>
    </row>
    <row r="12" spans="1:12" s="13" customFormat="1" x14ac:dyDescent="0.3">
      <c r="A12" s="193" t="s">
        <v>52</v>
      </c>
      <c r="B12" s="62">
        <v>2013</v>
      </c>
      <c r="C12" s="62">
        <v>2014</v>
      </c>
      <c r="D12" s="62">
        <v>2015</v>
      </c>
      <c r="E12" s="62">
        <v>2016</v>
      </c>
      <c r="F12" s="304">
        <v>2017</v>
      </c>
      <c r="G12" s="63">
        <v>2018</v>
      </c>
      <c r="H12" s="62">
        <v>2019</v>
      </c>
      <c r="I12" s="62">
        <v>2020</v>
      </c>
      <c r="J12" s="62">
        <v>2021</v>
      </c>
      <c r="K12" s="64">
        <v>2022</v>
      </c>
    </row>
    <row r="13" spans="1:12" x14ac:dyDescent="0.3">
      <c r="A13" s="92" t="s">
        <v>42</v>
      </c>
      <c r="B13" s="103">
        <f>B2/'PRIHODKI IN STROŠKI'!B$6</f>
        <v>1.2339232963986273E-3</v>
      </c>
      <c r="C13" s="103">
        <f>C2/'PRIHODKI IN STROŠKI'!C$6</f>
        <v>1.6429916866166131E-3</v>
      </c>
      <c r="D13" s="103">
        <f>D2/'PRIHODKI IN STROŠKI'!D$6</f>
        <v>2.0339025506642527E-3</v>
      </c>
      <c r="E13" s="103">
        <f>E2/'PRIHODKI IN STROŠKI'!E$6</f>
        <v>1.8011770210877454E-3</v>
      </c>
      <c r="F13" s="149">
        <f>F2/'PRIHODKI IN STROŠKI'!F$6</f>
        <v>1.3787982474959099E-3</v>
      </c>
      <c r="G13" s="156">
        <f>G44/'PRIHODKI IN STROŠKI'!G6</f>
        <v>1.1422744301571911E-3</v>
      </c>
      <c r="H13" s="156">
        <f>H44/'PRIHODKI IN STROŠKI'!H6</f>
        <v>1.073594551272394E-3</v>
      </c>
      <c r="I13" s="156">
        <f>I44/'PRIHODKI IN STROŠKI'!I6</f>
        <v>1.9271081896651008E-3</v>
      </c>
      <c r="J13" s="156">
        <f>J44/'PRIHODKI IN STROŠKI'!J6</f>
        <v>1.8347826815978499E-3</v>
      </c>
      <c r="K13" s="305">
        <f>K44/'PRIHODKI IN STROŠKI'!K6</f>
        <v>1.7521752574652307E-3</v>
      </c>
    </row>
    <row r="14" spans="1:12" x14ac:dyDescent="0.3">
      <c r="A14" s="57" t="s">
        <v>43</v>
      </c>
      <c r="B14" s="78"/>
      <c r="C14" s="78"/>
      <c r="D14" s="78"/>
      <c r="E14" s="78"/>
      <c r="F14" s="150"/>
      <c r="G14" s="55"/>
      <c r="H14" s="5"/>
      <c r="I14" s="5"/>
      <c r="J14" s="5"/>
      <c r="K14" s="56"/>
    </row>
    <row r="15" spans="1:12" x14ac:dyDescent="0.3">
      <c r="A15" s="174" t="s">
        <v>47</v>
      </c>
      <c r="B15" s="103">
        <f>B4/B2</f>
        <v>1</v>
      </c>
      <c r="C15" s="103">
        <f t="shared" ref="C15:F15" si="0">C4/C2</f>
        <v>1</v>
      </c>
      <c r="D15" s="103">
        <f t="shared" si="0"/>
        <v>1</v>
      </c>
      <c r="E15" s="103">
        <f t="shared" si="0"/>
        <v>1</v>
      </c>
      <c r="F15" s="149">
        <f t="shared" si="0"/>
        <v>1</v>
      </c>
      <c r="G15" s="42">
        <f>100%</f>
        <v>1</v>
      </c>
      <c r="H15" s="16">
        <f>100%</f>
        <v>1</v>
      </c>
      <c r="I15" s="16">
        <f>100%</f>
        <v>1</v>
      </c>
      <c r="J15" s="16">
        <f>100%</f>
        <v>1</v>
      </c>
      <c r="K15" s="306">
        <f>100%</f>
        <v>1</v>
      </c>
    </row>
    <row r="16" spans="1:12" x14ac:dyDescent="0.3">
      <c r="A16" s="92" t="s">
        <v>44</v>
      </c>
      <c r="B16" s="103">
        <f>B5/'PRIHODKI IN STROŠKI'!B$6</f>
        <v>6.2812781546989452E-2</v>
      </c>
      <c r="C16" s="103">
        <f>C5/'PRIHODKI IN STROŠKI'!C$6</f>
        <v>5.2994792454514543E-2</v>
      </c>
      <c r="D16" s="103">
        <f>D5/'PRIHODKI IN STROŠKI'!D$6</f>
        <v>4.6476822183351335E-2</v>
      </c>
      <c r="E16" s="103">
        <f>E5/'PRIHODKI IN STROŠKI'!E$6</f>
        <v>4.693354799394172E-2</v>
      </c>
      <c r="F16" s="149">
        <f>F5/'PRIHODKI IN STROŠKI'!F$6</f>
        <v>4.9166649239328064E-2</v>
      </c>
      <c r="G16" s="155">
        <f>(G80+G68+G56)/'PRIHODKI IN STROŠKI'!G6</f>
        <v>3.994260470565543E-2</v>
      </c>
      <c r="H16" s="155">
        <f>(H80+H68+H56)/'PRIHODKI IN STROŠKI'!H6</f>
        <v>3.8871517985825325E-2</v>
      </c>
      <c r="I16" s="155">
        <f>(I80+I68+I56)/'PRIHODKI IN STROŠKI'!I6</f>
        <v>3.7518006560286636E-2</v>
      </c>
      <c r="J16" s="155">
        <f>(J80+J68+J56)/'PRIHODKI IN STROŠKI'!J6</f>
        <v>3.6305708902968005E-2</v>
      </c>
      <c r="K16" s="307">
        <f>(K80+K68+K56)/'PRIHODKI IN STROŠKI'!K6</f>
        <v>3.5219877142417824E-2</v>
      </c>
    </row>
    <row r="17" spans="1:12" x14ac:dyDescent="0.3">
      <c r="A17" s="57" t="s">
        <v>43</v>
      </c>
      <c r="B17" s="78"/>
      <c r="C17" s="78"/>
      <c r="D17" s="78"/>
      <c r="E17" s="78"/>
      <c r="F17" s="150"/>
      <c r="G17" s="55"/>
      <c r="H17" s="5"/>
      <c r="I17" s="5"/>
      <c r="J17" s="5"/>
      <c r="K17" s="56"/>
    </row>
    <row r="18" spans="1:12" x14ac:dyDescent="0.3">
      <c r="A18" s="174" t="s">
        <v>48</v>
      </c>
      <c r="B18" s="103">
        <f>B7/B$5</f>
        <v>0.14176221619188778</v>
      </c>
      <c r="C18" s="103">
        <f t="shared" ref="C18:F18" si="1">C7/C$5</f>
        <v>0.13912842350099347</v>
      </c>
      <c r="D18" s="103">
        <f t="shared" si="1"/>
        <v>0.14319309737711094</v>
      </c>
      <c r="E18" s="103">
        <f t="shared" si="1"/>
        <v>0.12333960965696814</v>
      </c>
      <c r="F18" s="149">
        <f t="shared" si="1"/>
        <v>0.15341946299314865</v>
      </c>
      <c r="G18" s="154">
        <f>G56/(G56+G68+G80)</f>
        <v>0.17927714552785418</v>
      </c>
      <c r="H18" s="154">
        <f t="shared" ref="H18:K18" si="2">H56/(H56+H68+H80)</f>
        <v>0.18080762664216485</v>
      </c>
      <c r="I18" s="154">
        <f t="shared" si="2"/>
        <v>0.18208271643134746</v>
      </c>
      <c r="J18" s="154">
        <f t="shared" si="2"/>
        <v>0.18330361807540618</v>
      </c>
      <c r="K18" s="308">
        <f t="shared" si="2"/>
        <v>0.18446665085127317</v>
      </c>
    </row>
    <row r="19" spans="1:12" x14ac:dyDescent="0.3">
      <c r="A19" s="174" t="s">
        <v>49</v>
      </c>
      <c r="B19" s="103">
        <f t="shared" ref="B19:F19" si="3">B8/B$5</f>
        <v>0.67614538481499242</v>
      </c>
      <c r="C19" s="103">
        <f t="shared" si="3"/>
        <v>0.65429156872882921</v>
      </c>
      <c r="D19" s="103">
        <f t="shared" si="3"/>
        <v>0.63787197318294875</v>
      </c>
      <c r="E19" s="103">
        <f t="shared" si="3"/>
        <v>0.6472464591751248</v>
      </c>
      <c r="F19" s="149">
        <f t="shared" si="3"/>
        <v>0.59173508424586851</v>
      </c>
      <c r="G19" s="154">
        <f>G68/(G56+G68+G80)</f>
        <v>0.68364246435731379</v>
      </c>
      <c r="H19" s="154">
        <f t="shared" ref="H19:K19" si="4">H68/(H56+H68+H80)</f>
        <v>0.67263560344891471</v>
      </c>
      <c r="I19" s="154">
        <f t="shared" si="4"/>
        <v>0.66346545700017923</v>
      </c>
      <c r="J19" s="154">
        <f t="shared" si="4"/>
        <v>0.6546850189710286</v>
      </c>
      <c r="K19" s="308">
        <f t="shared" si="4"/>
        <v>0.64632076025775254</v>
      </c>
    </row>
    <row r="20" spans="1:12" ht="15" thickBot="1" x14ac:dyDescent="0.35">
      <c r="A20" s="309" t="s">
        <v>50</v>
      </c>
      <c r="B20" s="310">
        <f t="shared" ref="B20:F20" si="5">B9/B$5</f>
        <v>0.18209239899311985</v>
      </c>
      <c r="C20" s="310">
        <f t="shared" si="5"/>
        <v>0.20658000777017727</v>
      </c>
      <c r="D20" s="310">
        <f t="shared" si="5"/>
        <v>0.21893492943994033</v>
      </c>
      <c r="E20" s="310">
        <f t="shared" si="5"/>
        <v>0.22941393116790706</v>
      </c>
      <c r="F20" s="311">
        <f t="shared" si="5"/>
        <v>0.25484545276098286</v>
      </c>
      <c r="G20" s="312">
        <f>G80/(G80+G68+G56)</f>
        <v>0.13708039011483203</v>
      </c>
      <c r="H20" s="312">
        <f t="shared" ref="H20:K20" si="6">H80/(H80+H68+H56)</f>
        <v>0.14655676990892039</v>
      </c>
      <c r="I20" s="312">
        <f t="shared" si="6"/>
        <v>0.15445182656847334</v>
      </c>
      <c r="J20" s="312">
        <f t="shared" si="6"/>
        <v>0.16201136295356527</v>
      </c>
      <c r="K20" s="313">
        <f t="shared" si="6"/>
        <v>0.16921258889097424</v>
      </c>
    </row>
    <row r="21" spans="1:12" x14ac:dyDescent="0.3">
      <c r="B21" s="102"/>
      <c r="F21" s="29"/>
    </row>
    <row r="22" spans="1:12" ht="15" thickBot="1" x14ac:dyDescent="0.35">
      <c r="F22" s="29"/>
    </row>
    <row r="23" spans="1:12" s="13" customFormat="1" x14ac:dyDescent="0.3">
      <c r="A23" s="61" t="s">
        <v>54</v>
      </c>
      <c r="B23" s="62" t="s">
        <v>55</v>
      </c>
      <c r="C23" s="104"/>
      <c r="D23" s="104"/>
      <c r="E23" s="104"/>
      <c r="F23" s="304" t="s">
        <v>241</v>
      </c>
      <c r="G23" s="63">
        <v>2018</v>
      </c>
      <c r="H23" s="62">
        <v>2019</v>
      </c>
      <c r="I23" s="63">
        <v>2020</v>
      </c>
      <c r="J23" s="62">
        <v>2021</v>
      </c>
      <c r="K23" s="314">
        <v>2022</v>
      </c>
    </row>
    <row r="24" spans="1:12" x14ac:dyDescent="0.3">
      <c r="A24" s="84" t="s">
        <v>42</v>
      </c>
      <c r="B24" s="112" t="s">
        <v>227</v>
      </c>
      <c r="C24" s="116">
        <v>0.04</v>
      </c>
      <c r="D24" s="107"/>
      <c r="E24" s="108"/>
      <c r="F24" s="45">
        <f>F26</f>
        <v>4502889</v>
      </c>
      <c r="G24" s="40">
        <f>$F24*$C$24</f>
        <v>180115.56</v>
      </c>
      <c r="H24" s="40">
        <f>$F24*$C$24</f>
        <v>180115.56</v>
      </c>
      <c r="I24" s="40">
        <f>$F24*$C$24</f>
        <v>180115.56</v>
      </c>
      <c r="J24" s="40">
        <f>$F24*$C$24</f>
        <v>180115.56</v>
      </c>
      <c r="K24" s="40">
        <f>$F24*$C$24</f>
        <v>180115.56</v>
      </c>
    </row>
    <row r="25" spans="1:12" x14ac:dyDescent="0.3">
      <c r="A25" s="85" t="s">
        <v>43</v>
      </c>
      <c r="B25" s="5"/>
      <c r="C25" s="5"/>
      <c r="D25" s="5"/>
      <c r="E25" s="5"/>
      <c r="F25" s="51"/>
      <c r="G25" s="74"/>
      <c r="H25" s="2"/>
      <c r="I25" s="2"/>
      <c r="J25" s="2"/>
      <c r="K25" s="52"/>
    </row>
    <row r="26" spans="1:12" x14ac:dyDescent="0.3">
      <c r="A26" s="86" t="s">
        <v>47</v>
      </c>
      <c r="B26" s="5"/>
      <c r="C26" s="5"/>
      <c r="D26" s="5"/>
      <c r="E26" s="5"/>
      <c r="F26" s="24">
        <v>4502889</v>
      </c>
      <c r="G26" s="35">
        <f>G24</f>
        <v>180115.56</v>
      </c>
      <c r="H26" s="36">
        <f>H24</f>
        <v>180115.56</v>
      </c>
      <c r="I26" s="36">
        <f>I24</f>
        <v>180115.56</v>
      </c>
      <c r="J26" s="36">
        <f>J24</f>
        <v>180115.56</v>
      </c>
      <c r="K26" s="71">
        <f>K24</f>
        <v>180115.56</v>
      </c>
      <c r="L26" s="434"/>
    </row>
    <row r="27" spans="1:12" x14ac:dyDescent="0.3">
      <c r="A27" s="84" t="s">
        <v>44</v>
      </c>
      <c r="B27" s="1"/>
      <c r="C27" s="1"/>
      <c r="D27" s="1"/>
      <c r="E27" s="1"/>
      <c r="F27" s="45">
        <f t="shared" ref="F27:K27" si="7">SUM(F29:F31)</f>
        <v>151354521</v>
      </c>
      <c r="G27" s="40">
        <f t="shared" si="7"/>
        <v>6078411.595999999</v>
      </c>
      <c r="H27" s="41">
        <f t="shared" si="7"/>
        <v>6078411.595999999</v>
      </c>
      <c r="I27" s="41">
        <f t="shared" si="7"/>
        <v>6078411.595999999</v>
      </c>
      <c r="J27" s="41">
        <f t="shared" si="7"/>
        <v>6078411.595999999</v>
      </c>
      <c r="K27" s="106">
        <f t="shared" si="7"/>
        <v>6078411.595999999</v>
      </c>
      <c r="L27" s="434"/>
    </row>
    <row r="28" spans="1:12" x14ac:dyDescent="0.3">
      <c r="A28" s="85" t="s">
        <v>43</v>
      </c>
      <c r="B28" s="5"/>
      <c r="C28" s="5"/>
      <c r="D28" s="5"/>
      <c r="E28" s="5"/>
      <c r="F28" s="51"/>
      <c r="G28" s="74"/>
      <c r="H28" s="2"/>
      <c r="I28" s="2"/>
      <c r="J28" s="2"/>
      <c r="K28" s="52"/>
      <c r="L28" s="434"/>
    </row>
    <row r="29" spans="1:12" x14ac:dyDescent="0.3">
      <c r="A29" s="86" t="s">
        <v>48</v>
      </c>
      <c r="B29" s="113">
        <v>3.5000000000000003E-2</v>
      </c>
      <c r="C29" s="68">
        <v>0.03</v>
      </c>
      <c r="D29" s="5"/>
      <c r="E29" s="5"/>
      <c r="F29" s="24">
        <v>35996402</v>
      </c>
      <c r="G29" s="35">
        <f>$F29*$C$29</f>
        <v>1079892.06</v>
      </c>
      <c r="H29" s="35">
        <f t="shared" ref="H29:K29" si="8">$F29*$C$29</f>
        <v>1079892.06</v>
      </c>
      <c r="I29" s="35">
        <f t="shared" si="8"/>
        <v>1079892.06</v>
      </c>
      <c r="J29" s="35">
        <f t="shared" si="8"/>
        <v>1079892.06</v>
      </c>
      <c r="K29" s="35">
        <f t="shared" si="8"/>
        <v>1079892.06</v>
      </c>
    </row>
    <row r="30" spans="1:12" x14ac:dyDescent="0.3">
      <c r="A30" s="86" t="s">
        <v>49</v>
      </c>
      <c r="B30" s="114">
        <v>0.15</v>
      </c>
      <c r="C30" s="68">
        <v>4.3999999999999997E-2</v>
      </c>
      <c r="D30" s="5"/>
      <c r="E30" s="5"/>
      <c r="F30" s="24">
        <v>96048694</v>
      </c>
      <c r="G30" s="35">
        <f>$F30*$C$30</f>
        <v>4226142.5359999994</v>
      </c>
      <c r="H30" s="35">
        <f t="shared" ref="H30:K30" si="9">$F30*$C$30</f>
        <v>4226142.5359999994</v>
      </c>
      <c r="I30" s="35">
        <f t="shared" si="9"/>
        <v>4226142.5359999994</v>
      </c>
      <c r="J30" s="35">
        <f t="shared" si="9"/>
        <v>4226142.5359999994</v>
      </c>
      <c r="K30" s="35">
        <f t="shared" si="9"/>
        <v>4226142.5359999994</v>
      </c>
    </row>
    <row r="31" spans="1:12" ht="15" thickBot="1" x14ac:dyDescent="0.35">
      <c r="A31" s="87" t="s">
        <v>50</v>
      </c>
      <c r="B31" s="115">
        <v>0.125</v>
      </c>
      <c r="C31" s="117">
        <v>0.04</v>
      </c>
      <c r="D31" s="88"/>
      <c r="E31" s="88"/>
      <c r="F31" s="105">
        <v>19309425</v>
      </c>
      <c r="G31" s="109">
        <f>$F31*$C$31</f>
        <v>772377</v>
      </c>
      <c r="H31" s="109">
        <f t="shared" ref="H31:K31" si="10">$F31*$C$31</f>
        <v>772377</v>
      </c>
      <c r="I31" s="109">
        <f t="shared" si="10"/>
        <v>772377</v>
      </c>
      <c r="J31" s="109">
        <f t="shared" si="10"/>
        <v>772377</v>
      </c>
      <c r="K31" s="109">
        <f t="shared" si="10"/>
        <v>772377</v>
      </c>
    </row>
    <row r="32" spans="1:12" x14ac:dyDescent="0.3">
      <c r="F32" s="29"/>
    </row>
    <row r="33" spans="1:11" ht="15" thickBot="1" x14ac:dyDescent="0.35">
      <c r="F33" s="29"/>
    </row>
    <row r="34" spans="1:11" s="13" customFormat="1" x14ac:dyDescent="0.3">
      <c r="A34" s="138" t="s">
        <v>60</v>
      </c>
      <c r="B34" s="139"/>
      <c r="C34" s="139"/>
      <c r="D34" s="139"/>
      <c r="E34" s="139"/>
      <c r="F34" s="140"/>
      <c r="G34" s="139"/>
      <c r="H34" s="139"/>
      <c r="I34" s="139"/>
      <c r="J34" s="139"/>
      <c r="K34" s="141"/>
    </row>
    <row r="35" spans="1:11" x14ac:dyDescent="0.3">
      <c r="A35" s="92" t="s">
        <v>61</v>
      </c>
      <c r="B35" s="1"/>
      <c r="C35" s="1"/>
      <c r="D35" s="1"/>
      <c r="E35" s="1"/>
      <c r="F35" s="58" t="s">
        <v>39</v>
      </c>
      <c r="G35" s="59">
        <v>2018</v>
      </c>
      <c r="H35" s="1">
        <v>2019</v>
      </c>
      <c r="I35" s="1">
        <v>2020</v>
      </c>
      <c r="J35" s="1">
        <v>2021</v>
      </c>
      <c r="K35" s="60">
        <v>2022</v>
      </c>
    </row>
    <row r="36" spans="1:11" x14ac:dyDescent="0.3">
      <c r="A36" s="57"/>
      <c r="B36" s="5"/>
      <c r="C36" s="5"/>
      <c r="D36" s="5"/>
      <c r="E36" s="5">
        <v>2018</v>
      </c>
      <c r="F36" s="69">
        <f>INVESTICIJE!G2</f>
        <v>214762.65197399998</v>
      </c>
      <c r="G36" s="35">
        <f>$F$36*$C$24</f>
        <v>8590.5060789599993</v>
      </c>
      <c r="H36" s="35">
        <f>$F$36*$C$24</f>
        <v>8590.5060789599993</v>
      </c>
      <c r="I36" s="36">
        <f>F36-G36-H36</f>
        <v>197581.63981607999</v>
      </c>
      <c r="J36" s="36">
        <f>F36-G36-H36-I36</f>
        <v>0</v>
      </c>
      <c r="K36" s="71">
        <v>0</v>
      </c>
    </row>
    <row r="37" spans="1:11" x14ac:dyDescent="0.3">
      <c r="A37" s="57"/>
      <c r="B37" s="5"/>
      <c r="C37" s="5"/>
      <c r="D37" s="5"/>
      <c r="E37" s="5">
        <v>2019</v>
      </c>
      <c r="F37" s="69">
        <f>INVESTICIJE!H2</f>
        <v>240132.33586368</v>
      </c>
      <c r="G37" s="35"/>
      <c r="H37" s="36">
        <f>$F37*$C$24</f>
        <v>9605.2934345472004</v>
      </c>
      <c r="I37" s="36">
        <f>$F37*$C$24</f>
        <v>9605.2934345472004</v>
      </c>
      <c r="J37" s="36">
        <f>F37-H37-I37</f>
        <v>220921.74899458559</v>
      </c>
      <c r="K37" s="71">
        <f>F37-H37-I37-J37</f>
        <v>0</v>
      </c>
    </row>
    <row r="38" spans="1:11" x14ac:dyDescent="0.3">
      <c r="A38" s="57"/>
      <c r="B38" s="5"/>
      <c r="C38" s="5"/>
      <c r="D38" s="5"/>
      <c r="E38" s="5">
        <v>2020</v>
      </c>
      <c r="F38" s="69">
        <f>INVESTICIJE!I2</f>
        <v>268514.23507234565</v>
      </c>
      <c r="G38" s="35"/>
      <c r="H38" s="36"/>
      <c r="I38" s="36">
        <f>$F38*$C$24</f>
        <v>10740.569402893827</v>
      </c>
      <c r="J38" s="36">
        <f>$F38*$C$24</f>
        <v>10740.569402893827</v>
      </c>
      <c r="K38" s="71">
        <f>F38-I38-J38</f>
        <v>247033.09626655799</v>
      </c>
    </row>
    <row r="39" spans="1:11" x14ac:dyDescent="0.3">
      <c r="A39" s="57"/>
      <c r="B39" s="5"/>
      <c r="C39" s="5"/>
      <c r="D39" s="5"/>
      <c r="E39" s="5">
        <v>2021</v>
      </c>
      <c r="F39" s="69">
        <f>INVESTICIJE!J2</f>
        <v>300267.24369845307</v>
      </c>
      <c r="G39" s="35"/>
      <c r="H39" s="36"/>
      <c r="I39" s="36"/>
      <c r="J39" s="36">
        <f>$F39*$C$24</f>
        <v>12010.689747938122</v>
      </c>
      <c r="K39" s="36">
        <f>$F39*$C$24</f>
        <v>12010.689747938122</v>
      </c>
    </row>
    <row r="40" spans="1:11" x14ac:dyDescent="0.3">
      <c r="A40" s="57"/>
      <c r="B40" s="5"/>
      <c r="C40" s="5"/>
      <c r="D40" s="5"/>
      <c r="E40" s="5">
        <v>2022</v>
      </c>
      <c r="F40" s="69">
        <f>INVESTICIJE!K2</f>
        <v>335793.11739308748</v>
      </c>
      <c r="G40" s="35"/>
      <c r="H40" s="36"/>
      <c r="I40" s="36"/>
      <c r="J40" s="36"/>
      <c r="K40" s="71">
        <f>F40*C24</f>
        <v>13431.7246957235</v>
      </c>
    </row>
    <row r="41" spans="1:11" x14ac:dyDescent="0.3">
      <c r="A41" s="57"/>
      <c r="B41" s="5"/>
      <c r="C41" s="5"/>
      <c r="D41" s="5"/>
      <c r="E41" s="5"/>
      <c r="F41" s="51"/>
      <c r="G41" s="74"/>
      <c r="H41" s="2"/>
      <c r="I41" s="2"/>
      <c r="J41" s="2"/>
      <c r="K41" s="52"/>
    </row>
    <row r="42" spans="1:11" x14ac:dyDescent="0.3">
      <c r="A42" s="57" t="s">
        <v>62</v>
      </c>
      <c r="B42" s="5"/>
      <c r="C42" s="5"/>
      <c r="D42" s="5"/>
      <c r="E42" s="5"/>
      <c r="F42" s="51"/>
      <c r="G42" s="35">
        <f>SUM(G36:G40)</f>
        <v>8590.5060789599993</v>
      </c>
      <c r="H42" s="36">
        <f>SUM(H36:H40)</f>
        <v>18195.799513507198</v>
      </c>
      <c r="I42" s="36">
        <f>SUM(I36:I40)</f>
        <v>217927.50265352102</v>
      </c>
      <c r="J42" s="36">
        <f>SUM(J36:J40)</f>
        <v>243673.00814541755</v>
      </c>
      <c r="K42" s="71">
        <f>SUM(K36:K40)</f>
        <v>272475.51071021962</v>
      </c>
    </row>
    <row r="43" spans="1:11" x14ac:dyDescent="0.3">
      <c r="A43" s="57" t="s">
        <v>63</v>
      </c>
      <c r="B43" s="5"/>
      <c r="C43" s="5"/>
      <c r="D43" s="5"/>
      <c r="E43" s="5"/>
      <c r="F43" s="51"/>
      <c r="G43" s="35">
        <f>G24</f>
        <v>180115.56</v>
      </c>
      <c r="H43" s="35">
        <f t="shared" ref="H43:K43" si="11">H24</f>
        <v>180115.56</v>
      </c>
      <c r="I43" s="35">
        <f t="shared" si="11"/>
        <v>180115.56</v>
      </c>
      <c r="J43" s="35">
        <f t="shared" si="11"/>
        <v>180115.56</v>
      </c>
      <c r="K43" s="35">
        <f t="shared" si="11"/>
        <v>180115.56</v>
      </c>
    </row>
    <row r="44" spans="1:11" x14ac:dyDescent="0.3">
      <c r="A44" s="92" t="s">
        <v>56</v>
      </c>
      <c r="B44" s="1"/>
      <c r="C44" s="1"/>
      <c r="D44" s="1"/>
      <c r="E44" s="1"/>
      <c r="F44" s="73"/>
      <c r="G44" s="40">
        <f>G42+G43</f>
        <v>188706.06607895999</v>
      </c>
      <c r="H44" s="41">
        <f>H42+H43</f>
        <v>198311.3595135072</v>
      </c>
      <c r="I44" s="41">
        <f>I42+I43</f>
        <v>398043.06265352102</v>
      </c>
      <c r="J44" s="41">
        <f>J42+J43</f>
        <v>423788.56814541755</v>
      </c>
      <c r="K44" s="106">
        <f>K42+K43</f>
        <v>452591.07071021962</v>
      </c>
    </row>
    <row r="45" spans="1:11" x14ac:dyDescent="0.3">
      <c r="A45" s="57"/>
      <c r="B45" s="5"/>
      <c r="C45" s="5"/>
      <c r="D45" s="5"/>
      <c r="E45" s="5"/>
      <c r="F45" s="54"/>
      <c r="G45" s="55"/>
      <c r="H45" s="5"/>
      <c r="I45" s="5"/>
      <c r="J45" s="5"/>
      <c r="K45" s="56"/>
    </row>
    <row r="46" spans="1:11" x14ac:dyDescent="0.3">
      <c r="A46" s="57"/>
      <c r="B46" s="5"/>
      <c r="C46" s="5"/>
      <c r="D46" s="5"/>
      <c r="E46" s="5"/>
      <c r="F46" s="54"/>
      <c r="G46" s="55"/>
      <c r="H46" s="5"/>
      <c r="I46" s="5"/>
      <c r="J46" s="5"/>
      <c r="K46" s="56"/>
    </row>
    <row r="47" spans="1:11" x14ac:dyDescent="0.3">
      <c r="A47" s="92" t="s">
        <v>64</v>
      </c>
      <c r="B47" s="1"/>
      <c r="C47" s="1"/>
      <c r="D47" s="1"/>
      <c r="E47" s="1"/>
      <c r="F47" s="58" t="s">
        <v>39</v>
      </c>
      <c r="G47" s="59">
        <v>2018</v>
      </c>
      <c r="H47" s="1">
        <v>2019</v>
      </c>
      <c r="I47" s="1">
        <v>2020</v>
      </c>
      <c r="J47" s="1">
        <v>2021</v>
      </c>
      <c r="K47" s="60">
        <v>2022</v>
      </c>
    </row>
    <row r="48" spans="1:11" x14ac:dyDescent="0.3">
      <c r="A48" s="57"/>
      <c r="B48" s="5"/>
      <c r="C48" s="5"/>
      <c r="D48" s="5"/>
      <c r="E48" s="5">
        <v>2018</v>
      </c>
      <c r="F48" s="69">
        <f>INVESTICIJE!G7</f>
        <v>3436202.4315840001</v>
      </c>
      <c r="G48" s="35">
        <f>$F48*$C$29</f>
        <v>103086.07294752001</v>
      </c>
      <c r="H48" s="35">
        <f t="shared" ref="H48:K50" si="12">$F48*$C$29</f>
        <v>103086.07294752001</v>
      </c>
      <c r="I48" s="35">
        <f t="shared" si="12"/>
        <v>103086.07294752001</v>
      </c>
      <c r="J48" s="35">
        <f t="shared" si="12"/>
        <v>103086.07294752001</v>
      </c>
      <c r="K48" s="35">
        <f t="shared" si="12"/>
        <v>103086.07294752001</v>
      </c>
    </row>
    <row r="49" spans="1:11" x14ac:dyDescent="0.3">
      <c r="A49" s="57"/>
      <c r="B49" s="5"/>
      <c r="C49" s="5"/>
      <c r="D49" s="5"/>
      <c r="E49" s="5">
        <v>2019</v>
      </c>
      <c r="F49" s="69">
        <f>INVESTICIJE!H7</f>
        <v>3842117.3738188799</v>
      </c>
      <c r="G49" s="35"/>
      <c r="H49" s="36">
        <f>$F49*$C$29</f>
        <v>115263.5212145664</v>
      </c>
      <c r="I49" s="36">
        <f t="shared" si="12"/>
        <v>115263.5212145664</v>
      </c>
      <c r="J49" s="36">
        <f t="shared" si="12"/>
        <v>115263.5212145664</v>
      </c>
      <c r="K49" s="36">
        <f t="shared" si="12"/>
        <v>115263.5212145664</v>
      </c>
    </row>
    <row r="50" spans="1:11" x14ac:dyDescent="0.3">
      <c r="A50" s="57"/>
      <c r="B50" s="5"/>
      <c r="C50" s="5"/>
      <c r="D50" s="5"/>
      <c r="E50" s="5">
        <v>2020</v>
      </c>
      <c r="F50" s="69">
        <f>INVESTICIJE!I7</f>
        <v>3759199.2910128394</v>
      </c>
      <c r="G50" s="35"/>
      <c r="H50" s="36"/>
      <c r="I50" s="36">
        <f>$F50*$C$29</f>
        <v>112775.97873038518</v>
      </c>
      <c r="J50" s="36">
        <f t="shared" si="12"/>
        <v>112775.97873038518</v>
      </c>
      <c r="K50" s="36">
        <f t="shared" si="12"/>
        <v>112775.97873038518</v>
      </c>
    </row>
    <row r="51" spans="1:11" x14ac:dyDescent="0.3">
      <c r="A51" s="57"/>
      <c r="B51" s="5"/>
      <c r="C51" s="5"/>
      <c r="D51" s="5"/>
      <c r="E51" s="5">
        <v>2021</v>
      </c>
      <c r="F51" s="69">
        <f>INVESTICIJE!J7</f>
        <v>4203741.4117783438</v>
      </c>
      <c r="G51" s="35"/>
      <c r="H51" s="36"/>
      <c r="I51" s="36"/>
      <c r="J51" s="36">
        <f>$F51*$C$29</f>
        <v>126112.24235335032</v>
      </c>
      <c r="K51" s="36">
        <f>$F51*$C$29</f>
        <v>126112.24235335032</v>
      </c>
    </row>
    <row r="52" spans="1:11" x14ac:dyDescent="0.3">
      <c r="A52" s="57"/>
      <c r="B52" s="5"/>
      <c r="C52" s="5"/>
      <c r="D52" s="5"/>
      <c r="E52" s="5">
        <v>2022</v>
      </c>
      <c r="F52" s="69">
        <f>INVESTICIJE!K7</f>
        <v>4701103.6435032245</v>
      </c>
      <c r="G52" s="35"/>
      <c r="H52" s="36"/>
      <c r="I52" s="36"/>
      <c r="J52" s="36"/>
      <c r="K52" s="71">
        <f>F52*C29</f>
        <v>141033.10930509673</v>
      </c>
    </row>
    <row r="53" spans="1:11" x14ac:dyDescent="0.3">
      <c r="A53" s="57"/>
      <c r="B53" s="5"/>
      <c r="C53" s="5"/>
      <c r="D53" s="5"/>
      <c r="E53" s="5"/>
      <c r="F53" s="51"/>
      <c r="G53" s="74"/>
      <c r="H53" s="2"/>
      <c r="I53" s="2"/>
      <c r="J53" s="2"/>
      <c r="K53" s="52"/>
    </row>
    <row r="54" spans="1:11" x14ac:dyDescent="0.3">
      <c r="A54" s="57" t="s">
        <v>65</v>
      </c>
      <c r="B54" s="5"/>
      <c r="C54" s="5"/>
      <c r="D54" s="5"/>
      <c r="E54" s="5"/>
      <c r="F54" s="51"/>
      <c r="G54" s="35">
        <f>SUM(G48:G52)</f>
        <v>103086.07294752001</v>
      </c>
      <c r="H54" s="36">
        <f>SUM(H48:H52)</f>
        <v>218349.5941620864</v>
      </c>
      <c r="I54" s="36">
        <f>SUM(I48:I52)</f>
        <v>331125.57289247157</v>
      </c>
      <c r="J54" s="36">
        <f>SUM(J48:J52)</f>
        <v>457237.8152458219</v>
      </c>
      <c r="K54" s="71">
        <f>SUM(K48:K52)</f>
        <v>598270.92455091863</v>
      </c>
    </row>
    <row r="55" spans="1:11" x14ac:dyDescent="0.3">
      <c r="A55" s="57" t="s">
        <v>63</v>
      </c>
      <c r="B55" s="5"/>
      <c r="C55" s="5"/>
      <c r="D55" s="5"/>
      <c r="E55" s="5"/>
      <c r="F55" s="51"/>
      <c r="G55" s="35">
        <f>G29</f>
        <v>1079892.06</v>
      </c>
      <c r="H55" s="35">
        <f t="shared" ref="H55:K55" si="13">H29</f>
        <v>1079892.06</v>
      </c>
      <c r="I55" s="35">
        <f t="shared" si="13"/>
        <v>1079892.06</v>
      </c>
      <c r="J55" s="35">
        <f t="shared" si="13"/>
        <v>1079892.06</v>
      </c>
      <c r="K55" s="35">
        <f t="shared" si="13"/>
        <v>1079892.06</v>
      </c>
    </row>
    <row r="56" spans="1:11" x14ac:dyDescent="0.3">
      <c r="A56" s="92" t="s">
        <v>56</v>
      </c>
      <c r="B56" s="1"/>
      <c r="C56" s="1"/>
      <c r="D56" s="1"/>
      <c r="E56" s="1"/>
      <c r="F56" s="73"/>
      <c r="G56" s="40">
        <f>SUM(G54:G55)</f>
        <v>1182978.1329475201</v>
      </c>
      <c r="H56" s="41">
        <f>SUM(H54:H55)</f>
        <v>1298241.6541620865</v>
      </c>
      <c r="I56" s="41">
        <f>SUM(I54:I55)</f>
        <v>1411017.6328924717</v>
      </c>
      <c r="J56" s="41">
        <f>SUM(J54:J55)</f>
        <v>1537129.8752458219</v>
      </c>
      <c r="K56" s="106">
        <f>SUM(K54:K55)</f>
        <v>1678162.9845509187</v>
      </c>
    </row>
    <row r="57" spans="1:11" x14ac:dyDescent="0.3">
      <c r="A57" s="57"/>
      <c r="B57" s="5"/>
      <c r="C57" s="5"/>
      <c r="D57" s="5"/>
      <c r="E57" s="5"/>
      <c r="F57" s="54"/>
      <c r="G57" s="55"/>
      <c r="H57" s="5"/>
      <c r="I57" s="5"/>
      <c r="J57" s="5"/>
      <c r="K57" s="56"/>
    </row>
    <row r="58" spans="1:11" x14ac:dyDescent="0.3">
      <c r="A58" s="57"/>
      <c r="B58" s="5"/>
      <c r="C58" s="5"/>
      <c r="D58" s="5"/>
      <c r="E58" s="5"/>
      <c r="F58" s="54"/>
      <c r="G58" s="55"/>
      <c r="H58" s="5"/>
      <c r="I58" s="5"/>
      <c r="J58" s="5"/>
      <c r="K58" s="56"/>
    </row>
    <row r="59" spans="1:11" x14ac:dyDescent="0.3">
      <c r="A59" s="92" t="s">
        <v>49</v>
      </c>
      <c r="B59" s="1"/>
      <c r="C59" s="1"/>
      <c r="D59" s="1"/>
      <c r="E59" s="1"/>
      <c r="F59" s="58" t="s">
        <v>39</v>
      </c>
      <c r="G59" s="59">
        <v>2018</v>
      </c>
      <c r="H59" s="1">
        <v>2019</v>
      </c>
      <c r="I59" s="1">
        <v>2020</v>
      </c>
      <c r="J59" s="1">
        <v>2021</v>
      </c>
      <c r="K59" s="60">
        <v>2022</v>
      </c>
    </row>
    <row r="60" spans="1:11" x14ac:dyDescent="0.3">
      <c r="A60" s="57"/>
      <c r="B60" s="5"/>
      <c r="C60" s="5"/>
      <c r="D60" s="5"/>
      <c r="E60" s="5">
        <v>2018</v>
      </c>
      <c r="F60" s="69">
        <f>INVESTICIJE!G8</f>
        <v>6475919.967216</v>
      </c>
      <c r="G60" s="35">
        <f>$F60*$C$30</f>
        <v>284940.47855750396</v>
      </c>
      <c r="H60" s="35">
        <f t="shared" ref="H60:K62" si="14">$F60*$C$30</f>
        <v>284940.47855750396</v>
      </c>
      <c r="I60" s="35">
        <f t="shared" si="14"/>
        <v>284940.47855750396</v>
      </c>
      <c r="J60" s="35">
        <f t="shared" si="14"/>
        <v>284940.47855750396</v>
      </c>
      <c r="K60" s="35">
        <f t="shared" si="14"/>
        <v>284940.47855750396</v>
      </c>
    </row>
    <row r="61" spans="1:11" x14ac:dyDescent="0.3">
      <c r="A61" s="57"/>
      <c r="B61" s="5"/>
      <c r="C61" s="5"/>
      <c r="D61" s="5"/>
      <c r="E61" s="5">
        <v>2019</v>
      </c>
      <c r="F61" s="69">
        <f>INVESTICIJE!H8</f>
        <v>7240913.5121971201</v>
      </c>
      <c r="G61" s="35"/>
      <c r="H61" s="36">
        <f>$F61*$C$30</f>
        <v>318600.19453667325</v>
      </c>
      <c r="I61" s="36">
        <f t="shared" si="14"/>
        <v>318600.19453667325</v>
      </c>
      <c r="J61" s="36">
        <f t="shared" si="14"/>
        <v>318600.19453667325</v>
      </c>
      <c r="K61" s="36">
        <f t="shared" si="14"/>
        <v>318600.19453667325</v>
      </c>
    </row>
    <row r="62" spans="1:11" x14ac:dyDescent="0.3">
      <c r="A62" s="57"/>
      <c r="B62" s="5"/>
      <c r="C62" s="5"/>
      <c r="D62" s="5"/>
      <c r="E62" s="5">
        <v>2020</v>
      </c>
      <c r="F62" s="69">
        <f>INVESTICIJE!I8</f>
        <v>7084644.8176780436</v>
      </c>
      <c r="G62" s="35"/>
      <c r="H62" s="36"/>
      <c r="I62" s="36">
        <f>$F62*$C$30</f>
        <v>311724.37197783391</v>
      </c>
      <c r="J62" s="36">
        <f t="shared" si="14"/>
        <v>311724.37197783391</v>
      </c>
      <c r="K62" s="36">
        <f t="shared" si="14"/>
        <v>311724.37197783391</v>
      </c>
    </row>
    <row r="63" spans="1:11" x14ac:dyDescent="0.3">
      <c r="A63" s="57"/>
      <c r="B63" s="5"/>
      <c r="C63" s="5"/>
      <c r="D63" s="5"/>
      <c r="E63" s="5">
        <v>2021</v>
      </c>
      <c r="F63" s="69">
        <f>INVESTICIJE!J8</f>
        <v>7922435.7375822626</v>
      </c>
      <c r="G63" s="35"/>
      <c r="H63" s="36"/>
      <c r="I63" s="36"/>
      <c r="J63" s="36">
        <f>$F63*$C$30</f>
        <v>348587.17245361954</v>
      </c>
      <c r="K63" s="36">
        <f>$F63*$C$30</f>
        <v>348587.17245361954</v>
      </c>
    </row>
    <row r="64" spans="1:11" x14ac:dyDescent="0.3">
      <c r="A64" s="57"/>
      <c r="B64" s="5"/>
      <c r="C64" s="5"/>
      <c r="D64" s="5"/>
      <c r="E64" s="5">
        <v>2022</v>
      </c>
      <c r="F64" s="69">
        <f>INVESTICIJE!K8</f>
        <v>8859772.2512176149</v>
      </c>
      <c r="G64" s="35"/>
      <c r="H64" s="36"/>
      <c r="I64" s="36"/>
      <c r="J64" s="36"/>
      <c r="K64" s="71">
        <f>$F64*C30</f>
        <v>389829.97905357502</v>
      </c>
    </row>
    <row r="65" spans="1:11" x14ac:dyDescent="0.3">
      <c r="A65" s="57"/>
      <c r="B65" s="5"/>
      <c r="C65" s="5"/>
      <c r="D65" s="5"/>
      <c r="E65" s="5"/>
      <c r="F65" s="51"/>
      <c r="G65" s="74"/>
      <c r="H65" s="2"/>
      <c r="I65" s="2"/>
      <c r="J65" s="2"/>
      <c r="K65" s="52"/>
    </row>
    <row r="66" spans="1:11" x14ac:dyDescent="0.3">
      <c r="A66" s="57" t="s">
        <v>66</v>
      </c>
      <c r="B66" s="5"/>
      <c r="C66" s="5"/>
      <c r="D66" s="5"/>
      <c r="E66" s="5"/>
      <c r="F66" s="51"/>
      <c r="G66" s="35">
        <f>SUM(G60:G64)</f>
        <v>284940.47855750396</v>
      </c>
      <c r="H66" s="36">
        <f>SUM(H60:H64)</f>
        <v>603540.67309417715</v>
      </c>
      <c r="I66" s="36">
        <f>SUM(I60:I64)</f>
        <v>915265.04507201107</v>
      </c>
      <c r="J66" s="36">
        <f>SUM(J60:J64)</f>
        <v>1263852.2175256307</v>
      </c>
      <c r="K66" s="71">
        <f>SUM(K60:K64)</f>
        <v>1653682.1965792058</v>
      </c>
    </row>
    <row r="67" spans="1:11" x14ac:dyDescent="0.3">
      <c r="A67" s="57" t="s">
        <v>63</v>
      </c>
      <c r="B67" s="5"/>
      <c r="C67" s="5"/>
      <c r="D67" s="5"/>
      <c r="E67" s="5"/>
      <c r="F67" s="51"/>
      <c r="G67" s="35">
        <f>G30</f>
        <v>4226142.5359999994</v>
      </c>
      <c r="H67" s="35">
        <f t="shared" ref="H67:K67" si="15">H30</f>
        <v>4226142.5359999994</v>
      </c>
      <c r="I67" s="35">
        <f t="shared" si="15"/>
        <v>4226142.5359999994</v>
      </c>
      <c r="J67" s="35">
        <f t="shared" si="15"/>
        <v>4226142.5359999994</v>
      </c>
      <c r="K67" s="35">
        <f t="shared" si="15"/>
        <v>4226142.5359999994</v>
      </c>
    </row>
    <row r="68" spans="1:11" x14ac:dyDescent="0.3">
      <c r="A68" s="92" t="s">
        <v>56</v>
      </c>
      <c r="B68" s="1"/>
      <c r="C68" s="1"/>
      <c r="D68" s="1"/>
      <c r="E68" s="1"/>
      <c r="F68" s="73"/>
      <c r="G68" s="40">
        <f>SUM(G66:G67)</f>
        <v>4511083.0145575032</v>
      </c>
      <c r="H68" s="41">
        <f>SUM(H66:H67)</f>
        <v>4829683.2090941761</v>
      </c>
      <c r="I68" s="41">
        <f>SUM(I66:I67)</f>
        <v>5141407.5810720101</v>
      </c>
      <c r="J68" s="41">
        <f>SUM(J66:J67)</f>
        <v>5489994.7535256296</v>
      </c>
      <c r="K68" s="106">
        <f>SUM(K66:K67)</f>
        <v>5879824.7325792052</v>
      </c>
    </row>
    <row r="69" spans="1:11" x14ac:dyDescent="0.3">
      <c r="A69" s="57"/>
      <c r="B69" s="5"/>
      <c r="C69" s="5"/>
      <c r="D69" s="5"/>
      <c r="E69" s="5"/>
      <c r="F69" s="54"/>
      <c r="G69" s="55"/>
      <c r="H69" s="5"/>
      <c r="I69" s="5"/>
      <c r="J69" s="5"/>
      <c r="K69" s="56"/>
    </row>
    <row r="70" spans="1:11" x14ac:dyDescent="0.3">
      <c r="A70" s="57"/>
      <c r="B70" s="5"/>
      <c r="C70" s="5"/>
      <c r="D70" s="5"/>
      <c r="E70" s="5"/>
      <c r="F70" s="54"/>
      <c r="G70" s="55"/>
      <c r="H70" s="5"/>
      <c r="I70" s="5"/>
      <c r="J70" s="5"/>
      <c r="K70" s="56"/>
    </row>
    <row r="71" spans="1:11" x14ac:dyDescent="0.3">
      <c r="A71" s="92" t="s">
        <v>50</v>
      </c>
      <c r="B71" s="1"/>
      <c r="C71" s="1"/>
      <c r="D71" s="1"/>
      <c r="E71" s="1"/>
      <c r="F71" s="58" t="s">
        <v>39</v>
      </c>
      <c r="G71" s="59">
        <v>2018</v>
      </c>
      <c r="H71" s="1">
        <v>2019</v>
      </c>
      <c r="I71" s="1">
        <v>2020</v>
      </c>
      <c r="J71" s="1">
        <v>2021</v>
      </c>
      <c r="K71" s="60">
        <v>2022</v>
      </c>
    </row>
    <row r="72" spans="1:11" x14ac:dyDescent="0.3">
      <c r="A72" s="57"/>
      <c r="B72" s="5"/>
      <c r="C72" s="5"/>
      <c r="D72" s="5"/>
      <c r="E72" s="5">
        <v>2018</v>
      </c>
      <c r="F72" s="69">
        <f>INVESTICIJE!G9</f>
        <v>3304040.7996</v>
      </c>
      <c r="G72" s="35">
        <f>$F72*$C$31</f>
        <v>132161.63198400001</v>
      </c>
      <c r="H72" s="35">
        <f t="shared" ref="H72:K74" si="16">$F72*$C$31</f>
        <v>132161.63198400001</v>
      </c>
      <c r="I72" s="35">
        <f t="shared" si="16"/>
        <v>132161.63198400001</v>
      </c>
      <c r="J72" s="35">
        <f t="shared" si="16"/>
        <v>132161.63198400001</v>
      </c>
      <c r="K72" s="35">
        <f t="shared" si="16"/>
        <v>132161.63198400001</v>
      </c>
    </row>
    <row r="73" spans="1:11" x14ac:dyDescent="0.3">
      <c r="A73" s="57"/>
      <c r="B73" s="5"/>
      <c r="C73" s="5"/>
      <c r="D73" s="5"/>
      <c r="E73" s="5">
        <v>2019</v>
      </c>
      <c r="F73" s="69">
        <f>INVESTICIJE!H9</f>
        <v>3694343.628672</v>
      </c>
      <c r="G73" s="35"/>
      <c r="H73" s="36">
        <f>$F73*$C$31</f>
        <v>147773.74514688001</v>
      </c>
      <c r="I73" s="36">
        <f t="shared" si="16"/>
        <v>147773.74514688001</v>
      </c>
      <c r="J73" s="36">
        <f t="shared" si="16"/>
        <v>147773.74514688001</v>
      </c>
      <c r="K73" s="36">
        <f t="shared" si="16"/>
        <v>147773.74514688001</v>
      </c>
    </row>
    <row r="74" spans="1:11" x14ac:dyDescent="0.3">
      <c r="A74" s="57"/>
      <c r="B74" s="5"/>
      <c r="C74" s="5"/>
      <c r="D74" s="5"/>
      <c r="E74" s="5">
        <v>2020</v>
      </c>
      <c r="F74" s="69">
        <f>INVESTICIJE!I9</f>
        <v>3614614.702896961</v>
      </c>
      <c r="G74" s="35"/>
      <c r="H74" s="36"/>
      <c r="I74" s="36">
        <f>$F74*$C$31</f>
        <v>144584.58811587843</v>
      </c>
      <c r="J74" s="36">
        <f t="shared" si="16"/>
        <v>144584.58811587843</v>
      </c>
      <c r="K74" s="36">
        <f t="shared" si="16"/>
        <v>144584.58811587843</v>
      </c>
    </row>
    <row r="75" spans="1:11" x14ac:dyDescent="0.3">
      <c r="A75" s="57"/>
      <c r="B75" s="5"/>
      <c r="C75" s="5"/>
      <c r="D75" s="5"/>
      <c r="E75" s="5">
        <v>2021</v>
      </c>
      <c r="F75" s="69">
        <f>INVESTICIJE!J9</f>
        <v>4042059.049786869</v>
      </c>
      <c r="G75" s="35"/>
      <c r="H75" s="36"/>
      <c r="I75" s="36"/>
      <c r="J75" s="36">
        <f>$F75*$C$31</f>
        <v>161682.36199147475</v>
      </c>
      <c r="K75" s="36">
        <f>$F75*$C$31</f>
        <v>161682.36199147475</v>
      </c>
    </row>
    <row r="76" spans="1:11" x14ac:dyDescent="0.3">
      <c r="A76" s="57"/>
      <c r="B76" s="5"/>
      <c r="C76" s="5"/>
      <c r="D76" s="5"/>
      <c r="E76" s="5">
        <v>2022</v>
      </c>
      <c r="F76" s="69">
        <f>INVESTICIJE!K9</f>
        <v>4520291.9649069468</v>
      </c>
      <c r="G76" s="35"/>
      <c r="H76" s="36"/>
      <c r="I76" s="36"/>
      <c r="J76" s="36"/>
      <c r="K76" s="71">
        <f>$F76*C31</f>
        <v>180811.67859627787</v>
      </c>
    </row>
    <row r="77" spans="1:11" x14ac:dyDescent="0.3">
      <c r="A77" s="57"/>
      <c r="B77" s="5"/>
      <c r="C77" s="5"/>
      <c r="D77" s="5"/>
      <c r="E77" s="5"/>
      <c r="F77" s="51"/>
      <c r="G77" s="74"/>
      <c r="H77" s="2"/>
      <c r="I77" s="2"/>
      <c r="J77" s="2"/>
      <c r="K77" s="52"/>
    </row>
    <row r="78" spans="1:11" x14ac:dyDescent="0.3">
      <c r="A78" s="57" t="s">
        <v>67</v>
      </c>
      <c r="B78" s="5"/>
      <c r="C78" s="5"/>
      <c r="D78" s="5"/>
      <c r="E78" s="5"/>
      <c r="F78" s="51"/>
      <c r="G78" s="35">
        <f>SUM(G72:G76)</f>
        <v>132161.63198400001</v>
      </c>
      <c r="H78" s="36">
        <f>SUM(H72:H76)</f>
        <v>279935.37713088002</v>
      </c>
      <c r="I78" s="36">
        <f>SUM(I72:I76)</f>
        <v>424519.96524675842</v>
      </c>
      <c r="J78" s="36">
        <f>SUM(J72:J76)</f>
        <v>586202.32723823318</v>
      </c>
      <c r="K78" s="71">
        <f>SUM(K72:K76)</f>
        <v>767014.00583451102</v>
      </c>
    </row>
    <row r="79" spans="1:11" x14ac:dyDescent="0.3">
      <c r="A79" s="57" t="s">
        <v>63</v>
      </c>
      <c r="B79" s="5"/>
      <c r="C79" s="5"/>
      <c r="D79" s="5"/>
      <c r="E79" s="5"/>
      <c r="F79" s="51"/>
      <c r="G79" s="35">
        <f>G31</f>
        <v>772377</v>
      </c>
      <c r="H79" s="35">
        <f t="shared" ref="H79:K79" si="17">H31</f>
        <v>772377</v>
      </c>
      <c r="I79" s="35">
        <f t="shared" si="17"/>
        <v>772377</v>
      </c>
      <c r="J79" s="35">
        <f t="shared" si="17"/>
        <v>772377</v>
      </c>
      <c r="K79" s="35">
        <f t="shared" si="17"/>
        <v>772377</v>
      </c>
    </row>
    <row r="80" spans="1:11" x14ac:dyDescent="0.3">
      <c r="A80" s="92" t="s">
        <v>56</v>
      </c>
      <c r="B80" s="1"/>
      <c r="C80" s="1"/>
      <c r="D80" s="1"/>
      <c r="E80" s="1"/>
      <c r="F80" s="73"/>
      <c r="G80" s="40">
        <f>G78+G79</f>
        <v>904538.63198399998</v>
      </c>
      <c r="H80" s="41">
        <f>H78+H79</f>
        <v>1052312.37713088</v>
      </c>
      <c r="I80" s="41">
        <f>I78+I79</f>
        <v>1196896.9652467584</v>
      </c>
      <c r="J80" s="41">
        <f>J78+J79</f>
        <v>1358579.3272382333</v>
      </c>
      <c r="K80" s="106">
        <f>K78+K79</f>
        <v>1539391.005834511</v>
      </c>
    </row>
    <row r="81" spans="1:11" x14ac:dyDescent="0.3">
      <c r="A81" s="57"/>
      <c r="B81" s="5"/>
      <c r="C81" s="5"/>
      <c r="D81" s="5"/>
      <c r="E81" s="5"/>
      <c r="F81" s="54"/>
      <c r="G81" s="55"/>
      <c r="H81" s="5"/>
      <c r="I81" s="5"/>
      <c r="J81" s="5"/>
      <c r="K81" s="56"/>
    </row>
    <row r="82" spans="1:11" x14ac:dyDescent="0.3">
      <c r="A82" s="57"/>
      <c r="B82" s="5"/>
      <c r="C82" s="5"/>
      <c r="D82" s="5"/>
      <c r="E82" s="5"/>
      <c r="F82" s="54"/>
      <c r="G82" s="55"/>
      <c r="H82" s="5"/>
      <c r="I82" s="5"/>
      <c r="J82" s="5"/>
      <c r="K82" s="56"/>
    </row>
    <row r="83" spans="1:11" x14ac:dyDescent="0.3">
      <c r="A83" s="57"/>
      <c r="B83" s="5"/>
      <c r="C83" s="5"/>
      <c r="D83" s="5"/>
      <c r="E83" s="5"/>
      <c r="F83" s="54"/>
      <c r="G83" s="55"/>
      <c r="H83" s="5"/>
      <c r="I83" s="5"/>
      <c r="J83" s="5"/>
      <c r="K83" s="56"/>
    </row>
    <row r="84" spans="1:11" ht="15" thickBot="1" x14ac:dyDescent="0.35">
      <c r="A84" s="93"/>
      <c r="B84" s="88"/>
      <c r="C84" s="88"/>
      <c r="D84" s="88"/>
      <c r="E84" s="88"/>
      <c r="F84" s="94"/>
      <c r="G84" s="95"/>
      <c r="H84" s="88"/>
      <c r="I84" s="88"/>
      <c r="J84" s="88"/>
      <c r="K84" s="96"/>
    </row>
    <row r="85" spans="1:11" x14ac:dyDescent="0.3">
      <c r="F85" s="29"/>
    </row>
    <row r="86" spans="1:11" x14ac:dyDescent="0.3">
      <c r="F86" s="29"/>
    </row>
    <row r="87" spans="1:11" ht="15" thickBot="1" x14ac:dyDescent="0.35">
      <c r="F87" s="29"/>
      <c r="H87" s="274"/>
      <c r="I87" s="274"/>
      <c r="J87" s="274"/>
      <c r="K87" s="274"/>
    </row>
    <row r="88" spans="1:11" s="13" customFormat="1" x14ac:dyDescent="0.3">
      <c r="A88" s="142" t="s">
        <v>56</v>
      </c>
      <c r="B88" s="143">
        <v>2013</v>
      </c>
      <c r="C88" s="143">
        <v>2014</v>
      </c>
      <c r="D88" s="143">
        <v>2015</v>
      </c>
      <c r="E88" s="143">
        <v>2016</v>
      </c>
      <c r="F88" s="151">
        <v>2017</v>
      </c>
      <c r="G88" s="146">
        <v>2018</v>
      </c>
      <c r="H88" s="143">
        <v>2019</v>
      </c>
      <c r="I88" s="143">
        <v>2020</v>
      </c>
      <c r="J88" s="143">
        <v>2021</v>
      </c>
      <c r="K88" s="144">
        <v>2022</v>
      </c>
    </row>
    <row r="89" spans="1:11" x14ac:dyDescent="0.3">
      <c r="A89" s="89" t="s">
        <v>57</v>
      </c>
      <c r="B89" s="145">
        <f>B2+B5</f>
        <v>5564053</v>
      </c>
      <c r="C89" s="145">
        <f t="shared" ref="C89:F89" si="18">C2+C5</f>
        <v>5246451</v>
      </c>
      <c r="D89" s="145">
        <f t="shared" si="18"/>
        <v>5430337</v>
      </c>
      <c r="E89" s="145">
        <f t="shared" si="18"/>
        <v>6219574</v>
      </c>
      <c r="F89" s="152">
        <f t="shared" si="18"/>
        <v>7405570</v>
      </c>
      <c r="G89" s="147">
        <f>G91+G90</f>
        <v>6787305.8455679826</v>
      </c>
      <c r="H89" s="145">
        <f t="shared" ref="H89:K89" si="19">H91+H90</f>
        <v>7378548.5999006499</v>
      </c>
      <c r="I89" s="145">
        <f t="shared" si="19"/>
        <v>8147365.2418647613</v>
      </c>
      <c r="J89" s="145">
        <f t="shared" si="19"/>
        <v>8809492.5241551027</v>
      </c>
      <c r="K89" s="315">
        <f t="shared" si="19"/>
        <v>9549969.7936748527</v>
      </c>
    </row>
    <row r="90" spans="1:11" x14ac:dyDescent="0.3">
      <c r="A90" s="50" t="s">
        <v>58</v>
      </c>
      <c r="B90" s="2"/>
      <c r="C90" s="2"/>
      <c r="D90" s="2"/>
      <c r="E90" s="2"/>
      <c r="F90" s="51"/>
      <c r="G90" s="35">
        <f>G27+G24</f>
        <v>6258527.1559999986</v>
      </c>
      <c r="H90" s="36">
        <f t="shared" ref="H90:K90" si="20">H27+H24</f>
        <v>6258527.1559999986</v>
      </c>
      <c r="I90" s="36">
        <f t="shared" si="20"/>
        <v>6258527.1559999986</v>
      </c>
      <c r="J90" s="36">
        <f t="shared" si="20"/>
        <v>6258527.1559999986</v>
      </c>
      <c r="K90" s="71">
        <f t="shared" si="20"/>
        <v>6258527.1559999986</v>
      </c>
    </row>
    <row r="91" spans="1:11" ht="15" thickBot="1" x14ac:dyDescent="0.35">
      <c r="A91" s="90" t="s">
        <v>59</v>
      </c>
      <c r="B91" s="91"/>
      <c r="C91" s="91"/>
      <c r="D91" s="91"/>
      <c r="E91" s="91"/>
      <c r="F91" s="153"/>
      <c r="G91" s="109">
        <f>G78+G66+G54+G42</f>
        <v>528778.68956798397</v>
      </c>
      <c r="H91" s="110">
        <f t="shared" ref="H91:K91" si="21">H78+H66+H54+H42</f>
        <v>1120021.4439006508</v>
      </c>
      <c r="I91" s="110">
        <f t="shared" si="21"/>
        <v>1888838.0858647623</v>
      </c>
      <c r="J91" s="110">
        <f t="shared" si="21"/>
        <v>2550965.3681551036</v>
      </c>
      <c r="K91" s="111">
        <f t="shared" si="21"/>
        <v>3291442.6376748551</v>
      </c>
    </row>
    <row r="92" spans="1:11" x14ac:dyDescent="0.3">
      <c r="F92" s="29"/>
    </row>
    <row r="93" spans="1:11" x14ac:dyDescent="0.3">
      <c r="F93" s="29"/>
      <c r="G93" s="137"/>
    </row>
    <row r="94" spans="1:11" x14ac:dyDescent="0.3">
      <c r="F94" s="137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workbookViewId="0">
      <selection activeCell="A85" sqref="A85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5" customFormat="1" x14ac:dyDescent="0.3">
      <c r="A1" s="61" t="s">
        <v>69</v>
      </c>
      <c r="B1" s="143">
        <v>2016</v>
      </c>
      <c r="C1" s="143">
        <v>2017</v>
      </c>
      <c r="D1" s="143">
        <v>2018</v>
      </c>
      <c r="E1" s="143">
        <v>2019</v>
      </c>
      <c r="F1" s="143">
        <v>2020</v>
      </c>
      <c r="G1" s="143">
        <v>2021</v>
      </c>
      <c r="H1" s="144">
        <v>2022</v>
      </c>
      <c r="I1" s="166" t="s">
        <v>70</v>
      </c>
    </row>
    <row r="2" spans="1:9" s="157" customFormat="1" x14ac:dyDescent="0.3">
      <c r="A2" s="172" t="s">
        <v>71</v>
      </c>
      <c r="B2" s="198">
        <v>3.1E-2</v>
      </c>
      <c r="C2" s="198">
        <v>4.3999999999999997E-2</v>
      </c>
      <c r="D2" s="167">
        <v>3.9E-2</v>
      </c>
      <c r="E2" s="167">
        <v>3.2000000000000001E-2</v>
      </c>
      <c r="F2" s="167"/>
      <c r="G2" s="167"/>
      <c r="H2" s="173"/>
    </row>
    <row r="3" spans="1:9" s="3" customFormat="1" x14ac:dyDescent="0.3">
      <c r="A3" s="50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2"/>
    </row>
    <row r="4" spans="1:9" s="77" customFormat="1" x14ac:dyDescent="0.3">
      <c r="A4" s="174" t="s">
        <v>73</v>
      </c>
      <c r="B4" s="199">
        <v>0.20100000000000001</v>
      </c>
      <c r="C4" s="200">
        <v>0.20499999999999999</v>
      </c>
      <c r="D4" s="168">
        <v>0.20799999999999999</v>
      </c>
      <c r="E4" s="168">
        <v>0.20899999999999999</v>
      </c>
      <c r="F4" s="76"/>
      <c r="G4" s="76"/>
      <c r="H4" s="197"/>
    </row>
    <row r="5" spans="1:9" x14ac:dyDescent="0.3">
      <c r="A5" s="57" t="s">
        <v>74</v>
      </c>
      <c r="B5" s="201">
        <v>4.9000000000000002E-2</v>
      </c>
      <c r="C5" s="202">
        <v>6.5000000000000002E-2</v>
      </c>
      <c r="D5" s="169">
        <v>0.06</v>
      </c>
      <c r="E5" s="169">
        <v>0.05</v>
      </c>
      <c r="F5" s="5"/>
      <c r="G5" s="5"/>
      <c r="H5" s="56"/>
    </row>
    <row r="6" spans="1:9" x14ac:dyDescent="0.3">
      <c r="A6" s="57" t="s">
        <v>75</v>
      </c>
      <c r="B6" s="113">
        <v>6.4000000000000001E-2</v>
      </c>
      <c r="C6" s="113">
        <v>8.7999999999999995E-2</v>
      </c>
      <c r="D6" s="170">
        <v>7.4999999999999997E-2</v>
      </c>
      <c r="E6" s="170">
        <v>6.0999999999999999E-2</v>
      </c>
      <c r="F6" s="5"/>
      <c r="G6" s="5"/>
      <c r="H6" s="56"/>
    </row>
    <row r="7" spans="1:9" s="77" customFormat="1" x14ac:dyDescent="0.3">
      <c r="A7" s="174" t="s">
        <v>76</v>
      </c>
      <c r="B7" s="203">
        <v>6.2E-2</v>
      </c>
      <c r="C7" s="203">
        <v>0.09</v>
      </c>
      <c r="D7" s="171">
        <v>0.08</v>
      </c>
      <c r="E7" s="171">
        <v>6.4000000000000001E-2</v>
      </c>
      <c r="F7" s="76"/>
      <c r="G7" s="76"/>
      <c r="H7" s="197"/>
    </row>
    <row r="8" spans="1:9" s="77" customFormat="1" x14ac:dyDescent="0.3">
      <c r="A8" s="174" t="s">
        <v>77</v>
      </c>
      <c r="B8" s="203">
        <v>7.5999999999999998E-2</v>
      </c>
      <c r="C8" s="203">
        <v>0.08</v>
      </c>
      <c r="D8" s="171">
        <v>5.5E-2</v>
      </c>
      <c r="E8" s="171">
        <v>4.7E-2</v>
      </c>
      <c r="F8" s="76"/>
      <c r="G8" s="76"/>
      <c r="H8" s="197"/>
    </row>
    <row r="9" spans="1:9" x14ac:dyDescent="0.3">
      <c r="A9" s="57" t="s">
        <v>78</v>
      </c>
      <c r="B9" s="113">
        <v>6.6000000000000003E-2</v>
      </c>
      <c r="C9" s="113">
        <v>8.8999999999999996E-2</v>
      </c>
      <c r="D9" s="170">
        <v>7.6999999999999999E-2</v>
      </c>
      <c r="E9" s="170">
        <v>6.3E-2</v>
      </c>
      <c r="F9" s="5"/>
      <c r="G9" s="5"/>
      <c r="H9" s="56"/>
    </row>
    <row r="10" spans="1:9" s="77" customFormat="1" x14ac:dyDescent="0.3">
      <c r="A10" s="174" t="s">
        <v>79</v>
      </c>
      <c r="B10" s="203">
        <v>7.0000000000000007E-2</v>
      </c>
      <c r="C10" s="203">
        <v>9.4E-2</v>
      </c>
      <c r="D10" s="171">
        <v>8.2000000000000003E-2</v>
      </c>
      <c r="E10" s="171">
        <v>6.6000000000000003E-2</v>
      </c>
      <c r="F10" s="76"/>
      <c r="G10" s="76"/>
      <c r="H10" s="197"/>
    </row>
    <row r="11" spans="1:9" s="77" customFormat="1" x14ac:dyDescent="0.3">
      <c r="A11" s="174" t="s">
        <v>80</v>
      </c>
      <c r="B11" s="203">
        <v>4.2000000000000003E-2</v>
      </c>
      <c r="C11" s="203">
        <v>0.06</v>
      </c>
      <c r="D11" s="171">
        <v>4.8000000000000001E-2</v>
      </c>
      <c r="E11" s="171">
        <v>4.3999999999999997E-2</v>
      </c>
      <c r="F11" s="76"/>
      <c r="G11" s="76"/>
      <c r="H11" s="197"/>
    </row>
    <row r="12" spans="1:9" x14ac:dyDescent="0.3">
      <c r="A12" s="57" t="s">
        <v>81</v>
      </c>
      <c r="B12" s="113">
        <v>-3.5999999999999997E-2</v>
      </c>
      <c r="C12" s="113">
        <v>0.09</v>
      </c>
      <c r="D12" s="170">
        <v>0.08</v>
      </c>
      <c r="E12" s="170">
        <v>7.0000000000000007E-2</v>
      </c>
      <c r="F12" s="5"/>
      <c r="G12" s="5"/>
      <c r="H12" s="56"/>
    </row>
    <row r="13" spans="1:9" x14ac:dyDescent="0.3">
      <c r="A13" s="57" t="s">
        <v>82</v>
      </c>
      <c r="B13" s="113">
        <v>2.5000000000000001E-2</v>
      </c>
      <c r="C13" s="113">
        <v>1.0999999999999999E-2</v>
      </c>
      <c r="D13" s="170">
        <v>8.9999999999999993E-3</v>
      </c>
      <c r="E13" s="170">
        <v>8.9999999999999993E-3</v>
      </c>
      <c r="F13" s="5"/>
      <c r="G13" s="5"/>
      <c r="H13" s="56"/>
    </row>
    <row r="14" spans="1:9" x14ac:dyDescent="0.3">
      <c r="A14" s="57" t="s">
        <v>83</v>
      </c>
      <c r="B14" s="113">
        <v>4.2000000000000003E-2</v>
      </c>
      <c r="C14" s="113">
        <v>3.3000000000000002E-2</v>
      </c>
      <c r="D14" s="170">
        <v>0.03</v>
      </c>
      <c r="E14" s="170">
        <v>2.3E-2</v>
      </c>
      <c r="F14" s="5"/>
      <c r="G14" s="5"/>
      <c r="H14" s="56"/>
    </row>
    <row r="15" spans="1:9" x14ac:dyDescent="0.3">
      <c r="A15" s="57"/>
      <c r="B15" s="204"/>
      <c r="C15" s="204"/>
      <c r="D15" s="5"/>
      <c r="E15" s="5"/>
      <c r="F15" s="5"/>
      <c r="G15" s="5"/>
      <c r="H15" s="56"/>
    </row>
    <row r="16" spans="1:9" x14ac:dyDescent="0.3">
      <c r="A16" s="57" t="s">
        <v>84</v>
      </c>
      <c r="B16" s="113">
        <v>1.9E-2</v>
      </c>
      <c r="C16" s="113">
        <v>2.7E-2</v>
      </c>
      <c r="D16" s="170">
        <v>1.7000000000000001E-2</v>
      </c>
      <c r="E16" s="170">
        <v>8.9999999999999993E-3</v>
      </c>
      <c r="F16" s="5"/>
      <c r="G16" s="5"/>
      <c r="H16" s="56"/>
    </row>
    <row r="17" spans="1:9" x14ac:dyDescent="0.3">
      <c r="A17" s="57" t="s">
        <v>85</v>
      </c>
      <c r="B17" s="113">
        <v>1.9E-2</v>
      </c>
      <c r="C17" s="113">
        <v>1.2999999999999999E-2</v>
      </c>
      <c r="D17" s="170">
        <v>1.7999999999999999E-2</v>
      </c>
      <c r="E17" s="170">
        <v>1.9E-2</v>
      </c>
      <c r="F17" s="5"/>
      <c r="G17" s="5"/>
      <c r="H17" s="56"/>
    </row>
    <row r="18" spans="1:9" x14ac:dyDescent="0.3">
      <c r="A18" s="57"/>
      <c r="B18" s="204"/>
      <c r="C18" s="204"/>
      <c r="D18" s="5"/>
      <c r="E18" s="5"/>
      <c r="F18" s="5"/>
      <c r="G18" s="5"/>
      <c r="H18" s="56"/>
    </row>
    <row r="19" spans="1:9" ht="15" thickBot="1" x14ac:dyDescent="0.35">
      <c r="A19" s="93" t="s">
        <v>86</v>
      </c>
      <c r="B19" s="115">
        <v>-1E-3</v>
      </c>
      <c r="C19" s="115">
        <v>1.4999999999999999E-2</v>
      </c>
      <c r="D19" s="175">
        <v>1.6E-2</v>
      </c>
      <c r="E19" s="175">
        <v>2.1000000000000001E-2</v>
      </c>
      <c r="F19" s="88"/>
      <c r="G19" s="88"/>
      <c r="H19" s="96"/>
    </row>
    <row r="20" spans="1:9" ht="15" thickBot="1" x14ac:dyDescent="0.35"/>
    <row r="21" spans="1:9" s="165" customFormat="1" x14ac:dyDescent="0.3">
      <c r="A21" s="61" t="s">
        <v>87</v>
      </c>
      <c r="B21" s="143">
        <v>2016</v>
      </c>
      <c r="C21" s="143">
        <v>2017</v>
      </c>
      <c r="D21" s="143">
        <v>2018</v>
      </c>
      <c r="E21" s="143">
        <v>2019</v>
      </c>
      <c r="F21" s="143">
        <v>2020</v>
      </c>
      <c r="G21" s="143">
        <v>2021</v>
      </c>
      <c r="H21" s="144">
        <v>2022</v>
      </c>
    </row>
    <row r="22" spans="1:9" x14ac:dyDescent="0.3">
      <c r="A22" s="57" t="s">
        <v>88</v>
      </c>
      <c r="B22" s="113">
        <v>1.7999999999999999E-2</v>
      </c>
      <c r="C22" s="113">
        <v>1.9E-2</v>
      </c>
      <c r="D22" s="170">
        <v>1.7999999999999999E-2</v>
      </c>
      <c r="E22" s="170">
        <v>1.4999999999999999E-2</v>
      </c>
      <c r="F22" s="5"/>
      <c r="G22" s="5"/>
      <c r="H22" s="56"/>
    </row>
    <row r="23" spans="1:9" x14ac:dyDescent="0.3">
      <c r="A23" s="57" t="s">
        <v>89</v>
      </c>
      <c r="B23" s="205">
        <v>1.1100000000000001</v>
      </c>
      <c r="C23" s="205">
        <v>1.1299999999999999</v>
      </c>
      <c r="D23" s="176">
        <v>1.18</v>
      </c>
      <c r="E23" s="176">
        <v>1.18</v>
      </c>
      <c r="F23" s="5"/>
      <c r="G23" s="5"/>
      <c r="H23" s="56"/>
    </row>
    <row r="24" spans="1:9" x14ac:dyDescent="0.3">
      <c r="A24" s="57" t="s">
        <v>90</v>
      </c>
      <c r="B24" s="113">
        <v>3.9E-2</v>
      </c>
      <c r="C24" s="113">
        <v>4.5999999999999999E-2</v>
      </c>
      <c r="D24" s="170">
        <v>4.7E-2</v>
      </c>
      <c r="E24" s="170">
        <v>4.7E-2</v>
      </c>
      <c r="F24" s="5"/>
      <c r="G24" s="5"/>
      <c r="H24" s="56"/>
    </row>
    <row r="25" spans="1:9" x14ac:dyDescent="0.3">
      <c r="A25" s="57"/>
      <c r="B25" s="204"/>
      <c r="C25" s="204"/>
      <c r="D25" s="5"/>
      <c r="E25" s="5"/>
      <c r="F25" s="5"/>
      <c r="G25" s="5"/>
      <c r="H25" s="56"/>
    </row>
    <row r="26" spans="1:9" x14ac:dyDescent="0.3">
      <c r="A26" s="57" t="s">
        <v>91</v>
      </c>
      <c r="B26" s="206">
        <v>-0.02</v>
      </c>
      <c r="C26" s="207">
        <v>7.4999999999999997E-2</v>
      </c>
      <c r="D26" s="167">
        <v>2.1000000000000001E-2</v>
      </c>
      <c r="E26" s="177">
        <v>0.08</v>
      </c>
      <c r="F26" s="5"/>
      <c r="G26" s="5"/>
      <c r="H26" s="56"/>
    </row>
    <row r="27" spans="1:9" ht="15" thickBot="1" x14ac:dyDescent="0.35">
      <c r="A27" s="93" t="s">
        <v>92</v>
      </c>
      <c r="B27" s="208">
        <v>45</v>
      </c>
      <c r="C27" s="208">
        <v>51</v>
      </c>
      <c r="D27" s="88">
        <v>52</v>
      </c>
      <c r="E27" s="88">
        <v>52</v>
      </c>
      <c r="F27" s="88"/>
      <c r="G27" s="88"/>
      <c r="H27" s="96"/>
    </row>
    <row r="29" spans="1:9" ht="15" thickBot="1" x14ac:dyDescent="0.35"/>
    <row r="30" spans="1:9" s="165" customFormat="1" x14ac:dyDescent="0.3">
      <c r="A30" s="61" t="s">
        <v>93</v>
      </c>
      <c r="B30" s="143">
        <v>2016</v>
      </c>
      <c r="C30" s="143">
        <v>2017</v>
      </c>
      <c r="D30" s="143">
        <v>2018</v>
      </c>
      <c r="E30" s="143">
        <v>2019</v>
      </c>
      <c r="F30" s="143">
        <v>2020</v>
      </c>
      <c r="G30" s="143">
        <v>2021</v>
      </c>
      <c r="H30" s="144">
        <v>2022</v>
      </c>
    </row>
    <row r="31" spans="1:9" s="158" customFormat="1" x14ac:dyDescent="0.3">
      <c r="A31" s="180" t="s">
        <v>94</v>
      </c>
      <c r="B31" s="179">
        <v>2.2000000000000002</v>
      </c>
      <c r="C31" s="179">
        <v>2.5</v>
      </c>
      <c r="D31" s="178">
        <v>1.5</v>
      </c>
      <c r="E31" s="178">
        <v>1.2</v>
      </c>
      <c r="F31" s="178">
        <v>1.8</v>
      </c>
      <c r="G31" s="178"/>
      <c r="H31" s="181"/>
      <c r="I31" s="158" t="s">
        <v>95</v>
      </c>
    </row>
    <row r="32" spans="1:9" x14ac:dyDescent="0.3">
      <c r="A32" s="180" t="s">
        <v>96</v>
      </c>
      <c r="B32" s="179">
        <v>4</v>
      </c>
      <c r="C32" s="179">
        <v>5.3</v>
      </c>
      <c r="D32" s="178">
        <v>3.3</v>
      </c>
      <c r="E32" s="178">
        <v>3.1</v>
      </c>
      <c r="F32" s="178">
        <v>3.1</v>
      </c>
      <c r="G32" s="5"/>
      <c r="H32" s="56"/>
      <c r="I32" t="s">
        <v>97</v>
      </c>
    </row>
    <row r="33" spans="1:9" x14ac:dyDescent="0.3">
      <c r="A33" s="180" t="s">
        <v>98</v>
      </c>
      <c r="B33" s="5"/>
      <c r="C33" s="5"/>
      <c r="D33" s="178">
        <v>1.9</v>
      </c>
      <c r="E33" s="178">
        <v>1.3</v>
      </c>
      <c r="F33" s="178">
        <v>1.6</v>
      </c>
      <c r="G33" s="178">
        <v>1.4</v>
      </c>
      <c r="H33" s="56"/>
    </row>
    <row r="34" spans="1:9" x14ac:dyDescent="0.3">
      <c r="A34" s="180" t="s">
        <v>99</v>
      </c>
      <c r="B34" s="5"/>
      <c r="C34" s="5"/>
      <c r="D34" s="178">
        <v>0.9</v>
      </c>
      <c r="E34" s="178">
        <v>1.2</v>
      </c>
      <c r="F34" s="178">
        <v>2</v>
      </c>
      <c r="G34" s="178">
        <v>1</v>
      </c>
      <c r="H34" s="56"/>
      <c r="I34" t="s">
        <v>100</v>
      </c>
    </row>
    <row r="35" spans="1:9" x14ac:dyDescent="0.3">
      <c r="A35" s="180" t="s">
        <v>101</v>
      </c>
      <c r="B35" s="5"/>
      <c r="C35" s="5"/>
      <c r="D35" s="178">
        <v>3.1</v>
      </c>
      <c r="E35" s="178">
        <v>2.4</v>
      </c>
      <c r="F35" s="178">
        <v>2.1</v>
      </c>
      <c r="G35" s="178">
        <v>1.8</v>
      </c>
      <c r="H35" s="56"/>
      <c r="I35" t="s">
        <v>102</v>
      </c>
    </row>
    <row r="36" spans="1:9" x14ac:dyDescent="0.3">
      <c r="A36" s="180" t="s">
        <v>103</v>
      </c>
      <c r="B36" s="5"/>
      <c r="C36" s="5"/>
      <c r="D36" s="178">
        <v>0.9</v>
      </c>
      <c r="E36" s="178">
        <v>2.7</v>
      </c>
      <c r="F36" s="178">
        <v>1.9</v>
      </c>
      <c r="G36" s="178">
        <v>2.9</v>
      </c>
      <c r="H36" s="181">
        <v>2.4</v>
      </c>
      <c r="I36" t="s">
        <v>104</v>
      </c>
    </row>
    <row r="37" spans="1:9" ht="15" thickBot="1" x14ac:dyDescent="0.35">
      <c r="A37" s="182" t="s">
        <v>105</v>
      </c>
      <c r="B37" s="88">
        <v>0.4</v>
      </c>
      <c r="C37" s="88">
        <v>1.7</v>
      </c>
      <c r="D37" s="183">
        <v>1.9</v>
      </c>
      <c r="E37" s="183">
        <v>1.7</v>
      </c>
      <c r="F37" s="183">
        <v>1.5</v>
      </c>
      <c r="G37" s="183"/>
      <c r="H37" s="184"/>
    </row>
    <row r="38" spans="1:9" ht="15" thickBot="1" x14ac:dyDescent="0.35"/>
    <row r="39" spans="1:9" s="165" customFormat="1" x14ac:dyDescent="0.3">
      <c r="A39" s="61" t="s">
        <v>106</v>
      </c>
      <c r="B39" s="143">
        <v>2016</v>
      </c>
      <c r="C39" s="143">
        <v>2017</v>
      </c>
      <c r="D39" s="143">
        <v>2018</v>
      </c>
      <c r="E39" s="143">
        <v>2019</v>
      </c>
      <c r="F39" s="143">
        <v>2020</v>
      </c>
      <c r="G39" s="143">
        <v>2021</v>
      </c>
      <c r="H39" s="144">
        <v>2022</v>
      </c>
      <c r="I39" s="165" t="s">
        <v>107</v>
      </c>
    </row>
    <row r="40" spans="1:9" x14ac:dyDescent="0.3">
      <c r="A40" s="57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6"/>
      <c r="I40" t="s">
        <v>109</v>
      </c>
    </row>
    <row r="41" spans="1:9" x14ac:dyDescent="0.3">
      <c r="A41" s="57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6"/>
      <c r="I41" t="s">
        <v>111</v>
      </c>
    </row>
    <row r="42" spans="1:9" x14ac:dyDescent="0.3">
      <c r="A42" s="57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6"/>
    </row>
    <row r="43" spans="1:9" x14ac:dyDescent="0.3">
      <c r="A43" s="57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6"/>
    </row>
    <row r="44" spans="1:9" x14ac:dyDescent="0.3">
      <c r="A44" s="57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6"/>
    </row>
    <row r="45" spans="1:9" ht="15" thickBot="1" x14ac:dyDescent="0.35">
      <c r="A45" s="93" t="s">
        <v>114</v>
      </c>
      <c r="B45" s="88">
        <v>-1.6</v>
      </c>
      <c r="C45" s="88">
        <v>1.3</v>
      </c>
      <c r="D45" s="88">
        <v>4.5999999999999996</v>
      </c>
      <c r="E45" s="88">
        <v>3.1</v>
      </c>
      <c r="F45" s="88">
        <v>3</v>
      </c>
      <c r="G45" s="88"/>
      <c r="H45" s="96"/>
    </row>
    <row r="46" spans="1:9" ht="15" thickBot="1" x14ac:dyDescent="0.35"/>
    <row r="47" spans="1:9" s="165" customFormat="1" x14ac:dyDescent="0.3">
      <c r="A47" s="61" t="s">
        <v>115</v>
      </c>
      <c r="B47" s="143">
        <v>2016</v>
      </c>
      <c r="C47" s="143">
        <v>2017</v>
      </c>
      <c r="D47" s="143">
        <v>2018</v>
      </c>
      <c r="E47" s="143">
        <v>2019</v>
      </c>
      <c r="F47" s="143">
        <v>2020</v>
      </c>
      <c r="G47" s="143">
        <v>2021</v>
      </c>
      <c r="H47" s="144">
        <v>2022</v>
      </c>
      <c r="I47" s="165" t="s">
        <v>107</v>
      </c>
    </row>
    <row r="48" spans="1:9" x14ac:dyDescent="0.3">
      <c r="A48" s="57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6"/>
    </row>
    <row r="49" spans="1:9" x14ac:dyDescent="0.3">
      <c r="A49" s="57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6"/>
    </row>
    <row r="50" spans="1:9" x14ac:dyDescent="0.3">
      <c r="A50" s="57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6"/>
    </row>
    <row r="51" spans="1:9" x14ac:dyDescent="0.3">
      <c r="A51" s="57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6"/>
    </row>
    <row r="52" spans="1:9" x14ac:dyDescent="0.3">
      <c r="A52" s="57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6"/>
    </row>
    <row r="53" spans="1:9" ht="15" thickBot="1" x14ac:dyDescent="0.35">
      <c r="A53" s="93" t="s">
        <v>105</v>
      </c>
      <c r="B53" s="88">
        <v>0.4</v>
      </c>
      <c r="C53" s="88">
        <v>2.2999999999999998</v>
      </c>
      <c r="D53" s="88">
        <v>2.9</v>
      </c>
      <c r="E53" s="88">
        <v>3.5</v>
      </c>
      <c r="F53" s="88">
        <v>2.6</v>
      </c>
      <c r="G53" s="88"/>
      <c r="H53" s="96"/>
    </row>
    <row r="54" spans="1:9" ht="15" thickBot="1" x14ac:dyDescent="0.35"/>
    <row r="55" spans="1:9" s="165" customFormat="1" x14ac:dyDescent="0.3">
      <c r="A55" s="61" t="s">
        <v>116</v>
      </c>
      <c r="B55" s="143">
        <v>2016</v>
      </c>
      <c r="C55" s="143">
        <v>2017</v>
      </c>
      <c r="D55" s="143">
        <v>2018</v>
      </c>
      <c r="E55" s="143">
        <v>2019</v>
      </c>
      <c r="F55" s="143">
        <v>2020</v>
      </c>
      <c r="G55" s="143">
        <v>2021</v>
      </c>
      <c r="H55" s="144">
        <v>2022</v>
      </c>
      <c r="I55" s="165" t="s">
        <v>107</v>
      </c>
    </row>
    <row r="56" spans="1:9" x14ac:dyDescent="0.3">
      <c r="A56" s="57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6"/>
    </row>
    <row r="57" spans="1:9" x14ac:dyDescent="0.3">
      <c r="A57" s="57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6"/>
    </row>
    <row r="58" spans="1:9" x14ac:dyDescent="0.3">
      <c r="A58" s="57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6"/>
    </row>
    <row r="59" spans="1:9" x14ac:dyDescent="0.3">
      <c r="A59" s="57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6"/>
    </row>
    <row r="60" spans="1:9" x14ac:dyDescent="0.3">
      <c r="A60" s="57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6"/>
    </row>
    <row r="61" spans="1:9" ht="15" thickBot="1" x14ac:dyDescent="0.35">
      <c r="A61" s="93" t="s">
        <v>113</v>
      </c>
      <c r="B61" s="88"/>
      <c r="C61" s="88"/>
      <c r="D61" s="88">
        <v>3.6</v>
      </c>
      <c r="E61" s="88">
        <v>2.4</v>
      </c>
      <c r="F61" s="88">
        <v>1.4</v>
      </c>
      <c r="G61" s="88">
        <v>0.8</v>
      </c>
      <c r="H61" s="96"/>
    </row>
    <row r="62" spans="1:9" ht="15" thickBot="1" x14ac:dyDescent="0.35"/>
    <row r="63" spans="1:9" s="165" customFormat="1" x14ac:dyDescent="0.3">
      <c r="A63" s="61" t="s">
        <v>117</v>
      </c>
      <c r="B63" s="143">
        <v>2016</v>
      </c>
      <c r="C63" s="143">
        <v>2017</v>
      </c>
      <c r="D63" s="143">
        <v>2018</v>
      </c>
      <c r="E63" s="143">
        <v>2019</v>
      </c>
      <c r="F63" s="143">
        <v>2020</v>
      </c>
      <c r="G63" s="143">
        <v>2021</v>
      </c>
      <c r="H63" s="144">
        <v>2022</v>
      </c>
      <c r="I63" s="165" t="s">
        <v>107</v>
      </c>
    </row>
    <row r="64" spans="1:9" x14ac:dyDescent="0.3">
      <c r="A64" s="57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6"/>
    </row>
    <row r="65" spans="1:11" x14ac:dyDescent="0.3">
      <c r="A65" s="57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6"/>
      <c r="I65" t="s">
        <v>118</v>
      </c>
    </row>
    <row r="66" spans="1:11" x14ac:dyDescent="0.3">
      <c r="A66" s="57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6"/>
    </row>
    <row r="67" spans="1:11" x14ac:dyDescent="0.3">
      <c r="A67" s="57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6"/>
      <c r="I67" t="s">
        <v>119</v>
      </c>
    </row>
    <row r="68" spans="1:11" x14ac:dyDescent="0.3">
      <c r="A68" s="57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6"/>
    </row>
    <row r="69" spans="1:11" ht="15" thickBot="1" x14ac:dyDescent="0.35">
      <c r="A69" s="93" t="s">
        <v>113</v>
      </c>
      <c r="B69" s="88"/>
      <c r="C69" s="88"/>
      <c r="D69" s="88">
        <v>5.6</v>
      </c>
      <c r="E69" s="88">
        <v>2.5</v>
      </c>
      <c r="F69" s="88">
        <v>-0.4</v>
      </c>
      <c r="G69" s="88">
        <v>2.2000000000000002</v>
      </c>
      <c r="H69" s="96"/>
    </row>
    <row r="71" spans="1:11" ht="15" thickBot="1" x14ac:dyDescent="0.35"/>
    <row r="72" spans="1:11" s="165" customFormat="1" x14ac:dyDescent="0.3">
      <c r="A72" s="61" t="s">
        <v>120</v>
      </c>
      <c r="B72" s="143">
        <v>2013</v>
      </c>
      <c r="C72" s="143">
        <v>2014</v>
      </c>
      <c r="D72" s="143">
        <v>2015</v>
      </c>
      <c r="E72" s="143">
        <v>2016</v>
      </c>
      <c r="F72" s="143">
        <v>2017</v>
      </c>
      <c r="G72" s="143">
        <v>2018</v>
      </c>
      <c r="H72" s="143">
        <v>2019</v>
      </c>
      <c r="I72" s="143">
        <v>2020</v>
      </c>
      <c r="J72" s="143">
        <v>2021</v>
      </c>
      <c r="K72" s="144">
        <v>2022</v>
      </c>
    </row>
    <row r="73" spans="1:11" s="159" customFormat="1" x14ac:dyDescent="0.3">
      <c r="A73" s="187" t="s">
        <v>121</v>
      </c>
      <c r="B73" s="185"/>
      <c r="C73" s="185"/>
      <c r="D73" s="185">
        <v>1.044</v>
      </c>
      <c r="E73" s="185">
        <v>1.0760000000000001</v>
      </c>
      <c r="F73" s="185">
        <v>1.111</v>
      </c>
      <c r="G73" s="185"/>
      <c r="H73" s="185"/>
      <c r="I73" s="185"/>
      <c r="J73" s="185"/>
      <c r="K73" s="188"/>
    </row>
    <row r="74" spans="1:11" s="159" customFormat="1" x14ac:dyDescent="0.3">
      <c r="A74" s="187" t="s">
        <v>122</v>
      </c>
      <c r="B74" s="185"/>
      <c r="C74" s="185"/>
      <c r="D74" s="185">
        <v>1.04</v>
      </c>
      <c r="E74" s="185">
        <v>1.08</v>
      </c>
      <c r="F74" s="185">
        <v>1.133</v>
      </c>
      <c r="G74" s="185"/>
      <c r="H74" s="185"/>
      <c r="I74" s="185"/>
      <c r="J74" s="185"/>
      <c r="K74" s="188"/>
    </row>
    <row r="75" spans="1:11" s="159" customFormat="1" x14ac:dyDescent="0.3">
      <c r="A75" s="187" t="s">
        <v>123</v>
      </c>
      <c r="B75" s="185"/>
      <c r="C75" s="185"/>
      <c r="D75" s="185">
        <v>1.218</v>
      </c>
      <c r="E75" s="185">
        <v>1.121</v>
      </c>
      <c r="F75" s="185">
        <v>1.0640000000000001</v>
      </c>
      <c r="G75" s="185"/>
      <c r="H75" s="185"/>
      <c r="I75" s="185"/>
      <c r="J75" s="185"/>
      <c r="K75" s="188"/>
    </row>
    <row r="76" spans="1:11" s="159" customFormat="1" x14ac:dyDescent="0.3">
      <c r="A76" s="187" t="s">
        <v>124</v>
      </c>
      <c r="B76" s="185"/>
      <c r="C76" s="185"/>
      <c r="D76" s="185">
        <v>1.1579999999999999</v>
      </c>
      <c r="E76" s="185">
        <v>1.0960000000000001</v>
      </c>
      <c r="F76" s="185">
        <v>1.032</v>
      </c>
      <c r="G76" s="185"/>
      <c r="H76" s="185"/>
      <c r="I76" s="185"/>
      <c r="J76" s="185"/>
      <c r="K76" s="188"/>
    </row>
    <row r="77" spans="1:11" s="160" customFormat="1" x14ac:dyDescent="0.3">
      <c r="A77" s="85" t="s">
        <v>125</v>
      </c>
      <c r="B77" s="186">
        <v>0.8</v>
      </c>
      <c r="C77" s="186">
        <v>0.79300000000000004</v>
      </c>
      <c r="D77" s="186">
        <v>0.79900000000000004</v>
      </c>
      <c r="E77" s="186">
        <v>0.80300000000000005</v>
      </c>
      <c r="F77" s="186"/>
      <c r="G77" s="186"/>
      <c r="H77" s="186"/>
      <c r="I77" s="186"/>
      <c r="J77" s="186"/>
      <c r="K77" s="189"/>
    </row>
    <row r="78" spans="1:11" s="160" customFormat="1" x14ac:dyDescent="0.3">
      <c r="A78" s="85" t="s">
        <v>126</v>
      </c>
      <c r="B78" s="186">
        <v>0.10730000000000001</v>
      </c>
      <c r="C78" s="186">
        <v>9.74E-2</v>
      </c>
      <c r="D78" s="186">
        <v>0.1249</v>
      </c>
      <c r="E78" s="186">
        <v>0.14319999999999999</v>
      </c>
      <c r="F78" s="186">
        <v>0.13200000000000001</v>
      </c>
      <c r="G78" s="186"/>
      <c r="H78" s="186"/>
      <c r="I78" s="186"/>
      <c r="J78" s="186"/>
      <c r="K78" s="189"/>
    </row>
    <row r="79" spans="1:11" s="159" customFormat="1" x14ac:dyDescent="0.3">
      <c r="A79" s="187" t="s">
        <v>127</v>
      </c>
      <c r="B79" s="185"/>
      <c r="C79" s="185"/>
      <c r="D79" s="185">
        <v>1.0269999999999999</v>
      </c>
      <c r="E79" s="185">
        <v>1.0429999999999999</v>
      </c>
      <c r="F79" s="185">
        <v>1.077</v>
      </c>
      <c r="G79" s="185"/>
      <c r="H79" s="185"/>
      <c r="I79" s="185"/>
      <c r="J79" s="185"/>
      <c r="K79" s="188"/>
    </row>
    <row r="80" spans="1:11" s="159" customFormat="1" x14ac:dyDescent="0.3">
      <c r="A80" s="187" t="s">
        <v>128</v>
      </c>
      <c r="B80" s="185">
        <v>0.94899999999999995</v>
      </c>
      <c r="C80" s="185">
        <v>0.97</v>
      </c>
      <c r="D80" s="185">
        <v>1</v>
      </c>
      <c r="E80" s="185">
        <v>1.02</v>
      </c>
      <c r="F80" s="185">
        <v>1.0569999999999999</v>
      </c>
      <c r="G80" s="185">
        <v>1.075</v>
      </c>
      <c r="H80" s="185"/>
      <c r="I80" s="185"/>
      <c r="J80" s="185"/>
      <c r="K80" s="188"/>
    </row>
    <row r="81" spans="1:11" s="159" customFormat="1" ht="15" thickBot="1" x14ac:dyDescent="0.35">
      <c r="A81" s="190" t="s">
        <v>129</v>
      </c>
      <c r="B81" s="191">
        <v>0.99</v>
      </c>
      <c r="C81" s="191">
        <v>1.0169999999999999</v>
      </c>
      <c r="D81" s="191">
        <v>1.052</v>
      </c>
      <c r="E81" s="191">
        <v>1.0780000000000001</v>
      </c>
      <c r="F81" s="191">
        <v>1.08</v>
      </c>
      <c r="G81" s="191"/>
      <c r="H81" s="191"/>
      <c r="I81" s="191"/>
      <c r="J81" s="191"/>
      <c r="K81" s="192"/>
    </row>
    <row r="83" spans="1:11" ht="15" thickBot="1" x14ac:dyDescent="0.35"/>
    <row r="84" spans="1:11" s="33" customFormat="1" x14ac:dyDescent="0.3">
      <c r="A84" s="193" t="s">
        <v>130</v>
      </c>
      <c r="B84" s="62">
        <v>2013</v>
      </c>
      <c r="C84" s="62">
        <v>2014</v>
      </c>
      <c r="D84" s="62">
        <v>2015</v>
      </c>
      <c r="E84" s="62">
        <v>2016</v>
      </c>
      <c r="F84" s="64">
        <v>2017</v>
      </c>
    </row>
    <row r="85" spans="1:11" s="159" customFormat="1" x14ac:dyDescent="0.3">
      <c r="A85" s="187" t="s">
        <v>131</v>
      </c>
      <c r="B85" s="185"/>
      <c r="C85" s="185"/>
      <c r="D85" s="185">
        <f>'PRIHODKI IN STROŠKI'!D3</f>
        <v>1.1472344288252005</v>
      </c>
      <c r="E85" s="185">
        <f>'PRIHODKI IN STROŠKI'!E3</f>
        <v>1.1422186649394754</v>
      </c>
      <c r="F85" s="185">
        <f>'PRIHODKI IN STROŠKI'!F3</f>
        <v>1.1517389566623668</v>
      </c>
    </row>
    <row r="86" spans="1:11" s="159" customFormat="1" x14ac:dyDescent="0.3">
      <c r="A86" s="187" t="s">
        <v>132</v>
      </c>
      <c r="B86" s="185"/>
      <c r="C86" s="185"/>
      <c r="D86" s="185">
        <f>'PRIHODKI IN STROŠKI'!D17</f>
        <v>1.1480646140270654</v>
      </c>
      <c r="E86" s="185">
        <f>'PRIHODKI IN STROŠKI'!E17</f>
        <v>1.1456369739449577</v>
      </c>
      <c r="F86" s="185">
        <f>'PRIHODKI IN STROŠKI'!F17</f>
        <v>1.1519952651333045</v>
      </c>
    </row>
    <row r="87" spans="1:11" s="160" customFormat="1" ht="15" thickBot="1" x14ac:dyDescent="0.35">
      <c r="A87" s="194" t="s">
        <v>125</v>
      </c>
      <c r="B87" s="195">
        <f>12118924/15822263</f>
        <v>0.76594125631712728</v>
      </c>
      <c r="C87" s="195">
        <f>14513067/18331340</f>
        <v>0.79170791660620554</v>
      </c>
      <c r="D87" s="195">
        <f>(93647948+3603017)/105932291</f>
        <v>0.91804835033729237</v>
      </c>
      <c r="E87" s="195">
        <f>(111317256+3368395)/120997840</f>
        <v>0.9478322175007422</v>
      </c>
      <c r="F87" s="196">
        <f>21978284/25008015</f>
        <v>0.87884960081797781</v>
      </c>
      <c r="G87" s="160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55"/>
  <sheetViews>
    <sheetView topLeftCell="A43" workbookViewId="0">
      <selection activeCell="D62" sqref="D62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226" customFormat="1" x14ac:dyDescent="0.3">
      <c r="A1" s="226" t="s">
        <v>240</v>
      </c>
    </row>
    <row r="2" spans="1:6" s="6" customFormat="1" x14ac:dyDescent="0.3"/>
    <row r="3" spans="1:6" s="3" customFormat="1" ht="15" thickBot="1" x14ac:dyDescent="0.35"/>
    <row r="4" spans="1:6" s="33" customFormat="1" x14ac:dyDescent="0.3">
      <c r="A4" s="227" t="s">
        <v>174</v>
      </c>
      <c r="B4" s="228">
        <v>2013</v>
      </c>
      <c r="C4" s="228">
        <v>2014</v>
      </c>
      <c r="D4" s="228">
        <v>2015</v>
      </c>
      <c r="E4" s="228">
        <v>2016</v>
      </c>
      <c r="F4" s="229">
        <v>2017</v>
      </c>
    </row>
    <row r="5" spans="1:6" s="3" customFormat="1" x14ac:dyDescent="0.3">
      <c r="A5" s="422" t="s">
        <v>14</v>
      </c>
      <c r="B5" s="100">
        <v>122185320</v>
      </c>
      <c r="C5" s="100">
        <v>128922570</v>
      </c>
      <c r="D5" s="100">
        <v>127995087</v>
      </c>
      <c r="E5" s="100">
        <v>118838556</v>
      </c>
      <c r="F5" s="211">
        <v>122945814</v>
      </c>
    </row>
    <row r="6" spans="1:6" s="159" customFormat="1" x14ac:dyDescent="0.3">
      <c r="A6" s="425" t="s">
        <v>175</v>
      </c>
      <c r="B6" s="216"/>
      <c r="C6" s="216">
        <f>C5/B5</f>
        <v>1.0551396026953157</v>
      </c>
      <c r="D6" s="216">
        <f>D5/C5</f>
        <v>0.99280589116397544</v>
      </c>
      <c r="E6" s="216">
        <f>E5/D5</f>
        <v>0.92846185572732176</v>
      </c>
      <c r="F6" s="217">
        <f>F5/E5</f>
        <v>1.0345616619575888</v>
      </c>
    </row>
    <row r="7" spans="1:6" s="3" customFormat="1" x14ac:dyDescent="0.3">
      <c r="A7" s="431" t="s">
        <v>176</v>
      </c>
      <c r="B7" s="100">
        <v>75500194</v>
      </c>
      <c r="C7" s="100">
        <v>92459528</v>
      </c>
      <c r="D7" s="100">
        <v>90138355</v>
      </c>
      <c r="E7" s="100">
        <v>85824942</v>
      </c>
      <c r="F7" s="211">
        <v>78916554</v>
      </c>
    </row>
    <row r="8" spans="1:6" s="159" customFormat="1" x14ac:dyDescent="0.3">
      <c r="A8" s="425" t="s">
        <v>175</v>
      </c>
      <c r="B8" s="216"/>
      <c r="C8" s="216">
        <f>C7/B7</f>
        <v>1.2246263632117289</v>
      </c>
      <c r="D8" s="216">
        <f>D7/C7</f>
        <v>0.97489525362924201</v>
      </c>
      <c r="E8" s="216">
        <f>E7/D7</f>
        <v>0.95214675262267656</v>
      </c>
      <c r="F8" s="217">
        <f>F7/E7</f>
        <v>0.91950605687563414</v>
      </c>
    </row>
    <row r="9" spans="1:6" s="3" customFormat="1" x14ac:dyDescent="0.3">
      <c r="A9" s="422" t="s">
        <v>177</v>
      </c>
      <c r="B9" s="100">
        <v>106853026</v>
      </c>
      <c r="C9" s="100">
        <v>111638223</v>
      </c>
      <c r="D9" s="100">
        <v>109179226</v>
      </c>
      <c r="E9" s="100">
        <v>102826891</v>
      </c>
      <c r="F9" s="211">
        <v>110471179</v>
      </c>
    </row>
    <row r="10" spans="1:6" s="159" customFormat="1" x14ac:dyDescent="0.3">
      <c r="A10" s="425" t="s">
        <v>175</v>
      </c>
      <c r="B10" s="216"/>
      <c r="C10" s="216">
        <f>C9/B9</f>
        <v>1.0447829806897559</v>
      </c>
      <c r="D10" s="216">
        <f>D9/C9</f>
        <v>0.97797352077164468</v>
      </c>
      <c r="E10" s="216">
        <f>E9/D9</f>
        <v>0.94181736551237316</v>
      </c>
      <c r="F10" s="217">
        <f>F9/E9</f>
        <v>1.074341331588057</v>
      </c>
    </row>
    <row r="11" spans="1:6" s="160" customFormat="1" x14ac:dyDescent="0.3">
      <c r="A11" s="432" t="s">
        <v>178</v>
      </c>
      <c r="B11" s="236">
        <f>B9/B5</f>
        <v>0.87451607116141283</v>
      </c>
      <c r="C11" s="236">
        <f>C9/C5</f>
        <v>0.86593234218027149</v>
      </c>
      <c r="D11" s="236">
        <f>D9/D5</f>
        <v>0.85299544348917078</v>
      </c>
      <c r="E11" s="236">
        <f>E9/E5</f>
        <v>0.86526540258533602</v>
      </c>
      <c r="F11" s="237">
        <f>F9/F5</f>
        <v>0.89853550442961805</v>
      </c>
    </row>
    <row r="12" spans="1:6" s="3" customFormat="1" x14ac:dyDescent="0.3">
      <c r="A12" s="422" t="s">
        <v>179</v>
      </c>
      <c r="B12" s="100">
        <v>16291964</v>
      </c>
      <c r="C12" s="100">
        <v>16866641</v>
      </c>
      <c r="D12" s="100">
        <v>18373591</v>
      </c>
      <c r="E12" s="100">
        <v>17099318</v>
      </c>
      <c r="F12" s="211">
        <v>13357337</v>
      </c>
    </row>
    <row r="13" spans="1:6" s="159" customFormat="1" x14ac:dyDescent="0.3">
      <c r="A13" s="425" t="s">
        <v>175</v>
      </c>
      <c r="B13" s="216"/>
      <c r="C13" s="216">
        <f>C12/B12</f>
        <v>1.0352736477934765</v>
      </c>
      <c r="D13" s="216">
        <f>D12/C12</f>
        <v>1.0893449976198581</v>
      </c>
      <c r="E13" s="216">
        <f>E12/D12</f>
        <v>0.93064649147790435</v>
      </c>
      <c r="F13" s="217">
        <f>F12/E12</f>
        <v>0.78116197382842989</v>
      </c>
    </row>
    <row r="14" spans="1:6" s="3" customFormat="1" x14ac:dyDescent="0.3">
      <c r="A14" s="422" t="s">
        <v>180</v>
      </c>
      <c r="B14" s="100">
        <v>14238415</v>
      </c>
      <c r="C14" s="100">
        <v>15960623</v>
      </c>
      <c r="D14" s="100">
        <v>16271767</v>
      </c>
      <c r="E14" s="100">
        <v>16472358</v>
      </c>
      <c r="F14" s="211">
        <v>11560178</v>
      </c>
    </row>
    <row r="15" spans="1:6" s="3" customFormat="1" x14ac:dyDescent="0.3">
      <c r="A15" s="422" t="s">
        <v>169</v>
      </c>
      <c r="B15" s="100">
        <f>SUM(B7:F7)/5</f>
        <v>84567914.599999994</v>
      </c>
      <c r="C15" s="100"/>
      <c r="D15" s="100"/>
      <c r="E15" s="100"/>
      <c r="F15" s="211"/>
    </row>
    <row r="16" spans="1:6" s="33" customFormat="1" x14ac:dyDescent="0.3">
      <c r="A16" s="238" t="s">
        <v>181</v>
      </c>
      <c r="B16" s="98">
        <v>2013</v>
      </c>
      <c r="C16" s="98">
        <v>2014</v>
      </c>
      <c r="D16" s="98">
        <v>2015</v>
      </c>
      <c r="E16" s="98">
        <v>2016</v>
      </c>
      <c r="F16" s="239">
        <v>2017</v>
      </c>
    </row>
    <row r="17" spans="1:6" s="3" customFormat="1" x14ac:dyDescent="0.3">
      <c r="A17" s="422" t="s">
        <v>14</v>
      </c>
      <c r="B17" s="100">
        <v>31484000</v>
      </c>
      <c r="C17" s="100">
        <v>35158000</v>
      </c>
      <c r="D17" s="100">
        <v>33246000</v>
      </c>
      <c r="E17" s="100">
        <v>34144000</v>
      </c>
      <c r="F17" s="211">
        <v>40655000</v>
      </c>
    </row>
    <row r="18" spans="1:6" s="159" customFormat="1" x14ac:dyDescent="0.3">
      <c r="A18" s="425" t="s">
        <v>175</v>
      </c>
      <c r="B18" s="216"/>
      <c r="C18" s="216">
        <f>C17/B17</f>
        <v>1.1166941938762547</v>
      </c>
      <c r="D18" s="216">
        <f>D17/C17</f>
        <v>0.9456169292906309</v>
      </c>
      <c r="E18" s="216">
        <f>E17/D17</f>
        <v>1.0270107682127174</v>
      </c>
      <c r="F18" s="217">
        <f>F17/E17</f>
        <v>1.1906923617619494</v>
      </c>
    </row>
    <row r="19" spans="1:6" s="3" customFormat="1" x14ac:dyDescent="0.3">
      <c r="A19" s="431" t="s">
        <v>12</v>
      </c>
      <c r="B19" s="100">
        <v>9102000</v>
      </c>
      <c r="C19" s="100">
        <v>10518000</v>
      </c>
      <c r="D19" s="100">
        <v>11197000</v>
      </c>
      <c r="E19" s="100">
        <v>11421000</v>
      </c>
      <c r="F19" s="211">
        <v>11670000</v>
      </c>
    </row>
    <row r="20" spans="1:6" s="159" customFormat="1" x14ac:dyDescent="0.3">
      <c r="A20" s="425" t="s">
        <v>175</v>
      </c>
      <c r="B20" s="216"/>
      <c r="C20" s="216">
        <f>C19/B19</f>
        <v>1.1555702043506921</v>
      </c>
      <c r="D20" s="216">
        <f>D19/C19</f>
        <v>1.0645559992393991</v>
      </c>
      <c r="E20" s="216">
        <f>E19/D19</f>
        <v>1.0200053585781905</v>
      </c>
      <c r="F20" s="217">
        <f>F19/E19</f>
        <v>1.0218019437877595</v>
      </c>
    </row>
    <row r="21" spans="1:6" s="3" customFormat="1" x14ac:dyDescent="0.3">
      <c r="A21" s="422" t="s">
        <v>177</v>
      </c>
      <c r="B21" s="100">
        <f>(22811+6564+1186+79)*1000</f>
        <v>30640000</v>
      </c>
      <c r="C21" s="100">
        <f>(26533+6633+1213+128)*1000</f>
        <v>34507000</v>
      </c>
      <c r="D21" s="100">
        <f>(25268+7237+1204+93)*1000</f>
        <v>33802000</v>
      </c>
      <c r="E21" s="100">
        <f>(24017+7398+1519+97)*1000</f>
        <v>33031000</v>
      </c>
      <c r="F21" s="211">
        <f>(29081+8237+1879+105)*1000</f>
        <v>39302000</v>
      </c>
    </row>
    <row r="22" spans="1:6" s="159" customFormat="1" x14ac:dyDescent="0.3">
      <c r="A22" s="425" t="s">
        <v>175</v>
      </c>
      <c r="B22" s="216"/>
      <c r="C22" s="216">
        <f>C21/B21</f>
        <v>1.1262075718015665</v>
      </c>
      <c r="D22" s="216">
        <f>D21/C21</f>
        <v>0.97956936273799522</v>
      </c>
      <c r="E22" s="216">
        <f>E21/D21</f>
        <v>0.97719069877522036</v>
      </c>
      <c r="F22" s="217">
        <f>F21/E21</f>
        <v>1.1898519572522781</v>
      </c>
    </row>
    <row r="23" spans="1:6" s="160" customFormat="1" x14ac:dyDescent="0.3">
      <c r="A23" s="432" t="s">
        <v>178</v>
      </c>
      <c r="B23" s="236">
        <f>B21/B17</f>
        <v>0.97319273281666874</v>
      </c>
      <c r="C23" s="236">
        <f>C21/C17</f>
        <v>0.98148358837248995</v>
      </c>
      <c r="D23" s="236">
        <f>D21/D17</f>
        <v>1.0167238163989654</v>
      </c>
      <c r="E23" s="236">
        <f>E21/E17</f>
        <v>0.96740276476101217</v>
      </c>
      <c r="F23" s="237">
        <f>F21/F17</f>
        <v>0.96671996064444721</v>
      </c>
    </row>
    <row r="24" spans="1:6" s="3" customFormat="1" x14ac:dyDescent="0.3">
      <c r="A24" s="422" t="s">
        <v>182</v>
      </c>
      <c r="B24" s="100">
        <v>990000</v>
      </c>
      <c r="C24" s="100">
        <v>736000</v>
      </c>
      <c r="D24" s="100">
        <v>89000</v>
      </c>
      <c r="E24" s="100">
        <v>1072000</v>
      </c>
      <c r="F24" s="211">
        <v>1025000</v>
      </c>
    </row>
    <row r="25" spans="1:6" s="159" customFormat="1" x14ac:dyDescent="0.3">
      <c r="A25" s="425" t="s">
        <v>175</v>
      </c>
      <c r="B25" s="216"/>
      <c r="C25" s="216">
        <f>C24/B24</f>
        <v>0.74343434343434345</v>
      </c>
      <c r="D25" s="216">
        <f>D24/C24</f>
        <v>0.12092391304347826</v>
      </c>
      <c r="E25" s="216">
        <f>E24/D24</f>
        <v>12.044943820224718</v>
      </c>
      <c r="F25" s="217">
        <f>F24/E24</f>
        <v>0.95615671641791045</v>
      </c>
    </row>
    <row r="26" spans="1:6" s="3" customFormat="1" x14ac:dyDescent="0.3">
      <c r="A26" s="422" t="s">
        <v>169</v>
      </c>
      <c r="B26" s="100">
        <f>SUM(B19:F19)/5</f>
        <v>10781600</v>
      </c>
      <c r="C26" s="100"/>
      <c r="D26" s="100"/>
      <c r="E26" s="100"/>
      <c r="F26" s="211"/>
    </row>
    <row r="27" spans="1:6" s="33" customFormat="1" x14ac:dyDescent="0.3">
      <c r="A27" s="238" t="s">
        <v>183</v>
      </c>
      <c r="B27" s="98">
        <v>2013</v>
      </c>
      <c r="C27" s="98">
        <v>2014</v>
      </c>
      <c r="D27" s="98">
        <v>2015</v>
      </c>
      <c r="E27" s="98">
        <v>2016</v>
      </c>
      <c r="F27" s="239">
        <v>2017</v>
      </c>
    </row>
    <row r="28" spans="1:6" s="3" customFormat="1" x14ac:dyDescent="0.3">
      <c r="A28" s="422" t="s">
        <v>14</v>
      </c>
      <c r="B28" s="100">
        <v>65869587</v>
      </c>
      <c r="C28" s="100">
        <v>68007206</v>
      </c>
      <c r="D28" s="100">
        <v>68116130</v>
      </c>
      <c r="E28" s="100">
        <v>72659574</v>
      </c>
      <c r="F28" s="211">
        <v>79508462</v>
      </c>
    </row>
    <row r="29" spans="1:6" s="159" customFormat="1" x14ac:dyDescent="0.3">
      <c r="A29" s="425" t="s">
        <v>175</v>
      </c>
      <c r="B29" s="216"/>
      <c r="C29" s="216">
        <f>C28/B28</f>
        <v>1.0324522909184173</v>
      </c>
      <c r="D29" s="216">
        <f>D28/C28</f>
        <v>1.0016016538012162</v>
      </c>
      <c r="E29" s="216">
        <f>E28/D28</f>
        <v>1.0667014406132587</v>
      </c>
      <c r="F29" s="217">
        <f>F28/E28</f>
        <v>1.0942599525838124</v>
      </c>
    </row>
    <row r="30" spans="1:6" s="3" customFormat="1" x14ac:dyDescent="0.3">
      <c r="A30" s="431" t="s">
        <v>12</v>
      </c>
      <c r="B30" s="100">
        <v>23815443</v>
      </c>
      <c r="C30" s="100">
        <v>24898691</v>
      </c>
      <c r="D30" s="100">
        <v>25448171</v>
      </c>
      <c r="E30" s="100">
        <v>26941232</v>
      </c>
      <c r="F30" s="211">
        <v>29813664</v>
      </c>
    </row>
    <row r="31" spans="1:6" s="159" customFormat="1" x14ac:dyDescent="0.3">
      <c r="A31" s="425" t="s">
        <v>175</v>
      </c>
      <c r="B31" s="216"/>
      <c r="C31" s="216">
        <f>C30/B30</f>
        <v>1.0454851081292085</v>
      </c>
      <c r="D31" s="216">
        <f>D30/C30</f>
        <v>1.022068630033603</v>
      </c>
      <c r="E31" s="216">
        <f>E30/D30</f>
        <v>1.058670660457288</v>
      </c>
      <c r="F31" s="217">
        <f>F30/E30</f>
        <v>1.1066184352668058</v>
      </c>
    </row>
    <row r="32" spans="1:6" s="3" customFormat="1" x14ac:dyDescent="0.3">
      <c r="A32" s="422" t="s">
        <v>177</v>
      </c>
      <c r="B32" s="100">
        <f>52639585+9175984+2509426+254591</f>
        <v>64579586</v>
      </c>
      <c r="C32" s="100">
        <f>52605568+9364094+2255999+285025</f>
        <v>64510686</v>
      </c>
      <c r="D32" s="100">
        <f>55431948+9134321+2430202+294576</f>
        <v>67291047</v>
      </c>
      <c r="E32" s="100">
        <f>59968496+9376812+2403348+289926</f>
        <v>72038582</v>
      </c>
      <c r="F32" s="211">
        <f>67099481+10035906+2407055+317524</f>
        <v>79859966</v>
      </c>
    </row>
    <row r="33" spans="1:6" s="159" customFormat="1" x14ac:dyDescent="0.3">
      <c r="A33" s="425" t="s">
        <v>175</v>
      </c>
      <c r="B33" s="216"/>
      <c r="C33" s="216">
        <f>C32/B32</f>
        <v>0.99893309938530728</v>
      </c>
      <c r="D33" s="216">
        <f>D32/C32</f>
        <v>1.0430992316528769</v>
      </c>
      <c r="E33" s="216">
        <f>E32/D32</f>
        <v>1.0705522534075</v>
      </c>
      <c r="F33" s="217">
        <f>F32/E32</f>
        <v>1.1085721537383955</v>
      </c>
    </row>
    <row r="34" spans="1:6" x14ac:dyDescent="0.3">
      <c r="A34" s="432" t="s">
        <v>178</v>
      </c>
      <c r="B34" s="236">
        <f>B32/B28</f>
        <v>0.98041583287898859</v>
      </c>
      <c r="C34" s="236">
        <f>C32/C28</f>
        <v>0.94858603660323881</v>
      </c>
      <c r="D34" s="236">
        <f>D32/D28</f>
        <v>0.98788711278811636</v>
      </c>
      <c r="E34" s="236">
        <f>E32/E28</f>
        <v>0.99145340433732798</v>
      </c>
      <c r="F34" s="237">
        <f>F32/F28</f>
        <v>1.0044209633938084</v>
      </c>
    </row>
    <row r="35" spans="1:6" s="3" customFormat="1" x14ac:dyDescent="0.3">
      <c r="A35" s="422" t="s">
        <v>179</v>
      </c>
      <c r="B35" s="100">
        <v>1285286</v>
      </c>
      <c r="C35" s="100">
        <v>1614831</v>
      </c>
      <c r="D35" s="100">
        <v>1278828</v>
      </c>
      <c r="E35" s="100">
        <v>1016561</v>
      </c>
      <c r="F35" s="211">
        <v>506580</v>
      </c>
    </row>
    <row r="36" spans="1:6" s="159" customFormat="1" x14ac:dyDescent="0.3">
      <c r="A36" s="425" t="s">
        <v>175</v>
      </c>
      <c r="B36" s="216"/>
      <c r="C36" s="216">
        <f>C35/B35</f>
        <v>1.2563981868626906</v>
      </c>
      <c r="D36" s="216">
        <f>D35/C35</f>
        <v>0.79192683321041024</v>
      </c>
      <c r="E36" s="216">
        <f>E35/D35</f>
        <v>0.79491612632816921</v>
      </c>
      <c r="F36" s="217">
        <f>F35/E35</f>
        <v>0.4983272031880035</v>
      </c>
    </row>
    <row r="37" spans="1:6" s="3" customFormat="1" x14ac:dyDescent="0.3">
      <c r="A37" s="422" t="s">
        <v>169</v>
      </c>
      <c r="B37" s="100">
        <f>SUM(B30:F30)/5</f>
        <v>26183440.199999999</v>
      </c>
      <c r="C37" s="100"/>
      <c r="D37" s="100"/>
      <c r="E37" s="100"/>
      <c r="F37" s="211"/>
    </row>
    <row r="38" spans="1:6" s="13" customFormat="1" x14ac:dyDescent="0.3">
      <c r="A38" s="238" t="s">
        <v>130</v>
      </c>
      <c r="B38" s="98">
        <v>2013</v>
      </c>
      <c r="C38" s="98">
        <v>2014</v>
      </c>
      <c r="D38" s="98">
        <v>2015</v>
      </c>
      <c r="E38" s="98">
        <v>2016</v>
      </c>
      <c r="F38" s="239">
        <v>2017</v>
      </c>
    </row>
    <row r="39" spans="1:6" s="3" customFormat="1" x14ac:dyDescent="0.3">
      <c r="A39" s="422" t="s">
        <v>14</v>
      </c>
      <c r="B39" s="100">
        <f>'PRIHODKI IN STROŠKI'!B2</f>
        <v>83764805</v>
      </c>
      <c r="C39" s="100">
        <f>'PRIHODKI IN STROŠKI'!C2</f>
        <v>92337092</v>
      </c>
      <c r="D39" s="100">
        <f>'PRIHODKI IN STROŠKI'!D2</f>
        <v>105932291</v>
      </c>
      <c r="E39" s="100">
        <f>'PRIHODKI IN STROŠKI'!E2</f>
        <v>120997840</v>
      </c>
      <c r="F39" s="211">
        <f>'PRIHODKI IN STROŠKI'!F2</f>
        <v>139357926</v>
      </c>
    </row>
    <row r="40" spans="1:6" s="159" customFormat="1" x14ac:dyDescent="0.3">
      <c r="A40" s="433" t="s">
        <v>184</v>
      </c>
      <c r="B40" s="240"/>
      <c r="C40" s="240">
        <f>'PRIHODKI IN STROŠKI'!C3</f>
        <v>1.1023375748322939</v>
      </c>
      <c r="D40" s="240">
        <f>'PRIHODKI IN STROŠKI'!D3</f>
        <v>1.1472344288252005</v>
      </c>
      <c r="E40" s="240">
        <f>'PRIHODKI IN STROŠKI'!E3</f>
        <v>1.1422186649394754</v>
      </c>
      <c r="F40" s="241">
        <f>'PRIHODKI IN STROŠKI'!F3</f>
        <v>1.1517389566623668</v>
      </c>
    </row>
    <row r="41" spans="1:6" s="159" customFormat="1" x14ac:dyDescent="0.3">
      <c r="A41" s="554" t="s">
        <v>318</v>
      </c>
      <c r="B41" s="555">
        <f>'FCF - KONČNI_IZRAČUN'!B5</f>
        <v>2885192</v>
      </c>
      <c r="C41" s="555">
        <f>'FCF - KONČNI_IZRAČUN'!C5</f>
        <v>6276734</v>
      </c>
      <c r="D41" s="555">
        <f>'FCF - KONČNI_IZRAČUN'!D5</f>
        <v>8390559</v>
      </c>
      <c r="E41" s="555">
        <f>'FCF - KONČNI_IZRAČUN'!E5</f>
        <v>10217587</v>
      </c>
      <c r="F41" s="556">
        <f>'FCF - KONČNI_IZRAČUN'!F5</f>
        <v>10844757</v>
      </c>
    </row>
    <row r="42" spans="1:6" x14ac:dyDescent="0.3">
      <c r="A42" s="427" t="s">
        <v>185</v>
      </c>
      <c r="B42" s="242">
        <f>'PRIHODKI IN STROŠKI'!B38</f>
        <v>0.96991077863314534</v>
      </c>
      <c r="C42" s="242">
        <f>'PRIHODKI IN STROŠKI'!C38</f>
        <v>0.94702056854506556</v>
      </c>
      <c r="D42" s="242">
        <f>'PRIHODKI IN STROŠKI'!D38</f>
        <v>0.91556833022636808</v>
      </c>
      <c r="E42" s="242">
        <f>'PRIHODKI IN STROŠKI'!E38</f>
        <v>0.92531437206416345</v>
      </c>
      <c r="F42" s="243">
        <f>'PRIHODKI IN STROŠKI'!F38</f>
        <v>0.92499832915959945</v>
      </c>
    </row>
    <row r="43" spans="1:6" s="159" customFormat="1" x14ac:dyDescent="0.3">
      <c r="A43" s="425" t="s">
        <v>186</v>
      </c>
      <c r="B43" s="216"/>
      <c r="C43" s="216">
        <f>'PRIHODKI IN STROŠKI'!C24</f>
        <v>1.0792093550449853</v>
      </c>
      <c r="D43" s="216">
        <f>'PRIHODKI IN STROŠKI'!D24</f>
        <v>1.1270620497445516</v>
      </c>
      <c r="E43" s="216">
        <f>'PRIHODKI IN STROŠKI'!E24</f>
        <v>1.1522100155414798</v>
      </c>
      <c r="F43" s="217">
        <f>'PRIHODKI IN STROŠKI'!F24</f>
        <v>1.1476407660461778</v>
      </c>
    </row>
    <row r="44" spans="1:6" s="3" customFormat="1" x14ac:dyDescent="0.3">
      <c r="A44" s="422" t="s">
        <v>12</v>
      </c>
      <c r="B44" s="100">
        <f>AKTIVA!B17</f>
        <v>54638312</v>
      </c>
      <c r="C44" s="100">
        <f>AKTIVA!C17</f>
        <v>58523283</v>
      </c>
      <c r="D44" s="100">
        <f>AKTIVA!D17</f>
        <v>69282719</v>
      </c>
      <c r="E44" s="100">
        <f>AKTIVA!E17</f>
        <v>91159908</v>
      </c>
      <c r="F44" s="211">
        <f>AKTIVA!F17</f>
        <v>106555791</v>
      </c>
    </row>
    <row r="45" spans="1:6" s="3" customFormat="1" x14ac:dyDescent="0.3">
      <c r="A45" s="422" t="s">
        <v>169</v>
      </c>
      <c r="B45" s="100">
        <f>SUM(B44:F44)/5</f>
        <v>76032002.599999994</v>
      </c>
      <c r="C45" s="100"/>
      <c r="D45" s="100"/>
      <c r="E45" s="100"/>
      <c r="F45" s="211"/>
    </row>
    <row r="46" spans="1:6" s="159" customFormat="1" ht="15" thickBot="1" x14ac:dyDescent="0.35">
      <c r="A46" s="426" t="s">
        <v>187</v>
      </c>
      <c r="B46" s="218"/>
      <c r="C46" s="218">
        <f>AKTIVA!C18</f>
        <v>1.0711034228143799</v>
      </c>
      <c r="D46" s="218">
        <f>AKTIVA!D18</f>
        <v>1.1838488110791734</v>
      </c>
      <c r="E46" s="218">
        <f>AKTIVA!E18</f>
        <v>1.3157668941947847</v>
      </c>
      <c r="F46" s="219">
        <f>AKTIVA!F18</f>
        <v>1.1688887509627588</v>
      </c>
    </row>
    <row r="49" spans="1:6" ht="15" thickBot="1" x14ac:dyDescent="0.35"/>
    <row r="50" spans="1:6" s="33" customFormat="1" x14ac:dyDescent="0.3">
      <c r="A50" s="227" t="s">
        <v>188</v>
      </c>
      <c r="B50" s="228">
        <v>2013</v>
      </c>
      <c r="C50" s="228">
        <v>2014</v>
      </c>
      <c r="D50" s="228">
        <v>2015</v>
      </c>
      <c r="E50" s="228">
        <v>2016</v>
      </c>
      <c r="F50" s="229">
        <v>2017</v>
      </c>
    </row>
    <row r="51" spans="1:6" s="225" customFormat="1" x14ac:dyDescent="0.3">
      <c r="A51" s="230" t="s">
        <v>189</v>
      </c>
      <c r="B51" s="231">
        <f>B35/$B37</f>
        <v>4.908774363423795E-2</v>
      </c>
      <c r="C51" s="231">
        <f>C35/$B37</f>
        <v>6.1673752099237138E-2</v>
      </c>
      <c r="D51" s="231">
        <f>D35/$B37</f>
        <v>4.8841099192152758E-2</v>
      </c>
      <c r="E51" s="231">
        <f>E35/$B37</f>
        <v>3.8824577375435945E-2</v>
      </c>
      <c r="F51" s="232">
        <f>F35/$B37</f>
        <v>1.9347343058457232E-2</v>
      </c>
    </row>
    <row r="52" spans="1:6" s="225" customFormat="1" x14ac:dyDescent="0.3">
      <c r="A52" s="230" t="s">
        <v>190</v>
      </c>
      <c r="B52" s="231">
        <f>B24/$B26</f>
        <v>9.182310603249981E-2</v>
      </c>
      <c r="C52" s="231">
        <f>C24/$B26</f>
        <v>6.8264450545373598E-2</v>
      </c>
      <c r="D52" s="231">
        <f>D24/$B26</f>
        <v>8.2548044817095795E-3</v>
      </c>
      <c r="E52" s="231">
        <f>E24/$B26</f>
        <v>9.9428656229131107E-2</v>
      </c>
      <c r="F52" s="232">
        <f>F24/$B26</f>
        <v>9.5069377457891222E-2</v>
      </c>
    </row>
    <row r="53" spans="1:6" s="225" customFormat="1" x14ac:dyDescent="0.3">
      <c r="A53" s="230" t="s">
        <v>191</v>
      </c>
      <c r="B53" s="231">
        <f>B14/$B15</f>
        <v>0.16836663251478595</v>
      </c>
      <c r="C53" s="231">
        <f t="shared" ref="C53:F53" si="0">C14/$B15</f>
        <v>0.18873142462472406</v>
      </c>
      <c r="D53" s="231">
        <f t="shared" si="0"/>
        <v>0.19241064506514391</v>
      </c>
      <c r="E53" s="231">
        <f t="shared" si="0"/>
        <v>0.19478259666107459</v>
      </c>
      <c r="F53" s="232">
        <f t="shared" si="0"/>
        <v>0.13669697372435857</v>
      </c>
    </row>
    <row r="54" spans="1:6" s="225" customFormat="1" ht="15" thickBot="1" x14ac:dyDescent="0.35">
      <c r="A54" s="233" t="s">
        <v>192</v>
      </c>
      <c r="B54" s="234">
        <f>B41/$B$45</f>
        <v>3.7947073618181934E-2</v>
      </c>
      <c r="C54" s="234">
        <f t="shared" ref="C54:F54" si="1">C41/$B$45</f>
        <v>8.2553842926136475E-2</v>
      </c>
      <c r="D54" s="234">
        <f t="shared" si="1"/>
        <v>0.11035562280454785</v>
      </c>
      <c r="E54" s="234">
        <f t="shared" si="1"/>
        <v>0.13438534630942367</v>
      </c>
      <c r="F54" s="235">
        <f t="shared" si="1"/>
        <v>0.14263410970579907</v>
      </c>
    </row>
    <row r="55" spans="1:6" ht="15" thickBot="1" x14ac:dyDescent="0.35">
      <c r="B55" s="557">
        <f>AVERAGE(B54:F54)</f>
        <v>0.1015751990728178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81"/>
  <sheetViews>
    <sheetView tabSelected="1" topLeftCell="A64" workbookViewId="0">
      <selection activeCell="E86" sqref="E86"/>
    </sheetView>
  </sheetViews>
  <sheetFormatPr defaultRowHeight="14.4" x14ac:dyDescent="0.3"/>
  <cols>
    <col min="1" max="1" width="31.21875" customWidth="1"/>
    <col min="2" max="6" width="15.44140625" bestFit="1" customWidth="1"/>
  </cols>
  <sheetData>
    <row r="1" spans="1:6" ht="15" thickBot="1" x14ac:dyDescent="0.35"/>
    <row r="2" spans="1:6" s="6" customFormat="1" x14ac:dyDescent="0.3">
      <c r="A2" s="429" t="s">
        <v>134</v>
      </c>
      <c r="B2" s="209">
        <v>2013</v>
      </c>
      <c r="C2" s="209">
        <v>2014</v>
      </c>
      <c r="D2" s="209">
        <v>2015</v>
      </c>
      <c r="E2" s="209">
        <v>2016</v>
      </c>
      <c r="F2" s="210">
        <v>2017</v>
      </c>
    </row>
    <row r="3" spans="1:6" s="3" customFormat="1" x14ac:dyDescent="0.3">
      <c r="A3" s="422" t="s">
        <v>135</v>
      </c>
      <c r="B3" s="100">
        <f>AKTIVA!B3</f>
        <v>240390</v>
      </c>
      <c r="C3" s="100">
        <f>AKTIVA!C3</f>
        <v>211090</v>
      </c>
      <c r="D3" s="100">
        <f>AKTIVA!D3</f>
        <v>443644</v>
      </c>
      <c r="E3" s="100">
        <f>AKTIVA!E3</f>
        <v>244397</v>
      </c>
      <c r="F3" s="211">
        <f>AKTIVA!F3</f>
        <v>164330</v>
      </c>
    </row>
    <row r="4" spans="1:6" s="3" customFormat="1" x14ac:dyDescent="0.3">
      <c r="A4" s="422" t="s">
        <v>136</v>
      </c>
      <c r="B4" s="100">
        <f>AKTIVA!B2</f>
        <v>18476071</v>
      </c>
      <c r="C4" s="100">
        <f>AKTIVA!C2</f>
        <v>19178194</v>
      </c>
      <c r="D4" s="100">
        <f>AKTIVA!D2</f>
        <v>24573144</v>
      </c>
      <c r="E4" s="100">
        <f>AKTIVA!E2</f>
        <v>41740919</v>
      </c>
      <c r="F4" s="211">
        <f>AKTIVA!F2</f>
        <v>51032572</v>
      </c>
    </row>
    <row r="5" spans="1:6" s="3" customFormat="1" x14ac:dyDescent="0.3">
      <c r="A5" s="422" t="s">
        <v>137</v>
      </c>
      <c r="B5" s="100">
        <f>AKTIVA!B5</f>
        <v>2203353</v>
      </c>
      <c r="C5" s="100">
        <f>AKTIVA!C5</f>
        <v>2211131</v>
      </c>
      <c r="D5" s="100">
        <f>AKTIVA!D5</f>
        <v>2200624</v>
      </c>
      <c r="E5" s="100">
        <f>AKTIVA!E5</f>
        <v>2200931</v>
      </c>
      <c r="F5" s="211">
        <f>AKTIVA!F5</f>
        <v>2202223</v>
      </c>
    </row>
    <row r="6" spans="1:6" s="3" customFormat="1" x14ac:dyDescent="0.3">
      <c r="A6" s="422" t="s">
        <v>138</v>
      </c>
      <c r="B6" s="100">
        <f>AKTIVA!B4</f>
        <v>245074</v>
      </c>
      <c r="C6" s="100">
        <f>AKTIVA!C4</f>
        <v>545058</v>
      </c>
      <c r="D6" s="100">
        <f>AKTIVA!D4</f>
        <v>305011</v>
      </c>
      <c r="E6" s="100">
        <f>AKTIVA!E4</f>
        <v>304768</v>
      </c>
      <c r="F6" s="211">
        <f>AKTIVA!F4</f>
        <v>105298</v>
      </c>
    </row>
    <row r="7" spans="1:6" s="3" customFormat="1" ht="15" thickBot="1" x14ac:dyDescent="0.35">
      <c r="A7" s="423" t="s">
        <v>139</v>
      </c>
      <c r="B7" s="212">
        <v>781060</v>
      </c>
      <c r="C7" s="212">
        <v>608142</v>
      </c>
      <c r="D7" s="212">
        <v>333989</v>
      </c>
      <c r="E7" s="212">
        <v>411787</v>
      </c>
      <c r="F7" s="213">
        <v>455819</v>
      </c>
    </row>
    <row r="9" spans="1:6" ht="15" thickBot="1" x14ac:dyDescent="0.35"/>
    <row r="10" spans="1:6" s="6" customFormat="1" x14ac:dyDescent="0.3">
      <c r="A10" s="429" t="s">
        <v>140</v>
      </c>
      <c r="B10" s="209">
        <v>2013</v>
      </c>
      <c r="C10" s="209">
        <v>2014</v>
      </c>
      <c r="D10" s="209">
        <v>2015</v>
      </c>
      <c r="E10" s="209">
        <v>2016</v>
      </c>
      <c r="F10" s="210">
        <v>2017</v>
      </c>
    </row>
    <row r="11" spans="1:6" s="3" customFormat="1" x14ac:dyDescent="0.3">
      <c r="A11" s="422" t="s">
        <v>4</v>
      </c>
      <c r="B11" s="100">
        <f>AKTIVA!B7</f>
        <v>12903579</v>
      </c>
      <c r="C11" s="100">
        <f>AKTIVA!C7</f>
        <v>14302025</v>
      </c>
      <c r="D11" s="100">
        <f>AKTIVA!D7</f>
        <v>14059978</v>
      </c>
      <c r="E11" s="100">
        <f>AKTIVA!E7</f>
        <v>18341310</v>
      </c>
      <c r="F11" s="211">
        <f>AKTIVA!F7</f>
        <v>20723229</v>
      </c>
    </row>
    <row r="12" spans="1:6" s="3" customFormat="1" x14ac:dyDescent="0.3">
      <c r="A12" s="422" t="s">
        <v>137</v>
      </c>
      <c r="B12" s="100">
        <f>AKTIVA!B8</f>
        <v>1440000</v>
      </c>
      <c r="C12" s="100">
        <f>AKTIVA!C8</f>
        <v>750000</v>
      </c>
      <c r="D12" s="100">
        <f>AKTIVA!D8</f>
        <v>0</v>
      </c>
      <c r="E12" s="100">
        <f>AKTIVA!E8</f>
        <v>0</v>
      </c>
      <c r="F12" s="211">
        <f>AKTIVA!F8</f>
        <v>400000</v>
      </c>
    </row>
    <row r="13" spans="1:6" s="3" customFormat="1" x14ac:dyDescent="0.3">
      <c r="A13" s="422" t="s">
        <v>141</v>
      </c>
      <c r="B13" s="100">
        <f>AKTIVA!B9</f>
        <v>15817189</v>
      </c>
      <c r="C13" s="100">
        <f>AKTIVA!C9</f>
        <v>18326282</v>
      </c>
      <c r="D13" s="100">
        <f>AKTIVA!D9</f>
        <v>22009373</v>
      </c>
      <c r="E13" s="100">
        <f>AKTIVA!E9</f>
        <v>21242290</v>
      </c>
      <c r="F13" s="211">
        <f>AKTIVA!F9</f>
        <v>25008015</v>
      </c>
    </row>
    <row r="14" spans="1:6" s="3" customFormat="1" x14ac:dyDescent="0.3">
      <c r="A14" s="422" t="s">
        <v>142</v>
      </c>
      <c r="B14" s="100">
        <f>508647+295624</f>
        <v>804271</v>
      </c>
      <c r="C14" s="100">
        <f>522307+388906</f>
        <v>911213</v>
      </c>
      <c r="D14" s="100">
        <f>1859207+1772747</f>
        <v>3631954</v>
      </c>
      <c r="E14" s="100">
        <v>3281088</v>
      </c>
      <c r="F14" s="211">
        <v>2842084</v>
      </c>
    </row>
    <row r="15" spans="1:6" s="3" customFormat="1" ht="15" thickBot="1" x14ac:dyDescent="0.35">
      <c r="A15" s="423" t="s">
        <v>143</v>
      </c>
      <c r="B15" s="212">
        <f>AKTIVA!B10</f>
        <v>2022949</v>
      </c>
      <c r="C15" s="212">
        <f>AKTIVA!C10</f>
        <v>1869054</v>
      </c>
      <c r="D15" s="212">
        <f>AKTIVA!D10</f>
        <v>3497749</v>
      </c>
      <c r="E15" s="212">
        <f>AKTIVA!E10</f>
        <v>3392418</v>
      </c>
      <c r="F15" s="213">
        <f>AKTIVA!F10</f>
        <v>3296221</v>
      </c>
    </row>
    <row r="19" spans="1:6" ht="15" thickBot="1" x14ac:dyDescent="0.35"/>
    <row r="20" spans="1:6" s="6" customFormat="1" x14ac:dyDescent="0.3">
      <c r="A20" s="429" t="s">
        <v>144</v>
      </c>
      <c r="B20" s="209">
        <v>2013</v>
      </c>
      <c r="C20" s="209">
        <v>2014</v>
      </c>
      <c r="D20" s="209">
        <v>2015</v>
      </c>
      <c r="E20" s="209">
        <v>2016</v>
      </c>
      <c r="F20" s="210">
        <v>2017</v>
      </c>
    </row>
    <row r="21" spans="1:6" s="3" customFormat="1" x14ac:dyDescent="0.3">
      <c r="A21" s="422" t="s">
        <v>145</v>
      </c>
      <c r="B21" s="100">
        <f>AKTIVA!B11</f>
        <v>32692364</v>
      </c>
      <c r="C21" s="100">
        <f>AKTIVA!C11</f>
        <v>35769668</v>
      </c>
      <c r="D21" s="100">
        <f>AKTIVA!D11</f>
        <v>41426307</v>
      </c>
      <c r="E21" s="100">
        <f>AKTIVA!E11</f>
        <v>46257106</v>
      </c>
      <c r="F21" s="211">
        <f>AKTIVA!F11</f>
        <v>52269549</v>
      </c>
    </row>
    <row r="22" spans="1:6" s="3" customFormat="1" x14ac:dyDescent="0.3">
      <c r="A22" s="422" t="s">
        <v>146</v>
      </c>
      <c r="B22" s="100">
        <f>PASIVA!B8</f>
        <v>21487611</v>
      </c>
      <c r="C22" s="100">
        <f>PASIVA!C8</f>
        <v>22361944</v>
      </c>
      <c r="D22" s="100">
        <f>PASIVA!D8</f>
        <v>26720323</v>
      </c>
      <c r="E22" s="100">
        <f>PASIVA!E8</f>
        <v>33763356</v>
      </c>
      <c r="F22" s="211">
        <f>PASIVA!F8</f>
        <v>41434412</v>
      </c>
    </row>
    <row r="23" spans="1:6" s="4" customFormat="1" ht="15" thickBot="1" x14ac:dyDescent="0.35">
      <c r="A23" s="424" t="s">
        <v>147</v>
      </c>
      <c r="B23" s="214">
        <f>B21-B22</f>
        <v>11204753</v>
      </c>
      <c r="C23" s="214">
        <f>C21-C22</f>
        <v>13407724</v>
      </c>
      <c r="D23" s="214">
        <f>D21-D22</f>
        <v>14705984</v>
      </c>
      <c r="E23" s="214">
        <f>E21-E22</f>
        <v>12493750</v>
      </c>
      <c r="F23" s="215">
        <f>F21-F22</f>
        <v>10835137</v>
      </c>
    </row>
    <row r="26" spans="1:6" ht="15" thickBot="1" x14ac:dyDescent="0.35"/>
    <row r="27" spans="1:6" s="6" customFormat="1" x14ac:dyDescent="0.3">
      <c r="A27" s="429" t="s">
        <v>148</v>
      </c>
      <c r="B27" s="209">
        <v>2013</v>
      </c>
      <c r="C27" s="209">
        <v>2014</v>
      </c>
      <c r="D27" s="209">
        <v>2015</v>
      </c>
      <c r="E27" s="209">
        <v>2016</v>
      </c>
      <c r="F27" s="210">
        <v>2017</v>
      </c>
    </row>
    <row r="28" spans="1:6" s="3" customFormat="1" x14ac:dyDescent="0.3">
      <c r="A28" s="422" t="s">
        <v>149</v>
      </c>
      <c r="B28" s="100">
        <f>'FCF - KONČNI_IZRAČUN'!B3</f>
        <v>3011623</v>
      </c>
      <c r="C28" s="100">
        <f>'FCF - KONČNI_IZRAČUN'!C3</f>
        <v>6487750</v>
      </c>
      <c r="D28" s="100">
        <f>'FCF - KONČNI_IZRAČUN'!D3</f>
        <v>8547168</v>
      </c>
      <c r="E28" s="100">
        <f>'FCF - KONČNI_IZRAČUN'!E3</f>
        <v>10861125</v>
      </c>
      <c r="F28" s="211">
        <f>'FCF - KONČNI_IZRAČUN'!F3</f>
        <v>11548315</v>
      </c>
    </row>
    <row r="29" spans="1:6" s="3" customFormat="1" x14ac:dyDescent="0.3">
      <c r="A29" s="422" t="s">
        <v>150</v>
      </c>
      <c r="B29" s="100">
        <f>B28+AMORTIZACIJA!B89</f>
        <v>8575676</v>
      </c>
      <c r="C29" s="100">
        <f>C28+AMORTIZACIJA!C89</f>
        <v>11734201</v>
      </c>
      <c r="D29" s="100">
        <f>D28+AMORTIZACIJA!D89</f>
        <v>13977505</v>
      </c>
      <c r="E29" s="100">
        <f>E28+AMORTIZACIJA!E89</f>
        <v>17080699</v>
      </c>
      <c r="F29" s="211">
        <f>F28+AMORTIZACIJA!F89</f>
        <v>18953885</v>
      </c>
    </row>
    <row r="30" spans="1:6" s="159" customFormat="1" x14ac:dyDescent="0.3">
      <c r="A30" s="425" t="s">
        <v>151</v>
      </c>
      <c r="B30" s="216"/>
      <c r="C30" s="216">
        <f t="shared" ref="C30:F31" si="0">C28/B28</f>
        <v>2.1542371007260868</v>
      </c>
      <c r="D30" s="216">
        <f t="shared" si="0"/>
        <v>1.3174317752687759</v>
      </c>
      <c r="E30" s="216">
        <f t="shared" si="0"/>
        <v>1.2707279182999562</v>
      </c>
      <c r="F30" s="217">
        <f t="shared" si="0"/>
        <v>1.0632706096283764</v>
      </c>
    </row>
    <row r="31" spans="1:6" s="159" customFormat="1" ht="15" thickBot="1" x14ac:dyDescent="0.35">
      <c r="A31" s="426" t="s">
        <v>152</v>
      </c>
      <c r="B31" s="218"/>
      <c r="C31" s="218">
        <f t="shared" si="0"/>
        <v>1.368312072424378</v>
      </c>
      <c r="D31" s="218">
        <f t="shared" si="0"/>
        <v>1.1911765445299598</v>
      </c>
      <c r="E31" s="218">
        <f t="shared" si="0"/>
        <v>1.2220134423132025</v>
      </c>
      <c r="F31" s="219">
        <f t="shared" si="0"/>
        <v>1.1096668233542433</v>
      </c>
    </row>
    <row r="33" spans="1:6" ht="15" thickBot="1" x14ac:dyDescent="0.35"/>
    <row r="34" spans="1:6" s="6" customFormat="1" x14ac:dyDescent="0.3">
      <c r="A34" s="227" t="s">
        <v>153</v>
      </c>
      <c r="B34" s="209">
        <v>2013</v>
      </c>
      <c r="C34" s="209">
        <v>2014</v>
      </c>
      <c r="D34" s="209">
        <v>2015</v>
      </c>
      <c r="E34" s="209">
        <v>2016</v>
      </c>
      <c r="F34" s="210">
        <v>2017</v>
      </c>
    </row>
    <row r="35" spans="1:6" s="6" customFormat="1" x14ac:dyDescent="0.3">
      <c r="A35" s="430" t="s">
        <v>154</v>
      </c>
      <c r="B35" s="220"/>
      <c r="C35" s="220"/>
      <c r="D35" s="220"/>
      <c r="E35" s="220"/>
      <c r="F35" s="221"/>
    </row>
    <row r="36" spans="1:6" s="159" customFormat="1" x14ac:dyDescent="0.3">
      <c r="A36" s="425" t="s">
        <v>155</v>
      </c>
      <c r="B36" s="216">
        <f>B21/B22</f>
        <v>1.5214517798186127</v>
      </c>
      <c r="C36" s="216">
        <f>C21/C22</f>
        <v>1.5995777469078718</v>
      </c>
      <c r="D36" s="216">
        <f>D21/D22</f>
        <v>1.5503669996803557</v>
      </c>
      <c r="E36" s="216">
        <f>E21/E22</f>
        <v>1.3700387485177719</v>
      </c>
      <c r="F36" s="217">
        <f>F21/F22</f>
        <v>1.261500923435332</v>
      </c>
    </row>
    <row r="37" spans="1:6" x14ac:dyDescent="0.3">
      <c r="A37" s="427"/>
      <c r="B37" s="137"/>
      <c r="C37" s="137"/>
      <c r="D37" s="137"/>
      <c r="E37" s="137"/>
      <c r="F37" s="222"/>
    </row>
    <row r="38" spans="1:6" x14ac:dyDescent="0.3">
      <c r="A38" s="430" t="s">
        <v>156</v>
      </c>
      <c r="B38" s="137"/>
      <c r="C38" s="137"/>
      <c r="D38" s="137"/>
      <c r="E38" s="137"/>
      <c r="F38" s="222"/>
    </row>
    <row r="39" spans="1:6" s="159" customFormat="1" x14ac:dyDescent="0.3">
      <c r="A39" s="425" t="s">
        <v>157</v>
      </c>
      <c r="B39" s="216">
        <f>(B21-B11)/B22</f>
        <v>0.92093927984828095</v>
      </c>
      <c r="C39" s="216">
        <f>(C21-C11)/C22</f>
        <v>0.96000790450061046</v>
      </c>
      <c r="D39" s="216">
        <f>(D21-D11)/D22</f>
        <v>1.0241765790031805</v>
      </c>
      <c r="E39" s="216">
        <f>(E21-E11)/E22</f>
        <v>0.82680750100789746</v>
      </c>
      <c r="F39" s="217">
        <f>(F21-F11)/F22</f>
        <v>0.7613555611697832</v>
      </c>
    </row>
    <row r="40" spans="1:6" x14ac:dyDescent="0.3">
      <c r="A40" s="427"/>
      <c r="B40" s="137"/>
      <c r="C40" s="137"/>
      <c r="D40" s="137"/>
      <c r="E40" s="137"/>
      <c r="F40" s="222"/>
    </row>
    <row r="41" spans="1:6" s="6" customFormat="1" x14ac:dyDescent="0.3">
      <c r="A41" s="430" t="s">
        <v>158</v>
      </c>
      <c r="B41" s="220"/>
      <c r="C41" s="220"/>
      <c r="D41" s="220"/>
      <c r="E41" s="220"/>
      <c r="F41" s="221"/>
    </row>
    <row r="42" spans="1:6" s="159" customFormat="1" ht="15" thickBot="1" x14ac:dyDescent="0.35">
      <c r="A42" s="426" t="s">
        <v>159</v>
      </c>
      <c r="B42" s="218">
        <f>B15/B22</f>
        <v>9.4144900519652935E-2</v>
      </c>
      <c r="C42" s="218">
        <f>C15/C22</f>
        <v>8.3581910409935734E-2</v>
      </c>
      <c r="D42" s="218">
        <f>D15/D22</f>
        <v>0.13090219755202809</v>
      </c>
      <c r="E42" s="218">
        <f>E15/E22</f>
        <v>0.10047632705706151</v>
      </c>
      <c r="F42" s="219">
        <f>F15/F22</f>
        <v>7.9552739882009185E-2</v>
      </c>
    </row>
    <row r="46" spans="1:6" ht="15" thickBot="1" x14ac:dyDescent="0.35"/>
    <row r="47" spans="1:6" s="6" customFormat="1" x14ac:dyDescent="0.3">
      <c r="A47" s="227" t="s">
        <v>160</v>
      </c>
      <c r="B47" s="209">
        <v>2013</v>
      </c>
      <c r="C47" s="209">
        <v>2014</v>
      </c>
      <c r="D47" s="209">
        <v>2015</v>
      </c>
      <c r="E47" s="209">
        <v>2016</v>
      </c>
      <c r="F47" s="210">
        <v>2017</v>
      </c>
    </row>
    <row r="48" spans="1:6" s="6" customFormat="1" x14ac:dyDescent="0.3">
      <c r="A48" s="430" t="s">
        <v>161</v>
      </c>
      <c r="B48" s="220"/>
      <c r="C48" s="220"/>
      <c r="D48" s="220"/>
      <c r="E48" s="220"/>
      <c r="F48" s="221"/>
    </row>
    <row r="49" spans="1:6" s="160" customFormat="1" ht="15" thickBot="1" x14ac:dyDescent="0.35">
      <c r="A49" s="428" t="s">
        <v>162</v>
      </c>
      <c r="B49" s="223">
        <f>(PASIVA!B5+PASIVA!B8)/AKTIVA!B17</f>
        <v>0.57886713264494705</v>
      </c>
      <c r="C49" s="223">
        <f>(PASIVA!C5+PASIVA!C8)/AKTIVA!C17</f>
        <v>0.5115651321201512</v>
      </c>
      <c r="D49" s="223">
        <f>(PASIVA!D5+PASIVA!D8)/AKTIVA!D17</f>
        <v>0.47652037155181509</v>
      </c>
      <c r="E49" s="223">
        <f>(PASIVA!E5+PASIVA!E8)/AKTIVA!E17</f>
        <v>0.49957310180699172</v>
      </c>
      <c r="F49" s="224">
        <f>(PASIVA!F5+PASIVA!F8)/AKTIVA!F17</f>
        <v>0.47849730663629536</v>
      </c>
    </row>
    <row r="52" spans="1:6" ht="15" thickBot="1" x14ac:dyDescent="0.35"/>
    <row r="53" spans="1:6" s="6" customFormat="1" x14ac:dyDescent="0.3">
      <c r="A53" s="227" t="s">
        <v>163</v>
      </c>
      <c r="B53" s="209">
        <v>2013</v>
      </c>
      <c r="C53" s="209">
        <v>2014</v>
      </c>
      <c r="D53" s="209">
        <v>2015</v>
      </c>
      <c r="E53" s="209">
        <v>2016</v>
      </c>
      <c r="F53" s="210">
        <v>2017</v>
      </c>
    </row>
    <row r="54" spans="1:6" x14ac:dyDescent="0.3">
      <c r="A54" s="430" t="s">
        <v>164</v>
      </c>
      <c r="B54" s="137"/>
      <c r="C54" s="137"/>
      <c r="D54" s="137"/>
      <c r="E54" s="137"/>
      <c r="F54" s="222"/>
    </row>
    <row r="55" spans="1:6" s="159" customFormat="1" x14ac:dyDescent="0.3">
      <c r="A55" s="425" t="s">
        <v>165</v>
      </c>
      <c r="B55" s="216">
        <f>'FCF - KONČNI_IZRAČUN'!B5/'KAZALNIKI - PODJETJE X'!$B$61</f>
        <v>3.7947073618181934E-2</v>
      </c>
      <c r="C55" s="216">
        <f>'FCF - KONČNI_IZRAČUN'!C5/'KAZALNIKI - PODJETJE X'!$B$61</f>
        <v>8.2553842926136475E-2</v>
      </c>
      <c r="D55" s="216">
        <f>'FCF - KONČNI_IZRAČUN'!D5/'KAZALNIKI - PODJETJE X'!$B$61</f>
        <v>0.11035562280454785</v>
      </c>
      <c r="E55" s="216">
        <f>'FCF - KONČNI_IZRAČUN'!E5/'KAZALNIKI - PODJETJE X'!$B$61</f>
        <v>0.13438534630942367</v>
      </c>
      <c r="F55" s="217">
        <f>'FCF - KONČNI_IZRAČUN'!F5/'KAZALNIKI - PODJETJE X'!$B$61</f>
        <v>0.14263410970579907</v>
      </c>
    </row>
    <row r="56" spans="1:6" x14ac:dyDescent="0.3">
      <c r="A56" s="427"/>
      <c r="B56" s="137"/>
      <c r="C56" s="137"/>
      <c r="D56" s="137"/>
      <c r="E56" s="137"/>
      <c r="F56" s="222"/>
    </row>
    <row r="57" spans="1:6" x14ac:dyDescent="0.3">
      <c r="A57" s="430" t="s">
        <v>166</v>
      </c>
      <c r="B57" s="137"/>
      <c r="C57" s="137"/>
      <c r="D57" s="137"/>
      <c r="E57" s="137"/>
      <c r="F57" s="222"/>
    </row>
    <row r="58" spans="1:6" s="159" customFormat="1" ht="15" thickBot="1" x14ac:dyDescent="0.35">
      <c r="A58" s="426" t="s">
        <v>167</v>
      </c>
      <c r="B58" s="218">
        <f>'FCF - KONČNI_IZRAČUN'!B5/'KAZALNIKI - PODJETJE X'!$B$64</f>
        <v>7.6440562317114547E-2</v>
      </c>
      <c r="C58" s="218">
        <f>'FCF - KONČNI_IZRAČUN'!C5/'KAZALNIKI - PODJETJE X'!$B$64</f>
        <v>0.16629641163394035</v>
      </c>
      <c r="D58" s="218">
        <f>'FCF - KONČNI_IZRAČUN'!D5/'KAZALNIKI - PODJETJE X'!$B$64</f>
        <v>0.22230030033180678</v>
      </c>
      <c r="E58" s="218">
        <f>'FCF - KONČNI_IZRAČUN'!E5/'KAZALNIKI - PODJETJE X'!$B$64</f>
        <v>0.27070576093516113</v>
      </c>
      <c r="F58" s="219">
        <f>'FCF - KONČNI_IZRAČUN'!F5/'KAZALNIKI - PODJETJE X'!$B$64</f>
        <v>0.28732206496914736</v>
      </c>
    </row>
    <row r="60" spans="1:6" x14ac:dyDescent="0.3">
      <c r="A60" s="161"/>
      <c r="B60" s="162" t="s">
        <v>168</v>
      </c>
    </row>
    <row r="61" spans="1:6" s="3" customFormat="1" x14ac:dyDescent="0.3">
      <c r="A61" s="163" t="s">
        <v>169</v>
      </c>
      <c r="B61" s="164">
        <f>SUM(AKTIVA!B17:F17)/5</f>
        <v>76032002.599999994</v>
      </c>
    </row>
    <row r="63" spans="1:6" x14ac:dyDescent="0.3">
      <c r="A63" s="161"/>
      <c r="B63" s="162" t="s">
        <v>168</v>
      </c>
    </row>
    <row r="64" spans="1:6" s="3" customFormat="1" x14ac:dyDescent="0.3">
      <c r="A64" s="163" t="s">
        <v>170</v>
      </c>
      <c r="B64" s="164">
        <f>SUM(PASIVA!B25:F25)/5</f>
        <v>37744254</v>
      </c>
    </row>
    <row r="67" spans="1:6" ht="15" thickBot="1" x14ac:dyDescent="0.35"/>
    <row r="68" spans="1:6" s="6" customFormat="1" x14ac:dyDescent="0.3">
      <c r="A68" s="227" t="s">
        <v>171</v>
      </c>
      <c r="B68" s="209">
        <v>2013</v>
      </c>
      <c r="C68" s="209">
        <v>2014</v>
      </c>
      <c r="D68" s="209">
        <v>2015</v>
      </c>
      <c r="E68" s="209">
        <v>2016</v>
      </c>
      <c r="F68" s="210">
        <v>2017</v>
      </c>
    </row>
    <row r="69" spans="1:6" s="6" customFormat="1" x14ac:dyDescent="0.3">
      <c r="A69" s="430" t="s">
        <v>239</v>
      </c>
      <c r="B69" s="220"/>
      <c r="C69" s="220"/>
      <c r="D69" s="220"/>
      <c r="E69" s="220"/>
      <c r="F69" s="221"/>
    </row>
    <row r="70" spans="1:6" s="159" customFormat="1" x14ac:dyDescent="0.3">
      <c r="A70" s="425" t="s">
        <v>172</v>
      </c>
      <c r="B70" s="216">
        <f>'PRIHODKI IN STROŠKI'!B2/'KAZALNIKI - PODJETJE X'!$B$75</f>
        <v>4.0307058360021433</v>
      </c>
      <c r="C70" s="216">
        <f>'PRIHODKI IN STROŠKI'!C2/'KAZALNIKI - PODJETJE X'!$B$75</f>
        <v>4.4431984961209761</v>
      </c>
      <c r="D70" s="216">
        <f>'PRIHODKI IN STROŠKI'!D2/'KAZALNIKI - PODJETJE X'!$B$75</f>
        <v>5.0973902888543376</v>
      </c>
      <c r="E70" s="216">
        <f>'PRIHODKI IN STROŠKI'!E2/'KAZALNIKI - PODJETJE X'!$B$75</f>
        <v>5.8223343304106487</v>
      </c>
      <c r="F70" s="217">
        <f>'PRIHODKI IN STROŠKI'!F2/'KAZALNIKI - PODJETJE X'!$B$75</f>
        <v>6.7058092670466412</v>
      </c>
    </row>
    <row r="71" spans="1:6" s="159" customFormat="1" ht="15" thickBot="1" x14ac:dyDescent="0.35">
      <c r="A71" s="426" t="s">
        <v>173</v>
      </c>
      <c r="B71" s="218">
        <f>365/B70</f>
        <v>90.554859335015465</v>
      </c>
      <c r="C71" s="218">
        <f>365/C70</f>
        <v>82.148029244845617</v>
      </c>
      <c r="D71" s="218">
        <f>365/D70</f>
        <v>71.605268444538794</v>
      </c>
      <c r="E71" s="218">
        <f>365/E70</f>
        <v>62.689632591788417</v>
      </c>
      <c r="F71" s="219">
        <f>365/F70</f>
        <v>54.430417786211891</v>
      </c>
    </row>
    <row r="73" spans="1:6" x14ac:dyDescent="0.3">
      <c r="F73" s="137"/>
    </row>
    <row r="74" spans="1:6" x14ac:dyDescent="0.3">
      <c r="A74" s="421"/>
      <c r="B74" s="162" t="s">
        <v>168</v>
      </c>
      <c r="C74" s="6"/>
      <c r="D74" s="6"/>
      <c r="E74" s="6"/>
      <c r="F74" s="220"/>
    </row>
    <row r="75" spans="1:6" x14ac:dyDescent="0.3">
      <c r="A75" s="163" t="s">
        <v>238</v>
      </c>
      <c r="B75" s="164">
        <f>SUM(AKTIVA!B4:F4,AKTIVA!B9:F9)/5</f>
        <v>20781671.600000001</v>
      </c>
      <c r="C75" s="3"/>
      <c r="D75" s="3"/>
      <c r="E75" s="3"/>
      <c r="F75" s="100"/>
    </row>
    <row r="76" spans="1:6" x14ac:dyDescent="0.3">
      <c r="F76" s="137"/>
    </row>
    <row r="77" spans="1:6" ht="15" thickBot="1" x14ac:dyDescent="0.35"/>
    <row r="78" spans="1:6" s="6" customFormat="1" x14ac:dyDescent="0.3">
      <c r="A78" s="429" t="s">
        <v>319</v>
      </c>
      <c r="B78" s="209">
        <v>2013</v>
      </c>
      <c r="C78" s="209">
        <v>2014</v>
      </c>
      <c r="D78" s="209">
        <v>2015</v>
      </c>
      <c r="E78" s="209">
        <v>2016</v>
      </c>
      <c r="F78" s="210">
        <v>2017</v>
      </c>
    </row>
    <row r="79" spans="1:6" x14ac:dyDescent="0.3">
      <c r="A79" s="427" t="s">
        <v>320</v>
      </c>
      <c r="B79" s="137">
        <f>'FCF - KONČNI_IZRAČUN'!B5/'PRIHODKI IN STROŠKI'!B2</f>
        <v>3.4443964860898318E-2</v>
      </c>
      <c r="C79" s="137">
        <f>'FCF - KONČNI_IZRAČUN'!C5/'PRIHODKI IN STROŠKI'!C2</f>
        <v>6.7976301441245307E-2</v>
      </c>
      <c r="D79" s="137">
        <f>'FCF - KONČNI_IZRAČUN'!D5/'PRIHODKI IN STROŠKI'!D2</f>
        <v>7.9206811452798662E-2</v>
      </c>
      <c r="E79" s="137">
        <f>'FCF - KONČNI_IZRAČUN'!E5/'PRIHODKI IN STROŠKI'!E2</f>
        <v>8.4444375205375566E-2</v>
      </c>
      <c r="F79" s="222">
        <f>'FCF - KONČNI_IZRAČUN'!F5/'PRIHODKI IN STROŠKI'!F2</f>
        <v>7.7819448891626009E-2</v>
      </c>
    </row>
    <row r="80" spans="1:6" ht="15" thickBot="1" x14ac:dyDescent="0.35">
      <c r="A80" s="558"/>
      <c r="B80" s="539"/>
      <c r="C80" s="539"/>
      <c r="D80" s="539"/>
      <c r="E80" s="539"/>
      <c r="F80" s="540"/>
    </row>
    <row r="81" spans="2:2" x14ac:dyDescent="0.3">
      <c r="B81">
        <f>AVERAGE(B79:F79)</f>
        <v>6.877818037038877E-2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0"/>
  <sheetViews>
    <sheetView workbookViewId="0">
      <selection activeCell="B5" sqref="B5:F5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3" t="s">
        <v>215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281">
        <v>2022</v>
      </c>
      <c r="L1" s="283" t="s">
        <v>222</v>
      </c>
    </row>
    <row r="2" spans="1:12" s="434" customFormat="1" x14ac:dyDescent="0.3">
      <c r="A2" s="470" t="s">
        <v>252</v>
      </c>
      <c r="B2" s="466"/>
      <c r="C2" s="466"/>
      <c r="D2" s="466"/>
      <c r="E2" s="466"/>
      <c r="F2" s="471">
        <v>11421674</v>
      </c>
      <c r="G2" s="467"/>
      <c r="H2" s="466"/>
      <c r="I2" s="466"/>
      <c r="J2" s="466"/>
      <c r="K2" s="468"/>
      <c r="L2" s="469"/>
    </row>
    <row r="3" spans="1:12" ht="15" thickBot="1" x14ac:dyDescent="0.35">
      <c r="A3" s="50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4">
        <v>11548315</v>
      </c>
      <c r="G3" s="35">
        <f>'PRIHODKI IN STROŠKI'!G6-'PRIHODKI IN STROŠKI'!G23</f>
        <v>13831298.456971526</v>
      </c>
      <c r="H3" s="36">
        <f>'PRIHODKI IN STROŠKI'!H6-'PRIHODKI IN STROŠKI'!H23</f>
        <v>13153767.280868977</v>
      </c>
      <c r="I3" s="36">
        <f>'PRIHODKI IN STROŠKI'!I6-'PRIHODKI IN STROŠKI'!I23</f>
        <v>16088249.022799492</v>
      </c>
      <c r="J3" s="36">
        <f>'PRIHODKI IN STROŠKI'!J6-'PRIHODKI IN STROŠKI'!J23</f>
        <v>17372148.448461413</v>
      </c>
      <c r="K3" s="282">
        <f>'PRIHODKI IN STROŠKI'!K6-'PRIHODKI IN STROŠKI'!K23</f>
        <v>21242363.122579873</v>
      </c>
      <c r="L3" s="284">
        <f>SUM(B7:F7)/5</f>
        <v>4.2600746460226123E-2</v>
      </c>
    </row>
    <row r="4" spans="1:12" x14ac:dyDescent="0.3">
      <c r="A4" s="50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4">
        <v>703558</v>
      </c>
      <c r="G4" s="35">
        <f>G3*G7</f>
        <v>553251.93827886111</v>
      </c>
      <c r="H4" s="36">
        <f t="shared" ref="H4:K4" si="0">H3*H7</f>
        <v>526150.69123475906</v>
      </c>
      <c r="I4" s="36">
        <f t="shared" si="0"/>
        <v>643529.96091197967</v>
      </c>
      <c r="J4" s="36">
        <f t="shared" si="0"/>
        <v>694885.93793845654</v>
      </c>
      <c r="K4" s="36">
        <f t="shared" si="0"/>
        <v>849694.52490319498</v>
      </c>
    </row>
    <row r="5" spans="1:12" x14ac:dyDescent="0.3">
      <c r="A5" s="255" t="s">
        <v>218</v>
      </c>
      <c r="B5" s="70">
        <f t="shared" ref="B5:G5" si="1">B3-B4</f>
        <v>2885192</v>
      </c>
      <c r="C5" s="70">
        <f t="shared" si="1"/>
        <v>6276734</v>
      </c>
      <c r="D5" s="70">
        <f t="shared" si="1"/>
        <v>8390559</v>
      </c>
      <c r="E5" s="70">
        <f t="shared" si="1"/>
        <v>10217587</v>
      </c>
      <c r="F5" s="70">
        <f t="shared" si="1"/>
        <v>10844757</v>
      </c>
      <c r="G5" s="72">
        <f t="shared" si="1"/>
        <v>13278046.518692665</v>
      </c>
      <c r="H5" s="70">
        <f t="shared" ref="H5:K5" si="2">H3-H4</f>
        <v>12627616.589634217</v>
      </c>
      <c r="I5" s="70">
        <f t="shared" si="2"/>
        <v>15444719.061887512</v>
      </c>
      <c r="J5" s="70">
        <f t="shared" si="2"/>
        <v>16677262.510522956</v>
      </c>
      <c r="K5" s="70">
        <f t="shared" si="2"/>
        <v>20392668.597676679</v>
      </c>
    </row>
    <row r="6" spans="1:12" x14ac:dyDescent="0.3">
      <c r="A6" s="276" t="s">
        <v>175</v>
      </c>
      <c r="B6" s="275"/>
      <c r="C6" s="275">
        <f t="shared" ref="C6:K6" si="3">C5/B5</f>
        <v>2.1754995854695287</v>
      </c>
      <c r="D6" s="275">
        <f t="shared" si="3"/>
        <v>1.3367714801997344</v>
      </c>
      <c r="E6" s="275">
        <f t="shared" si="3"/>
        <v>1.2177480666067659</v>
      </c>
      <c r="F6" s="392">
        <f t="shared" si="3"/>
        <v>1.0613814200945879</v>
      </c>
      <c r="G6" s="389">
        <f>G5/F5</f>
        <v>1.2243747387509618</v>
      </c>
      <c r="H6" s="275">
        <f t="shared" si="3"/>
        <v>0.9510146369691671</v>
      </c>
      <c r="I6" s="275">
        <f t="shared" si="3"/>
        <v>1.2230905929283442</v>
      </c>
      <c r="J6" s="275">
        <f t="shared" si="3"/>
        <v>1.0798035525085694</v>
      </c>
      <c r="K6" s="277">
        <f t="shared" si="3"/>
        <v>1.2227827309673509</v>
      </c>
    </row>
    <row r="7" spans="1:12" ht="15" thickBot="1" x14ac:dyDescent="0.35">
      <c r="A7" s="256" t="s">
        <v>223</v>
      </c>
      <c r="B7" s="251">
        <f t="shared" ref="B7:E7" si="4">B4/B3</f>
        <v>4.1981018208454381E-2</v>
      </c>
      <c r="C7" s="251">
        <f t="shared" si="4"/>
        <v>3.2525297676390119E-2</v>
      </c>
      <c r="D7" s="251">
        <f t="shared" si="4"/>
        <v>1.8322911167769254E-2</v>
      </c>
      <c r="E7" s="251">
        <f t="shared" si="4"/>
        <v>5.9251504793472132E-2</v>
      </c>
      <c r="F7" s="393">
        <f>F4/F3</f>
        <v>6.0923000455044743E-2</v>
      </c>
      <c r="G7" s="390">
        <v>0.04</v>
      </c>
      <c r="H7" s="280">
        <v>0.04</v>
      </c>
      <c r="I7" s="280">
        <v>0.04</v>
      </c>
      <c r="J7" s="280">
        <v>0.04</v>
      </c>
      <c r="K7" s="280">
        <v>0.04</v>
      </c>
    </row>
    <row r="8" spans="1:12" ht="15" thickBot="1" x14ac:dyDescent="0.35">
      <c r="F8" s="29"/>
      <c r="G8" s="391">
        <v>5000000</v>
      </c>
      <c r="H8" s="278">
        <v>5100000</v>
      </c>
      <c r="I8" s="278">
        <v>6200000</v>
      </c>
      <c r="J8" s="278">
        <v>7000000</v>
      </c>
      <c r="K8" s="279">
        <v>8100000</v>
      </c>
    </row>
    <row r="9" spans="1:12" ht="15" thickBot="1" x14ac:dyDescent="0.35">
      <c r="F9" s="29"/>
    </row>
    <row r="10" spans="1:12" ht="15" thickBot="1" x14ac:dyDescent="0.35">
      <c r="A10" s="257" t="s">
        <v>213</v>
      </c>
      <c r="B10" s="257">
        <v>2013</v>
      </c>
      <c r="C10" s="257">
        <v>2014</v>
      </c>
      <c r="D10" s="257">
        <v>2015</v>
      </c>
      <c r="E10" s="257">
        <v>2016</v>
      </c>
      <c r="F10" s="265">
        <v>2017</v>
      </c>
      <c r="G10" s="258">
        <v>2018</v>
      </c>
      <c r="H10" s="257">
        <v>2019</v>
      </c>
      <c r="I10" s="257">
        <v>2020</v>
      </c>
      <c r="J10" s="257">
        <v>2021</v>
      </c>
      <c r="K10" s="257">
        <v>2022</v>
      </c>
    </row>
    <row r="11" spans="1:12" ht="15" thickBot="1" x14ac:dyDescent="0.35">
      <c r="A11" s="259" t="s">
        <v>179</v>
      </c>
      <c r="B11" s="263">
        <f>B5</f>
        <v>2885192</v>
      </c>
      <c r="C11" s="263">
        <f>C5</f>
        <v>6276734</v>
      </c>
      <c r="D11" s="263">
        <f>D5</f>
        <v>8390559</v>
      </c>
      <c r="E11" s="263">
        <f>E5</f>
        <v>10217587</v>
      </c>
      <c r="F11" s="266">
        <f>F5</f>
        <v>10844757</v>
      </c>
      <c r="G11" s="264">
        <f t="shared" ref="G11:K11" si="5">G5</f>
        <v>13278046.518692665</v>
      </c>
      <c r="H11" s="263">
        <f t="shared" si="5"/>
        <v>12627616.589634217</v>
      </c>
      <c r="I11" s="263">
        <f t="shared" si="5"/>
        <v>15444719.061887512</v>
      </c>
      <c r="J11" s="263">
        <f t="shared" si="5"/>
        <v>16677262.510522956</v>
      </c>
      <c r="K11" s="263">
        <f t="shared" si="5"/>
        <v>20392668.597676679</v>
      </c>
    </row>
    <row r="12" spans="1:12" ht="15" thickBot="1" x14ac:dyDescent="0.35">
      <c r="A12" s="260" t="s">
        <v>201</v>
      </c>
      <c r="B12" s="263">
        <f>AMORTIZACIJA!B89</f>
        <v>5564053</v>
      </c>
      <c r="C12" s="263">
        <f>AMORTIZACIJA!C89</f>
        <v>5246451</v>
      </c>
      <c r="D12" s="263">
        <f>AMORTIZACIJA!D89</f>
        <v>5430337</v>
      </c>
      <c r="E12" s="263">
        <f>AMORTIZACIJA!E89</f>
        <v>6219574</v>
      </c>
      <c r="F12" s="266">
        <f>AMORTIZACIJA!F89</f>
        <v>7405570</v>
      </c>
      <c r="G12" s="264">
        <f>AMORTIZACIJA!G89</f>
        <v>6787305.8455679826</v>
      </c>
      <c r="H12" s="263">
        <f>AMORTIZACIJA!H89</f>
        <v>7378548.5999006499</v>
      </c>
      <c r="I12" s="263">
        <f>AMORTIZACIJA!I89</f>
        <v>8147365.2418647613</v>
      </c>
      <c r="J12" s="263">
        <f>AMORTIZACIJA!J89</f>
        <v>8809492.5241551027</v>
      </c>
      <c r="K12" s="263">
        <f>AMORTIZACIJA!K89</f>
        <v>9549969.7936748527</v>
      </c>
    </row>
    <row r="13" spans="1:12" ht="15" thickBot="1" x14ac:dyDescent="0.35">
      <c r="A13" s="259" t="s">
        <v>230</v>
      </c>
      <c r="B13" s="263">
        <f>NALOŽBE!B5</f>
        <v>2786552</v>
      </c>
      <c r="C13" s="263">
        <f>NALOŽBE!C5</f>
        <v>5944315</v>
      </c>
      <c r="D13" s="263">
        <f>NALOŽBE!D5</f>
        <v>11102237</v>
      </c>
      <c r="E13" s="263">
        <f>NALOŽBE!E5</f>
        <v>24382154</v>
      </c>
      <c r="F13" s="263">
        <f>NALOŽBE!F5</f>
        <v>16617228</v>
      </c>
      <c r="G13" s="263">
        <f>NALOŽBE!G5</f>
        <v>13216163.1984</v>
      </c>
      <c r="H13" s="263">
        <f>NALOŽBE!H5</f>
        <v>14777374.514688</v>
      </c>
      <c r="I13" s="263">
        <f>NALOŽBE!I5</f>
        <v>14458458.811587844</v>
      </c>
      <c r="J13" s="263">
        <f>NALOŽBE!J5</f>
        <v>16168236.199147476</v>
      </c>
      <c r="K13" s="263">
        <f>NALOŽBE!K5</f>
        <v>18081167.859627787</v>
      </c>
    </row>
    <row r="14" spans="1:12" ht="15" thickBot="1" x14ac:dyDescent="0.35">
      <c r="A14" s="259" t="s">
        <v>224</v>
      </c>
      <c r="B14" s="263">
        <f>NALOŽBE!B22</f>
        <v>0</v>
      </c>
      <c r="C14" s="263">
        <f>NALOŽBE!C22</f>
        <v>3685368</v>
      </c>
      <c r="D14" s="263">
        <f>NALOŽBE!D22</f>
        <v>-241232</v>
      </c>
      <c r="E14" s="263">
        <f>NALOŽBE!E22</f>
        <v>-60617</v>
      </c>
      <c r="F14" s="266">
        <f>NALOŽBE!F22</f>
        <v>3134223</v>
      </c>
      <c r="G14" s="264">
        <f>NALOŽBE!G22</f>
        <v>1934602.9970000051</v>
      </c>
      <c r="H14" s="263">
        <f>NALOŽBE!H22</f>
        <v>-2614244.2249679938</v>
      </c>
      <c r="I14" s="263">
        <f>NALOŽBE!I22</f>
        <v>4685361.7352025472</v>
      </c>
      <c r="J14" s="263">
        <f>NALOŽBE!J22</f>
        <v>3175300.8626107499</v>
      </c>
      <c r="K14" s="263">
        <f>NALOŽBE!K22</f>
        <v>969563.38951661438</v>
      </c>
    </row>
    <row r="15" spans="1:12" ht="15" thickBot="1" x14ac:dyDescent="0.35">
      <c r="A15" s="261" t="s">
        <v>214</v>
      </c>
      <c r="B15" s="261">
        <f>B11+B12-B13-B14</f>
        <v>5662693</v>
      </c>
      <c r="C15" s="261">
        <f>C11+C12-C13-C14</f>
        <v>1893502</v>
      </c>
      <c r="D15" s="261">
        <f>D11+D12-D13-D14</f>
        <v>2959891</v>
      </c>
      <c r="E15" s="261">
        <f>E11+E12-E13-E14</f>
        <v>-7884376</v>
      </c>
      <c r="F15" s="267">
        <f t="shared" ref="F15:K15" si="6">F11+F12-F13-F14</f>
        <v>-1501124</v>
      </c>
      <c r="G15" s="262">
        <f t="shared" si="6"/>
        <v>4914586.1688606422</v>
      </c>
      <c r="H15" s="261">
        <f t="shared" si="6"/>
        <v>7843034.899814859</v>
      </c>
      <c r="I15" s="261">
        <f t="shared" si="6"/>
        <v>4448263.7569618821</v>
      </c>
      <c r="J15" s="261">
        <f t="shared" si="6"/>
        <v>6143217.9729198311</v>
      </c>
      <c r="K15" s="261">
        <f t="shared" si="6"/>
        <v>10891907.142207131</v>
      </c>
    </row>
    <row r="16" spans="1:12" x14ac:dyDescent="0.3">
      <c r="F16" s="29"/>
    </row>
    <row r="17" spans="2:7" x14ac:dyDescent="0.3">
      <c r="B17" s="3"/>
      <c r="F17" s="29"/>
    </row>
    <row r="18" spans="2:7" x14ac:dyDescent="0.3">
      <c r="F18" s="29"/>
    </row>
    <row r="19" spans="2:7" x14ac:dyDescent="0.3">
      <c r="F19" s="29"/>
    </row>
    <row r="20" spans="2:7" x14ac:dyDescent="0.3">
      <c r="G20" s="43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C24" sqref="C24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44" t="s">
        <v>257</v>
      </c>
      <c r="G2" s="489" t="s">
        <v>254</v>
      </c>
      <c r="H2" s="489" t="s">
        <v>258</v>
      </c>
      <c r="I2" s="489" t="s">
        <v>259</v>
      </c>
      <c r="J2" s="490" t="s">
        <v>255</v>
      </c>
    </row>
    <row r="3" spans="1:13" ht="15" thickBot="1" x14ac:dyDescent="0.35">
      <c r="A3" s="434"/>
      <c r="B3" s="444" t="s">
        <v>261</v>
      </c>
      <c r="C3" s="482">
        <f>F5/H3</f>
        <v>1.8231347200545721E-2</v>
      </c>
      <c r="F3" s="57">
        <v>127169209</v>
      </c>
      <c r="G3" s="464">
        <f>PASIVA!F25</f>
        <v>55347711</v>
      </c>
      <c r="H3" s="464">
        <f>PASIVA!F3+PASIVA!F6</f>
        <v>19983877</v>
      </c>
      <c r="I3" s="464">
        <f>'FCF - KONČNI_IZRAČUN'!F4</f>
        <v>703558</v>
      </c>
      <c r="J3" s="321">
        <f>'FCF - KONČNI_IZRAČUN'!F2</f>
        <v>11421674</v>
      </c>
    </row>
    <row r="4" spans="1:13" ht="15" thickBot="1" x14ac:dyDescent="0.35">
      <c r="A4" s="434"/>
      <c r="B4" s="93" t="s">
        <v>262</v>
      </c>
      <c r="C4" s="483">
        <f>I3/J3</f>
        <v>6.1598501235458132E-2</v>
      </c>
      <c r="D4" s="492">
        <v>0.19</v>
      </c>
      <c r="F4" s="57" t="s">
        <v>260</v>
      </c>
      <c r="G4" s="464"/>
      <c r="H4" s="464"/>
      <c r="I4" s="464"/>
      <c r="J4" s="56"/>
    </row>
    <row r="5" spans="1:13" ht="15" thickBot="1" x14ac:dyDescent="0.35">
      <c r="A5" s="434"/>
      <c r="B5" s="472" t="s">
        <v>265</v>
      </c>
      <c r="C5" s="484">
        <f>C3*(1-C4)</f>
        <v>1.710832353748884E-2</v>
      </c>
      <c r="F5" s="93">
        <f>5603+358730</f>
        <v>364333</v>
      </c>
      <c r="G5" s="465"/>
      <c r="H5" s="465"/>
      <c r="I5" s="465"/>
      <c r="J5" s="96"/>
    </row>
    <row r="6" spans="1:13" s="137" customFormat="1" x14ac:dyDescent="0.3">
      <c r="A6" s="480"/>
      <c r="B6" s="478"/>
      <c r="C6" s="481"/>
    </row>
    <row r="7" spans="1:13" s="137" customFormat="1" ht="15" thickBot="1" x14ac:dyDescent="0.35">
      <c r="A7" s="480"/>
      <c r="B7" s="478"/>
      <c r="C7" s="481"/>
    </row>
    <row r="8" spans="1:13" x14ac:dyDescent="0.3">
      <c r="B8" s="444" t="s">
        <v>245</v>
      </c>
      <c r="C8" s="502">
        <f>F9</f>
        <v>1.01</v>
      </c>
      <c r="F8" s="444" t="s">
        <v>245</v>
      </c>
      <c r="G8" s="489" t="s">
        <v>267</v>
      </c>
      <c r="H8" s="490" t="s">
        <v>268</v>
      </c>
    </row>
    <row r="9" spans="1:13" ht="15" thickBot="1" x14ac:dyDescent="0.35">
      <c r="B9" s="473" t="s">
        <v>269</v>
      </c>
      <c r="C9" s="503">
        <f>H9</f>
        <v>1.3522079935556053</v>
      </c>
      <c r="F9" s="491">
        <v>1.01</v>
      </c>
      <c r="G9" s="175">
        <f>C11/C10</f>
        <v>0.36106058658866663</v>
      </c>
      <c r="H9" s="522">
        <f>C8*(1+(1-C4)*G9)</f>
        <v>1.3522079935556053</v>
      </c>
    </row>
    <row r="10" spans="1:13" x14ac:dyDescent="0.3">
      <c r="B10" s="57" t="s">
        <v>263</v>
      </c>
      <c r="C10" s="485">
        <f>G3/(G3+H3)</f>
        <v>0.73472115044222885</v>
      </c>
    </row>
    <row r="11" spans="1:13" ht="15" thickBot="1" x14ac:dyDescent="0.35">
      <c r="B11" s="57" t="s">
        <v>264</v>
      </c>
      <c r="C11" s="486">
        <f>H3/(H3+G3)</f>
        <v>0.26527884955777115</v>
      </c>
    </row>
    <row r="12" spans="1:13" ht="15" thickBot="1" x14ac:dyDescent="0.35">
      <c r="B12" s="57" t="s">
        <v>246</v>
      </c>
      <c r="C12" s="520">
        <v>3.6700000000000003E-2</v>
      </c>
      <c r="F12" s="544" t="s">
        <v>272</v>
      </c>
      <c r="G12" s="545"/>
      <c r="H12" s="546"/>
      <c r="J12" s="512" t="s">
        <v>286</v>
      </c>
      <c r="K12" s="514"/>
      <c r="L12" s="514"/>
      <c r="M12" s="507"/>
    </row>
    <row r="13" spans="1:13" ht="15" thickBot="1" x14ac:dyDescent="0.35">
      <c r="B13" s="57" t="s">
        <v>247</v>
      </c>
      <c r="C13" s="520">
        <v>1.5699999999999999E-2</v>
      </c>
      <c r="F13" s="496">
        <v>42736</v>
      </c>
      <c r="G13" s="497">
        <v>8.6E-3</v>
      </c>
      <c r="H13" s="501">
        <f>AVERAGE(G13:G24)</f>
        <v>9.9416666666666664E-3</v>
      </c>
      <c r="J13" s="513">
        <v>3.5000000000000003E-2</v>
      </c>
    </row>
    <row r="14" spans="1:13" ht="15" thickBot="1" x14ac:dyDescent="0.35">
      <c r="B14" s="475" t="s">
        <v>248</v>
      </c>
      <c r="C14" s="504">
        <f>J13</f>
        <v>3.5000000000000003E-2</v>
      </c>
      <c r="F14" s="494">
        <v>42767</v>
      </c>
      <c r="G14" s="173">
        <v>1.06E-2</v>
      </c>
    </row>
    <row r="15" spans="1:13" ht="15" thickBot="1" x14ac:dyDescent="0.35">
      <c r="B15" s="475" t="s">
        <v>249</v>
      </c>
      <c r="C15" s="504">
        <f>J16</f>
        <v>0.05</v>
      </c>
      <c r="F15" s="494">
        <v>42795</v>
      </c>
      <c r="G15" s="173">
        <v>1.03E-2</v>
      </c>
      <c r="J15" s="544" t="s">
        <v>293</v>
      </c>
      <c r="K15" s="545"/>
      <c r="L15" s="545"/>
      <c r="M15" s="546"/>
    </row>
    <row r="16" spans="1:13" ht="15" thickBot="1" x14ac:dyDescent="0.35">
      <c r="B16" s="476" t="s">
        <v>250</v>
      </c>
      <c r="C16" s="521"/>
      <c r="F16" s="494">
        <v>42826</v>
      </c>
      <c r="G16" s="173">
        <v>9.4999999999999998E-3</v>
      </c>
      <c r="J16" s="513">
        <v>0.05</v>
      </c>
    </row>
    <row r="17" spans="2:9" ht="15" thickBot="1" x14ac:dyDescent="0.35">
      <c r="B17" s="477" t="s">
        <v>266</v>
      </c>
      <c r="C17" s="487">
        <f>C12+C13+C14+C15*C9</f>
        <v>0.15501039967778027</v>
      </c>
      <c r="F17" s="494">
        <v>42856</v>
      </c>
      <c r="G17" s="173">
        <v>8.8000000000000005E-3</v>
      </c>
    </row>
    <row r="18" spans="2:9" s="137" customFormat="1" x14ac:dyDescent="0.3">
      <c r="B18" s="478"/>
      <c r="C18" s="479"/>
      <c r="F18" s="494">
        <v>42887</v>
      </c>
      <c r="G18" s="173">
        <v>1.24E-2</v>
      </c>
    </row>
    <row r="19" spans="2:9" s="137" customFormat="1" ht="15" thickBot="1" x14ac:dyDescent="0.35">
      <c r="B19" s="478"/>
      <c r="C19" s="479"/>
      <c r="F19" s="494">
        <v>42917</v>
      </c>
      <c r="G19" s="498">
        <v>1.1599999999999999E-2</v>
      </c>
    </row>
    <row r="20" spans="2:9" ht="15" thickBot="1" x14ac:dyDescent="0.35">
      <c r="B20" s="488" t="s">
        <v>251</v>
      </c>
      <c r="C20" s="487">
        <f>C17*C10+C5*C11*(1-D4)</f>
        <v>0.11756558505433704</v>
      </c>
      <c r="F20" s="494">
        <v>42948</v>
      </c>
      <c r="G20" s="498">
        <v>1.12E-2</v>
      </c>
    </row>
    <row r="21" spans="2:9" x14ac:dyDescent="0.3">
      <c r="F21" s="494">
        <v>42979</v>
      </c>
      <c r="G21" s="498">
        <v>9.9000000000000008E-3</v>
      </c>
    </row>
    <row r="22" spans="2:9" x14ac:dyDescent="0.3">
      <c r="F22" s="494">
        <v>43009</v>
      </c>
      <c r="G22" s="499">
        <v>0.01</v>
      </c>
    </row>
    <row r="23" spans="2:9" x14ac:dyDescent="0.3">
      <c r="F23" s="494">
        <v>43040</v>
      </c>
      <c r="G23" s="498">
        <v>8.9999999999999993E-3</v>
      </c>
    </row>
    <row r="24" spans="2:9" ht="15" thickBot="1" x14ac:dyDescent="0.35">
      <c r="F24" s="495">
        <v>43070</v>
      </c>
      <c r="G24" s="500">
        <v>7.4000000000000003E-3</v>
      </c>
    </row>
    <row r="25" spans="2:9" ht="15" thickBot="1" x14ac:dyDescent="0.35">
      <c r="F25" s="515"/>
      <c r="G25" s="516"/>
    </row>
    <row r="26" spans="2:9" ht="15" thickBot="1" x14ac:dyDescent="0.35">
      <c r="F26" s="547" t="s">
        <v>285</v>
      </c>
      <c r="G26" s="548"/>
      <c r="H26" s="549"/>
    </row>
    <row r="27" spans="2:9" ht="15" thickBot="1" x14ac:dyDescent="0.35">
      <c r="F27" s="517">
        <v>42737</v>
      </c>
      <c r="G27" s="518">
        <v>5.6899999999999999E-2</v>
      </c>
      <c r="H27" s="511">
        <f>AVERAGE(G27:G38)</f>
        <v>5.1233333333333332E-2</v>
      </c>
      <c r="I27" s="510"/>
    </row>
    <row r="28" spans="2:9" x14ac:dyDescent="0.3">
      <c r="F28" s="494">
        <v>42769</v>
      </c>
      <c r="G28" s="498">
        <v>5.5899999999999998E-2</v>
      </c>
      <c r="I28" s="510"/>
    </row>
    <row r="29" spans="2:9" x14ac:dyDescent="0.3">
      <c r="F29" s="494">
        <v>42795</v>
      </c>
      <c r="G29" s="498">
        <v>5.3900000000000003E-2</v>
      </c>
      <c r="I29" s="510"/>
    </row>
    <row r="30" spans="2:9" x14ac:dyDescent="0.3">
      <c r="F30" s="494">
        <v>42826</v>
      </c>
      <c r="G30" s="498">
        <v>5.3800000000000001E-2</v>
      </c>
      <c r="I30" s="510"/>
    </row>
    <row r="31" spans="2:9" x14ac:dyDescent="0.3">
      <c r="F31" s="494">
        <v>42856</v>
      </c>
      <c r="G31" s="498">
        <v>4.87E-2</v>
      </c>
      <c r="I31" s="510"/>
    </row>
    <row r="32" spans="2:9" x14ac:dyDescent="0.3">
      <c r="F32" s="494">
        <v>42888</v>
      </c>
      <c r="G32" s="498">
        <v>5.2900000000000003E-2</v>
      </c>
      <c r="I32" s="510"/>
    </row>
    <row r="33" spans="2:9" x14ac:dyDescent="0.3">
      <c r="F33" s="494">
        <v>42919</v>
      </c>
      <c r="G33" s="498">
        <v>5.1299999999999998E-2</v>
      </c>
      <c r="I33" s="510"/>
    </row>
    <row r="34" spans="2:9" x14ac:dyDescent="0.3">
      <c r="F34" s="494">
        <v>42948</v>
      </c>
      <c r="G34" s="498">
        <v>4.6899999999999997E-2</v>
      </c>
      <c r="I34" s="510"/>
    </row>
    <row r="35" spans="2:9" x14ac:dyDescent="0.3">
      <c r="F35" s="494">
        <v>42982</v>
      </c>
      <c r="G35" s="498">
        <v>5.04E-2</v>
      </c>
      <c r="I35" s="510"/>
    </row>
    <row r="36" spans="2:9" x14ac:dyDescent="0.3">
      <c r="F36" s="494">
        <v>43012</v>
      </c>
      <c r="G36" s="498">
        <v>4.9200000000000001E-2</v>
      </c>
      <c r="I36" s="510"/>
    </row>
    <row r="37" spans="2:9" x14ac:dyDescent="0.3">
      <c r="F37" s="494">
        <v>43040</v>
      </c>
      <c r="G37" s="498">
        <v>4.8099999999999997E-2</v>
      </c>
      <c r="I37" s="510"/>
    </row>
    <row r="38" spans="2:9" ht="15" thickBot="1" x14ac:dyDescent="0.35">
      <c r="F38" s="495">
        <v>43070</v>
      </c>
      <c r="G38" s="500">
        <v>4.6800000000000001E-2</v>
      </c>
      <c r="I38" s="519"/>
    </row>
    <row r="39" spans="2:9" x14ac:dyDescent="0.3">
      <c r="F39" s="515"/>
      <c r="G39" s="516"/>
    </row>
    <row r="40" spans="2:9" x14ac:dyDescent="0.3">
      <c r="F40" s="515"/>
      <c r="G40" s="516"/>
    </row>
    <row r="41" spans="2:9" x14ac:dyDescent="0.3">
      <c r="F41" s="515"/>
      <c r="G41" s="516"/>
    </row>
    <row r="42" spans="2:9" x14ac:dyDescent="0.3">
      <c r="F42" s="515"/>
      <c r="G42" s="516"/>
    </row>
    <row r="43" spans="2:9" x14ac:dyDescent="0.3">
      <c r="B43" t="s">
        <v>270</v>
      </c>
      <c r="F43" s="515"/>
      <c r="G43" s="516"/>
    </row>
    <row r="44" spans="2:9" x14ac:dyDescent="0.3">
      <c r="B44" s="493" t="s">
        <v>271</v>
      </c>
    </row>
    <row r="45" spans="2:9" x14ac:dyDescent="0.3">
      <c r="B45" s="493" t="s">
        <v>273</v>
      </c>
    </row>
    <row r="46" spans="2:9" x14ac:dyDescent="0.3">
      <c r="B46" s="493" t="s">
        <v>283</v>
      </c>
    </row>
    <row r="47" spans="2:9" x14ac:dyDescent="0.3">
      <c r="B47" s="493" t="s">
        <v>284</v>
      </c>
    </row>
    <row r="48" spans="2:9" x14ac:dyDescent="0.3">
      <c r="B48" s="493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B15" sqref="B15:B20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35" t="s">
        <v>295</v>
      </c>
    </row>
    <row r="2" spans="1:3" x14ac:dyDescent="0.3">
      <c r="B2" t="s">
        <v>296</v>
      </c>
    </row>
    <row r="3" spans="1:3" x14ac:dyDescent="0.3">
      <c r="B3" s="493" t="s">
        <v>297</v>
      </c>
    </row>
    <row r="6" spans="1:3" ht="15" thickBot="1" x14ac:dyDescent="0.35"/>
    <row r="7" spans="1:3" s="6" customFormat="1" x14ac:dyDescent="0.3">
      <c r="A7" s="532"/>
      <c r="B7" s="533" t="s">
        <v>298</v>
      </c>
      <c r="C7" s="534" t="s">
        <v>299</v>
      </c>
    </row>
    <row r="8" spans="1:3" x14ac:dyDescent="0.3">
      <c r="A8" s="550" t="s">
        <v>308</v>
      </c>
      <c r="B8" s="464" t="s">
        <v>300</v>
      </c>
      <c r="C8" s="56" t="s">
        <v>301</v>
      </c>
    </row>
    <row r="9" spans="1:3" x14ac:dyDescent="0.3">
      <c r="A9" s="550"/>
      <c r="B9" s="464" t="s">
        <v>304</v>
      </c>
      <c r="C9" s="56" t="s">
        <v>302</v>
      </c>
    </row>
    <row r="10" spans="1:3" x14ac:dyDescent="0.3">
      <c r="A10" s="550"/>
      <c r="B10" s="464" t="s">
        <v>305</v>
      </c>
      <c r="C10" s="56" t="s">
        <v>303</v>
      </c>
    </row>
    <row r="11" spans="1:3" ht="15" thickBot="1" x14ac:dyDescent="0.35">
      <c r="A11" s="551"/>
      <c r="B11" s="465" t="s">
        <v>306</v>
      </c>
      <c r="C11" s="96"/>
    </row>
    <row r="12" spans="1:3" ht="15" thickBot="1" x14ac:dyDescent="0.35"/>
    <row r="13" spans="1:3" x14ac:dyDescent="0.3">
      <c r="A13" s="541"/>
      <c r="B13" s="542" t="s">
        <v>309</v>
      </c>
      <c r="C13" s="543"/>
    </row>
    <row r="14" spans="1:3" x14ac:dyDescent="0.3">
      <c r="A14" s="536" t="s">
        <v>310</v>
      </c>
      <c r="B14" s="537" t="s">
        <v>307</v>
      </c>
      <c r="C14" s="222"/>
    </row>
    <row r="15" spans="1:3" ht="15" thickBot="1" x14ac:dyDescent="0.35">
      <c r="A15" s="538" t="s">
        <v>311</v>
      </c>
      <c r="B15" s="552" t="s">
        <v>312</v>
      </c>
      <c r="C15" s="222"/>
    </row>
    <row r="16" spans="1:3" x14ac:dyDescent="0.3">
      <c r="A16" s="536"/>
      <c r="B16" s="552" t="s">
        <v>313</v>
      </c>
      <c r="C16" s="222"/>
    </row>
    <row r="17" spans="1:3" x14ac:dyDescent="0.3">
      <c r="A17" s="536"/>
      <c r="B17" s="552" t="s">
        <v>314</v>
      </c>
      <c r="C17" s="222"/>
    </row>
    <row r="18" spans="1:3" x14ac:dyDescent="0.3">
      <c r="A18" s="536"/>
      <c r="B18" s="552" t="s">
        <v>315</v>
      </c>
      <c r="C18" s="222"/>
    </row>
    <row r="19" spans="1:3" x14ac:dyDescent="0.3">
      <c r="A19" s="536"/>
      <c r="B19" s="552" t="s">
        <v>316</v>
      </c>
      <c r="C19" s="222"/>
    </row>
    <row r="20" spans="1:3" x14ac:dyDescent="0.3">
      <c r="A20" s="536"/>
      <c r="B20" s="552" t="s">
        <v>317</v>
      </c>
      <c r="C20" s="222"/>
    </row>
    <row r="21" spans="1:3" x14ac:dyDescent="0.3">
      <c r="A21" s="536"/>
      <c r="B21" s="552"/>
      <c r="C21" s="222"/>
    </row>
    <row r="22" spans="1:3" x14ac:dyDescent="0.3">
      <c r="A22" s="536"/>
      <c r="B22" s="552"/>
      <c r="C22" s="222"/>
    </row>
    <row r="23" spans="1:3" x14ac:dyDescent="0.3">
      <c r="A23" s="536"/>
      <c r="B23" s="552"/>
      <c r="C23" s="222"/>
    </row>
    <row r="24" spans="1:3" x14ac:dyDescent="0.3">
      <c r="A24" s="536"/>
      <c r="B24" s="552"/>
      <c r="C24" s="222"/>
    </row>
    <row r="25" spans="1:3" x14ac:dyDescent="0.3">
      <c r="A25" s="536"/>
      <c r="B25" s="552"/>
      <c r="C25" s="222"/>
    </row>
    <row r="26" spans="1:3" ht="15" thickBot="1" x14ac:dyDescent="0.35">
      <c r="A26" s="538"/>
      <c r="B26" s="553"/>
      <c r="C26" s="540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17"/>
  <sheetViews>
    <sheetView workbookViewId="0">
      <selection activeCell="F23" sqref="F23"/>
    </sheetView>
  </sheetViews>
  <sheetFormatPr defaultRowHeight="14.4" x14ac:dyDescent="0.3"/>
  <cols>
    <col min="2" max="2" width="46.44140625" customWidth="1"/>
  </cols>
  <sheetData>
    <row r="1" spans="2:7" ht="15" thickBot="1" x14ac:dyDescent="0.35"/>
    <row r="2" spans="2:7" ht="15" thickBot="1" x14ac:dyDescent="0.35">
      <c r="C2" s="505">
        <v>2013</v>
      </c>
      <c r="D2" s="506">
        <v>2014</v>
      </c>
      <c r="E2" s="506">
        <v>2015</v>
      </c>
      <c r="F2" s="506">
        <v>2016</v>
      </c>
      <c r="G2" s="507">
        <v>2017</v>
      </c>
    </row>
    <row r="3" spans="2:7" x14ac:dyDescent="0.3">
      <c r="B3" s="444" t="s">
        <v>281</v>
      </c>
      <c r="C3" s="489">
        <v>514215</v>
      </c>
      <c r="D3" s="489">
        <v>514215</v>
      </c>
      <c r="E3" s="489">
        <v>514215</v>
      </c>
      <c r="F3" s="489">
        <v>514215</v>
      </c>
      <c r="G3" s="490">
        <v>514215</v>
      </c>
    </row>
    <row r="4" spans="2:7" x14ac:dyDescent="0.3">
      <c r="B4" s="57" t="s">
        <v>274</v>
      </c>
      <c r="C4" s="464">
        <v>38105</v>
      </c>
      <c r="D4" s="464">
        <v>8911</v>
      </c>
      <c r="E4" s="464">
        <v>157</v>
      </c>
      <c r="F4" s="464">
        <v>580</v>
      </c>
      <c r="G4" s="56">
        <v>654</v>
      </c>
    </row>
    <row r="5" spans="2:7" x14ac:dyDescent="0.3">
      <c r="B5" s="57" t="s">
        <v>282</v>
      </c>
      <c r="C5" s="464">
        <v>209567</v>
      </c>
      <c r="D5" s="464">
        <v>49000</v>
      </c>
      <c r="E5" s="464">
        <v>1372</v>
      </c>
      <c r="F5" s="464">
        <v>3699</v>
      </c>
      <c r="G5" s="56">
        <v>1985</v>
      </c>
    </row>
    <row r="6" spans="2:7" x14ac:dyDescent="0.3">
      <c r="B6" s="440" t="s">
        <v>292</v>
      </c>
      <c r="C6" s="530">
        <v>64471</v>
      </c>
      <c r="D6" s="530">
        <v>-37933</v>
      </c>
      <c r="E6" s="530">
        <v>63700</v>
      </c>
      <c r="F6" s="530">
        <v>935</v>
      </c>
      <c r="G6" s="531">
        <v>29160</v>
      </c>
    </row>
    <row r="7" spans="2:7" ht="15" thickBot="1" x14ac:dyDescent="0.35">
      <c r="B7" s="440" t="s">
        <v>276</v>
      </c>
      <c r="C7" s="508">
        <v>9.7699999999999995E-2</v>
      </c>
      <c r="D7" s="508">
        <v>2.2800000000000001E-2</v>
      </c>
      <c r="E7" s="508">
        <v>5.9999999999999995E-4</v>
      </c>
      <c r="F7" s="508">
        <v>1.6999999999999999E-3</v>
      </c>
      <c r="G7" s="509">
        <v>8.9999999999999998E-4</v>
      </c>
    </row>
    <row r="8" spans="2:7" x14ac:dyDescent="0.3">
      <c r="B8" s="444" t="s">
        <v>275</v>
      </c>
      <c r="C8" s="489">
        <v>4.1729000000000003</v>
      </c>
      <c r="D8" s="489">
        <v>4.1729000000000003</v>
      </c>
      <c r="E8" s="489">
        <v>4.1729000000000003</v>
      </c>
      <c r="F8" s="489">
        <v>4.1729000000000003</v>
      </c>
      <c r="G8" s="490">
        <v>4.1729000000000003</v>
      </c>
    </row>
    <row r="9" spans="2:7" x14ac:dyDescent="0.3">
      <c r="B9" s="57" t="s">
        <v>277</v>
      </c>
      <c r="C9" s="464">
        <v>5.5</v>
      </c>
      <c r="D9" s="464">
        <v>5.5</v>
      </c>
      <c r="E9" s="464" t="s">
        <v>279</v>
      </c>
      <c r="F9" s="464" t="s">
        <v>279</v>
      </c>
      <c r="G9" s="56" t="s">
        <v>279</v>
      </c>
    </row>
    <row r="10" spans="2:7" ht="15" thickBot="1" x14ac:dyDescent="0.35">
      <c r="B10" s="93" t="s">
        <v>278</v>
      </c>
      <c r="C10" s="465" t="s">
        <v>280</v>
      </c>
      <c r="D10" s="465" t="s">
        <v>280</v>
      </c>
      <c r="E10" s="465">
        <v>5.5</v>
      </c>
      <c r="F10" s="465" t="s">
        <v>280</v>
      </c>
      <c r="G10" s="96" t="s">
        <v>280</v>
      </c>
    </row>
    <row r="12" spans="2:7" ht="15" thickBot="1" x14ac:dyDescent="0.35"/>
    <row r="13" spans="2:7" ht="15" thickBot="1" x14ac:dyDescent="0.35">
      <c r="B13" s="283" t="s">
        <v>287</v>
      </c>
      <c r="C13" s="523">
        <v>2013</v>
      </c>
      <c r="D13" s="524">
        <v>2014</v>
      </c>
      <c r="E13" s="524">
        <v>2015</v>
      </c>
      <c r="F13" s="524">
        <v>2016</v>
      </c>
      <c r="G13" s="525">
        <v>2017</v>
      </c>
    </row>
    <row r="14" spans="2:7" x14ac:dyDescent="0.3">
      <c r="B14" s="444" t="s">
        <v>288</v>
      </c>
      <c r="C14" s="527">
        <v>0.59040000000000004</v>
      </c>
      <c r="D14" s="527">
        <v>0.62560000000000004</v>
      </c>
      <c r="E14" s="527">
        <v>0.62560000000000004</v>
      </c>
      <c r="F14" s="527">
        <v>0.5877</v>
      </c>
      <c r="G14" s="528">
        <v>0.52659999999999996</v>
      </c>
    </row>
    <row r="15" spans="2:7" x14ac:dyDescent="0.3">
      <c r="B15" s="57" t="s">
        <v>289</v>
      </c>
      <c r="C15" s="170">
        <v>0.1968</v>
      </c>
      <c r="D15" s="170">
        <v>0.2198</v>
      </c>
      <c r="E15" s="170">
        <v>0.2198</v>
      </c>
      <c r="F15" s="170">
        <v>0.26040000000000002</v>
      </c>
      <c r="G15" s="474">
        <v>0.30509999999999998</v>
      </c>
    </row>
    <row r="16" spans="2:7" x14ac:dyDescent="0.3">
      <c r="B16" s="57" t="s">
        <v>290</v>
      </c>
      <c r="C16" s="526">
        <v>6.7699999999999996E-2</v>
      </c>
      <c r="D16" s="170">
        <v>6.6699999999999995E-2</v>
      </c>
      <c r="E16" s="170">
        <v>6.6699999999999995E-2</v>
      </c>
      <c r="F16" s="526">
        <v>7.5700000000000003E-2</v>
      </c>
      <c r="G16" s="474">
        <v>9.06E-2</v>
      </c>
    </row>
    <row r="17" spans="2:7" ht="15" thickBot="1" x14ac:dyDescent="0.35">
      <c r="B17" s="93" t="s">
        <v>291</v>
      </c>
      <c r="C17" s="175">
        <v>7.0999999999999994E-2</v>
      </c>
      <c r="D17" s="175">
        <v>7.0599999999999996E-2</v>
      </c>
      <c r="E17" s="175">
        <v>7.0599999999999996E-2</v>
      </c>
      <c r="F17" s="175">
        <v>7.51E-2</v>
      </c>
      <c r="G17" s="529">
        <v>7.6399999999999996E-2</v>
      </c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0"/>
  <sheetViews>
    <sheetView zoomScale="85" zoomScaleNormal="85" workbookViewId="0">
      <selection activeCell="B9" sqref="B9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61" t="s">
        <v>13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t="s">
        <v>217</v>
      </c>
    </row>
    <row r="2" spans="1:12" x14ac:dyDescent="0.3">
      <c r="A2" s="356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4">
        <v>139357926</v>
      </c>
      <c r="G2" s="37">
        <f>F2*G3</f>
        <v>157474456.38</v>
      </c>
      <c r="H2" s="36">
        <f>G2*H3</f>
        <v>176371391.14560002</v>
      </c>
      <c r="I2" s="36">
        <f>H2*I3</f>
        <v>197535958.08307204</v>
      </c>
      <c r="J2" s="36">
        <f>I2*J3</f>
        <v>221240273.05304071</v>
      </c>
      <c r="K2" s="71">
        <f>J2*K3</f>
        <v>247789105.81940562</v>
      </c>
    </row>
    <row r="3" spans="1:12" x14ac:dyDescent="0.3">
      <c r="A3" s="375" t="s">
        <v>17</v>
      </c>
      <c r="B3" s="46"/>
      <c r="C3" s="46">
        <f>C2/B2</f>
        <v>1.1023375748322939</v>
      </c>
      <c r="D3" s="46">
        <f>D2/C2</f>
        <v>1.1472344288252005</v>
      </c>
      <c r="E3" s="46">
        <f>E2/D2</f>
        <v>1.1422186649394754</v>
      </c>
      <c r="F3" s="47">
        <f>F2/E2</f>
        <v>1.1517389566623668</v>
      </c>
      <c r="G3" s="34">
        <v>1.1299999999999999</v>
      </c>
      <c r="H3" s="34">
        <v>1.1200000000000001</v>
      </c>
      <c r="I3" s="34">
        <v>1.1200000000000001</v>
      </c>
      <c r="J3" s="34">
        <v>1.1200000000000001</v>
      </c>
      <c r="K3" s="34">
        <v>1.1200000000000001</v>
      </c>
      <c r="L3" s="434"/>
    </row>
    <row r="4" spans="1:12" x14ac:dyDescent="0.3">
      <c r="A4" s="356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4">
        <v>7155170</v>
      </c>
      <c r="G4" s="35">
        <f>F4*G5</f>
        <v>7727583.6000000006</v>
      </c>
      <c r="H4" s="36">
        <f>G4*H5</f>
        <v>8345790.2880000016</v>
      </c>
      <c r="I4" s="36">
        <f>H4*I5</f>
        <v>9013453.5110400021</v>
      </c>
      <c r="J4" s="36">
        <f>I4*J5</f>
        <v>9734529.7919232026</v>
      </c>
      <c r="K4" s="71">
        <f>J4*K5</f>
        <v>10513292.17527706</v>
      </c>
    </row>
    <row r="5" spans="1:12" x14ac:dyDescent="0.3">
      <c r="A5" s="376" t="s">
        <v>17</v>
      </c>
      <c r="B5" s="48"/>
      <c r="C5" s="48">
        <f>C4/B4</f>
        <v>1.1849379044250632</v>
      </c>
      <c r="D5" s="48">
        <f>D4/C4</f>
        <v>1.630439542995763</v>
      </c>
      <c r="E5" s="48">
        <f>E4/D4</f>
        <v>1.1022666092163202</v>
      </c>
      <c r="F5" s="49">
        <f>F4/E4</f>
        <v>1.0803268473489893</v>
      </c>
      <c r="G5" s="34">
        <v>1.08</v>
      </c>
      <c r="H5" s="34">
        <v>1.08</v>
      </c>
      <c r="I5" s="34">
        <v>1.08</v>
      </c>
      <c r="J5" s="34">
        <v>1.08</v>
      </c>
      <c r="K5" s="34">
        <v>1.08</v>
      </c>
    </row>
    <row r="6" spans="1:12" x14ac:dyDescent="0.3">
      <c r="A6" s="355" t="s">
        <v>225</v>
      </c>
      <c r="B6" s="41">
        <f t="shared" ref="B6:K6" si="0">B2+B4</f>
        <v>86874930</v>
      </c>
      <c r="C6" s="41">
        <f t="shared" si="0"/>
        <v>96022397</v>
      </c>
      <c r="D6" s="41">
        <f t="shared" si="0"/>
        <v>111940958</v>
      </c>
      <c r="E6" s="41">
        <f t="shared" si="0"/>
        <v>127620993</v>
      </c>
      <c r="F6" s="45">
        <f t="shared" si="0"/>
        <v>146513096</v>
      </c>
      <c r="G6" s="40">
        <f t="shared" si="0"/>
        <v>165202039.97999999</v>
      </c>
      <c r="H6" s="41">
        <f t="shared" si="0"/>
        <v>184717181.43360001</v>
      </c>
      <c r="I6" s="41">
        <f t="shared" si="0"/>
        <v>206549411.59411204</v>
      </c>
      <c r="J6" s="41">
        <f t="shared" si="0"/>
        <v>230974802.84496391</v>
      </c>
      <c r="K6" s="106">
        <f t="shared" si="0"/>
        <v>258302397.99468267</v>
      </c>
    </row>
    <row r="7" spans="1:12" ht="15" thickBot="1" x14ac:dyDescent="0.35">
      <c r="A7" s="377" t="s">
        <v>19</v>
      </c>
      <c r="B7" s="378"/>
      <c r="C7" s="378">
        <f t="shared" ref="C7:K7" si="1">C6/B6</f>
        <v>1.1052946690144096</v>
      </c>
      <c r="D7" s="378">
        <f t="shared" si="1"/>
        <v>1.1657796670083127</v>
      </c>
      <c r="E7" s="378">
        <f t="shared" si="1"/>
        <v>1.1400741540911237</v>
      </c>
      <c r="F7" s="379">
        <f t="shared" si="1"/>
        <v>1.1480328788853726</v>
      </c>
      <c r="G7" s="380">
        <f t="shared" si="1"/>
        <v>1.1275581807376454</v>
      </c>
      <c r="H7" s="378">
        <f t="shared" si="1"/>
        <v>1.1181289374874706</v>
      </c>
      <c r="I7" s="378">
        <f t="shared" si="1"/>
        <v>1.1181927419586577</v>
      </c>
      <c r="J7" s="378">
        <f t="shared" si="1"/>
        <v>1.1182544702613335</v>
      </c>
      <c r="K7" s="381">
        <f t="shared" si="1"/>
        <v>1.1183141832490782</v>
      </c>
    </row>
    <row r="8" spans="1:12" x14ac:dyDescent="0.3">
      <c r="F8" s="29"/>
    </row>
    <row r="9" spans="1:12" x14ac:dyDescent="0.3">
      <c r="B9" s="3"/>
      <c r="C9" s="3"/>
      <c r="D9" s="3"/>
      <c r="E9" s="3"/>
      <c r="F9" s="30"/>
    </row>
    <row r="10" spans="1:12" ht="15" thickBot="1" x14ac:dyDescent="0.35">
      <c r="F10" s="29"/>
    </row>
    <row r="11" spans="1:12" x14ac:dyDescent="0.3">
      <c r="A11" s="61" t="s">
        <v>193</v>
      </c>
      <c r="B11" s="143">
        <v>2013</v>
      </c>
      <c r="C11" s="143">
        <v>2014</v>
      </c>
      <c r="D11" s="143">
        <v>2015</v>
      </c>
      <c r="E11" s="143">
        <v>2016</v>
      </c>
      <c r="F11" s="151">
        <v>2017</v>
      </c>
      <c r="G11" s="146">
        <v>2018</v>
      </c>
      <c r="H11" s="143">
        <v>2019</v>
      </c>
      <c r="I11" s="143">
        <v>2020</v>
      </c>
      <c r="J11" s="143">
        <v>2021</v>
      </c>
      <c r="K11" s="144">
        <v>2022</v>
      </c>
    </row>
    <row r="12" spans="1:12" x14ac:dyDescent="0.3">
      <c r="A12" s="50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4">
        <f>90875643</f>
        <v>90875643</v>
      </c>
      <c r="G12" s="35">
        <f>G6*G28</f>
        <v>104077285.1874</v>
      </c>
      <c r="H12" s="36">
        <f t="shared" ref="H12:K12" si="2">H6*H28</f>
        <v>120066167.93184</v>
      </c>
      <c r="I12" s="36">
        <f t="shared" si="2"/>
        <v>134257117.53617284</v>
      </c>
      <c r="J12" s="36">
        <f t="shared" si="2"/>
        <v>152443369.87767619</v>
      </c>
      <c r="K12" s="71">
        <f t="shared" si="2"/>
        <v>170479582.67649058</v>
      </c>
    </row>
    <row r="13" spans="1:12" x14ac:dyDescent="0.3">
      <c r="A13" s="57" t="s">
        <v>43</v>
      </c>
      <c r="B13" s="245"/>
      <c r="C13" s="245"/>
      <c r="D13" s="245"/>
      <c r="E13" s="245"/>
      <c r="F13" s="400"/>
      <c r="G13" s="55"/>
      <c r="H13" s="5"/>
      <c r="I13" s="5"/>
      <c r="J13" s="5"/>
      <c r="K13" s="56"/>
    </row>
    <row r="14" spans="1:12" x14ac:dyDescent="0.3">
      <c r="A14" s="301" t="s">
        <v>195</v>
      </c>
      <c r="B14" s="97">
        <v>1356622</v>
      </c>
      <c r="C14" s="97">
        <v>2588237</v>
      </c>
      <c r="D14" s="97">
        <v>2690153</v>
      </c>
      <c r="E14" s="97">
        <v>2350632</v>
      </c>
      <c r="F14" s="148">
        <v>3245365</v>
      </c>
      <c r="G14" s="269">
        <f>G30*G6</f>
        <v>3304040.7996</v>
      </c>
      <c r="H14" s="119">
        <f t="shared" ref="H14:K14" si="3">H30*H6</f>
        <v>3694343.628672</v>
      </c>
      <c r="I14" s="119">
        <f t="shared" si="3"/>
        <v>4130988.2318822411</v>
      </c>
      <c r="J14" s="119">
        <f t="shared" si="3"/>
        <v>4619496.0568992784</v>
      </c>
      <c r="K14" s="337">
        <f t="shared" si="3"/>
        <v>5166047.9598936532</v>
      </c>
    </row>
    <row r="15" spans="1:12" x14ac:dyDescent="0.3">
      <c r="A15" s="301" t="s">
        <v>196</v>
      </c>
      <c r="B15" s="97">
        <v>46523776</v>
      </c>
      <c r="C15" s="97">
        <v>49303597</v>
      </c>
      <c r="D15" s="97">
        <v>56421307</v>
      </c>
      <c r="E15" s="97">
        <v>65746330</v>
      </c>
      <c r="F15" s="148">
        <v>77918197</v>
      </c>
      <c r="G15" s="269">
        <f>G31*G6</f>
        <v>87557081.189400002</v>
      </c>
      <c r="H15" s="119">
        <f t="shared" ref="H15:K15" si="4">H31*H6</f>
        <v>99747277.974144012</v>
      </c>
      <c r="I15" s="119">
        <f t="shared" si="4"/>
        <v>111536682.26082051</v>
      </c>
      <c r="J15" s="119">
        <f t="shared" si="4"/>
        <v>127036141.56473015</v>
      </c>
      <c r="K15" s="337">
        <f t="shared" si="4"/>
        <v>142066318.89707547</v>
      </c>
    </row>
    <row r="16" spans="1:12" x14ac:dyDescent="0.3">
      <c r="A16" s="301" t="s">
        <v>197</v>
      </c>
      <c r="B16" s="97">
        <v>6678346</v>
      </c>
      <c r="C16" s="97">
        <v>8084988</v>
      </c>
      <c r="D16" s="97">
        <v>9745807</v>
      </c>
      <c r="E16" s="97">
        <v>10788469</v>
      </c>
      <c r="F16" s="148">
        <v>9712081</v>
      </c>
      <c r="G16" s="269">
        <f>G32*G6</f>
        <v>13216163.1984</v>
      </c>
      <c r="H16" s="119">
        <f t="shared" ref="H16:K16" si="5">H32*H6</f>
        <v>16624546.329024</v>
      </c>
      <c r="I16" s="119">
        <f t="shared" si="5"/>
        <v>18589447.043470081</v>
      </c>
      <c r="J16" s="119">
        <f t="shared" si="5"/>
        <v>20787732.25604675</v>
      </c>
      <c r="K16" s="337">
        <f t="shared" si="5"/>
        <v>23247215.819521438</v>
      </c>
    </row>
    <row r="17" spans="1:12" x14ac:dyDescent="0.3">
      <c r="A17" s="382" t="s">
        <v>198</v>
      </c>
      <c r="B17" s="46"/>
      <c r="C17" s="46">
        <f>C12/B12</f>
        <v>1.099307234785317</v>
      </c>
      <c r="D17" s="46">
        <f t="shared" ref="D17:K17" si="6">D12/C12</f>
        <v>1.1480646140270654</v>
      </c>
      <c r="E17" s="46">
        <f t="shared" si="6"/>
        <v>1.1456369739449577</v>
      </c>
      <c r="F17" s="47">
        <f t="shared" si="6"/>
        <v>1.1519952651333045</v>
      </c>
      <c r="G17" s="394">
        <f t="shared" si="6"/>
        <v>1.145271513373501</v>
      </c>
      <c r="H17" s="46">
        <f t="shared" si="6"/>
        <v>1.1536250942331043</v>
      </c>
      <c r="I17" s="46">
        <f t="shared" si="6"/>
        <v>1.1181927419586577</v>
      </c>
      <c r="J17" s="46">
        <f t="shared" si="6"/>
        <v>1.135458385188431</v>
      </c>
      <c r="K17" s="383">
        <f t="shared" si="6"/>
        <v>1.1183141832490782</v>
      </c>
    </row>
    <row r="18" spans="1:12" x14ac:dyDescent="0.3">
      <c r="A18" s="174"/>
      <c r="B18" s="246"/>
      <c r="C18" s="246"/>
      <c r="D18" s="246"/>
      <c r="E18" s="246"/>
      <c r="F18" s="401"/>
      <c r="G18" s="395"/>
      <c r="H18" s="76"/>
      <c r="I18" s="76"/>
      <c r="J18" s="76"/>
      <c r="K18" s="197"/>
    </row>
    <row r="19" spans="1:12" x14ac:dyDescent="0.3">
      <c r="A19" s="50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4">
        <v>34236712</v>
      </c>
      <c r="G19" s="35">
        <f>G42</f>
        <v>37202109.690460496</v>
      </c>
      <c r="H19" s="36">
        <f t="shared" ref="H19:K19" si="7">H42</f>
        <v>40424353.992318377</v>
      </c>
      <c r="I19" s="36">
        <f t="shared" si="7"/>
        <v>43925691.561392717</v>
      </c>
      <c r="J19" s="36">
        <f t="shared" si="7"/>
        <v>47730295.937771909</v>
      </c>
      <c r="K19" s="71">
        <f t="shared" si="7"/>
        <v>51864434.442043714</v>
      </c>
    </row>
    <row r="20" spans="1:12" x14ac:dyDescent="0.3">
      <c r="A20" s="50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4">
        <v>156879</v>
      </c>
      <c r="G20" s="35">
        <f>G35*G6</f>
        <v>0</v>
      </c>
      <c r="H20" s="36">
        <f>H35*H5</f>
        <v>0</v>
      </c>
      <c r="I20" s="36">
        <f>I35*I5</f>
        <v>0</v>
      </c>
      <c r="J20" s="36">
        <f>J35*J5</f>
        <v>0</v>
      </c>
      <c r="K20" s="71">
        <f>K35*K5</f>
        <v>0</v>
      </c>
    </row>
    <row r="21" spans="1:12" x14ac:dyDescent="0.3">
      <c r="A21" s="50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4">
        <v>7405570</v>
      </c>
      <c r="G21" s="35">
        <f>AMORTIZACIJA!G89</f>
        <v>6787305.8455679826</v>
      </c>
      <c r="H21" s="36">
        <f>AMORTIZACIJA!H89</f>
        <v>7378548.5999006499</v>
      </c>
      <c r="I21" s="36">
        <f>AMORTIZACIJA!I89</f>
        <v>8147365.2418647613</v>
      </c>
      <c r="J21" s="36">
        <f>AMORTIZACIJA!J89</f>
        <v>8809492.5241551027</v>
      </c>
      <c r="K21" s="71">
        <f>AMORTIZACIJA!K89</f>
        <v>9549969.7936748527</v>
      </c>
    </row>
    <row r="22" spans="1:12" x14ac:dyDescent="0.3">
      <c r="A22" s="50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4">
        <v>2849565</v>
      </c>
      <c r="G22" s="35">
        <f>G37*G6</f>
        <v>3304040.7996</v>
      </c>
      <c r="H22" s="36">
        <f t="shared" ref="H22:K22" si="8">H37*H6</f>
        <v>3694343.628672</v>
      </c>
      <c r="I22" s="36">
        <f t="shared" si="8"/>
        <v>4130988.2318822411</v>
      </c>
      <c r="J22" s="36">
        <f t="shared" si="8"/>
        <v>4619496.0568992784</v>
      </c>
      <c r="K22" s="71">
        <f t="shared" si="8"/>
        <v>5166047.9598936532</v>
      </c>
    </row>
    <row r="23" spans="1:12" x14ac:dyDescent="0.3">
      <c r="A23" s="250" t="s">
        <v>203</v>
      </c>
      <c r="B23" s="41">
        <f t="shared" ref="B23:K23" si="9">SUM(B19:B22)+B12</f>
        <v>84260931</v>
      </c>
      <c r="C23" s="41">
        <f t="shared" si="9"/>
        <v>90935185</v>
      </c>
      <c r="D23" s="41">
        <f t="shared" si="9"/>
        <v>102489596</v>
      </c>
      <c r="E23" s="41">
        <f t="shared" si="9"/>
        <v>118089539</v>
      </c>
      <c r="F23" s="45">
        <f t="shared" si="9"/>
        <v>135524369</v>
      </c>
      <c r="G23" s="396">
        <f t="shared" si="9"/>
        <v>151370741.52302846</v>
      </c>
      <c r="H23" s="247">
        <f t="shared" si="9"/>
        <v>171563414.15273103</v>
      </c>
      <c r="I23" s="41">
        <f t="shared" si="9"/>
        <v>190461162.57131255</v>
      </c>
      <c r="J23" s="41">
        <f t="shared" si="9"/>
        <v>213602654.39650249</v>
      </c>
      <c r="K23" s="106">
        <f t="shared" si="9"/>
        <v>237060034.8721028</v>
      </c>
    </row>
    <row r="24" spans="1:12" ht="15" thickBot="1" x14ac:dyDescent="0.35">
      <c r="A24" s="384" t="s">
        <v>204</v>
      </c>
      <c r="B24" s="385"/>
      <c r="C24" s="385">
        <f t="shared" ref="C24:K24" si="10">C23/B23</f>
        <v>1.0792093550449853</v>
      </c>
      <c r="D24" s="385">
        <f t="shared" si="10"/>
        <v>1.1270620497445516</v>
      </c>
      <c r="E24" s="385">
        <f t="shared" si="10"/>
        <v>1.1522100155414798</v>
      </c>
      <c r="F24" s="402">
        <f t="shared" si="10"/>
        <v>1.1476407660461778</v>
      </c>
      <c r="G24" s="397">
        <f t="shared" si="10"/>
        <v>1.1169263700687546</v>
      </c>
      <c r="H24" s="385">
        <f t="shared" si="10"/>
        <v>1.133398782529123</v>
      </c>
      <c r="I24" s="385">
        <f t="shared" si="10"/>
        <v>1.1101502235305143</v>
      </c>
      <c r="J24" s="385">
        <f t="shared" si="10"/>
        <v>1.1215024181978586</v>
      </c>
      <c r="K24" s="386">
        <f t="shared" si="10"/>
        <v>1.1098178322824457</v>
      </c>
    </row>
    <row r="25" spans="1:12" x14ac:dyDescent="0.3">
      <c r="B25" s="244"/>
      <c r="C25" s="244"/>
      <c r="D25" s="244"/>
      <c r="E25" s="244"/>
      <c r="F25" s="403"/>
    </row>
    <row r="26" spans="1:12" ht="15" thickBot="1" x14ac:dyDescent="0.35">
      <c r="F26" s="29"/>
    </row>
    <row r="27" spans="1:12" x14ac:dyDescent="0.3">
      <c r="A27" s="193" t="s">
        <v>205</v>
      </c>
      <c r="B27" s="62">
        <v>2013</v>
      </c>
      <c r="C27" s="62">
        <v>2014</v>
      </c>
      <c r="D27" s="62">
        <v>2015</v>
      </c>
      <c r="E27" s="62">
        <v>2016</v>
      </c>
      <c r="F27" s="304">
        <v>2017</v>
      </c>
      <c r="G27" s="63">
        <v>2018</v>
      </c>
      <c r="H27" s="62">
        <v>2019</v>
      </c>
      <c r="I27" s="62">
        <v>2020</v>
      </c>
      <c r="J27" s="62">
        <v>2021</v>
      </c>
      <c r="K27" s="64">
        <v>2022</v>
      </c>
    </row>
    <row r="28" spans="1:12" x14ac:dyDescent="0.3">
      <c r="A28" s="57" t="s">
        <v>194</v>
      </c>
      <c r="B28" s="16">
        <f>B12/B$6</f>
        <v>0.62801482545079457</v>
      </c>
      <c r="C28" s="16">
        <f>C12/C$6</f>
        <v>0.62461283902337905</v>
      </c>
      <c r="D28" s="16">
        <f t="shared" ref="D28:F28" si="11">D12/D$6</f>
        <v>0.61512129456673048</v>
      </c>
      <c r="E28" s="16">
        <f t="shared" si="11"/>
        <v>0.61812268613205357</v>
      </c>
      <c r="F28" s="32">
        <f t="shared" si="11"/>
        <v>0.62025611007496562</v>
      </c>
      <c r="G28" s="23">
        <f>SUM(G30:G32)</f>
        <v>0.63</v>
      </c>
      <c r="H28" s="18">
        <f t="shared" ref="H28:K28" si="12">SUM(H30:H32)</f>
        <v>0.65</v>
      </c>
      <c r="I28" s="18">
        <f t="shared" si="12"/>
        <v>0.65</v>
      </c>
      <c r="J28" s="18">
        <f t="shared" si="12"/>
        <v>0.66</v>
      </c>
      <c r="K28" s="374">
        <f t="shared" si="12"/>
        <v>0.66</v>
      </c>
    </row>
    <row r="29" spans="1:12" x14ac:dyDescent="0.3">
      <c r="A29" s="57" t="s">
        <v>206</v>
      </c>
      <c r="B29" s="254"/>
      <c r="C29" s="254"/>
      <c r="D29" s="254"/>
      <c r="E29" s="254"/>
      <c r="F29" s="404"/>
      <c r="G29" s="80"/>
      <c r="H29" s="81"/>
      <c r="I29" s="81"/>
      <c r="J29" s="81"/>
      <c r="K29" s="328"/>
    </row>
    <row r="30" spans="1:12" x14ac:dyDescent="0.3">
      <c r="A30" s="174" t="s">
        <v>195</v>
      </c>
      <c r="B30" s="16">
        <f t="shared" ref="B30:C32" si="13">B14/B$6</f>
        <v>1.5615805388274845E-2</v>
      </c>
      <c r="C30" s="16">
        <f t="shared" si="13"/>
        <v>2.695451353916941E-2</v>
      </c>
      <c r="D30" s="16">
        <f t="shared" ref="D30:F30" si="14">D14/D$6</f>
        <v>2.4031891883576698E-2</v>
      </c>
      <c r="E30" s="16">
        <f t="shared" si="14"/>
        <v>1.8418850572648342E-2</v>
      </c>
      <c r="F30" s="32">
        <f t="shared" si="14"/>
        <v>2.2150682011388253E-2</v>
      </c>
      <c r="G30" s="398">
        <v>0.02</v>
      </c>
      <c r="H30" s="248">
        <v>0.02</v>
      </c>
      <c r="I30" s="248">
        <v>0.02</v>
      </c>
      <c r="J30" s="248">
        <v>0.02</v>
      </c>
      <c r="K30" s="387">
        <v>0.02</v>
      </c>
    </row>
    <row r="31" spans="1:12" x14ac:dyDescent="0.3">
      <c r="A31" s="174" t="s">
        <v>196</v>
      </c>
      <c r="B31" s="16">
        <f t="shared" si="13"/>
        <v>0.53552591063958266</v>
      </c>
      <c r="C31" s="16">
        <f t="shared" si="13"/>
        <v>0.51345934428193873</v>
      </c>
      <c r="D31" s="16">
        <f t="shared" ref="D31:F31" si="15">D15/D$6</f>
        <v>0.50402737307286583</v>
      </c>
      <c r="E31" s="16">
        <f t="shared" si="15"/>
        <v>0.51516861336441722</v>
      </c>
      <c r="F31" s="32">
        <f t="shared" si="15"/>
        <v>0.53181728546641316</v>
      </c>
      <c r="G31" s="398">
        <v>0.53</v>
      </c>
      <c r="H31" s="248">
        <v>0.54</v>
      </c>
      <c r="I31" s="248">
        <v>0.54</v>
      </c>
      <c r="J31" s="248">
        <v>0.55000000000000004</v>
      </c>
      <c r="K31" s="248">
        <v>0.55000000000000004</v>
      </c>
      <c r="L31" s="434"/>
    </row>
    <row r="32" spans="1:12" x14ac:dyDescent="0.3">
      <c r="A32" s="174" t="s">
        <v>197</v>
      </c>
      <c r="B32" s="16">
        <f t="shared" si="13"/>
        <v>7.6873109422937083E-2</v>
      </c>
      <c r="C32" s="16">
        <f t="shared" si="13"/>
        <v>8.419898120227097E-2</v>
      </c>
      <c r="D32" s="16">
        <f t="shared" ref="D32:F32" si="16">D16/D$6</f>
        <v>8.7062029610287958E-2</v>
      </c>
      <c r="E32" s="16">
        <f t="shared" si="16"/>
        <v>8.4535222194987936E-2</v>
      </c>
      <c r="F32" s="32">
        <f t="shared" si="16"/>
        <v>6.6288142597164146E-2</v>
      </c>
      <c r="G32" s="398">
        <v>0.08</v>
      </c>
      <c r="H32" s="248">
        <v>0.09</v>
      </c>
      <c r="I32" s="248">
        <v>0.09</v>
      </c>
      <c r="J32" s="248">
        <v>0.09</v>
      </c>
      <c r="K32" s="248">
        <v>0.09</v>
      </c>
    </row>
    <row r="33" spans="1:15" x14ac:dyDescent="0.3">
      <c r="A33" s="57"/>
      <c r="B33" s="254"/>
      <c r="C33" s="254"/>
      <c r="D33" s="254"/>
      <c r="E33" s="254"/>
      <c r="F33" s="404"/>
      <c r="G33" s="80"/>
      <c r="H33" s="81"/>
      <c r="I33" s="81"/>
      <c r="J33" s="81"/>
      <c r="K33" s="328"/>
    </row>
    <row r="34" spans="1:15" x14ac:dyDescent="0.3">
      <c r="A34" s="57" t="s">
        <v>199</v>
      </c>
      <c r="B34" s="16">
        <f>B19/B$6</f>
        <v>0.25515160702863299</v>
      </c>
      <c r="C34" s="16">
        <f t="shared" ref="C34:F34" si="17">C19/C$6</f>
        <v>0.25146137520395373</v>
      </c>
      <c r="D34" s="16">
        <f t="shared" si="17"/>
        <v>0.23300695711394573</v>
      </c>
      <c r="E34" s="16">
        <f t="shared" si="17"/>
        <v>0.24115893691565304</v>
      </c>
      <c r="F34" s="32">
        <f t="shared" si="17"/>
        <v>0.2336768038810674</v>
      </c>
      <c r="G34" s="23">
        <f>G19/G6</f>
        <v>0.22519158779736817</v>
      </c>
      <c r="H34" s="18">
        <f t="shared" ref="H34:K34" si="18">H19/H6</f>
        <v>0.21884458001460819</v>
      </c>
      <c r="I34" s="18">
        <f t="shared" si="18"/>
        <v>0.21266432676995764</v>
      </c>
      <c r="J34" s="18">
        <f t="shared" si="18"/>
        <v>0.20664719852498231</v>
      </c>
      <c r="K34" s="374">
        <f t="shared" si="18"/>
        <v>0.20078959717250236</v>
      </c>
    </row>
    <row r="35" spans="1:15" x14ac:dyDescent="0.3">
      <c r="A35" s="57" t="s">
        <v>200</v>
      </c>
      <c r="B35" s="16">
        <f t="shared" ref="B35:F38" si="19">B20/B$6</f>
        <v>2.608347425431019E-3</v>
      </c>
      <c r="C35" s="16">
        <f t="shared" si="19"/>
        <v>2.5048635267874014E-3</v>
      </c>
      <c r="D35" s="16">
        <f t="shared" si="19"/>
        <v>1.6939554867843815E-3</v>
      </c>
      <c r="E35" s="16">
        <f t="shared" si="19"/>
        <v>2.1351032741141578E-3</v>
      </c>
      <c r="F35" s="32">
        <f t="shared" si="19"/>
        <v>1.0707506993095006E-3</v>
      </c>
      <c r="G35" s="399">
        <v>0</v>
      </c>
      <c r="H35" s="249">
        <v>0</v>
      </c>
      <c r="I35" s="249">
        <v>0</v>
      </c>
      <c r="J35" s="249">
        <v>0</v>
      </c>
      <c r="K35" s="388">
        <v>0</v>
      </c>
    </row>
    <row r="36" spans="1:15" x14ac:dyDescent="0.3">
      <c r="A36" s="57" t="s">
        <v>201</v>
      </c>
      <c r="B36" s="16">
        <f t="shared" si="19"/>
        <v>6.4071096229948041E-2</v>
      </c>
      <c r="C36" s="16">
        <f t="shared" si="19"/>
        <v>5.4572330661564299E-2</v>
      </c>
      <c r="D36" s="16">
        <f t="shared" si="19"/>
        <v>4.8510724734015589E-2</v>
      </c>
      <c r="E36" s="16">
        <f t="shared" si="19"/>
        <v>4.8734725015029463E-2</v>
      </c>
      <c r="F36" s="32">
        <f t="shared" si="19"/>
        <v>5.0545447486823977E-2</v>
      </c>
      <c r="G36" s="23">
        <f>G21/G6</f>
        <v>4.1084879135812616E-2</v>
      </c>
      <c r="H36" s="18">
        <f t="shared" ref="H36:K36" si="20">H21/H6</f>
        <v>3.9945112537097718E-2</v>
      </c>
      <c r="I36" s="18">
        <f t="shared" si="20"/>
        <v>3.9445114749951736E-2</v>
      </c>
      <c r="J36" s="18">
        <f t="shared" si="20"/>
        <v>3.8140491584565853E-2</v>
      </c>
      <c r="K36" s="374">
        <f t="shared" si="20"/>
        <v>3.6972052399883042E-2</v>
      </c>
    </row>
    <row r="37" spans="1:15" x14ac:dyDescent="0.3">
      <c r="A37" s="57" t="s">
        <v>202</v>
      </c>
      <c r="B37" s="16">
        <f t="shared" si="19"/>
        <v>2.0064902498338703E-2</v>
      </c>
      <c r="C37" s="16">
        <f t="shared" si="19"/>
        <v>1.3869160129381065E-2</v>
      </c>
      <c r="D37" s="16">
        <f t="shared" si="19"/>
        <v>1.7235398324891949E-2</v>
      </c>
      <c r="E37" s="16">
        <f t="shared" si="19"/>
        <v>1.5162920727313256E-2</v>
      </c>
      <c r="F37" s="32">
        <f t="shared" si="19"/>
        <v>1.9449217017433035E-2</v>
      </c>
      <c r="G37" s="399">
        <v>0.02</v>
      </c>
      <c r="H37" s="249">
        <v>0.02</v>
      </c>
      <c r="I37" s="249">
        <v>0.02</v>
      </c>
      <c r="J37" s="249">
        <v>0.02</v>
      </c>
      <c r="K37" s="388">
        <v>0.02</v>
      </c>
      <c r="N37" s="137"/>
      <c r="O37" s="137"/>
    </row>
    <row r="38" spans="1:15" ht="15" thickBot="1" x14ac:dyDescent="0.35">
      <c r="A38" s="93" t="s">
        <v>207</v>
      </c>
      <c r="B38" s="349">
        <f t="shared" si="19"/>
        <v>0.96991077863314534</v>
      </c>
      <c r="C38" s="349">
        <f t="shared" si="19"/>
        <v>0.94702056854506556</v>
      </c>
      <c r="D38" s="349">
        <f t="shared" si="19"/>
        <v>0.91556833022636808</v>
      </c>
      <c r="E38" s="349">
        <f t="shared" si="19"/>
        <v>0.92531437206416345</v>
      </c>
      <c r="F38" s="350">
        <f t="shared" si="19"/>
        <v>0.92499832915959945</v>
      </c>
      <c r="G38" s="363">
        <f t="shared" ref="G38:K38" si="21">SUM(G34:G37)+G28</f>
        <v>0.91627646693318088</v>
      </c>
      <c r="H38" s="364">
        <f t="shared" si="21"/>
        <v>0.92878969255170596</v>
      </c>
      <c r="I38" s="364">
        <f t="shared" si="21"/>
        <v>0.92210944151990937</v>
      </c>
      <c r="J38" s="364">
        <f t="shared" si="21"/>
        <v>0.9247876901095482</v>
      </c>
      <c r="K38" s="365">
        <f t="shared" si="21"/>
        <v>0.91776164957238549</v>
      </c>
      <c r="N38" s="137"/>
      <c r="O38" s="137"/>
    </row>
    <row r="39" spans="1:15" x14ac:dyDescent="0.3">
      <c r="F39" s="29"/>
      <c r="N39" s="137"/>
      <c r="O39" s="137"/>
    </row>
    <row r="40" spans="1:15" ht="15" thickBot="1" x14ac:dyDescent="0.35">
      <c r="F40" s="29"/>
      <c r="N40" s="137"/>
      <c r="O40" s="137"/>
    </row>
    <row r="41" spans="1:15" x14ac:dyDescent="0.3">
      <c r="A41" s="193" t="s">
        <v>208</v>
      </c>
      <c r="B41" s="62">
        <v>2013</v>
      </c>
      <c r="C41" s="62">
        <v>2014</v>
      </c>
      <c r="D41" s="62">
        <v>2015</v>
      </c>
      <c r="E41" s="62">
        <v>2016</v>
      </c>
      <c r="F41" s="64">
        <v>2017</v>
      </c>
      <c r="G41" s="193">
        <v>2018</v>
      </c>
      <c r="H41" s="62">
        <v>2019</v>
      </c>
      <c r="I41" s="62">
        <v>2020</v>
      </c>
      <c r="J41" s="62">
        <v>2021</v>
      </c>
      <c r="K41" s="64">
        <v>2022</v>
      </c>
      <c r="L41" s="55" t="s">
        <v>232</v>
      </c>
      <c r="N41" s="137"/>
      <c r="O41" s="137"/>
    </row>
    <row r="42" spans="1:15" x14ac:dyDescent="0.3">
      <c r="A42" s="250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47">
        <v>34236712</v>
      </c>
      <c r="G42" s="452">
        <f>G43*G44</f>
        <v>37202109.690460496</v>
      </c>
      <c r="H42" s="41">
        <f>H43*H44</f>
        <v>40424353.992318377</v>
      </c>
      <c r="I42" s="41">
        <f>I43*I44</f>
        <v>43925691.561392717</v>
      </c>
      <c r="J42" s="41">
        <f>J43*J44</f>
        <v>47730295.937771909</v>
      </c>
      <c r="K42" s="106">
        <f>K43*K44</f>
        <v>51864434.442043714</v>
      </c>
      <c r="L42" s="451">
        <f>SUM(C46:F46)/4</f>
        <v>1.0549655906657875</v>
      </c>
    </row>
    <row r="43" spans="1:15" x14ac:dyDescent="0.3">
      <c r="A43" s="57" t="s">
        <v>210</v>
      </c>
      <c r="B43" s="204">
        <v>1014</v>
      </c>
      <c r="C43" s="204">
        <v>1068</v>
      </c>
      <c r="D43" s="204">
        <v>1086</v>
      </c>
      <c r="E43" s="204">
        <v>1225</v>
      </c>
      <c r="F43" s="448">
        <v>1265</v>
      </c>
      <c r="G43" s="453">
        <f>G45*F43</f>
        <v>1302.95</v>
      </c>
      <c r="H43" s="252">
        <f>H45*G43</f>
        <v>1342.0385000000001</v>
      </c>
      <c r="I43" s="252">
        <f>I45*H43</f>
        <v>1382.2996550000003</v>
      </c>
      <c r="J43" s="252">
        <f>J45*I43</f>
        <v>1423.7686446500004</v>
      </c>
      <c r="K43" s="253">
        <f>K45*J43</f>
        <v>1466.4817039895004</v>
      </c>
    </row>
    <row r="44" spans="1:15" x14ac:dyDescent="0.3">
      <c r="A44" s="50" t="s">
        <v>211</v>
      </c>
      <c r="B44" s="36">
        <f>B42/B43</f>
        <v>21860.234714003946</v>
      </c>
      <c r="C44" s="36">
        <f>C42/C43</f>
        <v>22608.54307116105</v>
      </c>
      <c r="D44" s="36">
        <f>D42/D43</f>
        <v>24017.515653775321</v>
      </c>
      <c r="E44" s="36">
        <f>E42/E43</f>
        <v>25124.035102040816</v>
      </c>
      <c r="F44" s="71">
        <f>F42/F43</f>
        <v>27064.594466403163</v>
      </c>
      <c r="G44" s="454">
        <f>F44*G46</f>
        <v>28552.215887379018</v>
      </c>
      <c r="H44" s="35">
        <f t="shared" ref="H44:K44" si="22">G44*H46</f>
        <v>30121.605298445887</v>
      </c>
      <c r="I44" s="35">
        <f t="shared" si="22"/>
        <v>31777.257125476681</v>
      </c>
      <c r="J44" s="35">
        <f t="shared" si="22"/>
        <v>33523.912833117116</v>
      </c>
      <c r="K44" s="287">
        <f t="shared" si="22"/>
        <v>35366.574503417774</v>
      </c>
    </row>
    <row r="45" spans="1:15" x14ac:dyDescent="0.3">
      <c r="A45" s="187" t="s">
        <v>212</v>
      </c>
      <c r="B45" s="48"/>
      <c r="C45" s="48">
        <f>C43/B43</f>
        <v>1.0532544378698225</v>
      </c>
      <c r="D45" s="48">
        <f>D43/C43</f>
        <v>1.0168539325842696</v>
      </c>
      <c r="E45" s="48">
        <f>E43/D43</f>
        <v>1.1279926335174955</v>
      </c>
      <c r="F45" s="449">
        <f>F43/E43</f>
        <v>1.0326530612244897</v>
      </c>
      <c r="G45" s="455">
        <v>1.03</v>
      </c>
      <c r="H45" s="455">
        <v>1.03</v>
      </c>
      <c r="I45" s="455">
        <v>1.03</v>
      </c>
      <c r="J45" s="455">
        <v>1.03</v>
      </c>
      <c r="K45" s="455">
        <v>1.03</v>
      </c>
    </row>
    <row r="46" spans="1:15" ht="15" thickBot="1" x14ac:dyDescent="0.35">
      <c r="A46" s="440" t="s">
        <v>231</v>
      </c>
      <c r="B46" s="441"/>
      <c r="C46" s="442">
        <f>C44/B44</f>
        <v>1.0342314877652128</v>
      </c>
      <c r="D46" s="442">
        <f t="shared" ref="D46:F46" si="23">D44/C44</f>
        <v>1.0623203617402275</v>
      </c>
      <c r="E46" s="442">
        <f t="shared" si="23"/>
        <v>1.0460713532663635</v>
      </c>
      <c r="F46" s="450">
        <f t="shared" si="23"/>
        <v>1.0772391598913471</v>
      </c>
      <c r="G46" s="456">
        <f>$L$42</f>
        <v>1.0549655906657875</v>
      </c>
      <c r="H46" s="443">
        <f t="shared" ref="H46:K46" si="24">$L$42</f>
        <v>1.0549655906657875</v>
      </c>
      <c r="I46" s="443">
        <f t="shared" si="24"/>
        <v>1.0549655906657875</v>
      </c>
      <c r="J46" s="443">
        <f t="shared" si="24"/>
        <v>1.0549655906657875</v>
      </c>
      <c r="K46" s="457">
        <f t="shared" si="24"/>
        <v>1.0549655906657875</v>
      </c>
    </row>
    <row r="47" spans="1:15" x14ac:dyDescent="0.3">
      <c r="A47" s="444" t="s">
        <v>242</v>
      </c>
      <c r="B47" s="445">
        <f>B2/B43</f>
        <v>82608.288954635107</v>
      </c>
      <c r="C47" s="445">
        <f t="shared" ref="C47:K47" si="25">C2/C43</f>
        <v>86457.951310861419</v>
      </c>
      <c r="D47" s="445">
        <f t="shared" si="25"/>
        <v>97543.546040515648</v>
      </c>
      <c r="E47" s="445">
        <f t="shared" si="25"/>
        <v>98773.746938775512</v>
      </c>
      <c r="F47" s="446">
        <f t="shared" si="25"/>
        <v>110164.36837944663</v>
      </c>
      <c r="G47" s="458">
        <f t="shared" si="25"/>
        <v>120859.93812502398</v>
      </c>
      <c r="H47" s="445">
        <f t="shared" si="25"/>
        <v>131420.51524274453</v>
      </c>
      <c r="I47" s="445">
        <f t="shared" si="25"/>
        <v>142903.861234829</v>
      </c>
      <c r="J47" s="445">
        <f t="shared" si="25"/>
        <v>155390.60639127038</v>
      </c>
      <c r="K47" s="446">
        <f t="shared" si="25"/>
        <v>168968.42636720664</v>
      </c>
    </row>
    <row r="48" spans="1:15" ht="15" thickBot="1" x14ac:dyDescent="0.35">
      <c r="A48" s="93" t="s">
        <v>243</v>
      </c>
      <c r="B48" s="110">
        <f>'FCF - KONČNI_IZRAČUN'!B5/'PRIHODKI IN STROŠKI'!B43</f>
        <v>2845.3570019723866</v>
      </c>
      <c r="C48" s="110">
        <f>'FCF - KONČNI_IZRAČUN'!C5/'PRIHODKI IN STROŠKI'!C43</f>
        <v>5877.0917602996251</v>
      </c>
      <c r="D48" s="110">
        <f>'FCF - KONČNI_IZRAČUN'!D5/'PRIHODKI IN STROŠKI'!D43</f>
        <v>7726.1132596685084</v>
      </c>
      <c r="E48" s="110">
        <f>'FCF - KONČNI_IZRAČUN'!E5/'PRIHODKI IN STROŠKI'!E43</f>
        <v>8340.8873469387763</v>
      </c>
      <c r="F48" s="111">
        <f>'FCF - KONČNI_IZRAČUN'!F5/'PRIHODKI IN STROŠKI'!F43</f>
        <v>8572.9304347826092</v>
      </c>
      <c r="G48" s="459">
        <f>'FCF - KONČNI_IZRAČUN'!G5/'PRIHODKI IN STROŠKI'!G43</f>
        <v>10190.756758657404</v>
      </c>
      <c r="H48" s="110">
        <f>'FCF - KONČNI_IZRAČUN'!H5/'PRIHODKI IN STROŠKI'!H43</f>
        <v>9409.2804264812203</v>
      </c>
      <c r="I48" s="110">
        <f>'FCF - KONČNI_IZRAČUN'!I5/'PRIHODKI IN STROŠKI'!I43</f>
        <v>11173.206190149493</v>
      </c>
      <c r="J48" s="110">
        <f>'FCF - KONČNI_IZRAČUN'!J5/'PRIHODKI IN STROŠKI'!J43</f>
        <v>11713.463822363263</v>
      </c>
      <c r="K48" s="111">
        <f>'FCF - KONČNI_IZRAČUN'!K5/'PRIHODKI IN STROŠKI'!K43</f>
        <v>13905.84590465691</v>
      </c>
    </row>
    <row r="49" spans="2:1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3">
      <c r="G50" s="434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D25" sqref="D25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61" t="s">
        <v>24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356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4">
        <v>51032572</v>
      </c>
      <c r="G2" s="35">
        <f>F2+INVESTICIJE!G5-AMORTIZACIJA!G56-AMORTIZACIJA!G68-AMORTIZACIJA!G80</f>
        <v>57650135.418910973</v>
      </c>
      <c r="H2" s="35">
        <f>G2+INVESTICIJE!H5-AMORTIZACIJA!H56-AMORTIZACIJA!H68-AMORTIZACIJA!H80</f>
        <v>65247272.693211831</v>
      </c>
      <c r="I2" s="35">
        <f>H2+INVESTICIJE!I5-AMORTIZACIJA!I56-AMORTIZACIJA!I68-AMORTIZACIJA!I80</f>
        <v>71956409.32558845</v>
      </c>
      <c r="J2" s="35">
        <f>I2+INVESTICIJE!J5-AMORTIZACIJA!J56-AMORTIZACIJA!J68-AMORTIZACIJA!J80</f>
        <v>79738941.568726242</v>
      </c>
      <c r="K2" s="35">
        <f>J2+INVESTICIJE!K5-AMORTIZACIJA!K56-AMORTIZACIJA!K68-AMORTIZACIJA!K80</f>
        <v>88722730.705389395</v>
      </c>
    </row>
    <row r="3" spans="1:11" s="3" customFormat="1" x14ac:dyDescent="0.3">
      <c r="A3" s="356" t="s">
        <v>228</v>
      </c>
      <c r="B3" s="292">
        <v>240390</v>
      </c>
      <c r="C3" s="292">
        <v>211090</v>
      </c>
      <c r="D3" s="292">
        <v>443644</v>
      </c>
      <c r="E3" s="292">
        <v>244397</v>
      </c>
      <c r="F3" s="293">
        <v>164330</v>
      </c>
      <c r="G3" s="35">
        <f>IF(F3+INVESTICIJE!G2-AMORTIZACIJA!G44&gt;0,F3+INVESTICIJE!G2-AMORTIZACIJA!G44,0)</f>
        <v>190386.58589503999</v>
      </c>
      <c r="H3" s="35">
        <f>IF(G3+INVESTICIJE!H2-AMORTIZACIJA!H44&gt;0,G3+INVESTICIJE!H2-AMORTIZACIJA!H44,0)</f>
        <v>232207.56224521276</v>
      </c>
      <c r="I3" s="35">
        <f>IF(H3+INVESTICIJE!I2-AMORTIZACIJA!I44&gt;0,H3+INVESTICIJE!I2-AMORTIZACIJA!I44,0)</f>
        <v>102678.73466403742</v>
      </c>
      <c r="J3" s="35">
        <f>IF(I3+INVESTICIJE!J2-AMORTIZACIJA!J44&gt;0,I3+INVESTICIJE!J2-AMORTIZACIJA!J44,0)</f>
        <v>0</v>
      </c>
      <c r="K3" s="35">
        <f>IF(J3+INVESTICIJE!K2-AMORTIZACIJA!K44&gt;0,J3+INVESTICIJE!K2-AMORTIZACIJA!K44,0)</f>
        <v>0</v>
      </c>
    </row>
    <row r="4" spans="1:11" s="3" customFormat="1" x14ac:dyDescent="0.3">
      <c r="A4" s="356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4">
        <v>105298</v>
      </c>
      <c r="G4" s="35">
        <f>G31*'PRIHODKI IN STROŠKI'!G$6</f>
        <v>0</v>
      </c>
      <c r="H4" s="35">
        <f>H31*'PRIHODKI IN STROŠKI'!H$6</f>
        <v>0</v>
      </c>
      <c r="I4" s="35">
        <f>I31*'PRIHODKI IN STROŠKI'!I$6</f>
        <v>0</v>
      </c>
      <c r="J4" s="35">
        <f>J31*'PRIHODKI IN STROŠKI'!J$6</f>
        <v>0</v>
      </c>
      <c r="K4" s="287">
        <f>K31*'PRIHODKI IN STROŠKI'!K$6</f>
        <v>0</v>
      </c>
    </row>
    <row r="5" spans="1:11" s="3" customFormat="1" x14ac:dyDescent="0.3">
      <c r="A5" s="356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4">
        <v>2202223</v>
      </c>
      <c r="G5" s="21">
        <v>2202223</v>
      </c>
      <c r="H5" s="20">
        <v>2202223</v>
      </c>
      <c r="I5" s="20">
        <v>2202223</v>
      </c>
      <c r="J5" s="20">
        <v>2202223</v>
      </c>
      <c r="K5" s="366">
        <v>2202223</v>
      </c>
    </row>
    <row r="6" spans="1:11" s="43" customFormat="1" x14ac:dyDescent="0.3">
      <c r="A6" s="355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6">
        <v>54286242</v>
      </c>
      <c r="G6" s="40">
        <f>SUM(G2:G5)</f>
        <v>60042745.004806012</v>
      </c>
      <c r="H6" s="40">
        <f t="shared" ref="H6:K6" si="0">SUM(H2:H5)</f>
        <v>67681703.255457044</v>
      </c>
      <c r="I6" s="40">
        <f t="shared" si="0"/>
        <v>74261311.060252488</v>
      </c>
      <c r="J6" s="40">
        <f t="shared" si="0"/>
        <v>81941164.568726242</v>
      </c>
      <c r="K6" s="40">
        <f t="shared" si="0"/>
        <v>90924953.705389395</v>
      </c>
    </row>
    <row r="7" spans="1:11" s="3" customFormat="1" x14ac:dyDescent="0.3">
      <c r="A7" s="356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4">
        <v>20723229</v>
      </c>
      <c r="G7" s="35">
        <f>G34*'PRIHODKI IN STROŠKI'!G$6</f>
        <v>23128285.597200003</v>
      </c>
      <c r="H7" s="35">
        <f>H34*'PRIHODKI IN STROŠKI'!H$6</f>
        <v>24013233.586368002</v>
      </c>
      <c r="I7" s="35">
        <f>I34*'PRIHODKI IN STROŠKI'!I$6</f>
        <v>24785929.391293444</v>
      </c>
      <c r="J7" s="35">
        <f>J34*'PRIHODKI IN STROŠKI'!J$6</f>
        <v>27716976.341395669</v>
      </c>
      <c r="K7" s="287">
        <f>K34*'PRIHODKI IN STROŠKI'!K$6</f>
        <v>30996287.759361919</v>
      </c>
    </row>
    <row r="8" spans="1:11" s="3" customFormat="1" x14ac:dyDescent="0.3">
      <c r="A8" s="356" t="s">
        <v>5</v>
      </c>
      <c r="B8" s="7">
        <v>1440000</v>
      </c>
      <c r="C8" s="7">
        <v>750000</v>
      </c>
      <c r="D8" s="7">
        <v>0</v>
      </c>
      <c r="E8" s="7">
        <v>0</v>
      </c>
      <c r="F8" s="24">
        <v>400000</v>
      </c>
      <c r="G8" s="35">
        <f>G35*'PRIHODKI IN STROŠKI'!G$6</f>
        <v>0</v>
      </c>
      <c r="H8" s="35">
        <f>H35*'PRIHODKI IN STROŠKI'!H$6</f>
        <v>0</v>
      </c>
      <c r="I8" s="35">
        <f>I35*'PRIHODKI IN STROŠKI'!I$6</f>
        <v>0</v>
      </c>
      <c r="J8" s="35">
        <f>J35*'PRIHODKI IN STROŠKI'!J$6</f>
        <v>0</v>
      </c>
      <c r="K8" s="287">
        <f>K35*'PRIHODKI IN STROŠKI'!K$6</f>
        <v>0</v>
      </c>
    </row>
    <row r="9" spans="1:11" s="3" customFormat="1" x14ac:dyDescent="0.3">
      <c r="A9" s="356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4">
        <v>25008015</v>
      </c>
      <c r="G9" s="35">
        <f>G36*'PRIHODKI IN STROŠKI'!G$6</f>
        <v>28084346.796599999</v>
      </c>
      <c r="H9" s="35">
        <f>H36*'PRIHODKI IN STROŠKI'!H$6</f>
        <v>27707577.215040002</v>
      </c>
      <c r="I9" s="35">
        <f>I36*'PRIHODKI IN STROŠKI'!I$6</f>
        <v>30982411.739116803</v>
      </c>
      <c r="J9" s="35">
        <f>J36*'PRIHODKI IN STROŠKI'!J$6</f>
        <v>34646220.426744588</v>
      </c>
      <c r="K9" s="287">
        <f>K36*'PRIHODKI IN STROŠKI'!K$6</f>
        <v>33579311.739308745</v>
      </c>
    </row>
    <row r="10" spans="1:11" s="3" customFormat="1" x14ac:dyDescent="0.3">
      <c r="A10" s="356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4">
        <v>3296221</v>
      </c>
      <c r="G10" s="35">
        <f>G37*'PRIHODKI IN STROŠKI'!G$6</f>
        <v>3304040.7996</v>
      </c>
      <c r="H10" s="35">
        <f>H37*'PRIHODKI IN STROŠKI'!H$6</f>
        <v>3694343.628672</v>
      </c>
      <c r="I10" s="35">
        <f>I37*'PRIHODKI IN STROŠKI'!I$6</f>
        <v>6196482.3478233609</v>
      </c>
      <c r="J10" s="35">
        <f>J37*'PRIHODKI IN STROŠKI'!J$6</f>
        <v>6929244.0853489172</v>
      </c>
      <c r="K10" s="287">
        <f>K37*'PRIHODKI IN STROŠKI'!K$6</f>
        <v>7749071.9398404798</v>
      </c>
    </row>
    <row r="11" spans="1:11" s="43" customFormat="1" x14ac:dyDescent="0.3">
      <c r="A11" s="355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6">
        <v>52269549</v>
      </c>
      <c r="G11" s="40">
        <f>G38*'PRIHODKI IN STROŠKI'!G$6</f>
        <v>54516673.19340001</v>
      </c>
      <c r="H11" s="40">
        <f>H38*'PRIHODKI IN STROŠKI'!H$6</f>
        <v>55415154.430080011</v>
      </c>
      <c r="I11" s="40">
        <f>I38*'PRIHODKI IN STROŠKI'!I$6</f>
        <v>61964823.478233621</v>
      </c>
      <c r="J11" s="40">
        <f>J38*'PRIHODKI IN STROŠKI'!J$6</f>
        <v>69292440.853489175</v>
      </c>
      <c r="K11" s="367">
        <f>K38*'PRIHODKI IN STROŠKI'!K$6</f>
        <v>72324671.438511148</v>
      </c>
    </row>
    <row r="12" spans="1:11" s="12" customFormat="1" x14ac:dyDescent="0.3">
      <c r="A12" s="356"/>
      <c r="B12" s="11"/>
      <c r="C12" s="11"/>
      <c r="D12" s="11"/>
      <c r="E12" s="11"/>
      <c r="F12" s="25"/>
      <c r="G12" s="22"/>
      <c r="H12" s="11"/>
      <c r="I12" s="11"/>
      <c r="J12" s="11"/>
      <c r="K12" s="368"/>
    </row>
    <row r="13" spans="1:11" s="4" customFormat="1" x14ac:dyDescent="0.3">
      <c r="A13" s="355" t="s">
        <v>9</v>
      </c>
      <c r="B13" s="8">
        <f>B2+B5</f>
        <v>20679424</v>
      </c>
      <c r="C13" s="8">
        <f t="shared" ref="C13:K13" si="1">C2+C5</f>
        <v>21389325</v>
      </c>
      <c r="D13" s="8">
        <f t="shared" si="1"/>
        <v>26773768</v>
      </c>
      <c r="E13" s="8">
        <f t="shared" si="1"/>
        <v>43941850</v>
      </c>
      <c r="F13" s="26">
        <f t="shared" si="1"/>
        <v>53234795</v>
      </c>
      <c r="G13" s="40">
        <f t="shared" si="1"/>
        <v>59852358.418910973</v>
      </c>
      <c r="H13" s="41">
        <f t="shared" si="1"/>
        <v>67449495.693211824</v>
      </c>
      <c r="I13" s="41">
        <f t="shared" si="1"/>
        <v>74158632.32558845</v>
      </c>
      <c r="J13" s="41">
        <f t="shared" si="1"/>
        <v>81941164.568726242</v>
      </c>
      <c r="K13" s="106">
        <f t="shared" si="1"/>
        <v>90924953.705389395</v>
      </c>
    </row>
    <row r="14" spans="1:11" x14ac:dyDescent="0.3">
      <c r="A14" s="369" t="s">
        <v>10</v>
      </c>
      <c r="B14" s="9">
        <f>B13/(B6+B11)</f>
        <v>0.3784784566551031</v>
      </c>
      <c r="C14" s="9">
        <f t="shared" ref="C14:F14" si="2">C13/(C6+C11)</f>
        <v>0.36548402453772116</v>
      </c>
      <c r="D14" s="9">
        <f t="shared" si="2"/>
        <v>0.38644222378166193</v>
      </c>
      <c r="E14" s="9">
        <f t="shared" si="2"/>
        <v>0.4820304338174628</v>
      </c>
      <c r="F14" s="27">
        <f t="shared" si="2"/>
        <v>0.49959551236403471</v>
      </c>
      <c r="G14" s="42">
        <f>G13/G17</f>
        <v>0.52245689931278172</v>
      </c>
      <c r="H14" s="16">
        <f t="shared" ref="H14:K14" si="3">H13/H17</f>
        <v>0.54793840363917445</v>
      </c>
      <c r="I14" s="16">
        <f t="shared" si="3"/>
        <v>0.54437889305768572</v>
      </c>
      <c r="J14" s="16">
        <f t="shared" si="3"/>
        <v>0.54181849556493833</v>
      </c>
      <c r="K14" s="306">
        <f t="shared" si="3"/>
        <v>0.55696883607077985</v>
      </c>
    </row>
    <row r="15" spans="1:11" s="4" customFormat="1" x14ac:dyDescent="0.3">
      <c r="A15" s="355" t="s">
        <v>11</v>
      </c>
      <c r="B15" s="8">
        <f>B4+B7+B8+B9+B10</f>
        <v>32428791</v>
      </c>
      <c r="C15" s="8">
        <f t="shared" ref="C15:K15" si="4">C4+C7+C8+C9+C10</f>
        <v>35792419</v>
      </c>
      <c r="D15" s="8">
        <f t="shared" si="4"/>
        <v>39872111</v>
      </c>
      <c r="E15" s="8">
        <f t="shared" si="4"/>
        <v>43280786</v>
      </c>
      <c r="F15" s="26">
        <f t="shared" si="4"/>
        <v>49532763</v>
      </c>
      <c r="G15" s="40">
        <f t="shared" si="4"/>
        <v>54516673.193400003</v>
      </c>
      <c r="H15" s="41">
        <f t="shared" si="4"/>
        <v>55415154.430080011</v>
      </c>
      <c r="I15" s="41">
        <f t="shared" si="4"/>
        <v>61964823.478233606</v>
      </c>
      <c r="J15" s="41">
        <f t="shared" si="4"/>
        <v>69292440.853489175</v>
      </c>
      <c r="K15" s="106">
        <f t="shared" si="4"/>
        <v>72324671.438511148</v>
      </c>
    </row>
    <row r="16" spans="1:11" x14ac:dyDescent="0.3">
      <c r="A16" s="369" t="s">
        <v>10</v>
      </c>
      <c r="B16" s="9">
        <f>B15/(B6+B11)</f>
        <v>0.59351743882570895</v>
      </c>
      <c r="C16" s="9">
        <f t="shared" ref="C16:F16" si="5">C15/(C6+C11)</f>
        <v>0.611592808284525</v>
      </c>
      <c r="D16" s="9">
        <f t="shared" si="5"/>
        <v>0.57549864635075887</v>
      </c>
      <c r="E16" s="9">
        <f t="shared" si="5"/>
        <v>0.4747787371615162</v>
      </c>
      <c r="F16" s="27">
        <f t="shared" si="5"/>
        <v>0.46485284877665634</v>
      </c>
      <c r="G16" s="42">
        <f>G15/G17</f>
        <v>0.47588119816633045</v>
      </c>
      <c r="H16" s="16">
        <f t="shared" ref="H16:K16" si="6">H15/H17</f>
        <v>0.4501752154522371</v>
      </c>
      <c r="I16" s="16">
        <f t="shared" si="6"/>
        <v>0.45486736952612805</v>
      </c>
      <c r="J16" s="16">
        <f t="shared" si="6"/>
        <v>0.45818150443506184</v>
      </c>
      <c r="K16" s="306">
        <f t="shared" si="6"/>
        <v>0.44303116392922021</v>
      </c>
    </row>
    <row r="17" spans="1:11" s="43" customFormat="1" x14ac:dyDescent="0.3">
      <c r="A17" s="355" t="s">
        <v>12</v>
      </c>
      <c r="B17" s="8">
        <f>B6+B11</f>
        <v>54638312</v>
      </c>
      <c r="C17" s="8">
        <f t="shared" ref="C17:K17" si="7">C6+C11</f>
        <v>58523283</v>
      </c>
      <c r="D17" s="8">
        <f t="shared" si="7"/>
        <v>69282719</v>
      </c>
      <c r="E17" s="8">
        <f t="shared" si="7"/>
        <v>91159908</v>
      </c>
      <c r="F17" s="26">
        <f t="shared" si="7"/>
        <v>106555791</v>
      </c>
      <c r="G17" s="40">
        <f t="shared" si="7"/>
        <v>114559418.19820602</v>
      </c>
      <c r="H17" s="41">
        <f t="shared" si="7"/>
        <v>123096857.68553706</v>
      </c>
      <c r="I17" s="41">
        <f>I6+I11</f>
        <v>136226134.53848612</v>
      </c>
      <c r="J17" s="41">
        <f t="shared" si="7"/>
        <v>151233605.4222154</v>
      </c>
      <c r="K17" s="106">
        <f t="shared" si="7"/>
        <v>163249625.14390054</v>
      </c>
    </row>
    <row r="18" spans="1:11" s="6" customFormat="1" ht="15" thickBot="1" x14ac:dyDescent="0.35">
      <c r="A18" s="370" t="s">
        <v>219</v>
      </c>
      <c r="B18" s="371"/>
      <c r="C18" s="372">
        <f>C17/B17</f>
        <v>1.0711034228143799</v>
      </c>
      <c r="D18" s="372">
        <f t="shared" ref="D18:K18" si="8">D17/C17</f>
        <v>1.1838488110791734</v>
      </c>
      <c r="E18" s="372">
        <f t="shared" si="8"/>
        <v>1.3157668941947847</v>
      </c>
      <c r="F18" s="406">
        <f t="shared" si="8"/>
        <v>1.1688887509627588</v>
      </c>
      <c r="G18" s="405">
        <f t="shared" si="8"/>
        <v>1.0751120809398902</v>
      </c>
      <c r="H18" s="372">
        <f t="shared" si="8"/>
        <v>1.0745241170181217</v>
      </c>
      <c r="I18" s="372">
        <f t="shared" si="8"/>
        <v>1.1066580991570807</v>
      </c>
      <c r="J18" s="372">
        <f t="shared" si="8"/>
        <v>1.1101658718759977</v>
      </c>
      <c r="K18" s="373">
        <f t="shared" si="8"/>
        <v>1.0794533707514193</v>
      </c>
    </row>
    <row r="19" spans="1:11" s="6" customFormat="1" x14ac:dyDescent="0.3">
      <c r="F19" s="28"/>
      <c r="G19" s="10"/>
      <c r="H19" s="10"/>
      <c r="I19" s="10"/>
      <c r="J19" s="10"/>
      <c r="K19" s="10"/>
    </row>
    <row r="20" spans="1:11" s="6" customFormat="1" x14ac:dyDescent="0.3">
      <c r="F20" s="28"/>
      <c r="G20" s="10"/>
      <c r="H20" s="10"/>
      <c r="I20" s="10"/>
      <c r="J20" s="10"/>
      <c r="K20" s="10"/>
    </row>
    <row r="21" spans="1:11" x14ac:dyDescent="0.3">
      <c r="B21" s="3"/>
      <c r="F21" s="29"/>
    </row>
    <row r="22" spans="1:11" x14ac:dyDescent="0.3">
      <c r="A22" s="6"/>
      <c r="B22" s="6"/>
      <c r="C22" s="6"/>
      <c r="D22" s="6"/>
      <c r="E22" s="6"/>
      <c r="F22" s="460"/>
    </row>
    <row r="23" spans="1:11" x14ac:dyDescent="0.3">
      <c r="A23" s="3"/>
      <c r="B23" s="3"/>
      <c r="C23" s="3"/>
      <c r="D23" s="3"/>
      <c r="E23" s="3"/>
      <c r="F23" s="30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30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31"/>
      <c r="G25" s="3"/>
      <c r="H25" s="3"/>
      <c r="I25" s="3"/>
      <c r="J25" s="3"/>
      <c r="K25" s="3"/>
    </row>
    <row r="26" spans="1:11" x14ac:dyDescent="0.3">
      <c r="F26" s="29"/>
    </row>
    <row r="27" spans="1:11" ht="15" thickBot="1" x14ac:dyDescent="0.35">
      <c r="F27" s="29"/>
    </row>
    <row r="28" spans="1:11" s="13" customFormat="1" x14ac:dyDescent="0.3">
      <c r="A28" s="193" t="s">
        <v>15</v>
      </c>
      <c r="B28" s="62">
        <v>2013</v>
      </c>
      <c r="C28" s="62">
        <v>2014</v>
      </c>
      <c r="D28" s="62">
        <v>2015</v>
      </c>
      <c r="E28" s="62">
        <v>2016</v>
      </c>
      <c r="F28" s="304">
        <v>2017</v>
      </c>
      <c r="G28" s="146">
        <v>2018</v>
      </c>
      <c r="H28" s="143">
        <v>2019</v>
      </c>
      <c r="I28" s="143">
        <v>2020</v>
      </c>
      <c r="J28" s="143">
        <v>2021</v>
      </c>
      <c r="K28" s="144">
        <v>2022</v>
      </c>
    </row>
    <row r="29" spans="1:11" x14ac:dyDescent="0.3">
      <c r="A29" s="57" t="s">
        <v>0</v>
      </c>
      <c r="B29" s="16">
        <f>B2/'PRIHODKI IN STROŠKI'!B$6</f>
        <v>0.21267436992467217</v>
      </c>
      <c r="C29" s="16">
        <f>C2/'PRIHODKI IN STROŠKI'!C$6</f>
        <v>0.19972625761466881</v>
      </c>
      <c r="D29" s="16">
        <f>D2/'PRIHODKI IN STROŠKI'!D$6</f>
        <v>0.21951879311234768</v>
      </c>
      <c r="E29" s="16">
        <f>E2/'PRIHODKI IN STROŠKI'!E$6</f>
        <v>0.32706937956516291</v>
      </c>
      <c r="F29" s="32">
        <f>F2/'PRIHODKI IN STROŠKI'!F$6</f>
        <v>0.3483140647031307</v>
      </c>
      <c r="G29" s="38">
        <v>0.26</v>
      </c>
      <c r="H29" s="38">
        <v>0.26</v>
      </c>
      <c r="I29" s="38">
        <v>0.26</v>
      </c>
      <c r="J29" s="38">
        <v>0.26</v>
      </c>
      <c r="K29" s="38">
        <v>0.26</v>
      </c>
    </row>
    <row r="30" spans="1:11" x14ac:dyDescent="0.3">
      <c r="A30" s="57" t="s">
        <v>228</v>
      </c>
      <c r="B30" s="16">
        <f>B3/'PRIHODKI IN STROŠKI'!B6</f>
        <v>2.7670813662813887E-3</v>
      </c>
      <c r="C30" s="16">
        <f>C3/'PRIHODKI IN STROŠKI'!C6</f>
        <v>2.1983412890640504E-3</v>
      </c>
      <c r="D30" s="16">
        <f>D3/'PRIHODKI IN STROŠKI'!D6</f>
        <v>3.9631963842939417E-3</v>
      </c>
      <c r="E30" s="16">
        <f>E3/'PRIHODKI IN STROŠKI'!E6</f>
        <v>1.9150219274661183E-3</v>
      </c>
      <c r="F30" s="413">
        <f>F3/'PRIHODKI IN STROŠKI'!F6</f>
        <v>1.1216062214670557E-3</v>
      </c>
      <c r="G30" s="462">
        <v>0</v>
      </c>
      <c r="H30" s="462">
        <v>0</v>
      </c>
      <c r="I30" s="462">
        <v>0</v>
      </c>
      <c r="J30" s="462">
        <v>0</v>
      </c>
      <c r="K30" s="462">
        <v>0</v>
      </c>
    </row>
    <row r="31" spans="1:11" x14ac:dyDescent="0.3">
      <c r="A31" s="57" t="s">
        <v>1</v>
      </c>
      <c r="B31" s="16">
        <f>B4/'PRIHODKI IN STROŠKI'!B$6</f>
        <v>2.8209979564875619E-3</v>
      </c>
      <c r="C31" s="16">
        <f>C4/'PRIHODKI IN STROŠKI'!C$6</f>
        <v>5.6763631926414005E-3</v>
      </c>
      <c r="D31" s="16">
        <f>D4/'PRIHODKI IN STROŠKI'!D$6</f>
        <v>2.7247488805661286E-3</v>
      </c>
      <c r="E31" s="16">
        <f>E4/'PRIHODKI IN STROŠKI'!E$6</f>
        <v>2.388071059751118E-3</v>
      </c>
      <c r="F31" s="32">
        <f>F4/'PRIHODKI IN STROŠKI'!F$6</f>
        <v>7.186934333842758E-4</v>
      </c>
      <c r="G31" s="38">
        <v>0</v>
      </c>
      <c r="H31" s="39">
        <v>0</v>
      </c>
      <c r="I31" s="39">
        <v>0</v>
      </c>
      <c r="J31" s="39">
        <v>0</v>
      </c>
      <c r="K31" s="345">
        <v>0</v>
      </c>
    </row>
    <row r="32" spans="1:11" x14ac:dyDescent="0.3">
      <c r="A32" s="57" t="s">
        <v>16</v>
      </c>
      <c r="B32" s="16">
        <f>B5/'PRIHODKI IN STROŠKI'!B$6</f>
        <v>2.5362357126503584E-2</v>
      </c>
      <c r="C32" s="16">
        <f>C5/'PRIHODKI IN STROŠKI'!C$6</f>
        <v>2.302724227973605E-2</v>
      </c>
      <c r="D32" s="16">
        <f>D5/'PRIHODKI IN STROŠKI'!D$6</f>
        <v>1.9658791914216062E-2</v>
      </c>
      <c r="E32" s="16">
        <f>E5/'PRIHODKI IN STROŠKI'!E$6</f>
        <v>1.7245838229765224E-2</v>
      </c>
      <c r="F32" s="32">
        <f>F5/'PRIHODKI IN STROŠKI'!F$6</f>
        <v>1.5030895258673668E-2</v>
      </c>
      <c r="G32" s="23">
        <f>G$5/'PRIHODKI IN STROŠKI'!G$6</f>
        <v>1.3330483087658057E-2</v>
      </c>
      <c r="H32" s="23">
        <f>H$5/'PRIHODKI IN STROŠKI'!H$6</f>
        <v>1.1922134058718462E-2</v>
      </c>
      <c r="I32" s="23">
        <f>I$5/'PRIHODKI IN STROŠKI'!I$6</f>
        <v>1.0661966950201553E-2</v>
      </c>
      <c r="J32" s="23">
        <f>J$5/'PRIHODKI IN STROŠKI'!J$6</f>
        <v>9.5344729073248199E-3</v>
      </c>
      <c r="K32" s="346">
        <f>K$5/'PRIHODKI IN STROŠKI'!K$6</f>
        <v>8.5257551501528618E-3</v>
      </c>
    </row>
    <row r="33" spans="1:11" s="6" customFormat="1" x14ac:dyDescent="0.3">
      <c r="A33" s="92" t="s">
        <v>3</v>
      </c>
      <c r="B33" s="16">
        <f>B6/'PRIHODKI IN STROŠKI'!B$6</f>
        <v>0.25261543232322603</v>
      </c>
      <c r="C33" s="16">
        <f>C6/'PRIHODKI IN STROŠKI'!C$6</f>
        <v>0.23696153929587907</v>
      </c>
      <c r="D33" s="16">
        <f>D6/'PRIHODKI IN STROŠKI'!D$6</f>
        <v>0.2488491477802075</v>
      </c>
      <c r="E33" s="16">
        <f>E6/'PRIHODKI IN STROŠKI'!E$6</f>
        <v>0.35184495077545747</v>
      </c>
      <c r="F33" s="32">
        <f>F6/'PRIHODKI IN STROŠKI'!F$6</f>
        <v>0.37052143106715868</v>
      </c>
      <c r="G33" s="23">
        <f>SUM(G29:G32)</f>
        <v>0.27333048308765806</v>
      </c>
      <c r="H33" s="18">
        <f>SUM(H29:H32)</f>
        <v>0.27192213405871846</v>
      </c>
      <c r="I33" s="18">
        <f>SUM(I29:I32)</f>
        <v>0.27066196695020156</v>
      </c>
      <c r="J33" s="18">
        <f>SUM(J29:J32)</f>
        <v>0.26953447290732485</v>
      </c>
      <c r="K33" s="374">
        <f>SUM(K29:K32)</f>
        <v>0.26852575515015287</v>
      </c>
    </row>
    <row r="34" spans="1:11" x14ac:dyDescent="0.3">
      <c r="A34" s="57" t="s">
        <v>4</v>
      </c>
      <c r="B34" s="16">
        <f>B7/'PRIHODKI IN STROŠKI'!B$6</f>
        <v>0.14853052543466796</v>
      </c>
      <c r="C34" s="16">
        <f>C7/'PRIHODKI IN STROŠKI'!C$6</f>
        <v>0.14894467797965927</v>
      </c>
      <c r="D34" s="16">
        <f>D7/'PRIHODKI IN STROŠKI'!D$6</f>
        <v>0.12560173015492684</v>
      </c>
      <c r="E34" s="16">
        <f>E7/'PRIHODKI IN STROŠKI'!E$6</f>
        <v>0.14371702937619363</v>
      </c>
      <c r="F34" s="32">
        <f>F7/'PRIHODKI IN STROŠKI'!F$6</f>
        <v>0.14144284412637079</v>
      </c>
      <c r="G34" s="38">
        <v>0.14000000000000001</v>
      </c>
      <c r="H34" s="39">
        <v>0.13</v>
      </c>
      <c r="I34" s="39">
        <v>0.12</v>
      </c>
      <c r="J34" s="39">
        <v>0.12</v>
      </c>
      <c r="K34" s="345">
        <v>0.12</v>
      </c>
    </row>
    <row r="35" spans="1:11" x14ac:dyDescent="0.3">
      <c r="A35" s="57" t="s">
        <v>5</v>
      </c>
      <c r="B35" s="16">
        <f>B8/'PRIHODKI IN STROŠKI'!B$6</f>
        <v>1.657555292418653E-2</v>
      </c>
      <c r="C35" s="16">
        <f>C8/'PRIHODKI IN STROŠKI'!C$6</f>
        <v>7.8106777526080716E-3</v>
      </c>
      <c r="D35" s="16">
        <f>D8/'PRIHODKI IN STROŠKI'!D$6</f>
        <v>0</v>
      </c>
      <c r="E35" s="16">
        <f>E8/'PRIHODKI IN STROŠKI'!E$6</f>
        <v>0</v>
      </c>
      <c r="F35" s="32">
        <f>F8/'PRIHODKI IN STROŠKI'!F$6</f>
        <v>2.7301313733756605E-3</v>
      </c>
      <c r="G35" s="38">
        <v>0</v>
      </c>
      <c r="H35" s="39">
        <v>0</v>
      </c>
      <c r="I35" s="39">
        <v>0</v>
      </c>
      <c r="J35" s="39">
        <v>0</v>
      </c>
      <c r="K35" s="345">
        <v>0</v>
      </c>
    </row>
    <row r="36" spans="1:11" x14ac:dyDescent="0.3">
      <c r="A36" s="57" t="s">
        <v>6</v>
      </c>
      <c r="B36" s="16">
        <f>B9/'PRIHODKI IN STROŠKI'!B$6</f>
        <v>0.18206850929261181</v>
      </c>
      <c r="C36" s="16">
        <f>C9/'PRIHODKI IN STROŠKI'!C$6</f>
        <v>0.19085424414056232</v>
      </c>
      <c r="D36" s="16">
        <f>D9/'PRIHODKI IN STROŠKI'!D$6</f>
        <v>0.19661590711060378</v>
      </c>
      <c r="E36" s="16">
        <f>E9/'PRIHODKI IN STROŠKI'!E$6</f>
        <v>0.16644824257087545</v>
      </c>
      <c r="F36" s="32">
        <f>F9/'PRIHODKI IN STROŠKI'!F$6</f>
        <v>0.17068791584337281</v>
      </c>
      <c r="G36" s="38">
        <v>0.17</v>
      </c>
      <c r="H36" s="39">
        <v>0.15</v>
      </c>
      <c r="I36" s="39">
        <v>0.15</v>
      </c>
      <c r="J36" s="39">
        <v>0.15</v>
      </c>
      <c r="K36" s="345">
        <v>0.13</v>
      </c>
    </row>
    <row r="37" spans="1:11" x14ac:dyDescent="0.3">
      <c r="A37" s="57" t="s">
        <v>7</v>
      </c>
      <c r="B37" s="16">
        <f>B10/'PRIHODKI IN STROŠKI'!B$6</f>
        <v>2.3285762647520983E-2</v>
      </c>
      <c r="C37" s="16">
        <f>C10/'PRIHODKI IN STROŠKI'!C$6</f>
        <v>1.9464771328297503E-2</v>
      </c>
      <c r="D37" s="16">
        <f>D10/'PRIHODKI IN STROŠKI'!D$6</f>
        <v>3.1246373646364543E-2</v>
      </c>
      <c r="E37" s="16">
        <f>E10/'PRIHODKI IN STROŠKI'!E$6</f>
        <v>2.6581974644249946E-2</v>
      </c>
      <c r="F37" s="32">
        <f>F10/'PRIHODKI IN STROŠKI'!F$6</f>
        <v>2.2497790914199234E-2</v>
      </c>
      <c r="G37" s="38">
        <v>0.02</v>
      </c>
      <c r="H37" s="39">
        <v>0.02</v>
      </c>
      <c r="I37" s="39">
        <v>0.03</v>
      </c>
      <c r="J37" s="39">
        <v>0.03</v>
      </c>
      <c r="K37" s="345">
        <v>0.03</v>
      </c>
    </row>
    <row r="38" spans="1:11" ht="15" thickBot="1" x14ac:dyDescent="0.35">
      <c r="A38" s="348" t="s">
        <v>8</v>
      </c>
      <c r="B38" s="349">
        <f>B11/'PRIHODKI IN STROŠKI'!B$6</f>
        <v>0.37631528451303503</v>
      </c>
      <c r="C38" s="349">
        <f>C11/'PRIHODKI IN STROŠKI'!C$6</f>
        <v>0.37251380008770246</v>
      </c>
      <c r="D38" s="349">
        <f>D11/'PRIHODKI IN STROŠKI'!D$6</f>
        <v>0.37007282892826415</v>
      </c>
      <c r="E38" s="349">
        <f>E11/'PRIHODKI IN STROŠKI'!E$6</f>
        <v>0.3624568725930537</v>
      </c>
      <c r="F38" s="350">
        <f>F11/'PRIHODKI IN STROŠKI'!F$6</f>
        <v>0.35675683899274097</v>
      </c>
      <c r="G38" s="363">
        <f>SUM(G34:G37)</f>
        <v>0.33000000000000007</v>
      </c>
      <c r="H38" s="364">
        <f>SUM(H34:H37)</f>
        <v>0.30000000000000004</v>
      </c>
      <c r="I38" s="364">
        <f>SUM(I34:I37)</f>
        <v>0.30000000000000004</v>
      </c>
      <c r="J38" s="364">
        <f>SUM(J34:J37)</f>
        <v>0.30000000000000004</v>
      </c>
      <c r="K38" s="365">
        <f>SUM(K34:K37)</f>
        <v>0.28000000000000003</v>
      </c>
    </row>
    <row r="39" spans="1:11" x14ac:dyDescent="0.3">
      <c r="F39" s="29"/>
    </row>
    <row r="40" spans="1:11" x14ac:dyDescent="0.3">
      <c r="F40" s="29"/>
    </row>
    <row r="41" spans="1:11" x14ac:dyDescent="0.3">
      <c r="A41" s="6"/>
      <c r="B41" s="6"/>
      <c r="C41" s="6"/>
      <c r="D41" s="6"/>
      <c r="E41" s="6"/>
      <c r="F41" s="28"/>
      <c r="G41" s="6"/>
      <c r="H41" s="6"/>
      <c r="I41" s="6"/>
      <c r="J41" s="6"/>
      <c r="K41" s="6"/>
    </row>
    <row r="42" spans="1:11" x14ac:dyDescent="0.3">
      <c r="F42" s="29"/>
    </row>
    <row r="43" spans="1:11" x14ac:dyDescent="0.3">
      <c r="F43" s="29"/>
    </row>
    <row r="44" spans="1:11" x14ac:dyDescent="0.3">
      <c r="F44" s="29"/>
    </row>
    <row r="45" spans="1:11" x14ac:dyDescent="0.3">
      <c r="F45" s="29"/>
    </row>
    <row r="46" spans="1:11" x14ac:dyDescent="0.3">
      <c r="F46" s="29"/>
    </row>
    <row r="47" spans="1:11" x14ac:dyDescent="0.3">
      <c r="F47" s="29"/>
    </row>
    <row r="48" spans="1:11" x14ac:dyDescent="0.3">
      <c r="F48" s="29"/>
    </row>
    <row r="49" spans="6:6" x14ac:dyDescent="0.3">
      <c r="F49" s="29"/>
    </row>
    <row r="50" spans="6:6" x14ac:dyDescent="0.3">
      <c r="F50" s="29"/>
    </row>
    <row r="51" spans="6:6" x14ac:dyDescent="0.3">
      <c r="F51" s="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6"/>
  <sheetViews>
    <sheetView workbookViewId="0">
      <selection activeCell="B22" sqref="B22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3" customFormat="1" ht="15" thickBot="1" x14ac:dyDescent="0.35">
      <c r="A1" s="61" t="s">
        <v>32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2" s="3" customFormat="1" x14ac:dyDescent="0.3">
      <c r="A2" s="50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4">
        <v>3515142</v>
      </c>
      <c r="G2" s="35">
        <f>G14*'PRIHODKI IN STROŠKI'!G$6</f>
        <v>3304040.7996</v>
      </c>
      <c r="H2" s="36">
        <f>H14*'PRIHODKI IN STROŠKI'!H$6</f>
        <v>3694343.628672</v>
      </c>
      <c r="I2" s="36">
        <f>I14*'PRIHODKI IN STROŠKI'!I$6</f>
        <v>4130988.2318822411</v>
      </c>
      <c r="J2" s="36">
        <f>J14*'PRIHODKI IN STROŠKI'!J$6</f>
        <v>4619496.0568992784</v>
      </c>
      <c r="K2" s="71">
        <f>K14*'PRIHODKI IN STROŠKI'!K$6</f>
        <v>5166047.9598936532</v>
      </c>
      <c r="L2" s="353" t="s">
        <v>233</v>
      </c>
    </row>
    <row r="3" spans="1:12" s="3" customFormat="1" ht="15" thickBot="1" x14ac:dyDescent="0.35">
      <c r="A3" s="50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4">
        <v>5979791</v>
      </c>
      <c r="G3" s="35">
        <f>G15*'PRIHODKI IN STROŠKI'!G$6</f>
        <v>6608081.5992000001</v>
      </c>
      <c r="H3" s="36">
        <f>H15*'PRIHODKI IN STROŠKI'!H$6</f>
        <v>5541515.443008</v>
      </c>
      <c r="I3" s="36">
        <f>I15*'PRIHODKI IN STROŠKI'!I$6</f>
        <v>6196482.3478233609</v>
      </c>
      <c r="J3" s="36">
        <f>J15*'PRIHODKI IN STROŠKI'!J$6</f>
        <v>6929244.0853489172</v>
      </c>
      <c r="K3" s="71">
        <f>K15*'PRIHODKI IN STROŠKI'!K$6</f>
        <v>7749071.9398404798</v>
      </c>
      <c r="L3" s="213">
        <f>SUM(B4:F4)/5</f>
        <v>232749</v>
      </c>
    </row>
    <row r="4" spans="1:12" s="3" customFormat="1" x14ac:dyDescent="0.3">
      <c r="A4" s="50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4">
        <v>57314</v>
      </c>
      <c r="G4" s="286">
        <f>$L$3</f>
        <v>232749</v>
      </c>
      <c r="H4" s="409">
        <f t="shared" ref="H4:K4" si="0">$L$3</f>
        <v>232749</v>
      </c>
      <c r="I4" s="409">
        <f t="shared" si="0"/>
        <v>232749</v>
      </c>
      <c r="J4" s="409">
        <f t="shared" si="0"/>
        <v>232749</v>
      </c>
      <c r="K4" s="354">
        <f t="shared" si="0"/>
        <v>232749</v>
      </c>
    </row>
    <row r="5" spans="1:12" s="43" customFormat="1" x14ac:dyDescent="0.3">
      <c r="A5" s="355" t="s">
        <v>27</v>
      </c>
      <c r="B5" s="41">
        <f>B2+B3+B4</f>
        <v>10140712</v>
      </c>
      <c r="C5" s="41">
        <f>C2+C3+C4</f>
        <v>7576527</v>
      </c>
      <c r="D5" s="41">
        <f>D2+D3+D4</f>
        <v>6294304</v>
      </c>
      <c r="E5" s="41">
        <f t="shared" ref="E5:K5" si="1">E2+E3+E4</f>
        <v>11777682</v>
      </c>
      <c r="F5" s="45">
        <f t="shared" si="1"/>
        <v>9552247</v>
      </c>
      <c r="G5" s="411">
        <f t="shared" si="1"/>
        <v>10144871.398800001</v>
      </c>
      <c r="H5" s="41">
        <f t="shared" si="1"/>
        <v>9468608.0716800001</v>
      </c>
      <c r="I5" s="41">
        <f t="shared" si="1"/>
        <v>10560219.579705602</v>
      </c>
      <c r="J5" s="41">
        <f t="shared" si="1"/>
        <v>11781489.142248195</v>
      </c>
      <c r="K5" s="412">
        <f t="shared" si="1"/>
        <v>13147868.899734132</v>
      </c>
    </row>
    <row r="6" spans="1:12" s="3" customFormat="1" x14ac:dyDescent="0.3">
      <c r="A6" s="356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4">
        <v>14004086</v>
      </c>
      <c r="G6" s="35">
        <f>G18*'PRIHODKI IN STROŠKI'!G$6</f>
        <v>13216163.1984</v>
      </c>
      <c r="H6" s="410">
        <f>H18*'PRIHODKI IN STROŠKI'!H$6</f>
        <v>14777374.514688</v>
      </c>
      <c r="I6" s="410">
        <f>I18*'PRIHODKI IN STROŠKI'!I$6</f>
        <v>16523952.927528964</v>
      </c>
      <c r="J6" s="410">
        <f>J18*'PRIHODKI IN STROŠKI'!J$6</f>
        <v>16168236.199147476</v>
      </c>
      <c r="K6" s="71">
        <f>K18*'PRIHODKI IN STROŠKI'!K$6</f>
        <v>18081167.859627787</v>
      </c>
    </row>
    <row r="7" spans="1:12" s="3" customFormat="1" x14ac:dyDescent="0.3">
      <c r="A7" s="356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4">
        <v>26181762</v>
      </c>
      <c r="G7" s="35">
        <f>G19*'PRIHODKI IN STROŠKI'!G$6</f>
        <v>29736367.196399998</v>
      </c>
      <c r="H7" s="36">
        <f>H19*'PRIHODKI IN STROŠKI'!H$6</f>
        <v>33249092.658048</v>
      </c>
      <c r="I7" s="36">
        <f>I19*'PRIHODKI IN STROŠKI'!I$6</f>
        <v>35113399.970999047</v>
      </c>
      <c r="J7" s="36">
        <f>J19*'PRIHODKI IN STROŠKI'!J$6</f>
        <v>39265716.483643867</v>
      </c>
      <c r="K7" s="71">
        <f>K19*'PRIHODKI IN STROŠKI'!K$6</f>
        <v>41328383.679149225</v>
      </c>
    </row>
    <row r="8" spans="1:12" s="43" customFormat="1" ht="15" thickBot="1" x14ac:dyDescent="0.35">
      <c r="A8" s="357" t="s">
        <v>30</v>
      </c>
      <c r="B8" s="358">
        <f>20629665+857946</f>
        <v>21487611</v>
      </c>
      <c r="C8" s="358">
        <f>21812316+549628</f>
        <v>22361944</v>
      </c>
      <c r="D8" s="358">
        <v>26720323</v>
      </c>
      <c r="E8" s="358">
        <v>33763356</v>
      </c>
      <c r="F8" s="359">
        <v>41434412</v>
      </c>
      <c r="G8" s="360">
        <f>G6+G7</f>
        <v>42952530.3948</v>
      </c>
      <c r="H8" s="361">
        <f>H6+H7</f>
        <v>48026467.172736004</v>
      </c>
      <c r="I8" s="361">
        <f>I6+I7</f>
        <v>51637352.89852801</v>
      </c>
      <c r="J8" s="361">
        <f>J6+J7</f>
        <v>55433952.682791345</v>
      </c>
      <c r="K8" s="362">
        <f>K6+K7</f>
        <v>59409551.538777009</v>
      </c>
    </row>
    <row r="9" spans="1:12" x14ac:dyDescent="0.3">
      <c r="F9" s="30"/>
    </row>
    <row r="10" spans="1:12" x14ac:dyDescent="0.3">
      <c r="F10" s="29"/>
    </row>
    <row r="11" spans="1:12" x14ac:dyDescent="0.3">
      <c r="F11" s="29"/>
    </row>
    <row r="12" spans="1:12" ht="15" thickBot="1" x14ac:dyDescent="0.35">
      <c r="F12" s="29"/>
      <c r="H12" s="137"/>
    </row>
    <row r="13" spans="1:12" s="33" customFormat="1" x14ac:dyDescent="0.3">
      <c r="A13" s="193" t="s">
        <v>31</v>
      </c>
      <c r="B13" s="62">
        <v>2013</v>
      </c>
      <c r="C13" s="62">
        <v>2014</v>
      </c>
      <c r="D13" s="62">
        <v>2015</v>
      </c>
      <c r="E13" s="62">
        <v>2016</v>
      </c>
      <c r="F13" s="281">
        <v>2017</v>
      </c>
      <c r="G13" s="193">
        <v>2018</v>
      </c>
      <c r="H13" s="62">
        <v>2019</v>
      </c>
      <c r="I13" s="62">
        <v>2020</v>
      </c>
      <c r="J13" s="62">
        <v>2021</v>
      </c>
      <c r="K13" s="64">
        <v>2022</v>
      </c>
    </row>
    <row r="14" spans="1:12" x14ac:dyDescent="0.3">
      <c r="A14" s="57" t="s">
        <v>25</v>
      </c>
      <c r="B14" s="16">
        <f>B2/'PRIHODKI IN STROŠKI'!B$6</f>
        <v>2.9992645749469957E-2</v>
      </c>
      <c r="C14" s="16">
        <f>C2/'PRIHODKI IN STROŠKI'!C$6</f>
        <v>2.8791064234732652E-2</v>
      </c>
      <c r="D14" s="16">
        <f>D2/'PRIHODKI IN STROŠKI'!D$6</f>
        <v>2.7044935598996751E-2</v>
      </c>
      <c r="E14" s="16">
        <f>E2/'PRIHODKI IN STROŠKI'!E$6</f>
        <v>2.6024049193850107E-2</v>
      </c>
      <c r="F14" s="413">
        <f>F2/'PRIHODKI IN STROŠKI'!F$6</f>
        <v>2.3991998640176166E-2</v>
      </c>
      <c r="G14" s="415">
        <v>0.02</v>
      </c>
      <c r="H14" s="39">
        <v>0.02</v>
      </c>
      <c r="I14" s="39">
        <v>0.02</v>
      </c>
      <c r="J14" s="39">
        <v>0.02</v>
      </c>
      <c r="K14" s="345">
        <v>0.02</v>
      </c>
    </row>
    <row r="15" spans="1:12" x14ac:dyDescent="0.3">
      <c r="A15" s="57" t="s">
        <v>26</v>
      </c>
      <c r="B15" s="16">
        <f>B3/'PRIHODKI IN STROŠKI'!B$6</f>
        <v>8.2999514359320917E-2</v>
      </c>
      <c r="C15" s="16">
        <f>C3/'PRIHODKI IN STROŠKI'!C$6</f>
        <v>4.7793787109896874E-2</v>
      </c>
      <c r="D15" s="16">
        <f>D3/'PRIHODKI IN STROŠKI'!D$6</f>
        <v>2.5689551450863945E-2</v>
      </c>
      <c r="E15" s="16">
        <f>E3/'PRIHODKI IN STROŠKI'!E$6</f>
        <v>6.4945294697714817E-2</v>
      </c>
      <c r="F15" s="413">
        <f>F3/'PRIHODKI IN STROŠKI'!F$6</f>
        <v>4.0814037538323536E-2</v>
      </c>
      <c r="G15" s="415">
        <v>0.04</v>
      </c>
      <c r="H15" s="39">
        <v>0.03</v>
      </c>
      <c r="I15" s="39">
        <v>0.03</v>
      </c>
      <c r="J15" s="39">
        <v>0.03</v>
      </c>
      <c r="K15" s="345">
        <v>0.03</v>
      </c>
    </row>
    <row r="16" spans="1:12" x14ac:dyDescent="0.3">
      <c r="A16" s="50" t="s">
        <v>226</v>
      </c>
      <c r="B16" s="16">
        <f>B4/'PRIHODKI IN STROŠKI'!B6</f>
        <v>3.7355540890795539E-3</v>
      </c>
      <c r="C16" s="16">
        <f>C4/'PRIHODKI IN STROŠKI'!C6</f>
        <v>2.3188964966163049E-3</v>
      </c>
      <c r="D16" s="16">
        <f>D4/'PRIHODKI IN STROŠKI'!D6</f>
        <v>3.4942974134632653E-3</v>
      </c>
      <c r="E16" s="16">
        <f>E4/'PRIHODKI IN STROŠKI'!E6</f>
        <v>1.3170560426527945E-3</v>
      </c>
      <c r="F16" s="413">
        <f>F4/'PRIHODKI IN STROŠKI'!F6</f>
        <v>3.9118687383413154E-4</v>
      </c>
      <c r="G16" s="416">
        <f>G4/'PRIHODKI IN STROŠKI'!G6</f>
        <v>1.4088748542583221E-3</v>
      </c>
      <c r="H16" s="16">
        <f>H4/'PRIHODKI IN STROŠKI'!H6</f>
        <v>1.2600289707412296E-3</v>
      </c>
      <c r="I16" s="16">
        <f>I4/'PRIHODKI IN STROŠKI'!I6</f>
        <v>1.1268441686843073E-3</v>
      </c>
      <c r="J16" s="16">
        <f>J4/'PRIHODKI IN STROŠKI'!J6</f>
        <v>1.007681345034969E-3</v>
      </c>
      <c r="K16" s="306">
        <f>K4/'PRIHODKI IN STROŠKI'!K6</f>
        <v>9.0107177404056193E-4</v>
      </c>
    </row>
    <row r="17" spans="1:11" x14ac:dyDescent="0.3">
      <c r="A17" s="92" t="s">
        <v>27</v>
      </c>
      <c r="B17" s="16">
        <f>B5/'PRIHODKI IN STROŠKI'!B$6</f>
        <v>0.11672771419787044</v>
      </c>
      <c r="C17" s="16">
        <f>C5/'PRIHODKI IN STROŠKI'!C$6</f>
        <v>7.8903747841245833E-2</v>
      </c>
      <c r="D17" s="16">
        <f>D5/'PRIHODKI IN STROŠKI'!D$6</f>
        <v>5.6228784463323959E-2</v>
      </c>
      <c r="E17" s="16">
        <f>E5/'PRIHODKI IN STROŠKI'!E$6</f>
        <v>9.2286399934217722E-2</v>
      </c>
      <c r="F17" s="413">
        <f>F5/'PRIHODKI IN STROŠKI'!F$6</f>
        <v>6.519722305233383E-2</v>
      </c>
      <c r="G17" s="417">
        <f>G14+G15</f>
        <v>0.06</v>
      </c>
      <c r="H17" s="19">
        <f>H14+H15</f>
        <v>0.05</v>
      </c>
      <c r="I17" s="19">
        <f>I14+I15</f>
        <v>0.05</v>
      </c>
      <c r="J17" s="19">
        <f>J14+J15</f>
        <v>0.05</v>
      </c>
      <c r="K17" s="343">
        <f>K14+K15</f>
        <v>0.05</v>
      </c>
    </row>
    <row r="18" spans="1:11" x14ac:dyDescent="0.3">
      <c r="A18" s="57" t="s">
        <v>28</v>
      </c>
      <c r="B18" s="16">
        <f>B6/'PRIHODKI IN STROŠKI'!B$6</f>
        <v>7.1527067705263181E-2</v>
      </c>
      <c r="C18" s="16">
        <f>C6/'PRIHODKI IN STROŠKI'!C$6</f>
        <v>7.631848640479158E-2</v>
      </c>
      <c r="D18" s="16">
        <f>D6/'PRIHODKI IN STROŠKI'!D$6</f>
        <v>5.5823937115135287E-2</v>
      </c>
      <c r="E18" s="16">
        <f>E6/'PRIHODKI IN STROŠKI'!E$6</f>
        <v>7.2018033898231776E-2</v>
      </c>
      <c r="F18" s="413">
        <f>F6/'PRIHODKI IN STROŠKI'!F$6</f>
        <v>9.5582486360127158E-2</v>
      </c>
      <c r="G18" s="415">
        <v>0.08</v>
      </c>
      <c r="H18" s="39">
        <v>0.08</v>
      </c>
      <c r="I18" s="39">
        <v>0.08</v>
      </c>
      <c r="J18" s="39">
        <v>7.0000000000000007E-2</v>
      </c>
      <c r="K18" s="345">
        <v>7.0000000000000007E-2</v>
      </c>
    </row>
    <row r="19" spans="1:11" x14ac:dyDescent="0.3">
      <c r="A19" s="57" t="s">
        <v>29</v>
      </c>
      <c r="B19" s="16">
        <f>B7/'PRIHODKI IN STROŠKI'!B$6</f>
        <v>0.16593689341677742</v>
      </c>
      <c r="C19" s="16">
        <f>C7/'PRIHODKI IN STROŠKI'!C$6</f>
        <v>0.15084014201395118</v>
      </c>
      <c r="D19" s="16">
        <f>D7/'PRIHODKI IN STROŠKI'!D$6</f>
        <v>0.17683431831984142</v>
      </c>
      <c r="E19" s="16">
        <f>E7/'PRIHODKI IN STROŠKI'!E$6</f>
        <v>0.18229397415831108</v>
      </c>
      <c r="F19" s="413">
        <f>F7/'PRIHODKI IN STROŠKI'!F$6</f>
        <v>0.17869912461613671</v>
      </c>
      <c r="G19" s="415">
        <v>0.18</v>
      </c>
      <c r="H19" s="39">
        <v>0.18</v>
      </c>
      <c r="I19" s="39">
        <v>0.17</v>
      </c>
      <c r="J19" s="39">
        <v>0.17</v>
      </c>
      <c r="K19" s="345">
        <v>0.16</v>
      </c>
    </row>
    <row r="20" spans="1:11" ht="15" thickBot="1" x14ac:dyDescent="0.35">
      <c r="A20" s="348" t="s">
        <v>30</v>
      </c>
      <c r="B20" s="349">
        <f>B8/'PRIHODKI IN STROŠKI'!B$6</f>
        <v>0.2473396064894671</v>
      </c>
      <c r="C20" s="349">
        <f>C8/'PRIHODKI IN STROŠKI'!C$6</f>
        <v>0.23288258467449005</v>
      </c>
      <c r="D20" s="349">
        <f>D8/'PRIHODKI IN STROŠKI'!D$6</f>
        <v>0.23870014583938079</v>
      </c>
      <c r="E20" s="349">
        <f>E8/'PRIHODKI IN STROŠKI'!E$6</f>
        <v>0.26455957759237936</v>
      </c>
      <c r="F20" s="414">
        <f>F8/'PRIHODKI IN STROŠKI'!F$6</f>
        <v>0.28280347034643238</v>
      </c>
      <c r="G20" s="418">
        <f>G18+G19</f>
        <v>0.26</v>
      </c>
      <c r="H20" s="364">
        <f>H18+H19</f>
        <v>0.26</v>
      </c>
      <c r="I20" s="364">
        <f>I18+I19</f>
        <v>0.25</v>
      </c>
      <c r="J20" s="364">
        <f>J18+J19</f>
        <v>0.24000000000000002</v>
      </c>
      <c r="K20" s="365">
        <f>K18+K19</f>
        <v>0.23</v>
      </c>
    </row>
    <row r="21" spans="1:11" x14ac:dyDescent="0.3">
      <c r="F21" s="29"/>
    </row>
    <row r="22" spans="1:11" x14ac:dyDescent="0.3">
      <c r="F22" s="44"/>
    </row>
    <row r="23" spans="1:11" s="6" customFormat="1" ht="15" thickBot="1" x14ac:dyDescent="0.35">
      <c r="F23" s="28"/>
    </row>
    <row r="24" spans="1:11" s="3" customFormat="1" x14ac:dyDescent="0.3">
      <c r="A24" s="193" t="s">
        <v>237</v>
      </c>
      <c r="B24" s="62">
        <v>2013</v>
      </c>
      <c r="C24" s="62">
        <v>2014</v>
      </c>
      <c r="D24" s="62">
        <v>2015</v>
      </c>
      <c r="E24" s="62">
        <v>2016</v>
      </c>
      <c r="F24" s="64">
        <v>2017</v>
      </c>
    </row>
    <row r="25" spans="1:11" ht="15" thickBot="1" x14ac:dyDescent="0.35">
      <c r="A25" s="90" t="s">
        <v>253</v>
      </c>
      <c r="B25" s="419">
        <v>23009989</v>
      </c>
      <c r="C25" s="419">
        <v>28584812</v>
      </c>
      <c r="D25" s="419">
        <v>36268092</v>
      </c>
      <c r="E25" s="419">
        <v>45510666</v>
      </c>
      <c r="F25" s="420">
        <v>55347711</v>
      </c>
    </row>
    <row r="26" spans="1:11" x14ac:dyDescent="0.3">
      <c r="F26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2020-03-24T18:26:14Z</dcterms:modified>
</cp:coreProperties>
</file>