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a_delovni_zvezek"/>
  <mc:AlternateContent xmlns:mc="http://schemas.openxmlformats.org/markup-compatibility/2006">
    <mc:Choice Requires="x15">
      <x15ac:absPath xmlns:x15ac="http://schemas.microsoft.com/office/spreadsheetml/2010/11/ac" url="C:\Users\Klemen\Desktop\Diplomska\"/>
    </mc:Choice>
  </mc:AlternateContent>
  <xr:revisionPtr revIDLastSave="0" documentId="13_ncr:1_{2BABBE4B-848A-4325-9200-4D85BA7BD86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CFF" sheetId="7" r:id="rId1"/>
    <sheet name="Stroški" sheetId="11" r:id="rId2"/>
    <sheet name="Amortizacija" sheetId="8" r:id="rId3"/>
    <sheet name="WACC" sheetId="12" r:id="rId4"/>
    <sheet name="PRILOGE" sheetId="13" r:id="rId5"/>
    <sheet name="Denarni tok" sheetId="3" r:id="rId6"/>
    <sheet name="Bilanca" sheetId="2" r:id="rId7"/>
    <sheet name="Davki" sheetId="14" r:id="rId8"/>
    <sheet name="Primerjava" sheetId="6" r:id="rId9"/>
    <sheet name="Delnica" sheetId="10" r:id="rId10"/>
    <sheet name="Panoga" sheetId="9" r:id="rId11"/>
    <sheet name="Kontrolna premija" sheetId="15" r:id="rId12"/>
    <sheet name="Izkaz poslovnega izida" sheetId="1" r:id="rId13"/>
    <sheet name="Kazalniki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1" l="1"/>
  <c r="F28" i="11"/>
  <c r="G28" i="11"/>
  <c r="H28" i="11"/>
  <c r="I28" i="11"/>
  <c r="J28" i="11"/>
  <c r="K28" i="11"/>
  <c r="L28" i="11"/>
  <c r="M28" i="11"/>
  <c r="D28" i="11"/>
  <c r="M15" i="7" l="1"/>
  <c r="L15" i="7"/>
  <c r="K15" i="7"/>
  <c r="J15" i="7"/>
  <c r="I15" i="7"/>
  <c r="E15" i="7"/>
  <c r="F15" i="7"/>
  <c r="G15" i="7"/>
  <c r="H15" i="7"/>
  <c r="D15" i="7"/>
  <c r="D7" i="11"/>
  <c r="E7" i="11"/>
  <c r="F7" i="11"/>
  <c r="G7" i="11"/>
  <c r="H7" i="11"/>
  <c r="H39" i="2" l="1"/>
  <c r="F2" i="12"/>
  <c r="F5" i="12"/>
  <c r="F3" i="12"/>
  <c r="I22" i="3" l="1"/>
  <c r="J21" i="3"/>
  <c r="K21" i="3"/>
  <c r="L21" i="3"/>
  <c r="M21" i="3"/>
  <c r="I21" i="3"/>
  <c r="G45" i="2"/>
  <c r="N29" i="2"/>
  <c r="O29" i="2"/>
  <c r="P29" i="2"/>
  <c r="Q29" i="2"/>
  <c r="M29" i="2"/>
  <c r="D93" i="7"/>
  <c r="I79" i="7" l="1"/>
  <c r="B49" i="6"/>
  <c r="B48" i="6"/>
  <c r="E24" i="12"/>
  <c r="E23" i="12"/>
  <c r="N27" i="2"/>
  <c r="O27" i="2"/>
  <c r="P27" i="2"/>
  <c r="N28" i="2"/>
  <c r="O28" i="2"/>
  <c r="P28" i="2"/>
  <c r="M28" i="2"/>
  <c r="M27" i="2"/>
  <c r="E22" i="12"/>
  <c r="F21" i="12"/>
  <c r="G21" i="12"/>
  <c r="H21" i="12"/>
  <c r="I21" i="12"/>
  <c r="J21" i="12"/>
  <c r="K21" i="12"/>
  <c r="F22" i="12"/>
  <c r="G22" i="12"/>
  <c r="H22" i="12"/>
  <c r="I22" i="12"/>
  <c r="J22" i="12"/>
  <c r="K22" i="12"/>
  <c r="E21" i="12"/>
  <c r="D46" i="2"/>
  <c r="E46" i="2"/>
  <c r="F46" i="2"/>
  <c r="G46" i="2"/>
  <c r="C46" i="2"/>
  <c r="C45" i="2"/>
  <c r="D18" i="11"/>
  <c r="C17" i="1" l="1"/>
  <c r="B32" i="13" l="1"/>
  <c r="C32" i="13"/>
  <c r="B33" i="13"/>
  <c r="B34" i="13"/>
  <c r="C34" i="13"/>
  <c r="B35" i="13"/>
  <c r="B36" i="13"/>
  <c r="B37" i="13"/>
  <c r="B38" i="13"/>
  <c r="C38" i="13"/>
  <c r="B39" i="13"/>
  <c r="C39" i="13"/>
  <c r="B42" i="13"/>
  <c r="C42" i="13"/>
  <c r="B43" i="13"/>
  <c r="B44" i="13"/>
  <c r="C31" i="13"/>
  <c r="B31" i="13"/>
  <c r="A8" i="7"/>
  <c r="H24" i="11"/>
  <c r="E20" i="11"/>
  <c r="E19" i="11"/>
  <c r="D45" i="2" l="1"/>
  <c r="E45" i="2"/>
  <c r="F45" i="2"/>
  <c r="E55" i="7" l="1"/>
  <c r="F55" i="7"/>
  <c r="G55" i="7"/>
  <c r="H55" i="7"/>
  <c r="I55" i="7"/>
  <c r="I3" i="8" l="1"/>
  <c r="H7" i="7" l="1"/>
  <c r="E10" i="7"/>
  <c r="F10" i="7"/>
  <c r="G10" i="7"/>
  <c r="H10" i="7"/>
  <c r="D10" i="7"/>
  <c r="A10" i="7" s="1"/>
  <c r="C27" i="13"/>
  <c r="F7" i="12"/>
  <c r="C33" i="13" s="1"/>
  <c r="C24" i="13"/>
  <c r="I8" i="8"/>
  <c r="F10" i="8"/>
  <c r="G10" i="8"/>
  <c r="H10" i="8"/>
  <c r="I10" i="8"/>
  <c r="I8" i="7" l="1"/>
  <c r="M7" i="7"/>
  <c r="J8" i="7" l="1"/>
  <c r="K8" i="7" s="1"/>
  <c r="I4" i="7"/>
  <c r="I10" i="7" s="1"/>
  <c r="J4" i="7" l="1"/>
  <c r="K4" i="7" s="1"/>
  <c r="L4" i="7" s="1"/>
  <c r="M4" i="7" s="1"/>
  <c r="D96" i="7"/>
  <c r="D78" i="7"/>
  <c r="E78" i="7"/>
  <c r="F78" i="7"/>
  <c r="G78" i="7"/>
  <c r="H78" i="7"/>
  <c r="F38" i="7"/>
  <c r="G38" i="7"/>
  <c r="H38" i="7"/>
  <c r="K10" i="7" l="1"/>
  <c r="J10" i="7"/>
  <c r="L8" i="7"/>
  <c r="B2" i="3"/>
  <c r="L10" i="7" l="1"/>
  <c r="M8" i="7"/>
  <c r="M10" i="7" s="1"/>
  <c r="B10" i="7" s="1"/>
  <c r="I11" i="7"/>
  <c r="I46" i="7" l="1"/>
  <c r="I18" i="7"/>
  <c r="G38" i="3" l="1"/>
  <c r="D38" i="3"/>
  <c r="D46" i="7" l="1"/>
  <c r="D53" i="7" s="1"/>
  <c r="C20" i="13" l="1"/>
  <c r="F14" i="12"/>
  <c r="C40" i="13" s="1"/>
  <c r="F15" i="12"/>
  <c r="C41" i="13" s="1"/>
  <c r="E15" i="12"/>
  <c r="B41" i="13" s="1"/>
  <c r="E14" i="12"/>
  <c r="B40" i="13" s="1"/>
  <c r="F11" i="11" l="1"/>
  <c r="G11" i="11"/>
  <c r="H11" i="11"/>
  <c r="E11" i="11"/>
  <c r="F10" i="11"/>
  <c r="G10" i="11"/>
  <c r="H10" i="11"/>
  <c r="E10" i="11"/>
  <c r="F2" i="11" l="1"/>
  <c r="G2" i="11"/>
  <c r="H2" i="11"/>
  <c r="I2" i="11"/>
  <c r="J2" i="11"/>
  <c r="K2" i="11"/>
  <c r="L2" i="11"/>
  <c r="M2" i="11"/>
  <c r="C103" i="6" l="1"/>
  <c r="D103" i="6"/>
  <c r="E103" i="6"/>
  <c r="F103" i="6"/>
  <c r="B103" i="6"/>
  <c r="L32" i="4"/>
  <c r="L102" i="4"/>
  <c r="L37" i="4"/>
  <c r="B43" i="6"/>
  <c r="C97" i="6" l="1"/>
  <c r="D97" i="6"/>
  <c r="E97" i="6"/>
  <c r="F97" i="6"/>
  <c r="B97" i="6"/>
  <c r="B54" i="6"/>
  <c r="J38" i="6"/>
  <c r="K38" i="6"/>
  <c r="L38" i="6"/>
  <c r="M38" i="6"/>
  <c r="I38" i="6"/>
  <c r="J37" i="6"/>
  <c r="K37" i="6"/>
  <c r="L37" i="6"/>
  <c r="M37" i="6"/>
  <c r="I37" i="6"/>
  <c r="J36" i="6"/>
  <c r="K36" i="6"/>
  <c r="L36" i="6"/>
  <c r="M36" i="6"/>
  <c r="I36" i="6"/>
  <c r="J35" i="6"/>
  <c r="K35" i="6"/>
  <c r="L35" i="6"/>
  <c r="M35" i="6"/>
  <c r="I35" i="6"/>
  <c r="J34" i="6"/>
  <c r="K34" i="6"/>
  <c r="L34" i="6"/>
  <c r="M34" i="6"/>
  <c r="I34" i="6"/>
  <c r="J33" i="6"/>
  <c r="K33" i="6"/>
  <c r="L33" i="6"/>
  <c r="M33" i="6"/>
  <c r="I33" i="6"/>
  <c r="J32" i="6"/>
  <c r="K32" i="6"/>
  <c r="L32" i="6"/>
  <c r="M32" i="6"/>
  <c r="I32" i="6"/>
  <c r="J31" i="6"/>
  <c r="K31" i="6"/>
  <c r="L31" i="6"/>
  <c r="M31" i="6"/>
  <c r="I31" i="6"/>
  <c r="I30" i="6"/>
  <c r="J30" i="6"/>
  <c r="K30" i="6"/>
  <c r="L30" i="6"/>
  <c r="M30" i="6"/>
  <c r="J25" i="6"/>
  <c r="K25" i="6"/>
  <c r="L25" i="6"/>
  <c r="M25" i="6"/>
  <c r="I25" i="6"/>
  <c r="J24" i="6"/>
  <c r="K24" i="6"/>
  <c r="L24" i="6"/>
  <c r="M24" i="6"/>
  <c r="I24" i="6"/>
  <c r="J21" i="6"/>
  <c r="K21" i="6"/>
  <c r="L21" i="6"/>
  <c r="M21" i="6"/>
  <c r="I21" i="6"/>
  <c r="M15" i="6"/>
  <c r="L15" i="6"/>
  <c r="K15" i="6"/>
  <c r="J15" i="6"/>
  <c r="I15" i="6"/>
  <c r="M16" i="6"/>
  <c r="L16" i="6"/>
  <c r="K16" i="6"/>
  <c r="J16" i="6"/>
  <c r="I16" i="6"/>
  <c r="I8" i="6"/>
  <c r="H8" i="6"/>
  <c r="H6" i="6"/>
  <c r="I6" i="6"/>
  <c r="I5" i="6"/>
  <c r="J5" i="6"/>
  <c r="K5" i="6"/>
  <c r="L5" i="6"/>
  <c r="M5" i="6"/>
  <c r="H5" i="6"/>
  <c r="F104" i="6" l="1"/>
  <c r="B104" i="6"/>
  <c r="D104" i="6"/>
  <c r="C104" i="6"/>
  <c r="E104" i="6"/>
  <c r="J3" i="6"/>
  <c r="K3" i="6"/>
  <c r="L3" i="6"/>
  <c r="M3" i="6"/>
  <c r="I3" i="6"/>
  <c r="C2" i="6"/>
  <c r="D2" i="6"/>
  <c r="E2" i="6"/>
  <c r="F2" i="6"/>
  <c r="B2" i="6"/>
  <c r="C1" i="6"/>
  <c r="D1" i="6"/>
  <c r="E1" i="6"/>
  <c r="F1" i="6"/>
  <c r="B1" i="6"/>
  <c r="H1" i="6"/>
  <c r="L7" i="7" l="1"/>
  <c r="I7" i="7"/>
  <c r="D26" i="12"/>
  <c r="D11" i="12"/>
  <c r="K7" i="7" l="1"/>
  <c r="J7" i="7"/>
  <c r="K25" i="14" l="1"/>
  <c r="I25" i="14"/>
  <c r="D38" i="7"/>
  <c r="N21" i="14"/>
  <c r="J25" i="14"/>
  <c r="L25" i="14"/>
  <c r="H25" i="14"/>
  <c r="N19" i="14"/>
  <c r="N20" i="14"/>
  <c r="N22" i="14"/>
  <c r="N23" i="14"/>
  <c r="N24" i="14"/>
  <c r="N18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A23" i="14" s="1"/>
  <c r="E23" i="14"/>
  <c r="F23" i="14"/>
  <c r="B24" i="14"/>
  <c r="C24" i="14"/>
  <c r="D24" i="14"/>
  <c r="E24" i="14"/>
  <c r="F24" i="14"/>
  <c r="B25" i="14"/>
  <c r="C25" i="14"/>
  <c r="D25" i="14"/>
  <c r="E25" i="14"/>
  <c r="F25" i="14"/>
  <c r="B17" i="14"/>
  <c r="A19" i="14" l="1"/>
  <c r="A24" i="14"/>
  <c r="A25" i="14"/>
  <c r="N25" i="14"/>
  <c r="K7" i="14"/>
  <c r="G19" i="14" s="1"/>
  <c r="K8" i="14"/>
  <c r="G20" i="14" s="1"/>
  <c r="A20" i="14" s="1"/>
  <c r="K9" i="14"/>
  <c r="G21" i="14" s="1"/>
  <c r="A21" i="14" s="1"/>
  <c r="K10" i="14"/>
  <c r="G22" i="14" s="1"/>
  <c r="A22" i="14" s="1"/>
  <c r="K12" i="14"/>
  <c r="G24" i="14" s="1"/>
  <c r="K13" i="14"/>
  <c r="G25" i="14" s="1"/>
  <c r="K6" i="14"/>
  <c r="G18" i="14" s="1"/>
  <c r="A18" i="14" s="1"/>
  <c r="A3" i="14"/>
  <c r="A2" i="14"/>
  <c r="A15" i="11" l="1"/>
  <c r="A16" i="11"/>
  <c r="A14" i="11"/>
  <c r="A6" i="7"/>
  <c r="B6" i="7"/>
  <c r="W22" i="13" l="1"/>
  <c r="D26" i="7"/>
  <c r="W15" i="13"/>
  <c r="D25" i="7"/>
  <c r="X4" i="13"/>
  <c r="Y4" i="13"/>
  <c r="Z4" i="13"/>
  <c r="AA4" i="13"/>
  <c r="AB4" i="13"/>
  <c r="X5" i="13"/>
  <c r="Y5" i="13"/>
  <c r="Z5" i="13"/>
  <c r="AA5" i="13"/>
  <c r="AB5" i="13"/>
  <c r="X7" i="13"/>
  <c r="Y7" i="13"/>
  <c r="Z7" i="13"/>
  <c r="AA7" i="13"/>
  <c r="AB7" i="13"/>
  <c r="X14" i="13"/>
  <c r="Y14" i="13"/>
  <c r="Z14" i="13"/>
  <c r="AA14" i="13"/>
  <c r="AB14" i="13"/>
  <c r="Y2" i="13"/>
  <c r="Z2" i="13"/>
  <c r="AA2" i="13"/>
  <c r="AB2" i="13"/>
  <c r="X2" i="13"/>
  <c r="W26" i="13"/>
  <c r="W3" i="13"/>
  <c r="W4" i="13"/>
  <c r="W5" i="13"/>
  <c r="W6" i="13"/>
  <c r="W7" i="13"/>
  <c r="W8" i="13"/>
  <c r="W9" i="13"/>
  <c r="W11" i="13"/>
  <c r="W12" i="13"/>
  <c r="W13" i="13"/>
  <c r="W18" i="13"/>
  <c r="W19" i="13"/>
  <c r="W20" i="13"/>
  <c r="W21" i="13"/>
  <c r="W23" i="13"/>
  <c r="W24" i="13"/>
  <c r="W2" i="13"/>
  <c r="G18" i="1"/>
  <c r="U18" i="13" s="1"/>
  <c r="F18" i="1"/>
  <c r="T18" i="13" s="1"/>
  <c r="E18" i="1"/>
  <c r="S18" i="13" s="1"/>
  <c r="D18" i="1"/>
  <c r="R18" i="13" s="1"/>
  <c r="C18" i="1"/>
  <c r="Q18" i="13" s="1"/>
  <c r="B18" i="1"/>
  <c r="G17" i="1"/>
  <c r="U17" i="13" s="1"/>
  <c r="F17" i="1"/>
  <c r="T17" i="13" s="1"/>
  <c r="E17" i="1"/>
  <c r="S17" i="13" s="1"/>
  <c r="D17" i="1"/>
  <c r="R17" i="13" s="1"/>
  <c r="Q17" i="13"/>
  <c r="B17" i="1"/>
  <c r="G16" i="1"/>
  <c r="U16" i="13" s="1"/>
  <c r="F16" i="1"/>
  <c r="T16" i="13" s="1"/>
  <c r="E16" i="1"/>
  <c r="S16" i="13" s="1"/>
  <c r="D16" i="1"/>
  <c r="R16" i="13" s="1"/>
  <c r="C16" i="1"/>
  <c r="Q16" i="13" s="1"/>
  <c r="B16" i="1"/>
  <c r="G15" i="1"/>
  <c r="U15" i="13" s="1"/>
  <c r="F15" i="1"/>
  <c r="T15" i="13" s="1"/>
  <c r="E15" i="1"/>
  <c r="S15" i="13" s="1"/>
  <c r="D15" i="1"/>
  <c r="R15" i="13" s="1"/>
  <c r="C15" i="1"/>
  <c r="Q15" i="13" s="1"/>
  <c r="B15" i="1"/>
  <c r="B14" i="1"/>
  <c r="G13" i="1"/>
  <c r="U13" i="13" s="1"/>
  <c r="F13" i="1"/>
  <c r="T13" i="13" s="1"/>
  <c r="E13" i="1"/>
  <c r="S13" i="13" s="1"/>
  <c r="D13" i="1"/>
  <c r="R13" i="13" s="1"/>
  <c r="C13" i="1"/>
  <c r="Q13" i="13" s="1"/>
  <c r="B13" i="1"/>
  <c r="G12" i="1"/>
  <c r="U12" i="13" s="1"/>
  <c r="F12" i="1"/>
  <c r="T12" i="13" s="1"/>
  <c r="E12" i="1"/>
  <c r="S12" i="13" s="1"/>
  <c r="D12" i="1"/>
  <c r="R12" i="13" s="1"/>
  <c r="C12" i="1"/>
  <c r="Q12" i="13" s="1"/>
  <c r="B12" i="1"/>
  <c r="B11" i="1"/>
  <c r="G10" i="1"/>
  <c r="U10" i="13" s="1"/>
  <c r="F10" i="1"/>
  <c r="T10" i="13" s="1"/>
  <c r="E10" i="1"/>
  <c r="S10" i="13" s="1"/>
  <c r="D10" i="1"/>
  <c r="R10" i="13" s="1"/>
  <c r="C10" i="1"/>
  <c r="Q10" i="13" s="1"/>
  <c r="B10" i="1"/>
  <c r="B9" i="1"/>
  <c r="B8" i="1"/>
  <c r="B7" i="1"/>
  <c r="C6" i="1"/>
  <c r="Q6" i="13" s="1"/>
  <c r="B6" i="1"/>
  <c r="G5" i="1"/>
  <c r="U5" i="13" s="1"/>
  <c r="F5" i="1"/>
  <c r="T5" i="13" s="1"/>
  <c r="E5" i="1"/>
  <c r="S5" i="13" s="1"/>
  <c r="D5" i="1"/>
  <c r="R5" i="13" s="1"/>
  <c r="C5" i="1"/>
  <c r="Q5" i="13" s="1"/>
  <c r="B5" i="1"/>
  <c r="G4" i="1"/>
  <c r="U4" i="13" s="1"/>
  <c r="F4" i="1"/>
  <c r="T4" i="13" s="1"/>
  <c r="E4" i="1"/>
  <c r="S4" i="13" s="1"/>
  <c r="D4" i="1"/>
  <c r="R4" i="13" s="1"/>
  <c r="C4" i="1"/>
  <c r="Q4" i="13" s="1"/>
  <c r="B4" i="1"/>
  <c r="G3" i="1"/>
  <c r="U3" i="13" s="1"/>
  <c r="F3" i="1"/>
  <c r="T3" i="13" s="1"/>
  <c r="E3" i="1"/>
  <c r="S3" i="13" s="1"/>
  <c r="D3" i="1"/>
  <c r="R3" i="13" s="1"/>
  <c r="C3" i="1"/>
  <c r="Q3" i="13" s="1"/>
  <c r="B3" i="1"/>
  <c r="G2" i="1"/>
  <c r="U2" i="13" s="1"/>
  <c r="F2" i="1"/>
  <c r="T2" i="13" s="1"/>
  <c r="E2" i="1"/>
  <c r="S2" i="13" s="1"/>
  <c r="D2" i="1"/>
  <c r="R2" i="13" s="1"/>
  <c r="C2" i="1"/>
  <c r="Q2" i="13" s="1"/>
  <c r="B2" i="1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I4" i="13"/>
  <c r="I3" i="13"/>
  <c r="J3" i="13"/>
  <c r="K3" i="13"/>
  <c r="L3" i="13"/>
  <c r="M3" i="13"/>
  <c r="N3" i="13"/>
  <c r="J4" i="13"/>
  <c r="K4" i="13"/>
  <c r="L4" i="13"/>
  <c r="M4" i="13"/>
  <c r="N4" i="13"/>
  <c r="I5" i="13"/>
  <c r="J5" i="13"/>
  <c r="K5" i="13"/>
  <c r="L5" i="13"/>
  <c r="M5" i="13"/>
  <c r="N5" i="13"/>
  <c r="I6" i="13"/>
  <c r="J6" i="13"/>
  <c r="K6" i="13"/>
  <c r="L6" i="13"/>
  <c r="M6" i="13"/>
  <c r="N6" i="13"/>
  <c r="I7" i="13"/>
  <c r="J7" i="13"/>
  <c r="K7" i="13"/>
  <c r="L7" i="13"/>
  <c r="M7" i="13"/>
  <c r="N7" i="13"/>
  <c r="I8" i="13"/>
  <c r="J8" i="13"/>
  <c r="K8" i="13"/>
  <c r="L8" i="13"/>
  <c r="M8" i="13"/>
  <c r="N8" i="13"/>
  <c r="I9" i="13"/>
  <c r="J9" i="13"/>
  <c r="K9" i="13"/>
  <c r="L9" i="13"/>
  <c r="M9" i="13"/>
  <c r="N9" i="13"/>
  <c r="I10" i="13"/>
  <c r="J10" i="13"/>
  <c r="K10" i="13"/>
  <c r="L10" i="13"/>
  <c r="M10" i="13"/>
  <c r="N10" i="13"/>
  <c r="I11" i="13"/>
  <c r="J11" i="13"/>
  <c r="K11" i="13"/>
  <c r="L11" i="13"/>
  <c r="M11" i="13"/>
  <c r="N11" i="13"/>
  <c r="I12" i="13"/>
  <c r="J12" i="13"/>
  <c r="K12" i="13"/>
  <c r="L12" i="13"/>
  <c r="M12" i="13"/>
  <c r="N12" i="13"/>
  <c r="I13" i="13"/>
  <c r="J13" i="13"/>
  <c r="K13" i="13"/>
  <c r="L13" i="13"/>
  <c r="M13" i="13"/>
  <c r="N13" i="13"/>
  <c r="I14" i="13"/>
  <c r="J14" i="13"/>
  <c r="K14" i="13"/>
  <c r="L14" i="13"/>
  <c r="M14" i="13"/>
  <c r="N14" i="13"/>
  <c r="I15" i="13"/>
  <c r="J15" i="13"/>
  <c r="K15" i="13"/>
  <c r="L15" i="13"/>
  <c r="M15" i="13"/>
  <c r="N15" i="13"/>
  <c r="I16" i="13"/>
  <c r="J16" i="13"/>
  <c r="K16" i="13"/>
  <c r="L16" i="13"/>
  <c r="M16" i="13"/>
  <c r="N16" i="13"/>
  <c r="I17" i="13"/>
  <c r="J17" i="13"/>
  <c r="K17" i="13"/>
  <c r="L17" i="13"/>
  <c r="M17" i="13"/>
  <c r="N17" i="13"/>
  <c r="I18" i="13"/>
  <c r="J18" i="13"/>
  <c r="K18" i="13"/>
  <c r="L18" i="13"/>
  <c r="M18" i="13"/>
  <c r="N18" i="13"/>
  <c r="I19" i="13"/>
  <c r="J19" i="13"/>
  <c r="K19" i="13"/>
  <c r="L19" i="13"/>
  <c r="M19" i="13"/>
  <c r="N19" i="13"/>
  <c r="I20" i="13"/>
  <c r="J20" i="13"/>
  <c r="K20" i="13"/>
  <c r="L20" i="13"/>
  <c r="M20" i="13"/>
  <c r="N20" i="13"/>
  <c r="I21" i="13"/>
  <c r="J21" i="13"/>
  <c r="K21" i="13"/>
  <c r="L21" i="13"/>
  <c r="M21" i="13"/>
  <c r="N21" i="13"/>
  <c r="I22" i="13"/>
  <c r="J22" i="13"/>
  <c r="K22" i="13"/>
  <c r="L22" i="13"/>
  <c r="M22" i="13"/>
  <c r="N22" i="13"/>
  <c r="I23" i="13"/>
  <c r="J23" i="13"/>
  <c r="K23" i="13"/>
  <c r="L23" i="13"/>
  <c r="M23" i="13"/>
  <c r="N23" i="13"/>
  <c r="I24" i="13"/>
  <c r="J24" i="13"/>
  <c r="K24" i="13"/>
  <c r="L24" i="13"/>
  <c r="M24" i="13"/>
  <c r="N24" i="13"/>
  <c r="I25" i="13"/>
  <c r="J25" i="13"/>
  <c r="K25" i="13"/>
  <c r="L25" i="13"/>
  <c r="M25" i="13"/>
  <c r="N25" i="13"/>
  <c r="I26" i="13"/>
  <c r="J26" i="13"/>
  <c r="K26" i="13"/>
  <c r="L26" i="13"/>
  <c r="M26" i="13"/>
  <c r="N26" i="13"/>
  <c r="I27" i="13"/>
  <c r="J27" i="13"/>
  <c r="K27" i="13"/>
  <c r="L27" i="13"/>
  <c r="M27" i="13"/>
  <c r="N27" i="13"/>
  <c r="I28" i="13"/>
  <c r="J28" i="13"/>
  <c r="K28" i="13"/>
  <c r="L28" i="13"/>
  <c r="M28" i="13"/>
  <c r="N28" i="13"/>
  <c r="I29" i="13"/>
  <c r="J29" i="13"/>
  <c r="K29" i="13"/>
  <c r="L29" i="13"/>
  <c r="M29" i="13"/>
  <c r="N29" i="13"/>
  <c r="I30" i="13"/>
  <c r="J30" i="13"/>
  <c r="K30" i="13"/>
  <c r="L30" i="13"/>
  <c r="M30" i="13"/>
  <c r="N30" i="13"/>
  <c r="I31" i="13"/>
  <c r="J31" i="13"/>
  <c r="K31" i="13"/>
  <c r="L31" i="13"/>
  <c r="M31" i="13"/>
  <c r="N31" i="13"/>
  <c r="I32" i="13"/>
  <c r="J32" i="13"/>
  <c r="K32" i="13"/>
  <c r="L32" i="13"/>
  <c r="M32" i="13"/>
  <c r="N32" i="13"/>
  <c r="I33" i="13"/>
  <c r="J33" i="13"/>
  <c r="K33" i="13"/>
  <c r="L33" i="13"/>
  <c r="M33" i="13"/>
  <c r="N33" i="13"/>
  <c r="I34" i="13"/>
  <c r="J34" i="13"/>
  <c r="K34" i="13"/>
  <c r="L34" i="13"/>
  <c r="M34" i="13"/>
  <c r="N34" i="13"/>
  <c r="I35" i="13"/>
  <c r="J35" i="13"/>
  <c r="K35" i="13"/>
  <c r="L35" i="13"/>
  <c r="M35" i="13"/>
  <c r="N35" i="13"/>
  <c r="I36" i="13"/>
  <c r="J36" i="13"/>
  <c r="K36" i="13"/>
  <c r="L36" i="13"/>
  <c r="M36" i="13"/>
  <c r="N36" i="13"/>
  <c r="I37" i="13"/>
  <c r="J37" i="13"/>
  <c r="K37" i="13"/>
  <c r="L37" i="13"/>
  <c r="M37" i="13"/>
  <c r="N37" i="13"/>
  <c r="I38" i="13"/>
  <c r="J38" i="13"/>
  <c r="K38" i="13"/>
  <c r="L38" i="13"/>
  <c r="M38" i="13"/>
  <c r="N38" i="13"/>
  <c r="I39" i="13"/>
  <c r="J39" i="13"/>
  <c r="K39" i="13"/>
  <c r="L39" i="13"/>
  <c r="M39" i="13"/>
  <c r="N39" i="13"/>
  <c r="I40" i="13"/>
  <c r="J40" i="13"/>
  <c r="K40" i="13"/>
  <c r="L40" i="13"/>
  <c r="M40" i="13"/>
  <c r="N40" i="13"/>
  <c r="I41" i="13"/>
  <c r="J41" i="13"/>
  <c r="K41" i="13"/>
  <c r="L41" i="13"/>
  <c r="M41" i="13"/>
  <c r="N41" i="13"/>
  <c r="J2" i="13"/>
  <c r="K2" i="13"/>
  <c r="L2" i="13"/>
  <c r="M2" i="13"/>
  <c r="N2" i="13"/>
  <c r="B10" i="13"/>
  <c r="B11" i="13"/>
  <c r="B12" i="13"/>
  <c r="B13" i="13"/>
  <c r="B14" i="13"/>
  <c r="C9" i="13"/>
  <c r="D9" i="13"/>
  <c r="E9" i="13"/>
  <c r="F9" i="13"/>
  <c r="G9" i="13"/>
  <c r="B3" i="13"/>
  <c r="B4" i="13"/>
  <c r="B5" i="13"/>
  <c r="B6" i="13"/>
  <c r="B7" i="13"/>
  <c r="C2" i="13"/>
  <c r="D2" i="13"/>
  <c r="E2" i="13"/>
  <c r="F2" i="13"/>
  <c r="G2" i="13"/>
  <c r="E3" i="8" l="1"/>
  <c r="B6" i="8"/>
  <c r="B7" i="8"/>
  <c r="A10" i="11"/>
  <c r="E22" i="11"/>
  <c r="L6" i="12" l="1"/>
  <c r="E38" i="7" l="1"/>
  <c r="E33" i="7" l="1"/>
  <c r="C49" i="2"/>
  <c r="C50" i="2"/>
  <c r="C51" i="2"/>
  <c r="C52" i="2"/>
  <c r="C48" i="2"/>
  <c r="C54" i="2"/>
  <c r="D14" i="1" l="1"/>
  <c r="R14" i="13" s="1"/>
  <c r="J19" i="6"/>
  <c r="E11" i="7"/>
  <c r="F11" i="7"/>
  <c r="G11" i="7"/>
  <c r="H11" i="7"/>
  <c r="D27" i="7"/>
  <c r="H23" i="7"/>
  <c r="F23" i="7"/>
  <c r="G23" i="7"/>
  <c r="E23" i="7"/>
  <c r="D23" i="7"/>
  <c r="E16" i="7"/>
  <c r="F16" i="7"/>
  <c r="G16" i="7"/>
  <c r="H16" i="7"/>
  <c r="E14" i="7"/>
  <c r="E22" i="7" s="1"/>
  <c r="F14" i="7"/>
  <c r="F22" i="7" s="1"/>
  <c r="G14" i="7"/>
  <c r="G22" i="7" s="1"/>
  <c r="H14" i="7"/>
  <c r="H22" i="7" s="1"/>
  <c r="D14" i="7"/>
  <c r="D16" i="7"/>
  <c r="F22" i="11"/>
  <c r="G22" i="11"/>
  <c r="H22" i="11"/>
  <c r="F23" i="11"/>
  <c r="G23" i="11"/>
  <c r="H23" i="11"/>
  <c r="F24" i="11"/>
  <c r="G24" i="11"/>
  <c r="F25" i="11"/>
  <c r="G25" i="11"/>
  <c r="H25" i="11"/>
  <c r="E25" i="11"/>
  <c r="E23" i="11"/>
  <c r="E24" i="11"/>
  <c r="B18" i="11"/>
  <c r="B19" i="11"/>
  <c r="B20" i="11"/>
  <c r="E17" i="11"/>
  <c r="A17" i="11" s="1"/>
  <c r="F17" i="11"/>
  <c r="G17" i="11"/>
  <c r="H17" i="11"/>
  <c r="D17" i="11"/>
  <c r="B5" i="11"/>
  <c r="B9" i="11"/>
  <c r="I9" i="6" l="1"/>
  <c r="D22" i="7"/>
  <c r="H16" i="2"/>
  <c r="H6" i="2"/>
  <c r="H7" i="2"/>
  <c r="F6" i="1"/>
  <c r="T6" i="13" s="1"/>
  <c r="L8" i="6"/>
  <c r="G6" i="1"/>
  <c r="U6" i="13" s="1"/>
  <c r="M8" i="6"/>
  <c r="E6" i="1"/>
  <c r="S6" i="13" s="1"/>
  <c r="K8" i="6"/>
  <c r="D6" i="1"/>
  <c r="R6" i="13" s="1"/>
  <c r="J8" i="6"/>
  <c r="F8" i="1"/>
  <c r="T8" i="13" s="1"/>
  <c r="L10" i="6"/>
  <c r="G7" i="1"/>
  <c r="U7" i="13" s="1"/>
  <c r="M9" i="6"/>
  <c r="D7" i="1"/>
  <c r="R7" i="13" s="1"/>
  <c r="J9" i="6"/>
  <c r="C8" i="1"/>
  <c r="Q8" i="13" s="1"/>
  <c r="I10" i="6"/>
  <c r="F7" i="1"/>
  <c r="T7" i="13" s="1"/>
  <c r="L9" i="6"/>
  <c r="E8" i="1"/>
  <c r="S8" i="13" s="1"/>
  <c r="K10" i="6"/>
  <c r="D8" i="1"/>
  <c r="R8" i="13" s="1"/>
  <c r="J10" i="6"/>
  <c r="G8" i="1"/>
  <c r="U8" i="13" s="1"/>
  <c r="M10" i="6"/>
  <c r="E7" i="1"/>
  <c r="S7" i="13" s="1"/>
  <c r="K9" i="6"/>
  <c r="C7" i="1"/>
  <c r="Q7" i="13" s="1"/>
  <c r="F26" i="7"/>
  <c r="X3" i="13"/>
  <c r="J11" i="7"/>
  <c r="A22" i="11"/>
  <c r="B25" i="7"/>
  <c r="B26" i="7"/>
  <c r="B27" i="7"/>
  <c r="B5" i="7"/>
  <c r="J47" i="7" l="1"/>
  <c r="J59" i="7"/>
  <c r="J61" i="7"/>
  <c r="J63" i="7"/>
  <c r="J58" i="7"/>
  <c r="J60" i="7"/>
  <c r="J62" i="7"/>
  <c r="J46" i="7"/>
  <c r="Y3" i="13"/>
  <c r="K11" i="7"/>
  <c r="G58" i="7"/>
  <c r="H58" i="7"/>
  <c r="H69" i="7" s="1"/>
  <c r="G59" i="7"/>
  <c r="H59" i="7"/>
  <c r="G60" i="7"/>
  <c r="H60" i="7"/>
  <c r="G61" i="7"/>
  <c r="H61" i="7"/>
  <c r="G62" i="7"/>
  <c r="H62" i="7"/>
  <c r="G63" i="7"/>
  <c r="H63" i="7"/>
  <c r="E58" i="7"/>
  <c r="F58" i="7"/>
  <c r="E59" i="7"/>
  <c r="F59" i="7"/>
  <c r="E60" i="7"/>
  <c r="F60" i="7"/>
  <c r="E61" i="7"/>
  <c r="F61" i="7"/>
  <c r="E62" i="7"/>
  <c r="F62" i="7"/>
  <c r="E63" i="7"/>
  <c r="F63" i="7"/>
  <c r="A8" i="11"/>
  <c r="C8" i="11"/>
  <c r="C6" i="11"/>
  <c r="D4" i="11"/>
  <c r="D12" i="11" s="1"/>
  <c r="C4" i="11"/>
  <c r="C3" i="11"/>
  <c r="D3" i="11"/>
  <c r="E3" i="11"/>
  <c r="F3" i="11"/>
  <c r="G3" i="11"/>
  <c r="H3" i="11"/>
  <c r="C2" i="11"/>
  <c r="A16" i="7"/>
  <c r="J64" i="7" l="1"/>
  <c r="K61" i="7"/>
  <c r="K47" i="7"/>
  <c r="K59" i="7"/>
  <c r="K63" i="7"/>
  <c r="K58" i="7"/>
  <c r="K60" i="7"/>
  <c r="K62" i="7"/>
  <c r="K46" i="7"/>
  <c r="J48" i="7"/>
  <c r="H19" i="11"/>
  <c r="H21" i="11"/>
  <c r="H20" i="11"/>
  <c r="H18" i="11"/>
  <c r="F18" i="11"/>
  <c r="F19" i="11"/>
  <c r="F21" i="11"/>
  <c r="F20" i="11"/>
  <c r="G19" i="11"/>
  <c r="G20" i="11"/>
  <c r="G21" i="11"/>
  <c r="G18" i="11"/>
  <c r="D20" i="11"/>
  <c r="D21" i="11"/>
  <c r="D19" i="11"/>
  <c r="E18" i="11"/>
  <c r="E21" i="11"/>
  <c r="L11" i="7"/>
  <c r="L31" i="7" s="1"/>
  <c r="Z3" i="13"/>
  <c r="A3" i="11"/>
  <c r="A6" i="11"/>
  <c r="A23" i="7"/>
  <c r="A7" i="11"/>
  <c r="E48" i="2"/>
  <c r="F48" i="2"/>
  <c r="G48" i="2"/>
  <c r="E49" i="2"/>
  <c r="F49" i="2"/>
  <c r="G49" i="2"/>
  <c r="E50" i="2"/>
  <c r="F50" i="2"/>
  <c r="G50" i="2"/>
  <c r="D50" i="2"/>
  <c r="D49" i="2"/>
  <c r="D48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E52" i="2"/>
  <c r="F52" i="2"/>
  <c r="G52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E51" i="2"/>
  <c r="F51" i="2"/>
  <c r="G51" i="2"/>
  <c r="D51" i="2"/>
  <c r="D52" i="2"/>
  <c r="J79" i="7" l="1"/>
  <c r="J55" i="7"/>
  <c r="K48" i="7"/>
  <c r="L59" i="7"/>
  <c r="L61" i="7"/>
  <c r="L63" i="7"/>
  <c r="L47" i="7"/>
  <c r="L46" i="7"/>
  <c r="L58" i="7"/>
  <c r="L60" i="7"/>
  <c r="L62" i="7"/>
  <c r="K64" i="7"/>
  <c r="K65" i="7" s="1"/>
  <c r="K66" i="7" s="1"/>
  <c r="K80" i="7" s="1"/>
  <c r="M11" i="7"/>
  <c r="AA3" i="13"/>
  <c r="A54" i="2"/>
  <c r="A48" i="2"/>
  <c r="A51" i="2"/>
  <c r="A52" i="2"/>
  <c r="A49" i="2"/>
  <c r="A50" i="2"/>
  <c r="A87" i="2"/>
  <c r="A85" i="2"/>
  <c r="A83" i="2"/>
  <c r="A81" i="2"/>
  <c r="A79" i="2"/>
  <c r="A77" i="2"/>
  <c r="A75" i="2"/>
  <c r="A73" i="2"/>
  <c r="A71" i="2"/>
  <c r="A69" i="2"/>
  <c r="A65" i="2"/>
  <c r="A63" i="2"/>
  <c r="A61" i="2"/>
  <c r="A59" i="2"/>
  <c r="A57" i="2"/>
  <c r="A55" i="2"/>
  <c r="A67" i="2"/>
  <c r="A88" i="2"/>
  <c r="A86" i="2"/>
  <c r="A84" i="2"/>
  <c r="A82" i="2"/>
  <c r="A80" i="2"/>
  <c r="A78" i="2"/>
  <c r="A76" i="2"/>
  <c r="A74" i="2"/>
  <c r="A72" i="2"/>
  <c r="A70" i="2"/>
  <c r="A68" i="2"/>
  <c r="A66" i="2"/>
  <c r="A64" i="2"/>
  <c r="A62" i="2"/>
  <c r="A60" i="2"/>
  <c r="A58" i="2"/>
  <c r="A56" i="2"/>
  <c r="K79" i="7" l="1"/>
  <c r="K55" i="7"/>
  <c r="M18" i="7"/>
  <c r="M47" i="7"/>
  <c r="L64" i="7"/>
  <c r="L65" i="7" s="1"/>
  <c r="L66" i="7" s="1"/>
  <c r="L80" i="7" s="1"/>
  <c r="L48" i="7"/>
  <c r="M58" i="7"/>
  <c r="M60" i="7"/>
  <c r="M62" i="7"/>
  <c r="M46" i="7"/>
  <c r="M59" i="7"/>
  <c r="M61" i="7"/>
  <c r="M63" i="7"/>
  <c r="AB3" i="13"/>
  <c r="B4" i="7"/>
  <c r="I3" i="11"/>
  <c r="I14" i="11" s="1"/>
  <c r="L79" i="7" l="1"/>
  <c r="L55" i="7"/>
  <c r="M48" i="7"/>
  <c r="M64" i="7"/>
  <c r="M65" i="7" s="1"/>
  <c r="M66" i="7" s="1"/>
  <c r="M80" i="7" s="1"/>
  <c r="I16" i="11"/>
  <c r="I15" i="11"/>
  <c r="H15" i="2"/>
  <c r="H17" i="2"/>
  <c r="H19" i="2"/>
  <c r="H21" i="2"/>
  <c r="H25" i="2"/>
  <c r="H27" i="2"/>
  <c r="H29" i="2"/>
  <c r="H31" i="2"/>
  <c r="H35" i="2"/>
  <c r="H37" i="2"/>
  <c r="H42" i="2"/>
  <c r="H44" i="2"/>
  <c r="H13" i="2"/>
  <c r="H10" i="2"/>
  <c r="H8" i="2"/>
  <c r="H45" i="2"/>
  <c r="H18" i="2"/>
  <c r="H20" i="2"/>
  <c r="H24" i="2"/>
  <c r="H26" i="2"/>
  <c r="H28" i="2"/>
  <c r="H30" i="2"/>
  <c r="H33" i="2"/>
  <c r="H36" i="2"/>
  <c r="H38" i="2"/>
  <c r="H41" i="2"/>
  <c r="H43" i="2"/>
  <c r="H12" i="2"/>
  <c r="H9" i="2"/>
  <c r="H11" i="2"/>
  <c r="E48" i="6"/>
  <c r="F55" i="6"/>
  <c r="B55" i="6"/>
  <c r="D54" i="6"/>
  <c r="E20" i="6"/>
  <c r="C20" i="6"/>
  <c r="B84" i="6"/>
  <c r="B78" i="6"/>
  <c r="D20" i="6"/>
  <c r="F20" i="6"/>
  <c r="B20" i="6"/>
  <c r="I11" i="6"/>
  <c r="I13" i="6" s="1"/>
  <c r="B91" i="6"/>
  <c r="M79" i="7" l="1"/>
  <c r="M55" i="7"/>
  <c r="H32" i="2"/>
  <c r="H23" i="2" s="1"/>
  <c r="H40" i="2"/>
  <c r="H34" i="2"/>
  <c r="H5" i="2"/>
  <c r="H14" i="2"/>
  <c r="J26" i="6"/>
  <c r="J27" i="6" s="1"/>
  <c r="L26" i="6"/>
  <c r="L27" i="6" s="1"/>
  <c r="B60" i="6"/>
  <c r="D26" i="6"/>
  <c r="E26" i="6"/>
  <c r="F26" i="6"/>
  <c r="C26" i="6"/>
  <c r="D22" i="6"/>
  <c r="E22" i="6"/>
  <c r="F22" i="6"/>
  <c r="C22" i="6"/>
  <c r="K26" i="6"/>
  <c r="K27" i="6" s="1"/>
  <c r="M26" i="6"/>
  <c r="M27" i="6" s="1"/>
  <c r="K22" i="6"/>
  <c r="K23" i="6" s="1"/>
  <c r="L22" i="6"/>
  <c r="L23" i="6" s="1"/>
  <c r="M22" i="6"/>
  <c r="M23" i="6" s="1"/>
  <c r="J22" i="6"/>
  <c r="J23" i="6" s="1"/>
  <c r="D6" i="6"/>
  <c r="E6" i="6"/>
  <c r="F6" i="6"/>
  <c r="C6" i="6"/>
  <c r="E9" i="7"/>
  <c r="H22" i="2" l="1"/>
  <c r="H4" i="2"/>
  <c r="B7" i="7"/>
  <c r="F9" i="7"/>
  <c r="G9" i="7"/>
  <c r="H9" i="7"/>
  <c r="G5" i="7"/>
  <c r="L6" i="6" s="1"/>
  <c r="D63" i="7" l="1"/>
  <c r="D62" i="7"/>
  <c r="D61" i="7"/>
  <c r="D60" i="7"/>
  <c r="D59" i="7"/>
  <c r="D70" i="7" s="1"/>
  <c r="D58" i="7"/>
  <c r="D47" i="7"/>
  <c r="J4" i="8"/>
  <c r="E4" i="8"/>
  <c r="F4" i="8"/>
  <c r="G4" i="8"/>
  <c r="H4" i="8"/>
  <c r="H9" i="8" s="1"/>
  <c r="I4" i="8"/>
  <c r="E5" i="8"/>
  <c r="F5" i="8"/>
  <c r="G5" i="8"/>
  <c r="H5" i="8"/>
  <c r="I5" i="8"/>
  <c r="F3" i="8"/>
  <c r="G3" i="8"/>
  <c r="E8" i="8"/>
  <c r="H17" i="7"/>
  <c r="M14" i="6" s="1"/>
  <c r="M17" i="6" s="1"/>
  <c r="G17" i="7"/>
  <c r="L14" i="6" s="1"/>
  <c r="L17" i="6" s="1"/>
  <c r="D4" i="13"/>
  <c r="E10" i="8"/>
  <c r="G9" i="8" l="1"/>
  <c r="F9" i="8"/>
  <c r="I11" i="8"/>
  <c r="I9" i="8"/>
  <c r="G8" i="8"/>
  <c r="G11" i="8"/>
  <c r="F8" i="8"/>
  <c r="F11" i="8"/>
  <c r="D48" i="7"/>
  <c r="D79" i="7" s="1"/>
  <c r="D54" i="7"/>
  <c r="D64" i="7"/>
  <c r="G19" i="7"/>
  <c r="F9" i="1"/>
  <c r="T9" i="13" s="1"/>
  <c r="H19" i="7"/>
  <c r="G9" i="1"/>
  <c r="U9" i="13" s="1"/>
  <c r="B5" i="8"/>
  <c r="E11" i="8"/>
  <c r="D24" i="7" s="1"/>
  <c r="B10" i="8"/>
  <c r="E9" i="8"/>
  <c r="B4" i="8"/>
  <c r="D69" i="7"/>
  <c r="F17" i="7"/>
  <c r="K14" i="6" s="1"/>
  <c r="K17" i="6" s="1"/>
  <c r="D17" i="7"/>
  <c r="I14" i="6" s="1"/>
  <c r="I17" i="6" s="1"/>
  <c r="E17" i="7"/>
  <c r="J14" i="6" s="1"/>
  <c r="J17" i="6" s="1"/>
  <c r="A58" i="7"/>
  <c r="A59" i="7"/>
  <c r="A60" i="7"/>
  <c r="A61" i="7"/>
  <c r="A62" i="7"/>
  <c r="A63" i="7"/>
  <c r="H64" i="7"/>
  <c r="D74" i="7"/>
  <c r="D73" i="7"/>
  <c r="D72" i="7"/>
  <c r="D71" i="7"/>
  <c r="H20" i="7" l="1"/>
  <c r="H30" i="7"/>
  <c r="H77" i="7" s="1"/>
  <c r="G20" i="7"/>
  <c r="G30" i="7"/>
  <c r="G77" i="7" s="1"/>
  <c r="F19" i="7"/>
  <c r="E9" i="1"/>
  <c r="S9" i="13" s="1"/>
  <c r="D19" i="7"/>
  <c r="C9" i="1"/>
  <c r="Q9" i="13" s="1"/>
  <c r="E19" i="7"/>
  <c r="D9" i="1"/>
  <c r="R9" i="13" s="1"/>
  <c r="B9" i="8"/>
  <c r="F24" i="7"/>
  <c r="E24" i="7"/>
  <c r="H24" i="7"/>
  <c r="E64" i="7"/>
  <c r="G64" i="7"/>
  <c r="F64" i="7"/>
  <c r="F7" i="7"/>
  <c r="E7" i="7"/>
  <c r="E36" i="7"/>
  <c r="A34" i="7"/>
  <c r="F33" i="7"/>
  <c r="G33" i="7"/>
  <c r="H33" i="7"/>
  <c r="D33" i="7"/>
  <c r="A31" i="7"/>
  <c r="A32" i="7"/>
  <c r="A35" i="7"/>
  <c r="F36" i="7"/>
  <c r="G36" i="7"/>
  <c r="H36" i="7"/>
  <c r="A37" i="7"/>
  <c r="A39" i="7"/>
  <c r="E40" i="7"/>
  <c r="F40" i="7"/>
  <c r="G40" i="7"/>
  <c r="H40" i="7"/>
  <c r="E46" i="7"/>
  <c r="E53" i="7" s="1"/>
  <c r="F46" i="7"/>
  <c r="F53" i="7" s="1"/>
  <c r="G46" i="7"/>
  <c r="G53" i="7" s="1"/>
  <c r="H46" i="7"/>
  <c r="H53" i="7" s="1"/>
  <c r="E5" i="7"/>
  <c r="J6" i="6" s="1"/>
  <c r="A14" i="7"/>
  <c r="A15" i="7"/>
  <c r="A17" i="7"/>
  <c r="A18" i="7"/>
  <c r="D89" i="2"/>
  <c r="D20" i="7" l="1"/>
  <c r="D30" i="7"/>
  <c r="D77" i="7" s="1"/>
  <c r="F20" i="7"/>
  <c r="F30" i="7"/>
  <c r="F77" i="7" s="1"/>
  <c r="E20" i="7"/>
  <c r="E30" i="7"/>
  <c r="E77" i="7" s="1"/>
  <c r="E65" i="7"/>
  <c r="E66" i="7" s="1"/>
  <c r="E14" i="1"/>
  <c r="S14" i="13" s="1"/>
  <c r="K19" i="6"/>
  <c r="C14" i="1"/>
  <c r="Q14" i="13" s="1"/>
  <c r="I19" i="6"/>
  <c r="G14" i="1"/>
  <c r="U14" i="13" s="1"/>
  <c r="M19" i="6"/>
  <c r="F14" i="1"/>
  <c r="T14" i="13" s="1"/>
  <c r="L19" i="6"/>
  <c r="H65" i="7"/>
  <c r="H66" i="7" s="1"/>
  <c r="F65" i="7"/>
  <c r="F66" i="7" s="1"/>
  <c r="J3" i="8"/>
  <c r="G65" i="7"/>
  <c r="G66" i="7" s="1"/>
  <c r="G80" i="7" s="1"/>
  <c r="F6" i="13" s="1"/>
  <c r="A40" i="7"/>
  <c r="A36" i="7"/>
  <c r="A38" i="7"/>
  <c r="A33" i="7"/>
  <c r="A46" i="7"/>
  <c r="D29" i="7" l="1"/>
  <c r="C11" i="1"/>
  <c r="Q11" i="13" s="1"/>
  <c r="A20" i="7"/>
  <c r="I18" i="6"/>
  <c r="I20" i="6" s="1"/>
  <c r="B98" i="6" s="1"/>
  <c r="F80" i="7"/>
  <c r="E6" i="13" s="1"/>
  <c r="E80" i="7"/>
  <c r="D6" i="13" l="1"/>
  <c r="E81" i="7"/>
  <c r="B85" i="6"/>
  <c r="D80" i="7"/>
  <c r="A64" i="7"/>
  <c r="A65" i="7"/>
  <c r="G7" i="7"/>
  <c r="A7" i="7" s="1"/>
  <c r="E4" i="11"/>
  <c r="E12" i="11" s="1"/>
  <c r="F4" i="11"/>
  <c r="F12" i="11" s="1"/>
  <c r="G4" i="11"/>
  <c r="G12" i="11" s="1"/>
  <c r="J5" i="8"/>
  <c r="A9" i="7"/>
  <c r="H5" i="7"/>
  <c r="M6" i="6" s="1"/>
  <c r="F5" i="7"/>
  <c r="K6" i="6" s="1"/>
  <c r="C6" i="13" l="1"/>
  <c r="D81" i="7"/>
  <c r="H4" i="11"/>
  <c r="H12" i="11" s="1"/>
  <c r="A5" i="7"/>
  <c r="H74" i="7"/>
  <c r="F73" i="7"/>
  <c r="G70" i="7"/>
  <c r="G71" i="7"/>
  <c r="G72" i="7"/>
  <c r="G73" i="7"/>
  <c r="G74" i="7"/>
  <c r="G69" i="7"/>
  <c r="E25" i="7"/>
  <c r="E70" i="7"/>
  <c r="E71" i="7"/>
  <c r="E72" i="7"/>
  <c r="E73" i="7"/>
  <c r="E74" i="7"/>
  <c r="E69" i="7"/>
  <c r="H70" i="7"/>
  <c r="H71" i="7"/>
  <c r="H72" i="7"/>
  <c r="H73" i="7"/>
  <c r="F70" i="7"/>
  <c r="F71" i="7"/>
  <c r="F72" i="7"/>
  <c r="F74" i="7"/>
  <c r="F69" i="7"/>
  <c r="H26" i="7"/>
  <c r="H27" i="7"/>
  <c r="F27" i="7"/>
  <c r="F25" i="7"/>
  <c r="G26" i="7"/>
  <c r="G27" i="7"/>
  <c r="E26" i="7"/>
  <c r="E27" i="7"/>
  <c r="H25" i="7"/>
  <c r="A11" i="7"/>
  <c r="G25" i="7"/>
  <c r="E47" i="7"/>
  <c r="F47" i="7"/>
  <c r="G47" i="7"/>
  <c r="H47" i="7"/>
  <c r="H54" i="7" s="1"/>
  <c r="E38" i="3"/>
  <c r="F38" i="3"/>
  <c r="H39" i="3"/>
  <c r="A4" i="7"/>
  <c r="E48" i="7" l="1"/>
  <c r="E79" i="7" s="1"/>
  <c r="E54" i="7"/>
  <c r="G48" i="7"/>
  <c r="G79" i="7" s="1"/>
  <c r="G81" i="7" s="1"/>
  <c r="G54" i="7"/>
  <c r="F48" i="7"/>
  <c r="F79" i="7" s="1"/>
  <c r="F81" i="7" s="1"/>
  <c r="F54" i="7"/>
  <c r="H48" i="7"/>
  <c r="H79" i="7" s="1"/>
  <c r="A20" i="11"/>
  <c r="A18" i="11"/>
  <c r="A19" i="11"/>
  <c r="A9" i="11"/>
  <c r="A21" i="11"/>
  <c r="A4" i="11"/>
  <c r="A74" i="7"/>
  <c r="A70" i="7"/>
  <c r="A72" i="7"/>
  <c r="A27" i="7"/>
  <c r="A69" i="7"/>
  <c r="A73" i="7"/>
  <c r="A71" i="7"/>
  <c r="A26" i="7"/>
  <c r="A47" i="7"/>
  <c r="E4" i="13" l="1"/>
  <c r="F4" i="13"/>
  <c r="G4" i="13"/>
  <c r="D3" i="13"/>
  <c r="E3" i="13"/>
  <c r="F3" i="13"/>
  <c r="G3" i="13"/>
  <c r="C91" i="6"/>
  <c r="D91" i="6"/>
  <c r="E91" i="6"/>
  <c r="F91" i="6"/>
  <c r="C90" i="6"/>
  <c r="D90" i="6"/>
  <c r="E90" i="6"/>
  <c r="F90" i="6"/>
  <c r="B90" i="6"/>
  <c r="F78" i="6"/>
  <c r="C78" i="6"/>
  <c r="D78" i="6"/>
  <c r="E78" i="6"/>
  <c r="C84" i="6"/>
  <c r="D84" i="6"/>
  <c r="E84" i="6"/>
  <c r="F84" i="6"/>
  <c r="C3" i="13" l="1"/>
  <c r="L18" i="6"/>
  <c r="L20" i="6" s="1"/>
  <c r="J18" i="6"/>
  <c r="J20" i="6" s="1"/>
  <c r="M18" i="6"/>
  <c r="M20" i="6" s="1"/>
  <c r="K18" i="6"/>
  <c r="K20" i="6" s="1"/>
  <c r="A19" i="7"/>
  <c r="A77" i="7"/>
  <c r="G5" i="13" l="1"/>
  <c r="F98" i="6"/>
  <c r="F85" i="6"/>
  <c r="D98" i="6"/>
  <c r="D85" i="6"/>
  <c r="C98" i="6"/>
  <c r="C85" i="6"/>
  <c r="E98" i="6"/>
  <c r="E85" i="6"/>
  <c r="F29" i="7"/>
  <c r="E11" i="1"/>
  <c r="S11" i="13" s="1"/>
  <c r="H29" i="7"/>
  <c r="G11" i="1"/>
  <c r="U11" i="13" s="1"/>
  <c r="E29" i="7"/>
  <c r="D11" i="1"/>
  <c r="R11" i="13" s="1"/>
  <c r="G29" i="7"/>
  <c r="F11" i="1"/>
  <c r="T11" i="13" s="1"/>
  <c r="A30" i="7"/>
  <c r="A25" i="7"/>
  <c r="A54" i="7"/>
  <c r="A22" i="7"/>
  <c r="A53" i="7"/>
  <c r="F7" i="13" l="1"/>
  <c r="F5" i="13"/>
  <c r="D7" i="13"/>
  <c r="D5" i="13"/>
  <c r="E7" i="13"/>
  <c r="E5" i="13"/>
  <c r="A29" i="7"/>
  <c r="B44" i="6" l="1"/>
  <c r="L27" i="4"/>
  <c r="C43" i="6"/>
  <c r="D43" i="6"/>
  <c r="E43" i="6"/>
  <c r="F43" i="6"/>
  <c r="C44" i="6"/>
  <c r="D44" i="6"/>
  <c r="E44" i="6"/>
  <c r="F44" i="6"/>
  <c r="C48" i="6"/>
  <c r="D48" i="6"/>
  <c r="F48" i="6"/>
  <c r="C49" i="6"/>
  <c r="D49" i="6"/>
  <c r="E49" i="6"/>
  <c r="F49" i="6"/>
  <c r="C54" i="6"/>
  <c r="E54" i="6"/>
  <c r="F54" i="6"/>
  <c r="C55" i="6"/>
  <c r="D55" i="6"/>
  <c r="E55" i="6"/>
  <c r="C60" i="6"/>
  <c r="D60" i="6"/>
  <c r="E60" i="6"/>
  <c r="F60" i="6"/>
  <c r="B61" i="6"/>
  <c r="C61" i="6"/>
  <c r="D61" i="6"/>
  <c r="E61" i="6"/>
  <c r="F61" i="6"/>
  <c r="C66" i="6"/>
  <c r="D66" i="6"/>
  <c r="E66" i="6"/>
  <c r="F66" i="6"/>
  <c r="B67" i="6"/>
  <c r="C67" i="6"/>
  <c r="D67" i="6"/>
  <c r="E67" i="6"/>
  <c r="F67" i="6"/>
  <c r="C72" i="6"/>
  <c r="D72" i="6"/>
  <c r="E72" i="6"/>
  <c r="F72" i="6"/>
  <c r="B73" i="6"/>
  <c r="C73" i="6"/>
  <c r="D73" i="6"/>
  <c r="E73" i="6"/>
  <c r="F73" i="6"/>
  <c r="B79" i="6"/>
  <c r="C79" i="6"/>
  <c r="D79" i="6"/>
  <c r="E79" i="6"/>
  <c r="F79" i="6"/>
  <c r="B72" i="6"/>
  <c r="B66" i="6"/>
  <c r="B11" i="6" l="1"/>
  <c r="B13" i="6" s="1"/>
  <c r="J11" i="6" l="1"/>
  <c r="J12" i="6" s="1"/>
  <c r="K11" i="6"/>
  <c r="L11" i="6"/>
  <c r="M11" i="6"/>
  <c r="C11" i="6"/>
  <c r="C12" i="6" s="1"/>
  <c r="D11" i="6"/>
  <c r="E11" i="6"/>
  <c r="F11" i="6"/>
  <c r="M13" i="6" l="1"/>
  <c r="M12" i="6"/>
  <c r="K13" i="6"/>
  <c r="K12" i="6"/>
  <c r="L13" i="6"/>
  <c r="L12" i="6"/>
  <c r="J13" i="6"/>
  <c r="E13" i="6"/>
  <c r="E12" i="6"/>
  <c r="C13" i="6"/>
  <c r="F13" i="6"/>
  <c r="F12" i="6"/>
  <c r="D13" i="6"/>
  <c r="D12" i="6"/>
  <c r="E89" i="2" l="1"/>
  <c r="F89" i="2"/>
  <c r="G89" i="2" l="1"/>
  <c r="A89" i="2" s="1"/>
  <c r="L117" i="4" l="1"/>
  <c r="O117" i="4"/>
  <c r="M27" i="4"/>
  <c r="N27" i="4"/>
  <c r="O27" i="4"/>
  <c r="P27" i="4"/>
  <c r="M32" i="4"/>
  <c r="N32" i="4"/>
  <c r="O32" i="4"/>
  <c r="P32" i="4"/>
  <c r="M42" i="4"/>
  <c r="M47" i="4"/>
  <c r="N47" i="4"/>
  <c r="O47" i="4"/>
  <c r="P47" i="4"/>
  <c r="P57" i="4" s="1"/>
  <c r="M57" i="4"/>
  <c r="N57" i="4"/>
  <c r="O57" i="4"/>
  <c r="M67" i="4"/>
  <c r="N67" i="4"/>
  <c r="O67" i="4"/>
  <c r="P67" i="4"/>
  <c r="M72" i="4"/>
  <c r="N72" i="4"/>
  <c r="O72" i="4"/>
  <c r="P72" i="4"/>
  <c r="M77" i="4"/>
  <c r="N77" i="4"/>
  <c r="O77" i="4"/>
  <c r="P77" i="4"/>
  <c r="M82" i="4"/>
  <c r="N82" i="4"/>
  <c r="O82" i="4"/>
  <c r="P82" i="4"/>
  <c r="M87" i="4"/>
  <c r="N87" i="4"/>
  <c r="O87" i="4"/>
  <c r="P87" i="4"/>
  <c r="M92" i="4"/>
  <c r="N92" i="4"/>
  <c r="O92" i="4"/>
  <c r="P92" i="4"/>
  <c r="M102" i="4"/>
  <c r="N102" i="4"/>
  <c r="O102" i="4"/>
  <c r="P102" i="4"/>
  <c r="M112" i="4"/>
  <c r="M117" i="4"/>
  <c r="N117" i="4"/>
  <c r="P117" i="4"/>
  <c r="M21" i="4"/>
  <c r="N21" i="4"/>
  <c r="N112" i="4" s="1"/>
  <c r="O21" i="4"/>
  <c r="O112" i="4" s="1"/>
  <c r="P21" i="4"/>
  <c r="P112" i="4" s="1"/>
  <c r="L21" i="4"/>
  <c r="L112" i="4" s="1"/>
  <c r="M12" i="4"/>
  <c r="M52" i="4" s="1"/>
  <c r="M62" i="4" s="1"/>
  <c r="M97" i="4" s="1"/>
  <c r="N12" i="4"/>
  <c r="N52" i="4" s="1"/>
  <c r="N62" i="4" s="1"/>
  <c r="N97" i="4" s="1"/>
  <c r="O12" i="4"/>
  <c r="O52" i="4" s="1"/>
  <c r="O62" i="4" s="1"/>
  <c r="P12" i="4"/>
  <c r="P52" i="4" s="1"/>
  <c r="P62" i="4" s="1"/>
  <c r="L12" i="4"/>
  <c r="M6" i="4"/>
  <c r="N6" i="4"/>
  <c r="N7" i="4" s="1"/>
  <c r="N42" i="4" s="1"/>
  <c r="O6" i="4"/>
  <c r="O7" i="4" s="1"/>
  <c r="P6" i="4"/>
  <c r="P7" i="4" s="1"/>
  <c r="L6" i="4"/>
  <c r="L7" i="4" s="1"/>
  <c r="L92" i="4"/>
  <c r="L87" i="4"/>
  <c r="L82" i="4"/>
  <c r="L77" i="4"/>
  <c r="L72" i="4"/>
  <c r="L67" i="4"/>
  <c r="L52" i="4"/>
  <c r="L62" i="4" s="1"/>
  <c r="L47" i="4"/>
  <c r="L57" i="4" s="1"/>
  <c r="M7" i="4"/>
  <c r="M37" i="4" s="1"/>
  <c r="L107" i="4" l="1"/>
  <c r="L42" i="4"/>
  <c r="O97" i="4"/>
  <c r="P107" i="4"/>
  <c r="P42" i="4"/>
  <c r="P37" i="4"/>
  <c r="O42" i="4"/>
  <c r="O37" i="4"/>
  <c r="O107" i="4"/>
  <c r="P97" i="4"/>
  <c r="N107" i="4"/>
  <c r="N37" i="4"/>
  <c r="M107" i="4"/>
  <c r="L97" i="4"/>
  <c r="H4" i="4"/>
  <c r="H3" i="4" s="1"/>
  <c r="H13" i="4"/>
  <c r="H31" i="4"/>
  <c r="H22" i="4" s="1"/>
  <c r="H32" i="4"/>
  <c r="H33" i="4"/>
  <c r="H39" i="4"/>
  <c r="H111" i="4"/>
  <c r="H109" i="4"/>
  <c r="H101" i="4"/>
  <c r="H85" i="4"/>
  <c r="H84" i="4"/>
  <c r="H83" i="4"/>
  <c r="H78" i="4"/>
  <c r="H60" i="4"/>
  <c r="H58" i="4"/>
  <c r="H57" i="4"/>
  <c r="H54" i="4"/>
  <c r="H49" i="4"/>
  <c r="H21" i="4" l="1"/>
  <c r="H59" i="4"/>
  <c r="H61" i="4" s="1"/>
  <c r="H86" i="4"/>
  <c r="H110" i="4" s="1"/>
  <c r="H112" i="4" s="1"/>
  <c r="H49" i="3"/>
  <c r="H47" i="3"/>
  <c r="H22" i="3"/>
  <c r="H21" i="3"/>
  <c r="H20" i="3"/>
  <c r="H15" i="3"/>
  <c r="H39" i="1"/>
  <c r="H37" i="1"/>
  <c r="H36" i="1"/>
  <c r="H33" i="1"/>
  <c r="H28" i="1"/>
  <c r="H23" i="3" l="1"/>
  <c r="H48" i="3" s="1"/>
  <c r="H50" i="3" s="1"/>
  <c r="H38" i="1"/>
  <c r="H40" i="1" l="1"/>
  <c r="J3" i="11"/>
  <c r="I7" i="2"/>
  <c r="I6" i="2"/>
  <c r="I45" i="2"/>
  <c r="I8" i="2"/>
  <c r="K5" i="8" s="1"/>
  <c r="I9" i="2"/>
  <c r="I10" i="2"/>
  <c r="I11" i="2"/>
  <c r="I12" i="2"/>
  <c r="I13" i="2"/>
  <c r="I15" i="2"/>
  <c r="I16" i="2"/>
  <c r="I17" i="2"/>
  <c r="I18" i="2"/>
  <c r="I19" i="2"/>
  <c r="I20" i="2"/>
  <c r="I21" i="2"/>
  <c r="I24" i="2"/>
  <c r="I26" i="2"/>
  <c r="I28" i="2"/>
  <c r="I30" i="2"/>
  <c r="I35" i="2"/>
  <c r="I37" i="2"/>
  <c r="I25" i="2"/>
  <c r="I27" i="2"/>
  <c r="I29" i="2"/>
  <c r="I31" i="2"/>
  <c r="I33" i="2"/>
  <c r="I36" i="2"/>
  <c r="I38" i="2"/>
  <c r="I39" i="2"/>
  <c r="I41" i="2"/>
  <c r="I42" i="2"/>
  <c r="I43" i="2"/>
  <c r="I44" i="2"/>
  <c r="K3" i="11"/>
  <c r="K14" i="11" l="1"/>
  <c r="K16" i="11"/>
  <c r="K15" i="11"/>
  <c r="J14" i="11"/>
  <c r="J16" i="11"/>
  <c r="J24" i="11" s="1"/>
  <c r="J15" i="11"/>
  <c r="J23" i="11" s="1"/>
  <c r="K4" i="8"/>
  <c r="K7" i="8" s="1"/>
  <c r="I40" i="2"/>
  <c r="I34" i="2"/>
  <c r="I14" i="2"/>
  <c r="I5" i="2"/>
  <c r="J45" i="2"/>
  <c r="J8" i="2"/>
  <c r="L5" i="8" s="1"/>
  <c r="J9" i="2"/>
  <c r="J10" i="2"/>
  <c r="J11" i="2"/>
  <c r="J12" i="2"/>
  <c r="J13" i="2"/>
  <c r="J15" i="2"/>
  <c r="J16" i="2"/>
  <c r="J17" i="2"/>
  <c r="J18" i="2"/>
  <c r="J19" i="2"/>
  <c r="J20" i="2"/>
  <c r="J21" i="2"/>
  <c r="J24" i="2"/>
  <c r="J25" i="2"/>
  <c r="J26" i="2"/>
  <c r="J27" i="2"/>
  <c r="J28" i="2"/>
  <c r="J29" i="2"/>
  <c r="J30" i="2"/>
  <c r="J31" i="2"/>
  <c r="J33" i="2"/>
  <c r="J35" i="2"/>
  <c r="J36" i="2"/>
  <c r="J37" i="2"/>
  <c r="J38" i="2"/>
  <c r="J39" i="2"/>
  <c r="J41" i="2"/>
  <c r="J42" i="2"/>
  <c r="J43" i="2"/>
  <c r="J44" i="2"/>
  <c r="J6" i="2"/>
  <c r="J7" i="2"/>
  <c r="I32" i="2"/>
  <c r="I23" i="2" s="1"/>
  <c r="K3" i="8"/>
  <c r="K6" i="8" s="1"/>
  <c r="L3" i="11"/>
  <c r="J17" i="11" l="1"/>
  <c r="J22" i="11"/>
  <c r="K23" i="11"/>
  <c r="L14" i="11"/>
  <c r="L16" i="11"/>
  <c r="L24" i="11" s="1"/>
  <c r="L15" i="11"/>
  <c r="L23" i="11" s="1"/>
  <c r="K24" i="11"/>
  <c r="K10" i="8"/>
  <c r="K11" i="8" s="1"/>
  <c r="K17" i="11"/>
  <c r="K22" i="11"/>
  <c r="I22" i="2"/>
  <c r="L4" i="8"/>
  <c r="L7" i="8" s="1"/>
  <c r="I4" i="2"/>
  <c r="K6" i="2"/>
  <c r="K7" i="2"/>
  <c r="K45" i="2"/>
  <c r="K8" i="2"/>
  <c r="M5" i="8" s="1"/>
  <c r="K9" i="2"/>
  <c r="K10" i="2"/>
  <c r="K11" i="2"/>
  <c r="K12" i="2"/>
  <c r="K13" i="2"/>
  <c r="K15" i="2"/>
  <c r="K16" i="2"/>
  <c r="K17" i="2"/>
  <c r="K18" i="2"/>
  <c r="K19" i="2"/>
  <c r="K20" i="2"/>
  <c r="K21" i="2"/>
  <c r="K24" i="2"/>
  <c r="K25" i="2"/>
  <c r="K26" i="2"/>
  <c r="K27" i="2"/>
  <c r="K28" i="2"/>
  <c r="K29" i="2"/>
  <c r="K30" i="2"/>
  <c r="K31" i="2"/>
  <c r="K33" i="2"/>
  <c r="K35" i="2"/>
  <c r="K36" i="2"/>
  <c r="K37" i="2"/>
  <c r="K38" i="2"/>
  <c r="K39" i="2"/>
  <c r="K41" i="2"/>
  <c r="K42" i="2"/>
  <c r="K43" i="2"/>
  <c r="K44" i="2"/>
  <c r="J5" i="2"/>
  <c r="J40" i="2"/>
  <c r="J14" i="2"/>
  <c r="J34" i="2"/>
  <c r="J32" i="2"/>
  <c r="J23" i="2" s="1"/>
  <c r="L21" i="12" s="1"/>
  <c r="L3" i="8"/>
  <c r="L6" i="8" s="1"/>
  <c r="L22" i="12" l="1"/>
  <c r="L10" i="8"/>
  <c r="L11" i="8" s="1"/>
  <c r="L17" i="11"/>
  <c r="L22" i="11"/>
  <c r="K21" i="11"/>
  <c r="K25" i="11"/>
  <c r="J21" i="11"/>
  <c r="M4" i="8"/>
  <c r="M7" i="8" s="1"/>
  <c r="J22" i="2"/>
  <c r="M3" i="11"/>
  <c r="L45" i="2"/>
  <c r="L8" i="2"/>
  <c r="N5" i="8" s="1"/>
  <c r="C5" i="8" s="1"/>
  <c r="L9" i="2"/>
  <c r="L10" i="2"/>
  <c r="L11" i="2"/>
  <c r="L12" i="2"/>
  <c r="L13" i="2"/>
  <c r="L15" i="2"/>
  <c r="L16" i="2"/>
  <c r="L17" i="2"/>
  <c r="L18" i="2"/>
  <c r="L19" i="2"/>
  <c r="L20" i="2"/>
  <c r="L21" i="2"/>
  <c r="L24" i="2"/>
  <c r="L25" i="2"/>
  <c r="L26" i="2"/>
  <c r="L27" i="2"/>
  <c r="L28" i="2"/>
  <c r="L29" i="2"/>
  <c r="L30" i="2"/>
  <c r="L31" i="2"/>
  <c r="L33" i="2"/>
  <c r="L35" i="2"/>
  <c r="L36" i="2"/>
  <c r="L37" i="2"/>
  <c r="L6" i="2"/>
  <c r="L7" i="2"/>
  <c r="L38" i="2"/>
  <c r="L39" i="2"/>
  <c r="L41" i="2"/>
  <c r="L42" i="2"/>
  <c r="L43" i="2"/>
  <c r="L44" i="2"/>
  <c r="J4" i="2"/>
  <c r="K40" i="2"/>
  <c r="K34" i="2"/>
  <c r="K32" i="2"/>
  <c r="K23" i="2" s="1"/>
  <c r="M21" i="12" s="1"/>
  <c r="K14" i="2"/>
  <c r="K5" i="2"/>
  <c r="M3" i="8"/>
  <c r="M6" i="8" s="1"/>
  <c r="M22" i="12" l="1"/>
  <c r="L21" i="11"/>
  <c r="L25" i="11"/>
  <c r="M14" i="11"/>
  <c r="M16" i="11"/>
  <c r="M24" i="11" s="1"/>
  <c r="M15" i="11"/>
  <c r="M23" i="11" s="1"/>
  <c r="M10" i="8"/>
  <c r="M11" i="8" s="1"/>
  <c r="B3" i="11"/>
  <c r="N4" i="8"/>
  <c r="N7" i="8" s="1"/>
  <c r="K22" i="2"/>
  <c r="L40" i="2"/>
  <c r="L14" i="2"/>
  <c r="K4" i="2"/>
  <c r="L5" i="2"/>
  <c r="L34" i="2"/>
  <c r="L32" i="2"/>
  <c r="L23" i="2" s="1"/>
  <c r="N22" i="12" s="1"/>
  <c r="N3" i="8"/>
  <c r="F10" i="12" l="1"/>
  <c r="C36" i="13" s="1"/>
  <c r="N21" i="12"/>
  <c r="F11" i="12"/>
  <c r="C3" i="8"/>
  <c r="N6" i="8"/>
  <c r="N10" i="8" s="1"/>
  <c r="N11" i="8" s="1"/>
  <c r="M17" i="11"/>
  <c r="M22" i="11"/>
  <c r="C4" i="8"/>
  <c r="L22" i="2"/>
  <c r="L4" i="2"/>
  <c r="C37" i="13" l="1"/>
  <c r="F9" i="12"/>
  <c r="C35" i="13" s="1"/>
  <c r="M21" i="11"/>
  <c r="M25" i="11"/>
  <c r="F17" i="12" l="1"/>
  <c r="C43" i="13" l="1"/>
  <c r="F18" i="12"/>
  <c r="H3" i="8"/>
  <c r="H11" i="8" l="1"/>
  <c r="H8" i="8"/>
  <c r="C44" i="13"/>
  <c r="F17" i="13"/>
  <c r="F15" i="13" s="1"/>
  <c r="D17" i="13"/>
  <c r="D15" i="13" s="1"/>
  <c r="H86" i="7"/>
  <c r="H84" i="7" s="1"/>
  <c r="E86" i="7"/>
  <c r="E84" i="7" s="1"/>
  <c r="G17" i="13"/>
  <c r="G15" i="13" s="1"/>
  <c r="G86" i="7"/>
  <c r="G84" i="7" s="1"/>
  <c r="E17" i="13"/>
  <c r="E15" i="13" s="1"/>
  <c r="D86" i="7"/>
  <c r="D84" i="7" s="1"/>
  <c r="C17" i="13"/>
  <c r="C15" i="13" s="1"/>
  <c r="F86" i="7"/>
  <c r="F84" i="7" s="1"/>
  <c r="B3" i="8"/>
  <c r="B8" i="8" l="1"/>
  <c r="G24" i="7"/>
  <c r="A24" i="7" s="1"/>
  <c r="B11" i="8"/>
  <c r="B9" i="7"/>
  <c r="X6" i="13"/>
  <c r="Y6" i="13" l="1"/>
  <c r="X13" i="13" l="1"/>
  <c r="X8" i="13"/>
  <c r="I4" i="11"/>
  <c r="I31" i="7"/>
  <c r="X18" i="13" s="1"/>
  <c r="I32" i="7"/>
  <c r="X19" i="13" s="1"/>
  <c r="Z6" i="13"/>
  <c r="I8" i="11" l="1"/>
  <c r="I23" i="11"/>
  <c r="Y8" i="13"/>
  <c r="J4" i="11"/>
  <c r="J8" i="11" s="1"/>
  <c r="J32" i="7"/>
  <c r="Y19" i="13" s="1"/>
  <c r="J31" i="7"/>
  <c r="J18" i="7"/>
  <c r="I33" i="7"/>
  <c r="X20" i="13" s="1"/>
  <c r="AA6" i="13"/>
  <c r="I24" i="11"/>
  <c r="J11" i="11" l="1"/>
  <c r="Y13" i="13"/>
  <c r="K31" i="7"/>
  <c r="Z18" i="13" s="1"/>
  <c r="I11" i="11"/>
  <c r="Y18" i="13"/>
  <c r="J33" i="7"/>
  <c r="Y20" i="13" s="1"/>
  <c r="Z8" i="13"/>
  <c r="I22" i="11"/>
  <c r="I17" i="11"/>
  <c r="J25" i="11" s="1"/>
  <c r="I16" i="7"/>
  <c r="K18" i="7"/>
  <c r="K32" i="7"/>
  <c r="Z19" i="13" s="1"/>
  <c r="K4" i="11"/>
  <c r="K8" i="11" s="1"/>
  <c r="K11" i="11" l="1"/>
  <c r="I21" i="11"/>
  <c r="Z13" i="13"/>
  <c r="AB6" i="13"/>
  <c r="AA8" i="13"/>
  <c r="AA18" i="13"/>
  <c r="L4" i="11"/>
  <c r="L8" i="11" s="1"/>
  <c r="L18" i="7"/>
  <c r="L32" i="7"/>
  <c r="AA19" i="13" s="1"/>
  <c r="I25" i="11"/>
  <c r="I14" i="7"/>
  <c r="I22" i="7" s="1"/>
  <c r="K33" i="7"/>
  <c r="Z20" i="13" s="1"/>
  <c r="B8" i="7"/>
  <c r="J16" i="7"/>
  <c r="L11" i="11" l="1"/>
  <c r="X9" i="13"/>
  <c r="AA13" i="13"/>
  <c r="AB8" i="13"/>
  <c r="L33" i="7"/>
  <c r="AA20" i="13" s="1"/>
  <c r="K16" i="7"/>
  <c r="X10" i="13"/>
  <c r="M31" i="7"/>
  <c r="M4" i="11"/>
  <c r="M8" i="11" s="1"/>
  <c r="M32" i="7"/>
  <c r="J14" i="7"/>
  <c r="J22" i="7" s="1"/>
  <c r="B11" i="7"/>
  <c r="M11" i="11" l="1"/>
  <c r="Y9" i="13"/>
  <c r="AB18" i="13"/>
  <c r="B32" i="7"/>
  <c r="AB19" i="13"/>
  <c r="B18" i="7"/>
  <c r="AB13" i="13"/>
  <c r="B14" i="11"/>
  <c r="B4" i="11"/>
  <c r="L16" i="7"/>
  <c r="Y10" i="13"/>
  <c r="M33" i="7"/>
  <c r="B31" i="7"/>
  <c r="K14" i="7"/>
  <c r="K22" i="7" s="1"/>
  <c r="Z9" i="13" l="1"/>
  <c r="B8" i="11"/>
  <c r="B15" i="11"/>
  <c r="B16" i="11"/>
  <c r="B33" i="7"/>
  <c r="AB20" i="13"/>
  <c r="M16" i="7"/>
  <c r="B22" i="11"/>
  <c r="A66" i="7"/>
  <c r="H80" i="7"/>
  <c r="Z10" i="13"/>
  <c r="L14" i="7"/>
  <c r="L22" i="7" s="1"/>
  <c r="G6" i="13" l="1"/>
  <c r="H81" i="7"/>
  <c r="AA9" i="13"/>
  <c r="B16" i="7"/>
  <c r="B21" i="11"/>
  <c r="M14" i="7"/>
  <c r="M22" i="7" s="1"/>
  <c r="A80" i="7"/>
  <c r="B17" i="11"/>
  <c r="AA10" i="13"/>
  <c r="B14" i="7" l="1"/>
  <c r="AB9" i="13"/>
  <c r="G7" i="13"/>
  <c r="F13" i="13" l="1"/>
  <c r="G13" i="13"/>
  <c r="B22" i="7"/>
  <c r="AB10" i="13"/>
  <c r="E13" i="13" l="1"/>
  <c r="AB24" i="13" l="1"/>
  <c r="AA24" i="13"/>
  <c r="Z24" i="13"/>
  <c r="Y24" i="13"/>
  <c r="A78" i="7" l="1"/>
  <c r="C4" i="13"/>
  <c r="A48" i="7" l="1"/>
  <c r="D55" i="7"/>
  <c r="A55" i="7" s="1"/>
  <c r="A79" i="7" l="1"/>
  <c r="C5" i="13"/>
  <c r="C7" i="13" l="1"/>
  <c r="A81" i="7"/>
  <c r="C8" i="8"/>
  <c r="J6" i="8"/>
  <c r="L78" i="7" l="1"/>
  <c r="K78" i="7"/>
  <c r="M78" i="7"/>
  <c r="J78" i="7"/>
  <c r="C6" i="8"/>
  <c r="K17" i="7" l="1"/>
  <c r="E11" i="13"/>
  <c r="F11" i="13"/>
  <c r="L17" i="7"/>
  <c r="D11" i="13"/>
  <c r="J17" i="7"/>
  <c r="J24" i="7"/>
  <c r="M24" i="7"/>
  <c r="M17" i="7"/>
  <c r="Z12" i="13"/>
  <c r="Y12" i="13" l="1"/>
  <c r="L24" i="7"/>
  <c r="AA12" i="13"/>
  <c r="AB12" i="13"/>
  <c r="G11" i="13"/>
  <c r="K24" i="7"/>
  <c r="B69" i="7" l="1"/>
  <c r="B74" i="7"/>
  <c r="B73" i="7"/>
  <c r="B72" i="7"/>
  <c r="B71" i="7"/>
  <c r="B70" i="7"/>
  <c r="I58" i="7"/>
  <c r="I61" i="7"/>
  <c r="B61" i="7" s="1"/>
  <c r="I59" i="7"/>
  <c r="B59" i="7" s="1"/>
  <c r="I63" i="7"/>
  <c r="B63" i="7" s="1"/>
  <c r="I62" i="7"/>
  <c r="B62" i="7" s="1"/>
  <c r="I60" i="7"/>
  <c r="B60" i="7"/>
  <c r="I64" i="7" l="1"/>
  <c r="B58" i="7"/>
  <c r="I65" i="7" l="1"/>
  <c r="J65" i="7"/>
  <c r="J66" i="7" s="1"/>
  <c r="J80" i="7" s="1"/>
  <c r="B64" i="7"/>
  <c r="I66" i="7"/>
  <c r="D13" i="13" l="1"/>
  <c r="B65" i="7"/>
  <c r="I80" i="7"/>
  <c r="B66" i="7" l="1"/>
  <c r="C13" i="13"/>
  <c r="B80" i="7"/>
  <c r="B38" i="7"/>
  <c r="X24" i="13"/>
  <c r="C9" i="8"/>
  <c r="J7" i="8"/>
  <c r="C7" i="8" l="1"/>
  <c r="J10" i="8"/>
  <c r="I78" i="7" l="1"/>
  <c r="C11" i="13" s="1"/>
  <c r="J11" i="8"/>
  <c r="C11" i="8" s="1"/>
  <c r="I17" i="7"/>
  <c r="C10" i="8"/>
  <c r="B78" i="7" l="1"/>
  <c r="I24" i="7"/>
  <c r="B24" i="7" s="1"/>
  <c r="B17" i="7"/>
  <c r="X12" i="13"/>
  <c r="B54" i="7" l="1"/>
  <c r="B53" i="7"/>
  <c r="I47" i="7"/>
  <c r="B46" i="7" l="1"/>
  <c r="I48" i="7"/>
  <c r="G12" i="13"/>
  <c r="B47" i="7"/>
  <c r="B55" i="7" l="1"/>
  <c r="B79" i="7"/>
  <c r="B48" i="7"/>
  <c r="E12" i="13"/>
  <c r="C12" i="13"/>
  <c r="D12" i="13" l="1"/>
  <c r="F12" i="13"/>
  <c r="I23" i="7"/>
  <c r="B7" i="11"/>
  <c r="M23" i="7"/>
  <c r="L23" i="7"/>
  <c r="K23" i="7"/>
  <c r="J23" i="7"/>
  <c r="L6" i="11"/>
  <c r="J6" i="11"/>
  <c r="J12" i="11" s="1"/>
  <c r="M6" i="11"/>
  <c r="K6" i="11"/>
  <c r="I6" i="11"/>
  <c r="I10" i="11" s="1"/>
  <c r="B6" i="11" l="1"/>
  <c r="B23" i="7"/>
  <c r="M10" i="11"/>
  <c r="L10" i="11"/>
  <c r="I12" i="11"/>
  <c r="AA11" i="13"/>
  <c r="L19" i="7"/>
  <c r="K12" i="11"/>
  <c r="J10" i="11"/>
  <c r="K10" i="11"/>
  <c r="M12" i="11"/>
  <c r="L12" i="11"/>
  <c r="B10" i="11" l="1"/>
  <c r="I19" i="7"/>
  <c r="X11" i="13"/>
  <c r="B15" i="7"/>
  <c r="J19" i="7"/>
  <c r="Y11" i="13"/>
  <c r="M19" i="7"/>
  <c r="AB11" i="13"/>
  <c r="K19" i="7"/>
  <c r="Z11" i="13"/>
  <c r="L20" i="7"/>
  <c r="AA16" i="13" s="1"/>
  <c r="L30" i="7"/>
  <c r="AA15" i="13"/>
  <c r="M30" i="7" l="1"/>
  <c r="AB15" i="13"/>
  <c r="M20" i="7"/>
  <c r="AB16" i="13" s="1"/>
  <c r="L77" i="7"/>
  <c r="L35" i="7"/>
  <c r="AA17" i="13"/>
  <c r="L29" i="7"/>
  <c r="K30" i="7"/>
  <c r="K20" i="7"/>
  <c r="Z16" i="13" s="1"/>
  <c r="Z15" i="13"/>
  <c r="Y15" i="13"/>
  <c r="J20" i="7"/>
  <c r="Y16" i="13" s="1"/>
  <c r="J30" i="7"/>
  <c r="I30" i="7"/>
  <c r="I20" i="7"/>
  <c r="B19" i="7"/>
  <c r="X15" i="13"/>
  <c r="Y17" i="13" l="1"/>
  <c r="J77" i="7"/>
  <c r="J29" i="7"/>
  <c r="J35" i="7"/>
  <c r="K35" i="7"/>
  <c r="Z17" i="13"/>
  <c r="K29" i="7"/>
  <c r="K77" i="7"/>
  <c r="X17" i="13"/>
  <c r="I77" i="7"/>
  <c r="I29" i="7"/>
  <c r="I35" i="7"/>
  <c r="B30" i="7"/>
  <c r="B20" i="7"/>
  <c r="X16" i="13"/>
  <c r="L37" i="7"/>
  <c r="AA23" i="13" s="1"/>
  <c r="AA21" i="13"/>
  <c r="L81" i="7"/>
  <c r="F10" i="13"/>
  <c r="AB17" i="13"/>
  <c r="M35" i="7"/>
  <c r="M29" i="7"/>
  <c r="M77" i="7"/>
  <c r="K81" i="7" l="1"/>
  <c r="E10" i="13"/>
  <c r="F14" i="13"/>
  <c r="F18" i="13" s="1"/>
  <c r="G87" i="7"/>
  <c r="M37" i="7"/>
  <c r="AB23" i="13" s="1"/>
  <c r="AB21" i="13"/>
  <c r="M36" i="7"/>
  <c r="AB22" i="13" s="1"/>
  <c r="X21" i="13"/>
  <c r="I37" i="7"/>
  <c r="I39" i="7"/>
  <c r="B35" i="7"/>
  <c r="I36" i="7"/>
  <c r="B29" i="7"/>
  <c r="K37" i="7"/>
  <c r="Z23" i="13" s="1"/>
  <c r="Z21" i="13"/>
  <c r="K36" i="7"/>
  <c r="Z22" i="13" s="1"/>
  <c r="I81" i="7"/>
  <c r="B77" i="7"/>
  <c r="C10" i="13"/>
  <c r="J81" i="7"/>
  <c r="D10" i="13"/>
  <c r="J37" i="7"/>
  <c r="Y23" i="13" s="1"/>
  <c r="Y21" i="13"/>
  <c r="J36" i="7"/>
  <c r="Y22" i="13" s="1"/>
  <c r="L39" i="7"/>
  <c r="M81" i="7"/>
  <c r="G10" i="13"/>
  <c r="L36" i="7"/>
  <c r="AA22" i="13" s="1"/>
  <c r="K39" i="7" l="1"/>
  <c r="D14" i="13"/>
  <c r="D18" i="13" s="1"/>
  <c r="E87" i="7"/>
  <c r="X22" i="13"/>
  <c r="B36" i="7"/>
  <c r="M39" i="7"/>
  <c r="H87" i="7"/>
  <c r="G14" i="13"/>
  <c r="D90" i="7"/>
  <c r="D91" i="7" s="1"/>
  <c r="L40" i="7"/>
  <c r="AA26" i="13" s="1"/>
  <c r="AA25" i="13"/>
  <c r="Z25" i="13"/>
  <c r="B81" i="7"/>
  <c r="D87" i="7"/>
  <c r="C14" i="13"/>
  <c r="C18" i="13" s="1"/>
  <c r="I40" i="7"/>
  <c r="X25" i="13"/>
  <c r="B37" i="7"/>
  <c r="X23" i="13"/>
  <c r="J39" i="7"/>
  <c r="K40" i="7" s="1"/>
  <c r="Z26" i="13" s="1"/>
  <c r="F87" i="7"/>
  <c r="E14" i="13"/>
  <c r="E18" i="13" s="1"/>
  <c r="X26" i="13" l="1"/>
  <c r="AB25" i="13"/>
  <c r="M40" i="7"/>
  <c r="AB26" i="13" s="1"/>
  <c r="G18" i="13"/>
  <c r="C21" i="13"/>
  <c r="C22" i="13" s="1"/>
  <c r="Y25" i="13"/>
  <c r="J40" i="7"/>
  <c r="Y26" i="13" s="1"/>
  <c r="D92" i="7"/>
  <c r="D88" i="7"/>
  <c r="B39" i="7"/>
  <c r="C23" i="13" l="1"/>
  <c r="C26" i="13" s="1"/>
  <c r="C28" i="13" s="1"/>
  <c r="C19" i="13"/>
  <c r="D95" i="7"/>
  <c r="D97" i="7" s="1"/>
  <c r="F95" i="7"/>
  <c r="D94" i="7"/>
  <c r="F97" i="7" s="1"/>
  <c r="B40" i="7"/>
  <c r="C25" i="13" l="1"/>
</calcChain>
</file>

<file path=xl/sharedStrings.xml><?xml version="1.0" encoding="utf-8"?>
<sst xmlns="http://schemas.openxmlformats.org/spreadsheetml/2006/main" count="663" uniqueCount="381">
  <si>
    <t>Izračun</t>
  </si>
  <si>
    <t xml:space="preserve">Prihodki od prodaje     </t>
  </si>
  <si>
    <t xml:space="preserve">Sprememba vrednosti zalog proizvodov in nedokončane proizvodnje </t>
  </si>
  <si>
    <t xml:space="preserve">Drugi poslovni prihodki     </t>
  </si>
  <si>
    <t xml:space="preserve">Kosmati donos iz poslovanja    </t>
  </si>
  <si>
    <t xml:space="preserve">Stroški blaga, materiala in storitev   </t>
  </si>
  <si>
    <t xml:space="preserve">Stroški dela      </t>
  </si>
  <si>
    <t xml:space="preserve">Amortizacija       </t>
  </si>
  <si>
    <t xml:space="preserve">Drugi poslovni odhodki     </t>
  </si>
  <si>
    <t xml:space="preserve">Poslovni izid iz poslovanja    </t>
  </si>
  <si>
    <t xml:space="preserve">Finančni prihodki      </t>
  </si>
  <si>
    <t xml:space="preserve">Finančni odhodki      </t>
  </si>
  <si>
    <t xml:space="preserve">Neto finančni odhodki/prihodki     </t>
  </si>
  <si>
    <t xml:space="preserve">Delež v dobičkih (izgubah) pridruženih družb  </t>
  </si>
  <si>
    <t xml:space="preserve">Poslovni izid pred davki    </t>
  </si>
  <si>
    <t xml:space="preserve">Davek iz dobička     </t>
  </si>
  <si>
    <t xml:space="preserve">Poslovni izid poslovnega  leta   </t>
  </si>
  <si>
    <t xml:space="preserve">Poslovni izid neobvladujočih  deležev   </t>
  </si>
  <si>
    <t xml:space="preserve">Poslovni izid lastnikov matične družbe   </t>
  </si>
  <si>
    <t>Osnovni in prilagojeni donos na delnico (v EUR)</t>
  </si>
  <si>
    <t xml:space="preserve">SREDSTVA    </t>
  </si>
  <si>
    <t xml:space="preserve">Dolgoročna sredstva   </t>
  </si>
  <si>
    <t xml:space="preserve">Neopredmetena sredstva   </t>
  </si>
  <si>
    <t xml:space="preserve">Nepremičnine, naprave in oprema </t>
  </si>
  <si>
    <t xml:space="preserve">Naložbene nepremičnine   </t>
  </si>
  <si>
    <t xml:space="preserve">Naložbe družbe v odvisne </t>
  </si>
  <si>
    <t xml:space="preserve">Naložbe družbe v pridružene </t>
  </si>
  <si>
    <r>
      <rPr>
        <sz val="11"/>
        <color rgb="FFFF0000"/>
        <rFont val="Calibri"/>
        <family val="2"/>
        <charset val="238"/>
        <scheme val="minor"/>
      </rPr>
      <t xml:space="preserve">Druge </t>
    </r>
    <r>
      <rPr>
        <sz val="11"/>
        <color theme="1"/>
        <rFont val="Calibri"/>
        <family val="2"/>
        <charset val="238"/>
        <scheme val="minor"/>
      </rPr>
      <t xml:space="preserve">dolgoročne finančne naložbe </t>
    </r>
  </si>
  <si>
    <t xml:space="preserve">Dolgoročne poslovne terjatve  </t>
  </si>
  <si>
    <t xml:space="preserve">Odložene terjatve za davke </t>
  </si>
  <si>
    <t xml:space="preserve">Kratkoročna sredstva   </t>
  </si>
  <si>
    <t xml:space="preserve">Nekratkoročna sredstva za prodajo </t>
  </si>
  <si>
    <t xml:space="preserve">Zaloge    </t>
  </si>
  <si>
    <t xml:space="preserve">Kratkoročne finančne naložbe  </t>
  </si>
  <si>
    <t xml:space="preserve">Terjatve do kupcev  </t>
  </si>
  <si>
    <t xml:space="preserve">Druga kratkoročna sredstva  </t>
  </si>
  <si>
    <t>Terjatve za davek iz dobička</t>
  </si>
  <si>
    <t xml:space="preserve">Denar in denarni ustrezniki </t>
  </si>
  <si>
    <t xml:space="preserve">KAPITAL IN OBVEZNOSTI  </t>
  </si>
  <si>
    <t xml:space="preserve">Kapital    </t>
  </si>
  <si>
    <t xml:space="preserve">Osnovni kapital   </t>
  </si>
  <si>
    <t xml:space="preserve">Kapitalske rezerve   </t>
  </si>
  <si>
    <t xml:space="preserve">Rezerve iz dobička  </t>
  </si>
  <si>
    <t xml:space="preserve">Lastne delnice   </t>
  </si>
  <si>
    <t xml:space="preserve">Poslovni izid poslovnega leta </t>
  </si>
  <si>
    <t>Poslovni izid iz preteklih let</t>
  </si>
  <si>
    <t xml:space="preserve">Prevedbena rezerva   </t>
  </si>
  <si>
    <t xml:space="preserve">Rezerva za pošteno vrednost </t>
  </si>
  <si>
    <t xml:space="preserve">Kapital lastnikov matične družbe </t>
  </si>
  <si>
    <t xml:space="preserve">Kapital neobvladujočih deležev  </t>
  </si>
  <si>
    <t xml:space="preserve">Dolgoročne obveznosti   </t>
  </si>
  <si>
    <t xml:space="preserve">Rezervacije    </t>
  </si>
  <si>
    <t xml:space="preserve">Odloženi prihodki   </t>
  </si>
  <si>
    <t xml:space="preserve">Dolgoročne poslovne obveznosti  </t>
  </si>
  <si>
    <t xml:space="preserve">Odložene obveznosti za davke </t>
  </si>
  <si>
    <t xml:space="preserve">Dolgoročne finančne obveznosti  </t>
  </si>
  <si>
    <t xml:space="preserve">Kratkoročne obveznosti   </t>
  </si>
  <si>
    <t xml:space="preserve">Kratkoročne finančne obveznosti  </t>
  </si>
  <si>
    <t xml:space="preserve">Obveznosti do dobaviteljev  </t>
  </si>
  <si>
    <t xml:space="preserve">Druge kratkoročne obveznosti  </t>
  </si>
  <si>
    <t>Obveznosti za davek iz dobička</t>
  </si>
  <si>
    <t>izračun</t>
  </si>
  <si>
    <t xml:space="preserve">DENARNI TOKOVI PRI POSLOVANJU  </t>
  </si>
  <si>
    <t xml:space="preserve">Poslovni izid poslovnega leta  </t>
  </si>
  <si>
    <t xml:space="preserve">Prilagoditve za:    </t>
  </si>
  <si>
    <t>- amortizacijo nepremičnin, naprav in opreme</t>
  </si>
  <si>
    <t xml:space="preserve">- amortizacijo neopredmetenih sredstev  </t>
  </si>
  <si>
    <t xml:space="preserve">- prihodke od naložbenja  </t>
  </si>
  <si>
    <t xml:space="preserve">- odhodke za financiranje  </t>
  </si>
  <si>
    <t>- prihodke od prodaje nepremičnin, naprav in opreme</t>
  </si>
  <si>
    <t>- prevrednotovalni prihodki</t>
  </si>
  <si>
    <t xml:space="preserve">- prihodke od prodaje naložbenih nepremičnin   </t>
  </si>
  <si>
    <t xml:space="preserve">- odhodke za davke  </t>
  </si>
  <si>
    <t>Dobiček iz poslovanja pred spremembami čistih obratnih sredstev in rezervacijami</t>
  </si>
  <si>
    <t xml:space="preserve">Sprememba poslovnih in drugih terjatev </t>
  </si>
  <si>
    <t xml:space="preserve">Sprememba zalog    </t>
  </si>
  <si>
    <t xml:space="preserve">Sprememba rezervacij    </t>
  </si>
  <si>
    <t xml:space="preserve">Sprememba poslovnih in drugih obveznosti </t>
  </si>
  <si>
    <t>Pri poslovanju pridobljena denarna sredstva (sprememba čistih obratnih sredstev)</t>
  </si>
  <si>
    <t xml:space="preserve">Plačane obresti    </t>
  </si>
  <si>
    <t xml:space="preserve">Plačani davek iz dobička  </t>
  </si>
  <si>
    <t xml:space="preserve">Čisti denarni tok iz poslovanja </t>
  </si>
  <si>
    <t xml:space="preserve">DENARNI TOKOVI PRI NALOŽBENJU    </t>
  </si>
  <si>
    <t xml:space="preserve">Prejemki iz prodaje nepremičnin, naprav in opreme </t>
  </si>
  <si>
    <t xml:space="preserve">Prejemki iz prodaje naložbenih nepremičnin   </t>
  </si>
  <si>
    <t xml:space="preserve">Prejete obresti </t>
  </si>
  <si>
    <t>Prejete dividende</t>
  </si>
  <si>
    <t xml:space="preserve">Prodaja odvisnega podjetja </t>
  </si>
  <si>
    <t xml:space="preserve">Pridobitev nepremičnin,  naprav in opreme  </t>
  </si>
  <si>
    <t xml:space="preserve">Pridobitev naložbenih nepremičnin     </t>
  </si>
  <si>
    <t xml:space="preserve">Nakup odvisnega podjetja brez pridobljenih finančnih sredstev </t>
  </si>
  <si>
    <t xml:space="preserve">Nakup pridruženega podjetja brez pridobljenih finančnih sredstev </t>
  </si>
  <si>
    <t xml:space="preserve">Dana posojila </t>
  </si>
  <si>
    <t>Vrnjena posojila</t>
  </si>
  <si>
    <t xml:space="preserve">Druge naložbe </t>
  </si>
  <si>
    <t xml:space="preserve">Pridobitev neopredmetenih sredstev     </t>
  </si>
  <si>
    <t xml:space="preserve">Čisti denarni tok iz naložbenja   </t>
  </si>
  <si>
    <t xml:space="preserve">DENARNI TOKOVI PRI FINANCIRANJU    </t>
  </si>
  <si>
    <t xml:space="preserve">Dokapitalizacija        </t>
  </si>
  <si>
    <t xml:space="preserve">Najem posojil </t>
  </si>
  <si>
    <t xml:space="preserve">Odplačilo posojil </t>
  </si>
  <si>
    <t>Izdane obveznice</t>
  </si>
  <si>
    <t>Izplačane obveznice</t>
  </si>
  <si>
    <t>Izplačilo dividend</t>
  </si>
  <si>
    <t xml:space="preserve">Čisti denarni tok iz financiranja   </t>
  </si>
  <si>
    <t xml:space="preserve">Čista sprememba denarnih sredstev in njihovih ustreznikov        </t>
  </si>
  <si>
    <t xml:space="preserve">Denarna sredstva in njihovi ustrezniki na začetku obdobja   </t>
  </si>
  <si>
    <t>Denarna sredstva in njihovi ustrezniki na koncu obdobja</t>
  </si>
  <si>
    <t>KAZALNIKI:</t>
  </si>
  <si>
    <t>KAKO JIH IZRAČUNAMO?</t>
  </si>
  <si>
    <t>Dobičkonosnost kapitala</t>
  </si>
  <si>
    <t>čisti dobiček /kapital</t>
  </si>
  <si>
    <t>Dobičkonosnost sredstev</t>
  </si>
  <si>
    <t>čisti dobiček / sredtsva</t>
  </si>
  <si>
    <t>Čista dobičkovnost prihodkov</t>
  </si>
  <si>
    <t>čisti dobiček / prihodki</t>
  </si>
  <si>
    <t>Obračanje celotnih sredstev</t>
  </si>
  <si>
    <t>prihodki/sredstva</t>
  </si>
  <si>
    <t>Obračanje zalog</t>
  </si>
  <si>
    <t>prihodki od poslovanja / zaloge ali proizvajalni stroški prodanih proizvodov/ zaloge</t>
  </si>
  <si>
    <t>Dnevi vezave zalog</t>
  </si>
  <si>
    <t>365/obračanje zalog</t>
  </si>
  <si>
    <t>Dnevi vezave terjatev</t>
  </si>
  <si>
    <t>356/obračanje terjatev</t>
  </si>
  <si>
    <t>Delež kapitala v financiranju = delež kapitala v pasivi</t>
  </si>
  <si>
    <t>kapitač/(obveznosti do virov sredstev =pasiva)</t>
  </si>
  <si>
    <t>Delež dolgov v financiranju</t>
  </si>
  <si>
    <t>(dol. Fin. Obv. + kratk. Fin. Obv.) /obv. Do virov sredstev</t>
  </si>
  <si>
    <t>Dnevi vezave obveznosti do dobaviteljev</t>
  </si>
  <si>
    <t>365*(obv do dobaviteljev /stroški materiala, blaga)</t>
  </si>
  <si>
    <t>Zadolženost sredstva/ kapital</t>
  </si>
  <si>
    <t>sredstva / kapital</t>
  </si>
  <si>
    <t>Hitri test</t>
  </si>
  <si>
    <t>(kratkoročna sredstva - zaloge)/kratkoročne obveznosti</t>
  </si>
  <si>
    <t>Kratkoročni koeficient</t>
  </si>
  <si>
    <t>kratkoročna sredstva/ kratkoročne obveznosti</t>
  </si>
  <si>
    <t>Delež obratnih sredstev v sredstvih</t>
  </si>
  <si>
    <t>obratna sredstva/sredstva IZRAČUNAŠ DRUGAČE!!</t>
  </si>
  <si>
    <t>Dobičkovnost prihodkov od poslovanja</t>
  </si>
  <si>
    <t>EBIT/prihodki od prodaje</t>
  </si>
  <si>
    <t>Obračanje terjatev</t>
  </si>
  <si>
    <t>prihodki od poslovanaj/terjatve iz poslovanja</t>
  </si>
  <si>
    <t>profitna marža</t>
  </si>
  <si>
    <t>obračanje obveznosti do dobaviteljev</t>
  </si>
  <si>
    <t>stroški materiala, balga / obveznosti do dobaviteljev</t>
  </si>
  <si>
    <t>365*(obveznost do dobaviteljev / stroški materiala, blaga)</t>
  </si>
  <si>
    <t>Pokritje obresti</t>
  </si>
  <si>
    <t>dobiček iz poslovanja / obresti</t>
  </si>
  <si>
    <t>Kraš</t>
  </si>
  <si>
    <t>Čisti dobiček</t>
  </si>
  <si>
    <t>Kapital</t>
  </si>
  <si>
    <t>Prihodki od prodaje</t>
  </si>
  <si>
    <t>Ostali prihodki</t>
  </si>
  <si>
    <t>Prihodki</t>
  </si>
  <si>
    <t>Sredstva</t>
  </si>
  <si>
    <t>Zaloge</t>
  </si>
  <si>
    <t>Proizvajalni stroški prodanih proizvodov</t>
  </si>
  <si>
    <t>EBIT( dobiček iz poslovanja)</t>
  </si>
  <si>
    <t>Terjatve iz poslovanja</t>
  </si>
  <si>
    <t>Kratkoročne obveznosti</t>
  </si>
  <si>
    <t>Dolgoročne obveznosti</t>
  </si>
  <si>
    <t>Obveznosti do virov sredstev = PASIVA</t>
  </si>
  <si>
    <t>Dolgoročne finančne obveznosti</t>
  </si>
  <si>
    <t>Kratkoročne finančne obveznosti</t>
  </si>
  <si>
    <t>Obveznosti do dobaviteljev</t>
  </si>
  <si>
    <t>Stroški materiala, blaga</t>
  </si>
  <si>
    <t>Kratkoročna sredstva</t>
  </si>
  <si>
    <t>Obresti</t>
  </si>
  <si>
    <t>DOBIČKONOSNOST KAPITALA</t>
  </si>
  <si>
    <t>DOBIČKONOSNOST SREDSTEV</t>
  </si>
  <si>
    <t>ČISTA DOBRIČKONOSNOST PRIHODKOV</t>
  </si>
  <si>
    <t>OBRAČANJE (celotnih) SREDSTEV</t>
  </si>
  <si>
    <t>OBRAČANJE ZALOG</t>
  </si>
  <si>
    <t>OBRAČANJE TERJATEV</t>
  </si>
  <si>
    <t>DNEVI VEZAVE ZALOG</t>
  </si>
  <si>
    <t>DNEVI VEZAVE TERJATEV IZ POSLOVANJA</t>
  </si>
  <si>
    <t>DELEŽ KAPITALA V FINANCIRANJU</t>
  </si>
  <si>
    <t>DELEŽ DOLGOV V FINANCIRANJU</t>
  </si>
  <si>
    <t>DNEVI VEZAVE OBVEZNOSTI DO DOBAVITELJEV</t>
  </si>
  <si>
    <t>ZADOLŽENOST = sredstva/ kapital</t>
  </si>
  <si>
    <t>HITRI TEST</t>
  </si>
  <si>
    <t>KRATKOROČNI KOEFICIENT</t>
  </si>
  <si>
    <t>DOBA VEZAVE ČOS</t>
  </si>
  <si>
    <t>PROFITNA MARŽA (števec = čisti dobiček)</t>
  </si>
  <si>
    <t>POKRITJE OBRESTI</t>
  </si>
  <si>
    <t>OBRAČANJE OBVEZNOSTI DO DOBAVITELJEV</t>
  </si>
  <si>
    <t>DOBIČKOVNOST PRIHODKOV OD POSLOVANJA</t>
  </si>
  <si>
    <t>EBITDA</t>
  </si>
  <si>
    <t xml:space="preserve">Poslovni izid pred davki </t>
  </si>
  <si>
    <t>274,4 mio EUR oz. 75,1 več kot 2017 čistih fin. Obv</t>
  </si>
  <si>
    <t xml:space="preserve">Čista finančna sredtva </t>
  </si>
  <si>
    <t>Poslovni izid poslovnega  leta   (čisti dobiček)</t>
  </si>
  <si>
    <t>EBITDA marža</t>
  </si>
  <si>
    <t>EBIT marža</t>
  </si>
  <si>
    <t>efektivna davčna stopnja</t>
  </si>
  <si>
    <t>Stopnja rasti</t>
  </si>
  <si>
    <t>Primerjava s podjetji</t>
  </si>
  <si>
    <t>Stroški prodanih</t>
  </si>
  <si>
    <t>stroški prodaje</t>
  </si>
  <si>
    <t>stroški uprave</t>
  </si>
  <si>
    <t>popravki</t>
  </si>
  <si>
    <t>neto finančne obv.</t>
  </si>
  <si>
    <t>Electrolux</t>
  </si>
  <si>
    <t xml:space="preserve">Stroški </t>
  </si>
  <si>
    <t>Stroški</t>
  </si>
  <si>
    <t>v mSEK (Swedish Krona)</t>
  </si>
  <si>
    <t>Skupina Gorenje</t>
  </si>
  <si>
    <t>Delež kapitala v financiranju</t>
  </si>
  <si>
    <t>Profitna marža</t>
  </si>
  <si>
    <t>Amortizacija</t>
  </si>
  <si>
    <t>Stroški skupaj:</t>
  </si>
  <si>
    <t>+amortizacija</t>
  </si>
  <si>
    <t>-naložbe v osn. sredstva</t>
  </si>
  <si>
    <t>-naložbe v obratni kapital</t>
  </si>
  <si>
    <t>NALOŽBE V OSNOVNA SREDSTVA</t>
  </si>
  <si>
    <t>-nakup neopredmetenih sredstev</t>
  </si>
  <si>
    <t>-nakup osnovnih sredstev</t>
  </si>
  <si>
    <t>čiste naložbe skupaj</t>
  </si>
  <si>
    <t>INVESTICIJE V OSNOVNA SREDSTVA:</t>
  </si>
  <si>
    <t>FCFF</t>
  </si>
  <si>
    <t>Rast prihodkov od prodaje v %</t>
  </si>
  <si>
    <t>Rast stroškov v %</t>
  </si>
  <si>
    <t>v 1000 EUR</t>
  </si>
  <si>
    <t>NALOŽBE V OBRATNA SREDSTVA</t>
  </si>
  <si>
    <t>razlika</t>
  </si>
  <si>
    <t>EBIT</t>
  </si>
  <si>
    <t>Neto finančni odhodki</t>
  </si>
  <si>
    <t xml:space="preserve">Amortizacija neopredmetenih sredstev </t>
  </si>
  <si>
    <t>AMORTIZACIJA</t>
  </si>
  <si>
    <t xml:space="preserve">Amortizacija opredmetenih sredstev </t>
  </si>
  <si>
    <t>Struktura prodaje</t>
  </si>
  <si>
    <t>Zahodna Evropa</t>
  </si>
  <si>
    <t>Vzhodna Evropa</t>
  </si>
  <si>
    <t>Ostali svet</t>
  </si>
  <si>
    <t xml:space="preserve">Število izdanih delnic </t>
  </si>
  <si>
    <t xml:space="preserve">Število lastnih delnic </t>
  </si>
  <si>
    <t xml:space="preserve">Število delničarjev </t>
  </si>
  <si>
    <t xml:space="preserve">Zaključni tečaj delnice (EUR)   </t>
  </si>
  <si>
    <t xml:space="preserve">Najvišja vrednost v letu (EUR)  </t>
  </si>
  <si>
    <t xml:space="preserve">Najnižja vrednost v letu (EUR)  </t>
  </si>
  <si>
    <t>stopnja rasti od 2013</t>
  </si>
  <si>
    <t>Knjigovodska vrednost delnice (EUR)</t>
  </si>
  <si>
    <t>Lastniška struktura po državah na dan 31. 12. 2017</t>
  </si>
  <si>
    <t>Slovenija</t>
  </si>
  <si>
    <t>ZDA</t>
  </si>
  <si>
    <t>Hrvaška</t>
  </si>
  <si>
    <t>Japonska</t>
  </si>
  <si>
    <t>Poljska</t>
  </si>
  <si>
    <t>Nizozemska</t>
  </si>
  <si>
    <t>Avstrija</t>
  </si>
  <si>
    <t>Francija</t>
  </si>
  <si>
    <t>Luksemburg</t>
  </si>
  <si>
    <t>Madžarska</t>
  </si>
  <si>
    <t>Ostale države</t>
  </si>
  <si>
    <t>KAPITALSKA DRUŽBA, D. D.</t>
  </si>
  <si>
    <t xml:space="preserve">INTERNATIONAL FINANCE CORPORATION </t>
  </si>
  <si>
    <t xml:space="preserve">PANASONIC CORPORATION  </t>
  </si>
  <si>
    <t>Največji delničarji</t>
  </si>
  <si>
    <t>Št. Delnic (31.12.2017)</t>
  </si>
  <si>
    <t>Lastniški delež</t>
  </si>
  <si>
    <t>sredstva/kapital</t>
  </si>
  <si>
    <t>Zadolženost</t>
  </si>
  <si>
    <t>Dobičkonosnost prihodkov od poslovanja</t>
  </si>
  <si>
    <t>Za graf:</t>
  </si>
  <si>
    <t>Razmerje naložb v prihodkih</t>
  </si>
  <si>
    <t>Razmerje naložb v prihodkih (delež kosmatega donosa)</t>
  </si>
  <si>
    <t>Delež stroškov v prihodkih</t>
  </si>
  <si>
    <t>Čisti obratni kapital</t>
  </si>
  <si>
    <t xml:space="preserve"> </t>
  </si>
  <si>
    <t>Število zaposlenih</t>
  </si>
  <si>
    <t xml:space="preserve">Stroški dela: </t>
  </si>
  <si>
    <t>stroški dela/zaposlenega (v EUR)</t>
  </si>
  <si>
    <t>Kontrola: Prihodki/ zaposlenega</t>
  </si>
  <si>
    <t xml:space="preserve">Nabavna vrednost prodanega blaga </t>
  </si>
  <si>
    <t xml:space="preserve">Stroški materiala </t>
  </si>
  <si>
    <t xml:space="preserve">Stroški storitev </t>
  </si>
  <si>
    <t>SKUPAJ (Stroški blaga, materiala in storitev)</t>
  </si>
  <si>
    <t>stroški blaga,materiala / prihodki</t>
  </si>
  <si>
    <t>Rast nabavne vrednosti blaga v %</t>
  </si>
  <si>
    <t>Rast stroškov materiala v %</t>
  </si>
  <si>
    <t>Rast stroškov storitev v %</t>
  </si>
  <si>
    <t>Rast celotnih stroškov v %</t>
  </si>
  <si>
    <t>Stopnja donosa</t>
  </si>
  <si>
    <t>Izračun WACC</t>
  </si>
  <si>
    <t>Netvegana stopnja donosa:</t>
  </si>
  <si>
    <t>(aritmetična sredina slovenskih obveznic z dospelostjo 20 let)</t>
  </si>
  <si>
    <t>Datum izdaje</t>
  </si>
  <si>
    <t>rm-rf</t>
  </si>
  <si>
    <t>unlevered beta</t>
  </si>
  <si>
    <t>β</t>
  </si>
  <si>
    <t>WACC</t>
  </si>
  <si>
    <t>nominalna obrestna mera</t>
  </si>
  <si>
    <t>strošek dolžniškega kapitala</t>
  </si>
  <si>
    <t>pribitek za majhnost podjetja</t>
  </si>
  <si>
    <t>posebna tveganja</t>
  </si>
  <si>
    <t>pribitek za deželno tveganje</t>
  </si>
  <si>
    <t>tržna kapitalizacija=</t>
  </si>
  <si>
    <t>št. Delnic</t>
  </si>
  <si>
    <t>tržna vrednost</t>
  </si>
  <si>
    <t>*majhno podjetje</t>
  </si>
  <si>
    <t xml:space="preserve">razmerje </t>
  </si>
  <si>
    <t>Izkaz poslovnega izida</t>
  </si>
  <si>
    <t>Rast v %</t>
  </si>
  <si>
    <t>% od kosmatega donosa</t>
  </si>
  <si>
    <t>Efektivna davčna stopnja</t>
  </si>
  <si>
    <t>NAPOVED</t>
  </si>
  <si>
    <t>amortizacija/os.sredstva</t>
  </si>
  <si>
    <t>drugi poslovni odhodki/kosmat donos</t>
  </si>
  <si>
    <t xml:space="preserve">finančni odhodki      </t>
  </si>
  <si>
    <t>finančni prihodki</t>
  </si>
  <si>
    <t>amortizacija/NOS.sredstva</t>
  </si>
  <si>
    <t>amortizacija/OOS.sredstva</t>
  </si>
  <si>
    <t>amortizacija/OS.sredstva</t>
  </si>
  <si>
    <t>Mesec</t>
  </si>
  <si>
    <t>Diskontni faktor</t>
  </si>
  <si>
    <t>Leto</t>
  </si>
  <si>
    <t>Diskontiran FCFF</t>
  </si>
  <si>
    <t>Preostala vrednost</t>
  </si>
  <si>
    <t>Število delnic</t>
  </si>
  <si>
    <t>Vrednost celotnega kapitala (v 1000 EUR)</t>
  </si>
  <si>
    <t>Cena delnice</t>
  </si>
  <si>
    <t>Neto dolg (v 1000 EUR)</t>
  </si>
  <si>
    <t>Vrednost celotnega kapitala (v EUR))</t>
  </si>
  <si>
    <t>Vrednost lastniškega kapitala (v EUR)</t>
  </si>
  <si>
    <t>stopnja rasti (g)</t>
  </si>
  <si>
    <t>TU SEM SPREMENO</t>
  </si>
  <si>
    <t xml:space="preserve">Davek, obračunan z uporabo splošne davčne stopnje </t>
  </si>
  <si>
    <t>Prilagoditev za davčno stopnjo iz drugih davčnih območij</t>
  </si>
  <si>
    <t xml:space="preserve">Davčno nepriznani odhodki     </t>
  </si>
  <si>
    <t xml:space="preserve">Davčno izvzeti prihodki     </t>
  </si>
  <si>
    <t xml:space="preserve">Davčne olajšave      </t>
  </si>
  <si>
    <t xml:space="preserve">Druge razlike      </t>
  </si>
  <si>
    <t xml:space="preserve">Davčne izgube tekočega leta, za katere terjatve za odložene davke niso pripoznane    </t>
  </si>
  <si>
    <t>koda</t>
  </si>
  <si>
    <t>mSEK</t>
  </si>
  <si>
    <t>TEUR</t>
  </si>
  <si>
    <t>Dolg/EBITDA</t>
  </si>
  <si>
    <t>Donosnost sredstev (ROA)</t>
  </si>
  <si>
    <t>Stroški blaga, materiala in storitev</t>
  </si>
  <si>
    <t>Rast stroškov dela</t>
  </si>
  <si>
    <t>Rast števila zaposlenih</t>
  </si>
  <si>
    <t>Strošek dela / kosmat donos</t>
  </si>
  <si>
    <t>stroški dela/zaposlenega (v 1000 EUR)</t>
  </si>
  <si>
    <t>Nakup neopredmetenih sredstev</t>
  </si>
  <si>
    <t>Nakup opredmetenih sredstev</t>
  </si>
  <si>
    <t>Terjatve do kupcev</t>
  </si>
  <si>
    <t>denar in denarni ustrezniki</t>
  </si>
  <si>
    <t>Ostala kratkoročna sredstva</t>
  </si>
  <si>
    <t xml:space="preserve">Ostale kratkoročne Obveznosti </t>
  </si>
  <si>
    <t>Investicije v obratni kapital</t>
  </si>
  <si>
    <t>Sedanja vrednost</t>
  </si>
  <si>
    <t>8.7 (verzija 12) sem spremenil g, wacc ter obratni kapital)</t>
  </si>
  <si>
    <t>Delež lastniškega kapitala</t>
  </si>
  <si>
    <t>Delež dolžniškega kapitala</t>
  </si>
  <si>
    <t>strošek lastniškega kapitala</t>
  </si>
  <si>
    <t xml:space="preserve">Netvegana stopnja donosa </t>
  </si>
  <si>
    <t>Tržna premija za tveganje</t>
  </si>
  <si>
    <t>ČISTE NALOŽBE V OSNOVNA SREDSTVA</t>
  </si>
  <si>
    <t>Diskontirana preostala vrednost</t>
  </si>
  <si>
    <t>EBIT * (1-T)</t>
  </si>
  <si>
    <t>stroški/prihodki</t>
  </si>
  <si>
    <t>neto dolg= dol. Fin. Obv + krat. Fin. Obv. - denarna sredstva - krat. fin. Naložbe</t>
  </si>
  <si>
    <t>Poslovni prihihodki/prihodki</t>
  </si>
  <si>
    <t>Consumer Products and Services</t>
  </si>
  <si>
    <t>Consumer Staples</t>
  </si>
  <si>
    <t>Energy and Power</t>
  </si>
  <si>
    <t>Financials</t>
  </si>
  <si>
    <t>Healthcare</t>
  </si>
  <si>
    <t>Industrials</t>
  </si>
  <si>
    <t>Materials</t>
  </si>
  <si>
    <t>Real Estate</t>
  </si>
  <si>
    <t>Retail</t>
  </si>
  <si>
    <t>Telecommunications</t>
  </si>
  <si>
    <t>High Technology</t>
  </si>
  <si>
    <t>Media and Entertainment</t>
  </si>
  <si>
    <t>povprečje 13-17</t>
  </si>
  <si>
    <t>povprečje 18-22</t>
  </si>
  <si>
    <t>nabavna vrednost prodanega/prihodki od prodaje</t>
  </si>
  <si>
    <t>strošek materiala /prihodki od prodaje</t>
  </si>
  <si>
    <t>strošek storitev/ prihodki od prodaje</t>
  </si>
  <si>
    <t>Posojilo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</si>
</sst>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_€"/>
    <numFmt numFmtId="166" formatCode="0.000%"/>
    <numFmt numFmtId="167" formatCode="0.0%"/>
    <numFmt numFmtId="168" formatCode="#,##0.0"/>
    <numFmt numFmtId="169" formatCode="#,##0.000"/>
    <numFmt numFmtId="170" formatCode="0.0000"/>
    <numFmt numFmtId="171" formatCode="_-* #,##0.00\ [$€-1]_-;\-* #,##0.00\ [$€-1]_-;_-* &quot;-&quot;??\ [$€-1]_-;_-@_-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626161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9"/>
      <name val="Times New Roman"/>
      <family val="1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7">
    <xf numFmtId="0" fontId="0" fillId="0" borderId="0" xfId="0"/>
    <xf numFmtId="0" fontId="3" fillId="0" borderId="0" xfId="0" applyFo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3" fontId="4" fillId="0" borderId="0" xfId="0" applyNumberFormat="1" applyFont="1"/>
    <xf numFmtId="0" fontId="6" fillId="0" borderId="1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6" fillId="0" borderId="4" xfId="1" applyFont="1" applyFill="1" applyBorder="1"/>
    <xf numFmtId="0" fontId="6" fillId="0" borderId="5" xfId="1" applyFont="1" applyFill="1" applyBorder="1"/>
    <xf numFmtId="0" fontId="6" fillId="0" borderId="6" xfId="1" applyFont="1" applyFill="1" applyBorder="1"/>
    <xf numFmtId="0" fontId="6" fillId="0" borderId="7" xfId="1" applyFont="1" applyFill="1" applyBorder="1"/>
    <xf numFmtId="0" fontId="6" fillId="0" borderId="8" xfId="1" applyFont="1" applyFill="1" applyBorder="1"/>
    <xf numFmtId="0" fontId="0" fillId="0" borderId="0" xfId="0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Font="1" applyFill="1" applyBorder="1"/>
    <xf numFmtId="10" fontId="0" fillId="0" borderId="0" xfId="2" applyNumberFormat="1" applyFont="1"/>
    <xf numFmtId="0" fontId="10" fillId="0" borderId="0" xfId="0" applyFont="1"/>
    <xf numFmtId="3" fontId="10" fillId="0" borderId="0" xfId="0" applyNumberFormat="1" applyFont="1"/>
    <xf numFmtId="0" fontId="0" fillId="0" borderId="9" xfId="0" applyBorder="1"/>
    <xf numFmtId="10" fontId="0" fillId="0" borderId="9" xfId="0" applyNumberFormat="1" applyBorder="1"/>
    <xf numFmtId="166" fontId="0" fillId="0" borderId="0" xfId="0" applyNumberFormat="1"/>
    <xf numFmtId="10" fontId="0" fillId="0" borderId="0" xfId="0" applyNumberFormat="1"/>
    <xf numFmtId="0" fontId="0" fillId="0" borderId="8" xfId="0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11" fillId="0" borderId="0" xfId="0" applyFont="1"/>
    <xf numFmtId="0" fontId="0" fillId="0" borderId="4" xfId="0" applyFont="1" applyFill="1" applyBorder="1"/>
    <xf numFmtId="0" fontId="0" fillId="0" borderId="0" xfId="0" applyBorder="1"/>
    <xf numFmtId="10" fontId="0" fillId="0" borderId="8" xfId="0" applyNumberFormat="1" applyBorder="1"/>
    <xf numFmtId="3" fontId="0" fillId="0" borderId="8" xfId="0" applyNumberFormat="1" applyBorder="1"/>
    <xf numFmtId="3" fontId="0" fillId="0" borderId="0" xfId="0" applyNumberFormat="1" applyBorder="1"/>
    <xf numFmtId="0" fontId="3" fillId="0" borderId="0" xfId="0" applyFont="1" applyBorder="1"/>
    <xf numFmtId="3" fontId="3" fillId="0" borderId="0" xfId="0" applyNumberFormat="1" applyFont="1" applyBorder="1"/>
    <xf numFmtId="167" fontId="0" fillId="0" borderId="0" xfId="0" applyNumberFormat="1"/>
    <xf numFmtId="0" fontId="0" fillId="0" borderId="10" xfId="0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/>
    <xf numFmtId="3" fontId="0" fillId="0" borderId="10" xfId="0" applyNumberFormat="1" applyBorder="1"/>
    <xf numFmtId="10" fontId="0" fillId="0" borderId="0" xfId="0" applyNumberFormat="1" applyFont="1" applyBorder="1"/>
    <xf numFmtId="10" fontId="0" fillId="0" borderId="0" xfId="0" applyNumberFormat="1" applyBorder="1"/>
    <xf numFmtId="10" fontId="0" fillId="0" borderId="0" xfId="2" applyNumberFormat="1" applyFont="1" applyBorder="1"/>
    <xf numFmtId="3" fontId="0" fillId="0" borderId="0" xfId="0" applyNumberFormat="1" applyFill="1" applyBorder="1"/>
    <xf numFmtId="0" fontId="0" fillId="0" borderId="0" xfId="0" quotePrefix="1"/>
    <xf numFmtId="10" fontId="12" fillId="0" borderId="0" xfId="0" applyNumberFormat="1" applyFont="1"/>
    <xf numFmtId="3" fontId="12" fillId="0" borderId="0" xfId="0" applyNumberFormat="1" applyFont="1"/>
    <xf numFmtId="3" fontId="12" fillId="0" borderId="0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3" fontId="14" fillId="0" borderId="0" xfId="0" applyNumberFormat="1" applyFont="1"/>
    <xf numFmtId="10" fontId="14" fillId="0" borderId="0" xfId="0" applyNumberFormat="1" applyFont="1"/>
    <xf numFmtId="167" fontId="0" fillId="0" borderId="0" xfId="2" applyNumberFormat="1" applyFont="1"/>
    <xf numFmtId="9" fontId="0" fillId="0" borderId="0" xfId="0" applyNumberFormat="1"/>
    <xf numFmtId="9" fontId="0" fillId="0" borderId="0" xfId="0" quotePrefix="1" applyNumberFormat="1" applyAlignment="1">
      <alignment horizontal="right"/>
    </xf>
    <xf numFmtId="0" fontId="0" fillId="0" borderId="14" xfId="0" applyBorder="1"/>
    <xf numFmtId="3" fontId="0" fillId="0" borderId="14" xfId="0" applyNumberFormat="1" applyBorder="1"/>
    <xf numFmtId="9" fontId="0" fillId="0" borderId="14" xfId="0" applyNumberFormat="1" applyBorder="1"/>
    <xf numFmtId="3" fontId="0" fillId="0" borderId="15" xfId="0" applyNumberFormat="1" applyBorder="1"/>
    <xf numFmtId="14" fontId="3" fillId="0" borderId="0" xfId="0" applyNumberFormat="1" applyFont="1"/>
    <xf numFmtId="2" fontId="0" fillId="0" borderId="8" xfId="0" applyNumberFormat="1" applyBorder="1"/>
    <xf numFmtId="10" fontId="2" fillId="0" borderId="0" xfId="2" applyNumberFormat="1" applyFont="1"/>
    <xf numFmtId="10" fontId="2" fillId="0" borderId="0" xfId="0" applyNumberFormat="1" applyFont="1" applyBorder="1"/>
    <xf numFmtId="3" fontId="0" fillId="0" borderId="0" xfId="0" applyNumberFormat="1"/>
    <xf numFmtId="3" fontId="16" fillId="0" borderId="0" xfId="0" applyNumberFormat="1" applyFont="1"/>
    <xf numFmtId="10" fontId="17" fillId="0" borderId="0" xfId="2" applyNumberFormat="1" applyFont="1"/>
    <xf numFmtId="0" fontId="2" fillId="0" borderId="0" xfId="0" applyFont="1"/>
    <xf numFmtId="1" fontId="17" fillId="0" borderId="0" xfId="0" applyNumberFormat="1" applyFont="1"/>
    <xf numFmtId="2" fontId="17" fillId="0" borderId="0" xfId="0" applyNumberFormat="1" applyFont="1"/>
    <xf numFmtId="3" fontId="17" fillId="0" borderId="0" xfId="0" applyNumberFormat="1" applyFont="1"/>
    <xf numFmtId="166" fontId="17" fillId="0" borderId="0" xfId="0" applyNumberFormat="1" applyFont="1"/>
    <xf numFmtId="0" fontId="18" fillId="0" borderId="0" xfId="0" applyFont="1"/>
    <xf numFmtId="0" fontId="18" fillId="0" borderId="16" xfId="0" applyFont="1" applyBorder="1"/>
    <xf numFmtId="10" fontId="0" fillId="0" borderId="10" xfId="0" applyNumberFormat="1" applyBorder="1"/>
    <xf numFmtId="10" fontId="0" fillId="0" borderId="11" xfId="0" applyNumberFormat="1" applyBorder="1"/>
    <xf numFmtId="3" fontId="3" fillId="0" borderId="10" xfId="0" applyNumberFormat="1" applyFont="1" applyBorder="1"/>
    <xf numFmtId="3" fontId="3" fillId="0" borderId="11" xfId="0" applyNumberFormat="1" applyFont="1" applyBorder="1"/>
    <xf numFmtId="3" fontId="19" fillId="0" borderId="0" xfId="0" applyNumberFormat="1" applyFont="1" applyBorder="1"/>
    <xf numFmtId="0" fontId="20" fillId="0" borderId="18" xfId="0" applyFont="1" applyBorder="1" applyAlignment="1">
      <alignment vertical="center" wrapText="1"/>
    </xf>
    <xf numFmtId="14" fontId="0" fillId="0" borderId="0" xfId="0" applyNumberFormat="1"/>
    <xf numFmtId="14" fontId="20" fillId="0" borderId="18" xfId="0" applyNumberFormat="1" applyFont="1" applyBorder="1" applyAlignment="1">
      <alignment vertical="center" wrapText="1"/>
    </xf>
    <xf numFmtId="4" fontId="20" fillId="0" borderId="18" xfId="0" applyNumberFormat="1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14" fontId="20" fillId="0" borderId="18" xfId="0" applyNumberFormat="1" applyFont="1" applyBorder="1" applyAlignment="1">
      <alignment horizontal="right" vertical="center" wrapText="1"/>
    </xf>
    <xf numFmtId="10" fontId="18" fillId="0" borderId="0" xfId="0" applyNumberFormat="1" applyFont="1"/>
    <xf numFmtId="15" fontId="0" fillId="0" borderId="0" xfId="0" applyNumberFormat="1"/>
    <xf numFmtId="44" fontId="0" fillId="0" borderId="0" xfId="6" applyFont="1"/>
    <xf numFmtId="4" fontId="17" fillId="0" borderId="0" xfId="0" applyNumberFormat="1" applyFont="1"/>
    <xf numFmtId="169" fontId="17" fillId="0" borderId="0" xfId="0" applyNumberFormat="1" applyFont="1"/>
    <xf numFmtId="0" fontId="21" fillId="0" borderId="9" xfId="0" applyFont="1" applyBorder="1"/>
    <xf numFmtId="44" fontId="0" fillId="0" borderId="0" xfId="0" applyNumberFormat="1"/>
    <xf numFmtId="3" fontId="3" fillId="0" borderId="20" xfId="0" applyNumberFormat="1" applyFont="1" applyBorder="1"/>
    <xf numFmtId="0" fontId="3" fillId="0" borderId="16" xfId="0" applyFont="1" applyBorder="1"/>
    <xf numFmtId="3" fontId="3" fillId="0" borderId="16" xfId="0" applyNumberFormat="1" applyFont="1" applyBorder="1"/>
    <xf numFmtId="3" fontId="3" fillId="0" borderId="17" xfId="0" applyNumberFormat="1" applyFont="1" applyBorder="1"/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10" xfId="0" applyBorder="1" applyAlignment="1">
      <alignment horizontal="left" indent="3"/>
    </xf>
    <xf numFmtId="3" fontId="19" fillId="0" borderId="14" xfId="0" applyNumberFormat="1" applyFont="1" applyBorder="1"/>
    <xf numFmtId="0" fontId="19" fillId="0" borderId="14" xfId="0" applyFont="1" applyBorder="1" applyAlignment="1">
      <alignment horizontal="left" indent="2"/>
    </xf>
    <xf numFmtId="0" fontId="3" fillId="0" borderId="20" xfId="0" applyFont="1" applyBorder="1" applyAlignment="1">
      <alignment horizontal="left" indent="1"/>
    </xf>
    <xf numFmtId="0" fontId="19" fillId="0" borderId="0" xfId="0" applyFont="1" applyBorder="1" applyAlignment="1">
      <alignment horizontal="left" indent="3"/>
    </xf>
    <xf numFmtId="0" fontId="19" fillId="0" borderId="0" xfId="0" applyFont="1" applyBorder="1" applyAlignment="1">
      <alignment horizontal="left" indent="2"/>
    </xf>
    <xf numFmtId="0" fontId="3" fillId="0" borderId="16" xfId="0" applyFont="1" applyBorder="1" applyAlignment="1">
      <alignment horizontal="left" indent="2"/>
    </xf>
    <xf numFmtId="0" fontId="0" fillId="0" borderId="0" xfId="0" applyAlignment="1">
      <alignment horizontal="left" indent="2"/>
    </xf>
    <xf numFmtId="0" fontId="3" fillId="0" borderId="16" xfId="0" applyFont="1" applyBorder="1" applyAlignment="1">
      <alignment horizontal="left" indent="3"/>
    </xf>
    <xf numFmtId="0" fontId="3" fillId="0" borderId="16" xfId="0" applyFont="1" applyBorder="1" applyAlignment="1">
      <alignment horizontal="left"/>
    </xf>
    <xf numFmtId="14" fontId="0" fillId="0" borderId="10" xfId="0" applyNumberFormat="1" applyBorder="1"/>
    <xf numFmtId="10" fontId="18" fillId="0" borderId="16" xfId="0" applyNumberFormat="1" applyFont="1" applyBorder="1"/>
    <xf numFmtId="0" fontId="18" fillId="0" borderId="10" xfId="0" applyFont="1" applyBorder="1"/>
    <xf numFmtId="10" fontId="18" fillId="0" borderId="10" xfId="0" applyNumberFormat="1" applyFont="1" applyBorder="1"/>
    <xf numFmtId="15" fontId="0" fillId="0" borderId="10" xfId="0" applyNumberFormat="1" applyBorder="1"/>
    <xf numFmtId="0" fontId="12" fillId="0" borderId="0" xfId="0" applyFont="1" applyBorder="1"/>
    <xf numFmtId="3" fontId="13" fillId="0" borderId="0" xfId="0" applyNumberFormat="1" applyFont="1" applyBorder="1"/>
    <xf numFmtId="10" fontId="12" fillId="0" borderId="0" xfId="0" applyNumberFormat="1" applyFont="1" applyBorder="1"/>
    <xf numFmtId="10" fontId="12" fillId="0" borderId="0" xfId="2" applyNumberFormat="1" applyFont="1" applyBorder="1"/>
    <xf numFmtId="4" fontId="12" fillId="0" borderId="0" xfId="0" applyNumberFormat="1" applyFont="1" applyBorder="1"/>
    <xf numFmtId="0" fontId="0" fillId="0" borderId="10" xfId="0" applyBorder="1" applyAlignment="1">
      <alignment horizontal="left" indent="2"/>
    </xf>
    <xf numFmtId="0" fontId="18" fillId="0" borderId="21" xfId="0" applyFont="1" applyBorder="1"/>
    <xf numFmtId="10" fontId="18" fillId="0" borderId="21" xfId="0" applyNumberFormat="1" applyFont="1" applyBorder="1"/>
    <xf numFmtId="167" fontId="0" fillId="0" borderId="0" xfId="2" applyNumberFormat="1" applyFont="1" applyAlignment="1">
      <alignment horizontal="right" vertical="center"/>
    </xf>
    <xf numFmtId="3" fontId="2" fillId="0" borderId="0" xfId="0" applyNumberFormat="1" applyFont="1" applyBorder="1"/>
    <xf numFmtId="167" fontId="18" fillId="0" borderId="0" xfId="2" applyNumberFormat="1" applyFont="1"/>
    <xf numFmtId="167" fontId="0" fillId="0" borderId="8" xfId="2" applyNumberFormat="1" applyFont="1" applyBorder="1"/>
    <xf numFmtId="167" fontId="18" fillId="0" borderId="8" xfId="2" applyNumberFormat="1" applyFont="1" applyBorder="1"/>
    <xf numFmtId="2" fontId="0" fillId="0" borderId="0" xfId="0" applyNumberFormat="1" applyBorder="1"/>
    <xf numFmtId="0" fontId="2" fillId="0" borderId="0" xfId="0" applyFont="1" applyFill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0" fontId="22" fillId="0" borderId="10" xfId="0" applyFont="1" applyBorder="1"/>
    <xf numFmtId="0" fontId="22" fillId="0" borderId="10" xfId="0" applyFont="1" applyBorder="1" applyAlignment="1">
      <alignment horizontal="left"/>
    </xf>
    <xf numFmtId="3" fontId="23" fillId="0" borderId="0" xfId="0" applyNumberFormat="1" applyFont="1"/>
    <xf numFmtId="3" fontId="23" fillId="0" borderId="0" xfId="0" applyNumberFormat="1" applyFont="1" applyBorder="1"/>
    <xf numFmtId="0" fontId="22" fillId="0" borderId="16" xfId="0" applyFont="1" applyBorder="1"/>
    <xf numFmtId="3" fontId="22" fillId="0" borderId="16" xfId="0" applyNumberFormat="1" applyFont="1" applyBorder="1"/>
    <xf numFmtId="0" fontId="22" fillId="0" borderId="16" xfId="0" applyFont="1" applyBorder="1" applyAlignment="1">
      <alignment horizontal="left"/>
    </xf>
    <xf numFmtId="3" fontId="22" fillId="0" borderId="0" xfId="0" applyNumberFormat="1" applyFont="1"/>
    <xf numFmtId="49" fontId="23" fillId="0" borderId="0" xfId="3" applyNumberFormat="1" applyFont="1"/>
    <xf numFmtId="0" fontId="22" fillId="0" borderId="20" xfId="0" applyFont="1" applyBorder="1" applyAlignment="1">
      <alignment horizontal="left" indent="1"/>
    </xf>
    <xf numFmtId="3" fontId="22" fillId="0" borderId="20" xfId="0" applyNumberFormat="1" applyFont="1" applyBorder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indent="2"/>
    </xf>
    <xf numFmtId="10" fontId="23" fillId="0" borderId="0" xfId="0" applyNumberFormat="1" applyFont="1"/>
    <xf numFmtId="49" fontId="23" fillId="0" borderId="0" xfId="0" applyNumberFormat="1" applyFont="1" applyBorder="1"/>
    <xf numFmtId="0" fontId="23" fillId="0" borderId="0" xfId="0" applyFont="1" applyAlignment="1">
      <alignment horizontal="left" indent="3"/>
    </xf>
    <xf numFmtId="3" fontId="24" fillId="0" borderId="0" xfId="0" applyNumberFormat="1" applyFont="1"/>
    <xf numFmtId="49" fontId="23" fillId="0" borderId="10" xfId="0" applyNumberFormat="1" applyFont="1" applyBorder="1"/>
    <xf numFmtId="3" fontId="23" fillId="0" borderId="10" xfId="0" applyNumberFormat="1" applyFont="1" applyBorder="1"/>
    <xf numFmtId="3" fontId="22" fillId="0" borderId="10" xfId="0" applyNumberFormat="1" applyFont="1" applyBorder="1"/>
    <xf numFmtId="10" fontId="23" fillId="0" borderId="10" xfId="0" applyNumberFormat="1" applyFont="1" applyBorder="1"/>
    <xf numFmtId="10" fontId="23" fillId="0" borderId="0" xfId="0" applyNumberFormat="1" applyFont="1" applyBorder="1"/>
    <xf numFmtId="0" fontId="22" fillId="0" borderId="0" xfId="0" applyFont="1" applyBorder="1" applyAlignment="1"/>
    <xf numFmtId="0" fontId="23" fillId="0" borderId="0" xfId="0" applyFont="1" applyBorder="1" applyAlignment="1">
      <alignment horizontal="left" indent="2"/>
    </xf>
    <xf numFmtId="170" fontId="23" fillId="0" borderId="0" xfId="0" applyNumberFormat="1" applyFont="1"/>
    <xf numFmtId="0" fontId="23" fillId="0" borderId="10" xfId="0" applyFont="1" applyBorder="1" applyAlignment="1">
      <alignment horizontal="left" indent="3"/>
    </xf>
    <xf numFmtId="2" fontId="23" fillId="0" borderId="0" xfId="0" applyNumberFormat="1" applyFont="1"/>
    <xf numFmtId="3" fontId="23" fillId="0" borderId="0" xfId="0" applyNumberFormat="1" applyFont="1" applyFill="1" applyBorder="1"/>
    <xf numFmtId="0" fontId="23" fillId="0" borderId="10" xfId="0" applyFont="1" applyBorder="1"/>
    <xf numFmtId="3" fontId="23" fillId="0" borderId="8" xfId="0" applyNumberFormat="1" applyFont="1" applyBorder="1"/>
    <xf numFmtId="4" fontId="22" fillId="0" borderId="10" xfId="0" applyNumberFormat="1" applyFont="1" applyBorder="1"/>
    <xf numFmtId="171" fontId="23" fillId="0" borderId="0" xfId="0" applyNumberFormat="1" applyFont="1"/>
    <xf numFmtId="0" fontId="23" fillId="0" borderId="0" xfId="0" applyFont="1" applyBorder="1" applyAlignment="1">
      <alignment horizontal="left" indent="3"/>
    </xf>
    <xf numFmtId="0" fontId="23" fillId="0" borderId="14" xfId="0" applyFont="1" applyBorder="1" applyAlignment="1">
      <alignment horizontal="left" indent="2"/>
    </xf>
    <xf numFmtId="3" fontId="23" fillId="0" borderId="14" xfId="0" applyNumberFormat="1" applyFont="1" applyBorder="1"/>
    <xf numFmtId="3" fontId="22" fillId="0" borderId="8" xfId="0" applyNumberFormat="1" applyFont="1" applyBorder="1"/>
    <xf numFmtId="0" fontId="25" fillId="0" borderId="0" xfId="0" applyFont="1"/>
    <xf numFmtId="3" fontId="25" fillId="0" borderId="0" xfId="0" applyNumberFormat="1" applyFont="1"/>
    <xf numFmtId="3" fontId="25" fillId="0" borderId="0" xfId="0" applyNumberFormat="1" applyFont="1" applyBorder="1"/>
    <xf numFmtId="0" fontId="18" fillId="2" borderId="21" xfId="0" applyFont="1" applyFill="1" applyBorder="1"/>
    <xf numFmtId="10" fontId="18" fillId="2" borderId="21" xfId="0" applyNumberFormat="1" applyFont="1" applyFill="1" applyBorder="1"/>
    <xf numFmtId="0" fontId="18" fillId="0" borderId="22" xfId="0" applyFont="1" applyBorder="1"/>
    <xf numFmtId="0" fontId="0" fillId="0" borderId="19" xfId="0" applyBorder="1"/>
    <xf numFmtId="0" fontId="0" fillId="0" borderId="22" xfId="0" applyBorder="1"/>
    <xf numFmtId="0" fontId="19" fillId="0" borderId="9" xfId="0" applyFont="1" applyBorder="1"/>
    <xf numFmtId="10" fontId="19" fillId="0" borderId="9" xfId="0" applyNumberFormat="1" applyFont="1" applyBorder="1"/>
    <xf numFmtId="10" fontId="16" fillId="0" borderId="0" xfId="0" applyNumberFormat="1" applyFont="1"/>
    <xf numFmtId="10" fontId="16" fillId="0" borderId="0" xfId="0" applyNumberFormat="1" applyFont="1" applyBorder="1"/>
    <xf numFmtId="3" fontId="16" fillId="0" borderId="0" xfId="0" applyNumberFormat="1" applyFont="1" applyBorder="1"/>
    <xf numFmtId="10" fontId="16" fillId="0" borderId="10" xfId="0" applyNumberFormat="1" applyFont="1" applyBorder="1"/>
    <xf numFmtId="3" fontId="9" fillId="0" borderId="0" xfId="0" applyNumberFormat="1" applyFont="1" applyBorder="1"/>
    <xf numFmtId="0" fontId="16" fillId="0" borderId="0" xfId="0" applyFont="1" applyBorder="1"/>
    <xf numFmtId="167" fontId="0" fillId="0" borderId="0" xfId="2" applyNumberFormat="1" applyFont="1" applyBorder="1"/>
    <xf numFmtId="3" fontId="26" fillId="0" borderId="0" xfId="0" applyNumberFormat="1" applyFont="1" applyBorder="1"/>
    <xf numFmtId="10" fontId="4" fillId="0" borderId="0" xfId="0" applyNumberFormat="1" applyFont="1"/>
    <xf numFmtId="10" fontId="4" fillId="0" borderId="0" xfId="0" applyNumberFormat="1" applyFont="1" applyBorder="1"/>
    <xf numFmtId="3" fontId="4" fillId="0" borderId="0" xfId="0" applyNumberFormat="1" applyFont="1" applyBorder="1"/>
    <xf numFmtId="3" fontId="5" fillId="0" borderId="0" xfId="0" applyNumberFormat="1" applyFont="1"/>
    <xf numFmtId="0" fontId="5" fillId="0" borderId="10" xfId="0" applyFont="1" applyBorder="1"/>
    <xf numFmtId="0" fontId="5" fillId="0" borderId="11" xfId="0" applyFont="1" applyBorder="1"/>
    <xf numFmtId="0" fontId="5" fillId="0" borderId="16" xfId="0" applyFont="1" applyBorder="1" applyAlignment="1">
      <alignment horizontal="left"/>
    </xf>
    <xf numFmtId="3" fontId="5" fillId="0" borderId="16" xfId="0" applyNumberFormat="1" applyFont="1" applyBorder="1"/>
    <xf numFmtId="3" fontId="5" fillId="0" borderId="17" xfId="0" applyNumberFormat="1" applyFont="1" applyBorder="1"/>
    <xf numFmtId="0" fontId="4" fillId="0" borderId="0" xfId="0" applyFont="1" applyAlignment="1">
      <alignment horizontal="left" indent="2"/>
    </xf>
    <xf numFmtId="10" fontId="4" fillId="0" borderId="8" xfId="0" applyNumberFormat="1" applyFont="1" applyBorder="1"/>
    <xf numFmtId="3" fontId="4" fillId="0" borderId="8" xfId="0" applyNumberFormat="1" applyFont="1" applyBorder="1"/>
    <xf numFmtId="10" fontId="4" fillId="0" borderId="11" xfId="0" applyNumberFormat="1" applyFont="1" applyBorder="1"/>
    <xf numFmtId="4" fontId="4" fillId="0" borderId="0" xfId="0" applyNumberFormat="1" applyFont="1"/>
    <xf numFmtId="168" fontId="4" fillId="0" borderId="0" xfId="0" applyNumberFormat="1" applyFont="1"/>
    <xf numFmtId="3" fontId="4" fillId="0" borderId="10" xfId="0" applyNumberFormat="1" applyFont="1" applyBorder="1"/>
    <xf numFmtId="3" fontId="4" fillId="0" borderId="11" xfId="0" applyNumberFormat="1" applyFont="1" applyBorder="1"/>
    <xf numFmtId="3" fontId="5" fillId="0" borderId="8" xfId="0" applyNumberFormat="1" applyFont="1" applyBorder="1"/>
    <xf numFmtId="0" fontId="5" fillId="0" borderId="0" xfId="0" applyFont="1" applyBorder="1"/>
    <xf numFmtId="0" fontId="5" fillId="0" borderId="8" xfId="0" applyFont="1" applyBorder="1"/>
    <xf numFmtId="3" fontId="5" fillId="0" borderId="0" xfId="0" applyNumberFormat="1" applyFont="1" applyBorder="1"/>
    <xf numFmtId="166" fontId="4" fillId="0" borderId="0" xfId="0" applyNumberFormat="1" applyFont="1"/>
    <xf numFmtId="2" fontId="4" fillId="0" borderId="0" xfId="0" applyNumberFormat="1" applyFont="1"/>
    <xf numFmtId="2" fontId="4" fillId="0" borderId="8" xfId="0" applyNumberFormat="1" applyFont="1" applyBorder="1"/>
    <xf numFmtId="3" fontId="5" fillId="0" borderId="10" xfId="0" applyNumberFormat="1" applyFont="1" applyBorder="1"/>
    <xf numFmtId="3" fontId="5" fillId="0" borderId="11" xfId="0" applyNumberFormat="1" applyFont="1" applyBorder="1"/>
    <xf numFmtId="3" fontId="4" fillId="0" borderId="0" xfId="0" applyNumberFormat="1" applyFont="1" applyFill="1" applyBorder="1"/>
    <xf numFmtId="0" fontId="4" fillId="0" borderId="10" xfId="0" applyFont="1" applyBorder="1"/>
    <xf numFmtId="10" fontId="4" fillId="0" borderId="10" xfId="0" applyNumberFormat="1" applyFont="1" applyBorder="1"/>
    <xf numFmtId="167" fontId="4" fillId="0" borderId="0" xfId="2" applyNumberFormat="1" applyFont="1"/>
    <xf numFmtId="0" fontId="5" fillId="0" borderId="16" xfId="0" applyFont="1" applyBorder="1"/>
    <xf numFmtId="49" fontId="4" fillId="0" borderId="0" xfId="0" applyNumberFormat="1" applyFont="1"/>
    <xf numFmtId="49" fontId="4" fillId="0" borderId="0" xfId="0" applyNumberFormat="1" applyFont="1" applyBorder="1"/>
    <xf numFmtId="0" fontId="4" fillId="0" borderId="8" xfId="0" applyFont="1" applyBorder="1"/>
    <xf numFmtId="0" fontId="4" fillId="0" borderId="0" xfId="0" applyFont="1" applyBorder="1"/>
    <xf numFmtId="0" fontId="5" fillId="0" borderId="12" xfId="0" applyFont="1" applyBorder="1"/>
    <xf numFmtId="3" fontId="5" fillId="0" borderId="12" xfId="0" applyNumberFormat="1" applyFont="1" applyBorder="1"/>
    <xf numFmtId="3" fontId="5" fillId="0" borderId="13" xfId="0" applyNumberFormat="1" applyFont="1" applyBorder="1"/>
    <xf numFmtId="10" fontId="4" fillId="0" borderId="0" xfId="2" applyNumberFormat="1" applyFont="1" applyBorder="1"/>
    <xf numFmtId="10" fontId="4" fillId="0" borderId="0" xfId="2" applyNumberFormat="1" applyFont="1" applyFill="1" applyBorder="1"/>
    <xf numFmtId="49" fontId="4" fillId="0" borderId="10" xfId="0" applyNumberFormat="1" applyFont="1" applyBorder="1"/>
    <xf numFmtId="0" fontId="4" fillId="0" borderId="14" xfId="0" applyFont="1" applyBorder="1"/>
    <xf numFmtId="10" fontId="4" fillId="0" borderId="14" xfId="0" applyNumberFormat="1" applyFont="1" applyBorder="1"/>
    <xf numFmtId="0" fontId="4" fillId="0" borderId="20" xfId="0" applyFont="1" applyBorder="1"/>
    <xf numFmtId="170" fontId="4" fillId="0" borderId="20" xfId="0" applyNumberFormat="1" applyFont="1" applyBorder="1"/>
    <xf numFmtId="170" fontId="4" fillId="0" borderId="23" xfId="0" applyNumberFormat="1" applyFont="1" applyBorder="1"/>
    <xf numFmtId="4" fontId="5" fillId="0" borderId="10" xfId="0" applyNumberFormat="1" applyFont="1" applyBorder="1"/>
    <xf numFmtId="171" fontId="4" fillId="0" borderId="0" xfId="0" applyNumberFormat="1" applyFont="1"/>
    <xf numFmtId="10" fontId="4" fillId="0" borderId="0" xfId="2" applyNumberFormat="1" applyFont="1"/>
    <xf numFmtId="10" fontId="4" fillId="0" borderId="8" xfId="2" applyNumberFormat="1" applyFont="1" applyBorder="1"/>
    <xf numFmtId="164" fontId="17" fillId="0" borderId="0" xfId="3" applyFont="1"/>
    <xf numFmtId="3" fontId="9" fillId="0" borderId="11" xfId="0" applyNumberFormat="1" applyFont="1" applyBorder="1"/>
    <xf numFmtId="0" fontId="14" fillId="0" borderId="0" xfId="0" applyFont="1" applyBorder="1"/>
    <xf numFmtId="10" fontId="4" fillId="0" borderId="9" xfId="0" applyNumberFormat="1" applyFont="1" applyBorder="1"/>
    <xf numFmtId="9" fontId="4" fillId="0" borderId="19" xfId="0" applyNumberFormat="1" applyFont="1" applyBorder="1"/>
    <xf numFmtId="10" fontId="5" fillId="0" borderId="22" xfId="0" applyNumberFormat="1" applyFont="1" applyBorder="1"/>
    <xf numFmtId="0" fontId="4" fillId="0" borderId="9" xfId="0" applyNumberFormat="1" applyFont="1" applyFill="1" applyBorder="1"/>
    <xf numFmtId="2" fontId="4" fillId="0" borderId="9" xfId="0" applyNumberFormat="1" applyFont="1" applyBorder="1"/>
    <xf numFmtId="10" fontId="4" fillId="0" borderId="9" xfId="2" applyNumberFormat="1" applyFont="1" applyBorder="1"/>
    <xf numFmtId="0" fontId="24" fillId="0" borderId="0" xfId="0" applyFont="1" applyBorder="1"/>
    <xf numFmtId="10" fontId="16" fillId="0" borderId="9" xfId="0" applyNumberFormat="1" applyFont="1" applyBorder="1"/>
    <xf numFmtId="9" fontId="16" fillId="0" borderId="19" xfId="0" applyNumberFormat="1" applyFont="1" applyBorder="1"/>
    <xf numFmtId="0" fontId="16" fillId="0" borderId="9" xfId="0" applyNumberFormat="1" applyFont="1" applyFill="1" applyBorder="1"/>
    <xf numFmtId="2" fontId="16" fillId="0" borderId="9" xfId="0" applyNumberFormat="1" applyFont="1" applyBorder="1"/>
    <xf numFmtId="0" fontId="4" fillId="0" borderId="0" xfId="0" applyFont="1" applyFill="1"/>
    <xf numFmtId="0" fontId="5" fillId="0" borderId="0" xfId="0" applyFont="1" applyFill="1"/>
    <xf numFmtId="0" fontId="4" fillId="0" borderId="0" xfId="0" quotePrefix="1" applyFont="1" applyFill="1"/>
    <xf numFmtId="3" fontId="5" fillId="0" borderId="0" xfId="0" applyNumberFormat="1" applyFont="1" applyFill="1"/>
    <xf numFmtId="167" fontId="0" fillId="0" borderId="0" xfId="2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/>
  </cellXfs>
  <cellStyles count="7">
    <cellStyle name="Navadno" xfId="0" builtinId="0"/>
    <cellStyle name="Navadno 2" xfId="1" xr:uid="{00000000-0005-0000-0000-000001000000}"/>
    <cellStyle name="Navadno 2 2" xfId="4" xr:uid="{00000000-0005-0000-0000-000002000000}"/>
    <cellStyle name="Odstotek" xfId="2" builtinId="5"/>
    <cellStyle name="Valuta" xfId="6" builtinId="4"/>
    <cellStyle name="Vejica" xfId="3" builtinId="3"/>
    <cellStyle name="Vejica 2" xfId="5" xr:uid="{00000000-0005-0000-0000-000005000000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FF9900"/>
      <color rgb="FFFFCC99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901543141639145E-2"/>
          <c:y val="0.13370018526145366"/>
          <c:w val="0.82298294118496196"/>
          <c:h val="0.782675854332895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FCFF!$C$4</c:f>
              <c:strCache>
                <c:ptCount val="1"/>
                <c:pt idx="0">
                  <c:v>Prihodki od prodaje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FCFF!$D$4:$M$4</c:f>
              <c:numCache>
                <c:formatCode>#,##0</c:formatCode>
                <c:ptCount val="10"/>
                <c:pt idx="0">
                  <c:v>1240482</c:v>
                </c:pt>
                <c:pt idx="1">
                  <c:v>1253717</c:v>
                </c:pt>
                <c:pt idx="2">
                  <c:v>1225029</c:v>
                </c:pt>
                <c:pt idx="3">
                  <c:v>1258124</c:v>
                </c:pt>
                <c:pt idx="4">
                  <c:v>1309932</c:v>
                </c:pt>
                <c:pt idx="5">
                  <c:v>1328271.048</c:v>
                </c:pt>
                <c:pt idx="6">
                  <c:v>1344210.300576</c:v>
                </c:pt>
                <c:pt idx="7">
                  <c:v>1358996.6138823358</c:v>
                </c:pt>
                <c:pt idx="8">
                  <c:v>1373945.5766350415</c:v>
                </c:pt>
                <c:pt idx="9">
                  <c:v>1387685.032401392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456B-827B-DD8B94FA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430160"/>
        <c:axId val="440430488"/>
      </c:barChart>
      <c:lineChart>
        <c:grouping val="standard"/>
        <c:varyColors val="0"/>
        <c:ser>
          <c:idx val="2"/>
          <c:order val="1"/>
          <c:tx>
            <c:strRef>
              <c:f>FCFF!$C$11</c:f>
              <c:strCache>
                <c:ptCount val="1"/>
                <c:pt idx="0">
                  <c:v>Kosmati donos iz poslovanja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FCFF!$D$11:$M$11</c:f>
              <c:numCache>
                <c:formatCode>#,##0</c:formatCode>
                <c:ptCount val="10"/>
                <c:pt idx="0">
                  <c:v>1248877</c:v>
                </c:pt>
                <c:pt idx="1">
                  <c:v>1263369</c:v>
                </c:pt>
                <c:pt idx="2">
                  <c:v>1270265</c:v>
                </c:pt>
                <c:pt idx="3">
                  <c:v>1285195</c:v>
                </c:pt>
                <c:pt idx="4">
                  <c:v>1334255</c:v>
                </c:pt>
                <c:pt idx="5">
                  <c:v>1367560.048</c:v>
                </c:pt>
                <c:pt idx="6">
                  <c:v>1364614.9493760001</c:v>
                </c:pt>
                <c:pt idx="7">
                  <c:v>1401188.1696453758</c:v>
                </c:pt>
                <c:pt idx="8">
                  <c:v>1420601.5709403995</c:v>
                </c:pt>
                <c:pt idx="9">
                  <c:v>1433750.5182956178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456B-827B-DD8B94FA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30160"/>
        <c:axId val="440430488"/>
      </c:lineChart>
      <c:catAx>
        <c:axId val="4404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0430488"/>
        <c:crosses val="autoZero"/>
        <c:auto val="1"/>
        <c:lblAlgn val="ctr"/>
        <c:lblOffset val="100"/>
        <c:noMultiLvlLbl val="0"/>
      </c:catAx>
      <c:valAx>
        <c:axId val="4404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04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16020075808515"/>
          <c:y val="0.14058752886993353"/>
          <c:w val="0.19949983532872359"/>
          <c:h val="0.11014965600397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FCFF!$C$81</c:f>
              <c:strCache>
                <c:ptCount val="1"/>
                <c:pt idx="0">
                  <c:v>FCFF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FCFF!$D$76:$M$76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FCFF!$D$81:$M$81</c:f>
              <c:numCache>
                <c:formatCode>#,##0</c:formatCode>
                <c:ptCount val="10"/>
                <c:pt idx="0">
                  <c:v>17149.403253233308</c:v>
                </c:pt>
                <c:pt idx="1">
                  <c:v>28026.470877556305</c:v>
                </c:pt>
                <c:pt idx="2">
                  <c:v>7275.3570712136498</c:v>
                </c:pt>
                <c:pt idx="3">
                  <c:v>-16832.111027190331</c:v>
                </c:pt>
                <c:pt idx="4">
                  <c:v>-2707.1589034989956</c:v>
                </c:pt>
                <c:pt idx="5">
                  <c:v>25000.0437845095</c:v>
                </c:pt>
                <c:pt idx="6">
                  <c:v>21210.570715804257</c:v>
                </c:pt>
                <c:pt idx="7">
                  <c:v>25160.481426734186</c:v>
                </c:pt>
                <c:pt idx="8">
                  <c:v>34730.622582007738</c:v>
                </c:pt>
                <c:pt idx="9">
                  <c:v>40847.311656700011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9-44D5-902F-273F22C8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29448"/>
        <c:axId val="650529776"/>
      </c:lineChart>
      <c:catAx>
        <c:axId val="6505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0529776"/>
        <c:crosses val="autoZero"/>
        <c:auto val="1"/>
        <c:lblAlgn val="ctr"/>
        <c:lblOffset val="100"/>
        <c:noMultiLvlLbl val="0"/>
      </c:catAx>
      <c:valAx>
        <c:axId val="6505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0529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FCFF!$C$57</c:f>
          <c:strCache>
            <c:ptCount val="1"/>
            <c:pt idx="0">
              <c:v>NALOŽBE V OBRATNA SREDSTVA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FCFF!$D$64:$M$64</c:f>
              <c:numCache>
                <c:formatCode>#,##0</c:formatCode>
                <c:ptCount val="10"/>
                <c:pt idx="0">
                  <c:v>244143</c:v>
                </c:pt>
                <c:pt idx="1">
                  <c:v>211134</c:v>
                </c:pt>
                <c:pt idx="2">
                  <c:v>173903</c:v>
                </c:pt>
                <c:pt idx="3">
                  <c:v>180149</c:v>
                </c:pt>
                <c:pt idx="4">
                  <c:v>168317</c:v>
                </c:pt>
                <c:pt idx="5">
                  <c:v>175047.68614399995</c:v>
                </c:pt>
                <c:pt idx="6">
                  <c:v>174670.71352012805</c:v>
                </c:pt>
                <c:pt idx="7">
                  <c:v>183555.65022354422</c:v>
                </c:pt>
                <c:pt idx="8">
                  <c:v>184678.20422225198</c:v>
                </c:pt>
                <c:pt idx="9">
                  <c:v>180652.56530524784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9-48C5-8834-CE5E4D475721}"/>
            </c:ext>
          </c:extLst>
        </c:ser>
        <c:ser>
          <c:idx val="2"/>
          <c:order val="1"/>
          <c:tx>
            <c:strRef>
              <c:f>FCFF!$C$66</c:f>
              <c:strCache>
                <c:ptCount val="1"/>
                <c:pt idx="0">
                  <c:v>Investicije v obratni kapital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FCFF!$D$66:$M$66</c:f>
              <c:numCache>
                <c:formatCode>#,##0</c:formatCode>
                <c:ptCount val="10"/>
                <c:pt idx="0">
                  <c:v>-35237.859056708956</c:v>
                </c:pt>
                <c:pt idx="1">
                  <c:v>-33009</c:v>
                </c:pt>
                <c:pt idx="2">
                  <c:v>-37231</c:v>
                </c:pt>
                <c:pt idx="3">
                  <c:v>6246</c:v>
                </c:pt>
                <c:pt idx="4">
                  <c:v>-11832</c:v>
                </c:pt>
                <c:pt idx="5">
                  <c:v>6730.6861439999484</c:v>
                </c:pt>
                <c:pt idx="6">
                  <c:v>-376.97262387190131</c:v>
                </c:pt>
                <c:pt idx="7">
                  <c:v>8884.9367034161696</c:v>
                </c:pt>
                <c:pt idx="8">
                  <c:v>1122.5539987077645</c:v>
                </c:pt>
                <c:pt idx="9">
                  <c:v>-4025.6389170041366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29-48C5-8834-CE5E4D47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5663744"/>
        <c:axId val="455657184"/>
      </c:barChart>
      <c:catAx>
        <c:axId val="4556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657184"/>
        <c:crosses val="autoZero"/>
        <c:auto val="1"/>
        <c:lblAlgn val="ctr"/>
        <c:lblOffset val="100"/>
        <c:noMultiLvlLbl val="0"/>
      </c:catAx>
      <c:valAx>
        <c:axId val="455657184"/>
        <c:scaling>
          <c:orientation val="minMax"/>
          <c:max val="25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6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FCFF!$C$46</c:f>
              <c:strCache>
                <c:ptCount val="1"/>
                <c:pt idx="0">
                  <c:v>Nakup neopredmetenih sredstev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FCFF!$D$45:$M$45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FCFF!$D$46:$M$46</c:f>
              <c:numCache>
                <c:formatCode>#,##0</c:formatCode>
                <c:ptCount val="10"/>
                <c:pt idx="0">
                  <c:v>15678</c:v>
                </c:pt>
                <c:pt idx="1">
                  <c:v>21264</c:v>
                </c:pt>
                <c:pt idx="2">
                  <c:v>23084</c:v>
                </c:pt>
                <c:pt idx="3">
                  <c:v>23819</c:v>
                </c:pt>
                <c:pt idx="4">
                  <c:v>25656</c:v>
                </c:pt>
                <c:pt idx="5">
                  <c:v>20513.400719999998</c:v>
                </c:pt>
                <c:pt idx="6">
                  <c:v>19104.609291264002</c:v>
                </c:pt>
                <c:pt idx="7">
                  <c:v>19616.634375035261</c:v>
                </c:pt>
                <c:pt idx="8">
                  <c:v>18467.820422225192</c:v>
                </c:pt>
                <c:pt idx="9">
                  <c:v>18638.756737843029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1-4775-96F0-FA522FE6280B}"/>
            </c:ext>
          </c:extLst>
        </c:ser>
        <c:ser>
          <c:idx val="1"/>
          <c:order val="1"/>
          <c:tx>
            <c:strRef>
              <c:f>FCFF!$C$47</c:f>
              <c:strCache>
                <c:ptCount val="1"/>
                <c:pt idx="0">
                  <c:v>Nakup opredmetenih sredstev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FCFF!$D$45:$M$45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FCFF!$D$47:$M$47</c:f>
              <c:numCache>
                <c:formatCode>#,##0</c:formatCode>
                <c:ptCount val="10"/>
                <c:pt idx="0">
                  <c:v>68232</c:v>
                </c:pt>
                <c:pt idx="1">
                  <c:v>40380</c:v>
                </c:pt>
                <c:pt idx="2">
                  <c:v>52412</c:v>
                </c:pt>
                <c:pt idx="3">
                  <c:v>59412</c:v>
                </c:pt>
                <c:pt idx="4">
                  <c:v>50043</c:v>
                </c:pt>
                <c:pt idx="5">
                  <c:v>41710.581463999995</c:v>
                </c:pt>
                <c:pt idx="6">
                  <c:v>43667.678380032004</c:v>
                </c:pt>
                <c:pt idx="7">
                  <c:v>44838.021428652028</c:v>
                </c:pt>
                <c:pt idx="8">
                  <c:v>45459.250270092787</c:v>
                </c:pt>
                <c:pt idx="9">
                  <c:v>44446.26606716415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1-4775-96F0-FA522FE6280B}"/>
            </c:ext>
          </c:extLst>
        </c:ser>
        <c:ser>
          <c:idx val="2"/>
          <c:order val="2"/>
          <c:tx>
            <c:strRef>
              <c:f>FCFF!#REF!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FCFF!$D$45:$M$45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1-4775-96F0-FA522FE6280B}"/>
            </c:ext>
          </c:extLst>
        </c:ser>
        <c:ser>
          <c:idx val="3"/>
          <c:order val="3"/>
          <c:tx>
            <c:strRef>
              <c:f>FCFF!$C$48</c:f>
              <c:strCache>
                <c:ptCount val="1"/>
                <c:pt idx="0">
                  <c:v>ČISTE NALOŽBE V OSNOVNA SREDSTVA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FCFF!$D$45:$M$45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FCFF!$D$48:$M$48</c:f>
              <c:numCache>
                <c:formatCode>#,##0</c:formatCode>
                <c:ptCount val="10"/>
                <c:pt idx="0">
                  <c:v>83910</c:v>
                </c:pt>
                <c:pt idx="1">
                  <c:v>61644</c:v>
                </c:pt>
                <c:pt idx="2">
                  <c:v>75496</c:v>
                </c:pt>
                <c:pt idx="3">
                  <c:v>83231</c:v>
                </c:pt>
                <c:pt idx="4">
                  <c:v>75699</c:v>
                </c:pt>
                <c:pt idx="5">
                  <c:v>62223.982183999993</c:v>
                </c:pt>
                <c:pt idx="6">
                  <c:v>62772.287671296006</c:v>
                </c:pt>
                <c:pt idx="7">
                  <c:v>64454.655803687288</c:v>
                </c:pt>
                <c:pt idx="8">
                  <c:v>63927.070692317982</c:v>
                </c:pt>
                <c:pt idx="9">
                  <c:v>63085.022805007175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1-4775-96F0-FA522FE6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23408"/>
        <c:axId val="1400725488"/>
      </c:lineChart>
      <c:catAx>
        <c:axId val="13995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00725488"/>
        <c:crosses val="autoZero"/>
        <c:auto val="1"/>
        <c:lblAlgn val="ctr"/>
        <c:lblOffset val="100"/>
        <c:noMultiLvlLbl val="0"/>
      </c:catAx>
      <c:valAx>
        <c:axId val="14007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95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FCFF!$D$57</c:f>
              <c:strCache>
                <c:ptCount val="1"/>
                <c:pt idx="0">
                  <c:v>2013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cat>
          <c:val>
            <c:numRef>
              <c:f>FCFF!$D$64</c:f>
              <c:numCache>
                <c:formatCode>#,##0</c:formatCode>
                <c:ptCount val="1"/>
                <c:pt idx="0">
                  <c:v>244143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8-441E-96F5-FEFFE4F04176}"/>
            </c:ext>
          </c:extLst>
        </c:ser>
        <c:ser>
          <c:idx val="1"/>
          <c:order val="1"/>
          <c:tx>
            <c:strRef>
              <c:f>FCFF!$E$57</c:f>
              <c:strCache>
                <c:ptCount val="1"/>
                <c:pt idx="0">
                  <c:v>2014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cat>
          <c:val>
            <c:numRef>
              <c:f>FCFF!$E$64</c:f>
              <c:numCache>
                <c:formatCode>#,##0</c:formatCode>
                <c:ptCount val="1"/>
                <c:pt idx="0">
                  <c:v>211134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8-441E-96F5-FEFFE4F04176}"/>
            </c:ext>
          </c:extLst>
        </c:ser>
        <c:ser>
          <c:idx val="2"/>
          <c:order val="2"/>
          <c:tx>
            <c:strRef>
              <c:f>FCFF!$F$57</c:f>
              <c:strCache>
                <c:ptCount val="1"/>
                <c:pt idx="0">
                  <c:v>2015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cat>
          <c:val>
            <c:numRef>
              <c:f>FCFF!$F$64</c:f>
              <c:numCache>
                <c:formatCode>#,##0</c:formatCode>
                <c:ptCount val="1"/>
                <c:pt idx="0">
                  <c:v>173903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8-441E-96F5-FEFFE4F04176}"/>
            </c:ext>
          </c:extLst>
        </c:ser>
        <c:ser>
          <c:idx val="3"/>
          <c:order val="3"/>
          <c:tx>
            <c:strRef>
              <c:f>FCFF!$G$57</c:f>
              <c:strCache>
                <c:ptCount val="1"/>
                <c:pt idx="0">
                  <c:v>2016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cat>
          <c:val>
            <c:numRef>
              <c:f>FCFF!$G$64</c:f>
              <c:numCache>
                <c:formatCode>#,##0</c:formatCode>
                <c:ptCount val="1"/>
                <c:pt idx="0">
                  <c:v>180149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8-441E-96F5-FEFFE4F04176}"/>
            </c:ext>
          </c:extLst>
        </c:ser>
        <c:ser>
          <c:idx val="4"/>
          <c:order val="4"/>
          <c:tx>
            <c:strRef>
              <c:f>FCFF!$H$57</c:f>
              <c:strCache>
                <c:ptCount val="1"/>
                <c:pt idx="0">
                  <c:v>2017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cat>
          <c:val>
            <c:numRef>
              <c:f>FCFF!$H$64</c:f>
              <c:numCache>
                <c:formatCode>#,##0</c:formatCode>
                <c:ptCount val="1"/>
                <c:pt idx="0">
                  <c:v>168317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E8-441E-96F5-FEFFE4F04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06197200"/>
        <c:axId val="1345969120"/>
      </c:barChart>
      <c:catAx>
        <c:axId val="1706197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5969120"/>
        <c:crosses val="autoZero"/>
        <c:auto val="1"/>
        <c:lblAlgn val="ctr"/>
        <c:lblOffset val="100"/>
        <c:tickLblSkip val="1"/>
        <c:noMultiLvlLbl val="0"/>
      </c:catAx>
      <c:valAx>
        <c:axId val="13459691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1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94553805774279"/>
          <c:y val="0.89409667541557303"/>
          <c:w val="0.677108923884514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Stroški!$C$13</c:f>
          <c:strCache>
            <c:ptCount val="1"/>
            <c:pt idx="0">
              <c:v>Stroški blaga, materiala in storitev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Stroški!$C$14</c:f>
              <c:strCache>
                <c:ptCount val="1"/>
                <c:pt idx="0">
                  <c:v>Nabavna vrednost prodanega blaga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Stroški!$D$13:$M$13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Stroški!$D$14:$M$14</c:f>
              <c:numCache>
                <c:formatCode>#,##0</c:formatCode>
                <c:ptCount val="10"/>
                <c:pt idx="0">
                  <c:v>215851</c:v>
                </c:pt>
                <c:pt idx="1">
                  <c:v>228938</c:v>
                </c:pt>
                <c:pt idx="2">
                  <c:v>238939</c:v>
                </c:pt>
                <c:pt idx="3">
                  <c:v>250392</c:v>
                </c:pt>
                <c:pt idx="4">
                  <c:v>261602</c:v>
                </c:pt>
                <c:pt idx="5">
                  <c:v>264325.93855199998</c:v>
                </c:pt>
                <c:pt idx="6">
                  <c:v>268842.0601152</c:v>
                </c:pt>
                <c:pt idx="7">
                  <c:v>271799.32277646719</c:v>
                </c:pt>
                <c:pt idx="8">
                  <c:v>274789.1153270083</c:v>
                </c:pt>
                <c:pt idx="9">
                  <c:v>277537.00648027839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C-4D05-A529-388E302CBF8E}"/>
            </c:ext>
          </c:extLst>
        </c:ser>
        <c:ser>
          <c:idx val="1"/>
          <c:order val="1"/>
          <c:tx>
            <c:strRef>
              <c:f>Stroški!$C$15</c:f>
              <c:strCache>
                <c:ptCount val="1"/>
                <c:pt idx="0">
                  <c:v>Stroški materiala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Stroški!$D$13:$M$13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Stroški!$D$15:$M$15</c:f>
              <c:numCache>
                <c:formatCode>#,##0</c:formatCode>
                <c:ptCount val="10"/>
                <c:pt idx="0">
                  <c:v>477833</c:v>
                </c:pt>
                <c:pt idx="1">
                  <c:v>491470</c:v>
                </c:pt>
                <c:pt idx="2">
                  <c:v>488899</c:v>
                </c:pt>
                <c:pt idx="3">
                  <c:v>475798</c:v>
                </c:pt>
                <c:pt idx="4">
                  <c:v>489111</c:v>
                </c:pt>
                <c:pt idx="5">
                  <c:v>495445.10090399999</c:v>
                </c:pt>
                <c:pt idx="6">
                  <c:v>501390.442114848</c:v>
                </c:pt>
                <c:pt idx="7">
                  <c:v>506905.73697811126</c:v>
                </c:pt>
                <c:pt idx="8">
                  <c:v>515229.59123814059</c:v>
                </c:pt>
                <c:pt idx="9">
                  <c:v>520381.88715052197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C-4D05-A529-388E302CBF8E}"/>
            </c:ext>
          </c:extLst>
        </c:ser>
        <c:ser>
          <c:idx val="2"/>
          <c:order val="2"/>
          <c:tx>
            <c:strRef>
              <c:f>Stroški!$C$16</c:f>
              <c:strCache>
                <c:ptCount val="1"/>
                <c:pt idx="0">
                  <c:v>Stroški storitev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Stroški!$D$13:$M$13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Stroški!$D$16:$M$16</c:f>
              <c:numCache>
                <c:formatCode>#,##0</c:formatCode>
                <c:ptCount val="10"/>
                <c:pt idx="0">
                  <c:v>216832</c:v>
                </c:pt>
                <c:pt idx="1">
                  <c:v>207278</c:v>
                </c:pt>
                <c:pt idx="2">
                  <c:v>209407</c:v>
                </c:pt>
                <c:pt idx="3">
                  <c:v>215964</c:v>
                </c:pt>
                <c:pt idx="4">
                  <c:v>230700</c:v>
                </c:pt>
                <c:pt idx="5">
                  <c:v>228462.62025599997</c:v>
                </c:pt>
                <c:pt idx="6">
                  <c:v>230532.06654878403</c:v>
                </c:pt>
                <c:pt idx="7">
                  <c:v>233067.91928082061</c:v>
                </c:pt>
                <c:pt idx="8">
                  <c:v>235631.66639290962</c:v>
                </c:pt>
                <c:pt idx="9">
                  <c:v>237987.98305683874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C-4D05-A529-388E302C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042511"/>
        <c:axId val="1107605535"/>
      </c:barChart>
      <c:catAx>
        <c:axId val="111104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7605535"/>
        <c:crosses val="autoZero"/>
        <c:auto val="1"/>
        <c:lblAlgn val="ctr"/>
        <c:lblOffset val="100"/>
        <c:noMultiLvlLbl val="0"/>
      </c:catAx>
      <c:valAx>
        <c:axId val="11076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104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Stroški!$C$8</c:f>
              <c:strCache>
                <c:ptCount val="1"/>
                <c:pt idx="0">
                  <c:v>Število zaposlenih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Stroški!$D$2:$M$2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Stroški!$D$8:$M$8</c:f>
              <c:numCache>
                <c:formatCode>#,##0</c:formatCode>
                <c:ptCount val="10"/>
                <c:pt idx="0">
                  <c:v>10639</c:v>
                </c:pt>
                <c:pt idx="1">
                  <c:v>10468</c:v>
                </c:pt>
                <c:pt idx="2">
                  <c:v>10617</c:v>
                </c:pt>
                <c:pt idx="3">
                  <c:v>10889</c:v>
                </c:pt>
                <c:pt idx="4">
                  <c:v>11039</c:v>
                </c:pt>
                <c:pt idx="5">
                  <c:v>11178.355795324505</c:v>
                </c:pt>
                <c:pt idx="6">
                  <c:v>11104.361212271138</c:v>
                </c:pt>
                <c:pt idx="7">
                  <c:v>11419.62648447739</c:v>
                </c:pt>
                <c:pt idx="8">
                  <c:v>11587.288506854809</c:v>
                </c:pt>
                <c:pt idx="9">
                  <c:v>11704.085863637696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22-444A-8DD9-85979A11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5784751"/>
        <c:axId val="1199461487"/>
      </c:barChart>
      <c:catAx>
        <c:axId val="11957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9461487"/>
        <c:crosses val="autoZero"/>
        <c:auto val="1"/>
        <c:lblAlgn val="ctr"/>
        <c:lblOffset val="100"/>
        <c:noMultiLvlLbl val="0"/>
      </c:catAx>
      <c:valAx>
        <c:axId val="11994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578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Stroški!$C$6</c:f>
              <c:strCache>
                <c:ptCount val="1"/>
                <c:pt idx="0">
                  <c:v>Stroški dela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Stroški!$D$2:$M$2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Stroški!$D$6:$M$6</c:f>
              <c:numCache>
                <c:formatCode>#,##0</c:formatCode>
                <c:ptCount val="10"/>
                <c:pt idx="0">
                  <c:v>237914</c:v>
                </c:pt>
                <c:pt idx="1">
                  <c:v>228479</c:v>
                </c:pt>
                <c:pt idx="2">
                  <c:v>231362</c:v>
                </c:pt>
                <c:pt idx="3">
                  <c:v>235325</c:v>
                </c:pt>
                <c:pt idx="4">
                  <c:v>249012</c:v>
                </c:pt>
                <c:pt idx="5">
                  <c:v>251513.00539480138</c:v>
                </c:pt>
                <c:pt idx="6">
                  <c:v>248737.69115487349</c:v>
                </c:pt>
                <c:pt idx="7">
                  <c:v>254657.67060384582</c:v>
                </c:pt>
                <c:pt idx="8">
                  <c:v>258396.53370286225</c:v>
                </c:pt>
                <c:pt idx="9">
                  <c:v>261001.11475912062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2-4CC3-A74F-6C1CF7D7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4751"/>
        <c:axId val="1199461487"/>
      </c:lineChart>
      <c:catAx>
        <c:axId val="11957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9461487"/>
        <c:crosses val="autoZero"/>
        <c:auto val="1"/>
        <c:lblAlgn val="ctr"/>
        <c:lblOffset val="100"/>
        <c:noMultiLvlLbl val="0"/>
      </c:catAx>
      <c:valAx>
        <c:axId val="11994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578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Stroški!$C$14</c:f>
              <c:strCache>
                <c:ptCount val="1"/>
                <c:pt idx="0">
                  <c:v>Nabavna vrednost prodanega blaga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Stroški!$D$13:$H$13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Stroški!$D$14:$H$14</c:f>
              <c:numCache>
                <c:formatCode>#,##0</c:formatCode>
                <c:ptCount val="5"/>
                <c:pt idx="0">
                  <c:v>215851</c:v>
                </c:pt>
                <c:pt idx="1">
                  <c:v>228938</c:v>
                </c:pt>
                <c:pt idx="2">
                  <c:v>238939</c:v>
                </c:pt>
                <c:pt idx="3">
                  <c:v>250392</c:v>
                </c:pt>
                <c:pt idx="4">
                  <c:v>261602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903-A178-7040EF8F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9504"/>
        <c:axId val="1761036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Stroški!$C$15</c15:sqref>
                        </c15:formulaRef>
                      </c:ext>
                    </c:extLst>
                    <c:strCache>
                      <c:ptCount val="1"/>
                      <c:pt idx="0">
                        <c:v>Stroški materiala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Stroški!$D$13:$H$13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Stroški!$D$15:$H$15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477833</c:v>
                      </c:pt>
                      <c:pt idx="1">
                        <c:v>491470</c:v>
                      </c:pt>
                      <c:pt idx="2">
                        <c:v>488899</c:v>
                      </c:pt>
                      <c:pt idx="3">
                        <c:v>475798</c:v>
                      </c:pt>
                      <c:pt idx="4">
                        <c:v>489111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7B-4903-A178-7040EF8F44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Stroški!$C$16</c15:sqref>
                        </c15:formulaRef>
                      </c:ext>
                    </c:extLst>
                    <c:strCache>
                      <c:ptCount val="1"/>
                      <c:pt idx="0">
                        <c:v>Stroški storitev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Stroški!$D$16:$H$16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216832</c:v>
                      </c:pt>
                      <c:pt idx="1">
                        <c:v>207278</c:v>
                      </c:pt>
                      <c:pt idx="2">
                        <c:v>209407</c:v>
                      </c:pt>
                      <c:pt idx="3">
                        <c:v>215964</c:v>
                      </c:pt>
                      <c:pt idx="4">
                        <c:v>230700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7B-4903-A178-7040EF8F4499}"/>
                  </c:ext>
                </c:extLst>
              </c15:ser>
            </c15:filteredLineSeries>
          </c:ext>
        </c:extLst>
      </c:lineChart>
      <c:catAx>
        <c:axId val="1956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1036416"/>
        <c:crosses val="autoZero"/>
        <c:auto val="1"/>
        <c:lblAlgn val="ctr"/>
        <c:lblOffset val="100"/>
        <c:noMultiLvlLbl val="0"/>
      </c:catAx>
      <c:valAx>
        <c:axId val="17610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62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Stroški!$C$16</c:f>
              <c:strCache>
                <c:ptCount val="1"/>
                <c:pt idx="0">
                  <c:v>Stroški storitev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Stroški!$D$13:$H$13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Stroški!$D$16:$H$16</c:f>
              <c:numCache>
                <c:formatCode>#,##0</c:formatCode>
                <c:ptCount val="5"/>
                <c:pt idx="0">
                  <c:v>216832</c:v>
                </c:pt>
                <c:pt idx="1">
                  <c:v>207278</c:v>
                </c:pt>
                <c:pt idx="2">
                  <c:v>209407</c:v>
                </c:pt>
                <c:pt idx="3">
                  <c:v>215964</c:v>
                </c:pt>
                <c:pt idx="4">
                  <c:v>230700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0-4C5D-9CCE-5E09ABA8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9504"/>
        <c:axId val="176103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Stroški!$C$14</c15:sqref>
                        </c15:formulaRef>
                      </c:ext>
                    </c:extLst>
                    <c:strCache>
                      <c:ptCount val="1"/>
                      <c:pt idx="0">
                        <c:v>Nabavna vrednost prodanega blaga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Stroški!$D$13:$H$13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Stroški!$D$14:$H$14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215851</c:v>
                      </c:pt>
                      <c:pt idx="1">
                        <c:v>228938</c:v>
                      </c:pt>
                      <c:pt idx="2">
                        <c:v>238939</c:v>
                      </c:pt>
                      <c:pt idx="3">
                        <c:v>250392</c:v>
                      </c:pt>
                      <c:pt idx="4">
                        <c:v>261602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00-4C5D-9CCE-5E09ABA811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Stroški!$C$15</c15:sqref>
                        </c15:formulaRef>
                      </c:ext>
                    </c:extLst>
                    <c:strCache>
                      <c:ptCount val="1"/>
                      <c:pt idx="0">
                        <c:v>Stroški materiala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Stroški!$D$15:$H$15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477833</c:v>
                      </c:pt>
                      <c:pt idx="1">
                        <c:v>491470</c:v>
                      </c:pt>
                      <c:pt idx="2">
                        <c:v>488899</c:v>
                      </c:pt>
                      <c:pt idx="3">
                        <c:v>475798</c:v>
                      </c:pt>
                      <c:pt idx="4">
                        <c:v>489111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00-4C5D-9CCE-5E09ABA8114F}"/>
                  </c:ext>
                </c:extLst>
              </c15:ser>
            </c15:filteredLineSeries>
          </c:ext>
        </c:extLst>
      </c:lineChart>
      <c:catAx>
        <c:axId val="1956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1036416"/>
        <c:crosses val="autoZero"/>
        <c:auto val="1"/>
        <c:lblAlgn val="ctr"/>
        <c:lblOffset val="100"/>
        <c:noMultiLvlLbl val="0"/>
      </c:catAx>
      <c:valAx>
        <c:axId val="17610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62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Stroški!$C$15</c:f>
              <c:strCache>
                <c:ptCount val="1"/>
                <c:pt idx="0">
                  <c:v>Stroški materiala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Stroški!$D$13:$H$13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Stroški!$D$15:$H$15</c:f>
              <c:numCache>
                <c:formatCode>#,##0</c:formatCode>
                <c:ptCount val="5"/>
                <c:pt idx="0">
                  <c:v>477833</c:v>
                </c:pt>
                <c:pt idx="1">
                  <c:v>491470</c:v>
                </c:pt>
                <c:pt idx="2">
                  <c:v>488899</c:v>
                </c:pt>
                <c:pt idx="3">
                  <c:v>475798</c:v>
                </c:pt>
                <c:pt idx="4">
                  <c:v>489111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1-44FD-9118-47B91796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9504"/>
        <c:axId val="176103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Stroški!$C$14</c15:sqref>
                        </c15:formulaRef>
                      </c:ext>
                    </c:extLst>
                    <c:strCache>
                      <c:ptCount val="1"/>
                      <c:pt idx="0">
                        <c:v>Nabavna vrednost prodanega blaga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Stroški!$D$13:$H$13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Stroški!$D$14:$H$14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215851</c:v>
                      </c:pt>
                      <c:pt idx="1">
                        <c:v>228938</c:v>
                      </c:pt>
                      <c:pt idx="2">
                        <c:v>238939</c:v>
                      </c:pt>
                      <c:pt idx="3">
                        <c:v>250392</c:v>
                      </c:pt>
                      <c:pt idx="4">
                        <c:v>261602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41-44FD-9118-47B9179638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Stroški!$C$16</c15:sqref>
                        </c15:formulaRef>
                      </c:ext>
                    </c:extLst>
                    <c:strCache>
                      <c:ptCount val="1"/>
                      <c:pt idx="0">
                        <c:v>Stroški storitev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Stroški!$D$16:$H$16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216832</c:v>
                      </c:pt>
                      <c:pt idx="1">
                        <c:v>207278</c:v>
                      </c:pt>
                      <c:pt idx="2">
                        <c:v>209407</c:v>
                      </c:pt>
                      <c:pt idx="3">
                        <c:v>215964</c:v>
                      </c:pt>
                      <c:pt idx="4">
                        <c:v>230700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41-44FD-9118-47B9179638DC}"/>
                  </c:ext>
                </c:extLst>
              </c15:ser>
            </c15:filteredLineSeries>
          </c:ext>
        </c:extLst>
      </c:lineChart>
      <c:catAx>
        <c:axId val="1956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1036416"/>
        <c:crosses val="autoZero"/>
        <c:auto val="1"/>
        <c:lblAlgn val="ctr"/>
        <c:lblOffset val="100"/>
        <c:noMultiLvlLbl val="0"/>
      </c:catAx>
      <c:valAx>
        <c:axId val="1761036416"/>
        <c:scaling>
          <c:orientation val="minMax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62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FCFF!$C$14</c:f>
          <c:strCache>
            <c:ptCount val="1"/>
            <c:pt idx="0">
              <c:v>Stroški blaga, materiala in storitev 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134424373423909"/>
          <c:y val="9.2851118185673195E-2"/>
          <c:w val="0.72451422983891722"/>
          <c:h val="0.80674719403028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FCFF!$C$14</c:f>
              <c:strCache>
                <c:ptCount val="1"/>
                <c:pt idx="0">
                  <c:v>Stroški blaga, materiala in storitev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FCFF!$D$14:$M$14</c:f>
              <c:numCache>
                <c:formatCode>#,##0</c:formatCode>
                <c:ptCount val="10"/>
                <c:pt idx="0">
                  <c:v>-910516</c:v>
                </c:pt>
                <c:pt idx="1">
                  <c:v>-927686</c:v>
                </c:pt>
                <c:pt idx="2">
                  <c:v>-937245</c:v>
                </c:pt>
                <c:pt idx="3">
                  <c:v>-942154</c:v>
                </c:pt>
                <c:pt idx="4">
                  <c:v>-981413</c:v>
                </c:pt>
                <c:pt idx="5">
                  <c:v>-988233.65971199994</c:v>
                </c:pt>
                <c:pt idx="6">
                  <c:v>-1000764.568778832</c:v>
                </c:pt>
                <c:pt idx="7">
                  <c:v>-1011772.979035399</c:v>
                </c:pt>
                <c:pt idx="8">
                  <c:v>-1025650.3729580585</c:v>
                </c:pt>
                <c:pt idx="9">
                  <c:v>-1035906.876687639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5-4A56-B3A4-D8B7F4FD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408720"/>
        <c:axId val="437412656"/>
      </c:barChart>
      <c:lineChart>
        <c:grouping val="standard"/>
        <c:varyColors val="0"/>
        <c:ser>
          <c:idx val="1"/>
          <c:order val="1"/>
          <c:tx>
            <c:strRef>
              <c:f>FCFF!$C$11</c:f>
              <c:strCache>
                <c:ptCount val="1"/>
                <c:pt idx="0">
                  <c:v>Kosmati donos iz poslovanja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FCFF!$D$11:$M$11</c:f>
              <c:numCache>
                <c:formatCode>#,##0</c:formatCode>
                <c:ptCount val="10"/>
                <c:pt idx="0">
                  <c:v>1248877</c:v>
                </c:pt>
                <c:pt idx="1">
                  <c:v>1263369</c:v>
                </c:pt>
                <c:pt idx="2">
                  <c:v>1270265</c:v>
                </c:pt>
                <c:pt idx="3">
                  <c:v>1285195</c:v>
                </c:pt>
                <c:pt idx="4">
                  <c:v>1334255</c:v>
                </c:pt>
                <c:pt idx="5">
                  <c:v>1367560.048</c:v>
                </c:pt>
                <c:pt idx="6">
                  <c:v>1364614.9493760001</c:v>
                </c:pt>
                <c:pt idx="7">
                  <c:v>1401188.1696453758</c:v>
                </c:pt>
                <c:pt idx="8">
                  <c:v>1420601.5709403995</c:v>
                </c:pt>
                <c:pt idx="9">
                  <c:v>1433750.5182956178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5-4A56-B3A4-D8B7F4FD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49400"/>
        <c:axId val="515248744"/>
      </c:lineChart>
      <c:catAx>
        <c:axId val="437408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412656"/>
        <c:crosses val="autoZero"/>
        <c:auto val="1"/>
        <c:lblAlgn val="ctr"/>
        <c:lblOffset val="100"/>
        <c:noMultiLvlLbl val="0"/>
      </c:catAx>
      <c:valAx>
        <c:axId val="437412656"/>
        <c:scaling>
          <c:orientation val="maxMin"/>
          <c:min val="-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408720"/>
        <c:crosses val="autoZero"/>
        <c:crossBetween val="between"/>
      </c:valAx>
      <c:valAx>
        <c:axId val="515248744"/>
        <c:scaling>
          <c:orientation val="minMax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5249400"/>
        <c:crosses val="max"/>
        <c:crossBetween val="between"/>
      </c:valAx>
      <c:catAx>
        <c:axId val="51524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48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0361950118136"/>
          <c:y val="0.11814816812247576"/>
          <c:w val="0.33976931940287719"/>
          <c:h val="0.1173411241728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Stroški!$C$6</c:f>
              <c:strCache>
                <c:ptCount val="1"/>
                <c:pt idx="0">
                  <c:v>Stroški dela     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Stroški!$D$2:$H$2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Stroški!$D$6:$H$6</c:f>
              <c:numCache>
                <c:formatCode>#,##0</c:formatCode>
                <c:ptCount val="5"/>
                <c:pt idx="0">
                  <c:v>237914</c:v>
                </c:pt>
                <c:pt idx="1">
                  <c:v>228479</c:v>
                </c:pt>
                <c:pt idx="2">
                  <c:v>231362</c:v>
                </c:pt>
                <c:pt idx="3">
                  <c:v>235325</c:v>
                </c:pt>
                <c:pt idx="4">
                  <c:v>249012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A-4A5A-908A-893C5B7A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41328"/>
        <c:axId val="1985529168"/>
      </c:lineChart>
      <c:catAx>
        <c:axId val="19540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529168"/>
        <c:crosses val="autoZero"/>
        <c:auto val="1"/>
        <c:lblAlgn val="ctr"/>
        <c:lblOffset val="100"/>
        <c:noMultiLvlLbl val="0"/>
      </c:catAx>
      <c:valAx>
        <c:axId val="19855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40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Stroški!$C$28</c:f>
              <c:strCache>
                <c:ptCount val="1"/>
                <c:pt idx="0">
                  <c:v>Stroški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Stroški!$D$13:$M$13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Stroški!$D$28:$M$28</c:f>
              <c:numCache>
                <c:formatCode>#,##0</c:formatCode>
                <c:ptCount val="10"/>
                <c:pt idx="0">
                  <c:v>1148430</c:v>
                </c:pt>
                <c:pt idx="1">
                  <c:v>1156165</c:v>
                </c:pt>
                <c:pt idx="2">
                  <c:v>1168607</c:v>
                </c:pt>
                <c:pt idx="3">
                  <c:v>1177479</c:v>
                </c:pt>
                <c:pt idx="4">
                  <c:v>1230425</c:v>
                </c:pt>
                <c:pt idx="5">
                  <c:v>1239746.6651068013</c:v>
                </c:pt>
                <c:pt idx="6">
                  <c:v>1249502.2599337054</c:v>
                </c:pt>
                <c:pt idx="7">
                  <c:v>1266430.6496392449</c:v>
                </c:pt>
                <c:pt idx="8">
                  <c:v>1284046.9066609207</c:v>
                </c:pt>
                <c:pt idx="9">
                  <c:v>1296907.9914467596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E-4A40-8262-D4637744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1795632"/>
        <c:axId val="1236146416"/>
        <c:axId val="0"/>
      </c:bar3DChart>
      <c:catAx>
        <c:axId val="12317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6146416"/>
        <c:crosses val="autoZero"/>
        <c:auto val="1"/>
        <c:lblAlgn val="ctr"/>
        <c:lblOffset val="100"/>
        <c:noMultiLvlLbl val="0"/>
      </c:catAx>
      <c:valAx>
        <c:axId val="1236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17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Amortizacija!$D$2</c:f>
          <c:strCache>
            <c:ptCount val="1"/>
            <c:pt idx="0">
              <c:v>AMORTIZACIJA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Amortizacija!$D$3</c:f>
              <c:strCache>
                <c:ptCount val="1"/>
                <c:pt idx="0">
                  <c:v>Neopredmetena sredstva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Amortizacija!$E$2:$N$2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Amortizacija!$E$3:$N$3</c:f>
              <c:numCache>
                <c:formatCode>#,##0</c:formatCode>
                <c:ptCount val="10"/>
                <c:pt idx="0">
                  <c:v>167882</c:v>
                </c:pt>
                <c:pt idx="1">
                  <c:v>181600</c:v>
                </c:pt>
                <c:pt idx="2">
                  <c:v>196032</c:v>
                </c:pt>
                <c:pt idx="3">
                  <c:v>208872</c:v>
                </c:pt>
                <c:pt idx="4">
                  <c:v>223575</c:v>
                </c:pt>
                <c:pt idx="5">
                  <c:v>225806.07816</c:v>
                </c:pt>
                <c:pt idx="6">
                  <c:v>215073.64809216</c:v>
                </c:pt>
                <c:pt idx="7">
                  <c:v>217439.45822117373</c:v>
                </c:pt>
                <c:pt idx="8">
                  <c:v>219831.29226160664</c:v>
                </c:pt>
                <c:pt idx="9">
                  <c:v>222029.60518422272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8-46D0-9001-B73592386D0F}"/>
            </c:ext>
          </c:extLst>
        </c:ser>
        <c:ser>
          <c:idx val="1"/>
          <c:order val="1"/>
          <c:tx>
            <c:strRef>
              <c:f>Amortizacija!$D$4</c:f>
              <c:strCache>
                <c:ptCount val="1"/>
                <c:pt idx="0">
                  <c:v>Nepremičnine, naprave in oprema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Amortizacija!$E$2:$N$2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Amortizacija!$E$4:$N$4</c:f>
              <c:numCache>
                <c:formatCode>#,##0</c:formatCode>
                <c:ptCount val="10"/>
                <c:pt idx="0">
                  <c:v>356552</c:v>
                </c:pt>
                <c:pt idx="1">
                  <c:v>356089</c:v>
                </c:pt>
                <c:pt idx="2">
                  <c:v>366210</c:v>
                </c:pt>
                <c:pt idx="3">
                  <c:v>366212</c:v>
                </c:pt>
                <c:pt idx="4">
                  <c:v>371835</c:v>
                </c:pt>
                <c:pt idx="5">
                  <c:v>378557.24867999996</c:v>
                </c:pt>
                <c:pt idx="6">
                  <c:v>383099.93566415994</c:v>
                </c:pt>
                <c:pt idx="7">
                  <c:v>387314.03495646571</c:v>
                </c:pt>
                <c:pt idx="8">
                  <c:v>391574.48934098682</c:v>
                </c:pt>
                <c:pt idx="9">
                  <c:v>395490.23423439666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8-46D0-9001-B7359238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7107480"/>
        <c:axId val="517102888"/>
      </c:barChart>
      <c:lineChart>
        <c:grouping val="standard"/>
        <c:varyColors val="0"/>
        <c:ser>
          <c:idx val="2"/>
          <c:order val="2"/>
          <c:tx>
            <c:strRef>
              <c:f>Amortizacija!$D$6</c:f>
              <c:strCache>
                <c:ptCount val="1"/>
                <c:pt idx="0">
                  <c:v>Amortizacija neopredmetenih sredstev 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Amortizacija!$E$2:$N$2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Amortizacija!$E$6:$N$6</c:f>
              <c:numCache>
                <c:formatCode>#,##0</c:formatCode>
                <c:ptCount val="10"/>
                <c:pt idx="0">
                  <c:v>6678</c:v>
                </c:pt>
                <c:pt idx="1">
                  <c:v>7069</c:v>
                </c:pt>
                <c:pt idx="2">
                  <c:v>8868</c:v>
                </c:pt>
                <c:pt idx="3">
                  <c:v>9331</c:v>
                </c:pt>
                <c:pt idx="4">
                  <c:v>11402</c:v>
                </c:pt>
                <c:pt idx="5">
                  <c:v>11741.916064319999</c:v>
                </c:pt>
                <c:pt idx="6">
                  <c:v>10753.682404608</c:v>
                </c:pt>
                <c:pt idx="7">
                  <c:v>9784.7756199528176</c:v>
                </c:pt>
                <c:pt idx="8">
                  <c:v>9892.4081517722989</c:v>
                </c:pt>
                <c:pt idx="9">
                  <c:v>9991.3322332900225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8-46D0-9001-B73592386D0F}"/>
            </c:ext>
          </c:extLst>
        </c:ser>
        <c:ser>
          <c:idx val="3"/>
          <c:order val="3"/>
          <c:tx>
            <c:strRef>
              <c:f>Amortizacija!$D$7</c:f>
              <c:strCache>
                <c:ptCount val="1"/>
                <c:pt idx="0">
                  <c:v>Amortizacija opredmetenih sredstev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Amortizacija!$E$2:$N$2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Amortizacija!$E$7:$N$7</c:f>
              <c:numCache>
                <c:formatCode>#,##0</c:formatCode>
                <c:ptCount val="10"/>
                <c:pt idx="0">
                  <c:v>35197</c:v>
                </c:pt>
                <c:pt idx="1">
                  <c:v>35950</c:v>
                </c:pt>
                <c:pt idx="2">
                  <c:v>36776</c:v>
                </c:pt>
                <c:pt idx="3">
                  <c:v>37724</c:v>
                </c:pt>
                <c:pt idx="4">
                  <c:v>43274</c:v>
                </c:pt>
                <c:pt idx="5">
                  <c:v>42810.175877039997</c:v>
                </c:pt>
                <c:pt idx="6">
                  <c:v>43249.966421032797</c:v>
                </c:pt>
                <c:pt idx="7">
                  <c:v>41666.83618163241</c:v>
                </c:pt>
                <c:pt idx="8">
                  <c:v>42125.171379630367</c:v>
                </c:pt>
                <c:pt idx="9">
                  <c:v>42473.569629225603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8-46D0-9001-B7359238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20928"/>
        <c:axId val="570621912"/>
      </c:lineChart>
      <c:catAx>
        <c:axId val="5171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7102888"/>
        <c:crosses val="autoZero"/>
        <c:auto val="1"/>
        <c:lblAlgn val="ctr"/>
        <c:lblOffset val="100"/>
        <c:noMultiLvlLbl val="0"/>
      </c:catAx>
      <c:valAx>
        <c:axId val="517102888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7107480"/>
        <c:crosses val="autoZero"/>
        <c:crossBetween val="between"/>
      </c:valAx>
      <c:valAx>
        <c:axId val="570621912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620928"/>
        <c:crosses val="max"/>
        <c:crossBetween val="between"/>
      </c:valAx>
      <c:catAx>
        <c:axId val="57062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0621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Amortizacija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Amortizacija!$D$6</c:f>
              <c:strCache>
                <c:ptCount val="1"/>
                <c:pt idx="0">
                  <c:v>Amortizacija neopredmetenih sredstev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Amortizacija!$E$2:$N$2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Amortizacija!$E$6:$N$6</c:f>
              <c:numCache>
                <c:formatCode>#,##0</c:formatCode>
                <c:ptCount val="10"/>
                <c:pt idx="0">
                  <c:v>6678</c:v>
                </c:pt>
                <c:pt idx="1">
                  <c:v>7069</c:v>
                </c:pt>
                <c:pt idx="2">
                  <c:v>8868</c:v>
                </c:pt>
                <c:pt idx="3">
                  <c:v>9331</c:v>
                </c:pt>
                <c:pt idx="4">
                  <c:v>11402</c:v>
                </c:pt>
                <c:pt idx="5">
                  <c:v>11741.916064319999</c:v>
                </c:pt>
                <c:pt idx="6">
                  <c:v>10753.682404608</c:v>
                </c:pt>
                <c:pt idx="7">
                  <c:v>9784.7756199528176</c:v>
                </c:pt>
                <c:pt idx="8">
                  <c:v>9892.4081517722989</c:v>
                </c:pt>
                <c:pt idx="9">
                  <c:v>9991.3322332900225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6BA-AD71-914AFA6F7091}"/>
            </c:ext>
          </c:extLst>
        </c:ser>
        <c:ser>
          <c:idx val="1"/>
          <c:order val="1"/>
          <c:tx>
            <c:strRef>
              <c:f>Amortizacija!$D$7</c:f>
              <c:strCache>
                <c:ptCount val="1"/>
                <c:pt idx="0">
                  <c:v>Amortizacija opredmetenih sredstev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Amortizacija!$E$2:$N$2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Amortizacija!$E$7:$N$7</c:f>
              <c:numCache>
                <c:formatCode>#,##0</c:formatCode>
                <c:ptCount val="10"/>
                <c:pt idx="0">
                  <c:v>35197</c:v>
                </c:pt>
                <c:pt idx="1">
                  <c:v>35950</c:v>
                </c:pt>
                <c:pt idx="2">
                  <c:v>36776</c:v>
                </c:pt>
                <c:pt idx="3">
                  <c:v>37724</c:v>
                </c:pt>
                <c:pt idx="4">
                  <c:v>43274</c:v>
                </c:pt>
                <c:pt idx="5">
                  <c:v>42810.175877039997</c:v>
                </c:pt>
                <c:pt idx="6">
                  <c:v>43249.966421032797</c:v>
                </c:pt>
                <c:pt idx="7">
                  <c:v>41666.83618163241</c:v>
                </c:pt>
                <c:pt idx="8">
                  <c:v>42125.171379630367</c:v>
                </c:pt>
                <c:pt idx="9">
                  <c:v>42473.569629225603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F-46BA-AD71-914AFA6F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80271"/>
        <c:axId val="285589871"/>
      </c:areaChart>
      <c:catAx>
        <c:axId val="42248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85589871"/>
        <c:crosses val="autoZero"/>
        <c:auto val="1"/>
        <c:lblAlgn val="ctr"/>
        <c:lblOffset val="100"/>
        <c:noMultiLvlLbl val="0"/>
      </c:catAx>
      <c:valAx>
        <c:axId val="2855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248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Bilanca!$B$6</c:f>
              <c:strCache>
                <c:ptCount val="1"/>
                <c:pt idx="0">
                  <c:v>Neopredmetena sredstva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Bilanca!$C$6:$G$6</c:f>
              <c:numCache>
                <c:formatCode>#,##0</c:formatCode>
                <c:ptCount val="5"/>
                <c:pt idx="0">
                  <c:v>167882</c:v>
                </c:pt>
                <c:pt idx="1">
                  <c:v>181600</c:v>
                </c:pt>
                <c:pt idx="2">
                  <c:v>196032</c:v>
                </c:pt>
                <c:pt idx="3">
                  <c:v>208872</c:v>
                </c:pt>
                <c:pt idx="4">
                  <c:v>223575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4F8C-B4F4-EC6332E70C2D}"/>
            </c:ext>
          </c:extLst>
        </c:ser>
        <c:ser>
          <c:idx val="1"/>
          <c:order val="1"/>
          <c:tx>
            <c:strRef>
              <c:f>Bilanca!$B$7</c:f>
              <c:strCache>
                <c:ptCount val="1"/>
                <c:pt idx="0">
                  <c:v>Nepremičnine, naprave in oprema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Bilanca!$C$7:$G$7</c:f>
              <c:numCache>
                <c:formatCode>#,##0</c:formatCode>
                <c:ptCount val="5"/>
                <c:pt idx="0">
                  <c:v>356552</c:v>
                </c:pt>
                <c:pt idx="1">
                  <c:v>356089</c:v>
                </c:pt>
                <c:pt idx="2">
                  <c:v>366210</c:v>
                </c:pt>
                <c:pt idx="3">
                  <c:v>366212</c:v>
                </c:pt>
                <c:pt idx="4">
                  <c:v>371835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C-4F8C-B4F4-EC6332E70C2D}"/>
            </c:ext>
          </c:extLst>
        </c:ser>
        <c:ser>
          <c:idx val="2"/>
          <c:order val="2"/>
          <c:tx>
            <c:strRef>
              <c:f>Bilanca!$B$8</c:f>
              <c:strCache>
                <c:ptCount val="1"/>
                <c:pt idx="0">
                  <c:v>Naložbene nepremičnine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Bilanca!$C$8:$G$8</c:f>
              <c:numCache>
                <c:formatCode>#,##0</c:formatCode>
                <c:ptCount val="5"/>
                <c:pt idx="0">
                  <c:v>28129</c:v>
                </c:pt>
                <c:pt idx="1">
                  <c:v>18931</c:v>
                </c:pt>
                <c:pt idx="2">
                  <c:v>17148</c:v>
                </c:pt>
                <c:pt idx="3">
                  <c:v>14957</c:v>
                </c:pt>
                <c:pt idx="4">
                  <c:v>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4F8C-B4F4-EC6332E70C2D}"/>
            </c:ext>
          </c:extLst>
        </c:ser>
        <c:ser>
          <c:idx val="4"/>
          <c:order val="3"/>
          <c:tx>
            <c:strRef>
              <c:f>Bilanca!$B$10</c:f>
              <c:strCache>
                <c:ptCount val="1"/>
                <c:pt idx="0">
                  <c:v>Naložbe družbe v pridružene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Bilanca!$C$10:$G$10</c:f>
              <c:numCache>
                <c:formatCode>#,##0</c:formatCode>
                <c:ptCount val="5"/>
                <c:pt idx="0">
                  <c:v>711</c:v>
                </c:pt>
                <c:pt idx="1">
                  <c:v>1122</c:v>
                </c:pt>
                <c:pt idx="2">
                  <c:v>1570</c:v>
                </c:pt>
                <c:pt idx="3">
                  <c:v>2945</c:v>
                </c:pt>
                <c:pt idx="4">
                  <c:v>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C-4F8C-B4F4-EC6332E70C2D}"/>
            </c:ext>
          </c:extLst>
        </c:ser>
        <c:ser>
          <c:idx val="5"/>
          <c:order val="4"/>
          <c:tx>
            <c:strRef>
              <c:f>Bilanca!$B$11</c:f>
              <c:strCache>
                <c:ptCount val="1"/>
                <c:pt idx="0">
                  <c:v>Druge dolgoročne finančne naložbe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Bilanca!$C$11:$G$11</c:f>
              <c:numCache>
                <c:formatCode>#,##0</c:formatCode>
                <c:ptCount val="5"/>
                <c:pt idx="0">
                  <c:v>5527</c:v>
                </c:pt>
                <c:pt idx="1">
                  <c:v>5125</c:v>
                </c:pt>
                <c:pt idx="2">
                  <c:v>2942</c:v>
                </c:pt>
                <c:pt idx="3">
                  <c:v>6563</c:v>
                </c:pt>
                <c:pt idx="4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C-4F8C-B4F4-EC6332E70C2D}"/>
            </c:ext>
          </c:extLst>
        </c:ser>
        <c:ser>
          <c:idx val="6"/>
          <c:order val="5"/>
          <c:tx>
            <c:strRef>
              <c:f>Bilanca!$B$12</c:f>
              <c:strCache>
                <c:ptCount val="1"/>
                <c:pt idx="0">
                  <c:v>Dolgoročne poslovne terjatve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Bilanca!$C$12:$G$12</c:f>
              <c:numCache>
                <c:formatCode>#,##0</c:formatCode>
                <c:ptCount val="5"/>
                <c:pt idx="0">
                  <c:v>10559</c:v>
                </c:pt>
                <c:pt idx="1">
                  <c:v>6988</c:v>
                </c:pt>
                <c:pt idx="2">
                  <c:v>5743</c:v>
                </c:pt>
                <c:pt idx="3">
                  <c:v>2481</c:v>
                </c:pt>
                <c:pt idx="4">
                  <c:v>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C-4F8C-B4F4-EC6332E70C2D}"/>
            </c:ext>
          </c:extLst>
        </c:ser>
        <c:ser>
          <c:idx val="7"/>
          <c:order val="6"/>
          <c:tx>
            <c:strRef>
              <c:f>Bilanca!$B$13</c:f>
              <c:strCache>
                <c:ptCount val="1"/>
                <c:pt idx="0">
                  <c:v>Odložene terjatve za davke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Bilanca!$C$13:$G$13</c:f>
              <c:numCache>
                <c:formatCode>#,##0</c:formatCode>
                <c:ptCount val="5"/>
                <c:pt idx="0">
                  <c:v>24530</c:v>
                </c:pt>
                <c:pt idx="1">
                  <c:v>24723</c:v>
                </c:pt>
                <c:pt idx="2">
                  <c:v>24480</c:v>
                </c:pt>
                <c:pt idx="3">
                  <c:v>27236</c:v>
                </c:pt>
                <c:pt idx="4">
                  <c:v>27551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C-4F8C-B4F4-EC6332E7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1287808"/>
        <c:axId val="1238387808"/>
        <c:axId val="0"/>
      </c:bar3DChart>
      <c:catAx>
        <c:axId val="11112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8387808"/>
        <c:crosses val="autoZero"/>
        <c:auto val="1"/>
        <c:lblAlgn val="ctr"/>
        <c:lblOffset val="100"/>
        <c:noMultiLvlLbl val="0"/>
      </c:catAx>
      <c:valAx>
        <c:axId val="12383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12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Bilanca!$B$15</c:f>
              <c:strCache>
                <c:ptCount val="1"/>
                <c:pt idx="0">
                  <c:v>Nekratkoročna sredstva za prodajo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Bilanca!$C$15:$G$15</c:f>
              <c:numCache>
                <c:formatCode>#,##0</c:formatCode>
                <c:ptCount val="5"/>
                <c:pt idx="0">
                  <c:v>1655</c:v>
                </c:pt>
                <c:pt idx="1">
                  <c:v>1648</c:v>
                </c:pt>
                <c:pt idx="2">
                  <c:v>309</c:v>
                </c:pt>
                <c:pt idx="3">
                  <c:v>314</c:v>
                </c:pt>
                <c:pt idx="4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3-4008-8DC5-36196FDB3BAE}"/>
            </c:ext>
          </c:extLst>
        </c:ser>
        <c:ser>
          <c:idx val="1"/>
          <c:order val="1"/>
          <c:tx>
            <c:strRef>
              <c:f>Bilanca!$B$16</c:f>
              <c:strCache>
                <c:ptCount val="1"/>
                <c:pt idx="0">
                  <c:v>Zaloge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Bilanca!$C$16:$G$16</c:f>
              <c:numCache>
                <c:formatCode>#,##0</c:formatCode>
                <c:ptCount val="5"/>
                <c:pt idx="0">
                  <c:v>235767</c:v>
                </c:pt>
                <c:pt idx="1">
                  <c:v>219799</c:v>
                </c:pt>
                <c:pt idx="2">
                  <c:v>225906</c:v>
                </c:pt>
                <c:pt idx="3">
                  <c:v>225954</c:v>
                </c:pt>
                <c:pt idx="4">
                  <c:v>220619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3-4008-8DC5-36196FDB3BAE}"/>
            </c:ext>
          </c:extLst>
        </c:ser>
        <c:ser>
          <c:idx val="2"/>
          <c:order val="2"/>
          <c:tx>
            <c:strRef>
              <c:f>Bilanca!$B$17</c:f>
              <c:strCache>
                <c:ptCount val="1"/>
                <c:pt idx="0">
                  <c:v>Kratkoročne finančne naložbe  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tx2"/>
              </a:solidFill>
              <a:round/>
            </a:ln>
            <a:effectLst/>
            <a:sp3d contourW="9525">
              <a:contourClr>
                <a:schemeClr val="tx2"/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Bilanca!$C$17:$G$17</c:f>
              <c:numCache>
                <c:formatCode>#,##0</c:formatCode>
                <c:ptCount val="5"/>
                <c:pt idx="0">
                  <c:v>17202</c:v>
                </c:pt>
                <c:pt idx="1">
                  <c:v>20481</c:v>
                </c:pt>
                <c:pt idx="2">
                  <c:v>16370</c:v>
                </c:pt>
                <c:pt idx="3">
                  <c:v>8821</c:v>
                </c:pt>
                <c:pt idx="4">
                  <c:v>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3-4008-8DC5-36196FDB3BAE}"/>
            </c:ext>
          </c:extLst>
        </c:ser>
        <c:ser>
          <c:idx val="3"/>
          <c:order val="3"/>
          <c:tx>
            <c:strRef>
              <c:f>Bilanca!$B$18</c:f>
              <c:strCache>
                <c:ptCount val="1"/>
                <c:pt idx="0">
                  <c:v>Terjatve do kupcev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Bilanca!$C$18:$G$18</c:f>
              <c:numCache>
                <c:formatCode>#,##0</c:formatCode>
                <c:ptCount val="5"/>
                <c:pt idx="0">
                  <c:v>205581</c:v>
                </c:pt>
                <c:pt idx="1">
                  <c:v>182589</c:v>
                </c:pt>
                <c:pt idx="2">
                  <c:v>161020</c:v>
                </c:pt>
                <c:pt idx="3">
                  <c:v>165786</c:v>
                </c:pt>
                <c:pt idx="4">
                  <c:v>180517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3-4008-8DC5-36196FDB3BAE}"/>
            </c:ext>
          </c:extLst>
        </c:ser>
        <c:ser>
          <c:idx val="4"/>
          <c:order val="4"/>
          <c:tx>
            <c:strRef>
              <c:f>Bilanca!$B$19</c:f>
              <c:strCache>
                <c:ptCount val="1"/>
                <c:pt idx="0">
                  <c:v>Druga kratkoročna sredstva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Bilanca!$C$19:$G$19</c:f>
              <c:numCache>
                <c:formatCode>#,##0</c:formatCode>
                <c:ptCount val="5"/>
                <c:pt idx="0">
                  <c:v>45859</c:v>
                </c:pt>
                <c:pt idx="1">
                  <c:v>44207</c:v>
                </c:pt>
                <c:pt idx="2">
                  <c:v>49017</c:v>
                </c:pt>
                <c:pt idx="3">
                  <c:v>55258</c:v>
                </c:pt>
                <c:pt idx="4">
                  <c:v>57866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3-4008-8DC5-36196FDB3BAE}"/>
            </c:ext>
          </c:extLst>
        </c:ser>
        <c:ser>
          <c:idx val="5"/>
          <c:order val="5"/>
          <c:tx>
            <c:strRef>
              <c:f>Bilanca!$B$20</c:f>
              <c:strCache>
                <c:ptCount val="1"/>
                <c:pt idx="0">
                  <c:v>Terjatve za davek iz dobička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Bilanca!$C$20:$G$20</c:f>
              <c:numCache>
                <c:formatCode>#,##0</c:formatCode>
                <c:ptCount val="5"/>
                <c:pt idx="0">
                  <c:v>2756</c:v>
                </c:pt>
                <c:pt idx="1">
                  <c:v>3034</c:v>
                </c:pt>
                <c:pt idx="2">
                  <c:v>2917</c:v>
                </c:pt>
                <c:pt idx="3">
                  <c:v>3273</c:v>
                </c:pt>
                <c:pt idx="4">
                  <c:v>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3-4008-8DC5-36196FDB3BAE}"/>
            </c:ext>
          </c:extLst>
        </c:ser>
        <c:ser>
          <c:idx val="6"/>
          <c:order val="6"/>
          <c:tx>
            <c:strRef>
              <c:f>Bilanca!$B$21</c:f>
              <c:strCache>
                <c:ptCount val="1"/>
                <c:pt idx="0">
                  <c:v>Denar in denarni ustrezniki </c:v>
                </c:pt>
              </c:strCache>
            </c:strRef>
          </c:tx>
          <c:spPr>
            <a:solidFill>
              <a:srgbClr val="66CCFF"/>
            </a:solidFill>
            <a:ln w="9525" cap="flat" cmpd="sng" algn="ctr">
              <a:solidFill>
                <a:srgbClr val="66CCFF"/>
              </a:solidFill>
              <a:round/>
            </a:ln>
            <a:effectLst/>
            <a:sp3d contourW="9525">
              <a:contourClr>
                <a:srgbClr val="66CCFF"/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Bilanca!$C$21:$G$21</c:f>
              <c:numCache>
                <c:formatCode>#,##0</c:formatCode>
                <c:ptCount val="5"/>
                <c:pt idx="0">
                  <c:v>38589</c:v>
                </c:pt>
                <c:pt idx="1">
                  <c:v>36062</c:v>
                </c:pt>
                <c:pt idx="2">
                  <c:v>31610</c:v>
                </c:pt>
                <c:pt idx="3">
                  <c:v>35242</c:v>
                </c:pt>
                <c:pt idx="4">
                  <c:v>25037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43-4008-8DC5-36196FDB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208368"/>
        <c:axId val="1239077952"/>
        <c:axId val="0"/>
      </c:bar3DChart>
      <c:catAx>
        <c:axId val="11072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9077952"/>
        <c:crosses val="autoZero"/>
        <c:auto val="1"/>
        <c:lblAlgn val="ctr"/>
        <c:lblOffset val="100"/>
        <c:noMultiLvlLbl val="0"/>
      </c:catAx>
      <c:valAx>
        <c:axId val="12390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72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Bilanca!$B$35</c:f>
              <c:strCache>
                <c:ptCount val="1"/>
                <c:pt idx="0">
                  <c:v>Rezervacije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Bilanca!$C$35:$G$35</c:f>
              <c:numCache>
                <c:formatCode>#,##0</c:formatCode>
                <c:ptCount val="5"/>
                <c:pt idx="0">
                  <c:v>66671</c:v>
                </c:pt>
                <c:pt idx="1">
                  <c:v>64125</c:v>
                </c:pt>
                <c:pt idx="2">
                  <c:v>62269</c:v>
                </c:pt>
                <c:pt idx="3">
                  <c:v>64143</c:v>
                </c:pt>
                <c:pt idx="4">
                  <c:v>59886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9FF-9248-1BE6D757D7E3}"/>
            </c:ext>
          </c:extLst>
        </c:ser>
        <c:ser>
          <c:idx val="1"/>
          <c:order val="1"/>
          <c:tx>
            <c:strRef>
              <c:f>Bilanca!$B$36</c:f>
              <c:strCache>
                <c:ptCount val="1"/>
                <c:pt idx="0">
                  <c:v>Odloženi prihodki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Bilanca!$C$36:$G$36</c:f>
              <c:numCache>
                <c:formatCode>#,##0</c:formatCode>
                <c:ptCount val="5"/>
                <c:pt idx="0">
                  <c:v>5081</c:v>
                </c:pt>
                <c:pt idx="1">
                  <c:v>5270</c:v>
                </c:pt>
                <c:pt idx="2">
                  <c:v>5350</c:v>
                </c:pt>
                <c:pt idx="3">
                  <c:v>5037</c:v>
                </c:pt>
                <c:pt idx="4">
                  <c:v>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9FF-9248-1BE6D757D7E3}"/>
            </c:ext>
          </c:extLst>
        </c:ser>
        <c:ser>
          <c:idx val="2"/>
          <c:order val="2"/>
          <c:tx>
            <c:strRef>
              <c:f>Bilanca!$B$37</c:f>
              <c:strCache>
                <c:ptCount val="1"/>
                <c:pt idx="0">
                  <c:v>Dolgoročne poslovne obveznosti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Bilanca!$C$37:$G$37</c:f>
              <c:numCache>
                <c:formatCode>#,##0</c:formatCode>
                <c:ptCount val="5"/>
                <c:pt idx="0">
                  <c:v>5773</c:v>
                </c:pt>
                <c:pt idx="1">
                  <c:v>5937</c:v>
                </c:pt>
                <c:pt idx="2">
                  <c:v>4178</c:v>
                </c:pt>
                <c:pt idx="3">
                  <c:v>3672</c:v>
                </c:pt>
                <c:pt idx="4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6-49FF-9248-1BE6D757D7E3}"/>
            </c:ext>
          </c:extLst>
        </c:ser>
        <c:ser>
          <c:idx val="3"/>
          <c:order val="3"/>
          <c:tx>
            <c:strRef>
              <c:f>Bilanca!$B$38</c:f>
              <c:strCache>
                <c:ptCount val="1"/>
                <c:pt idx="0">
                  <c:v>Odložene obveznosti za davke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Bilanca!$C$38:$G$38</c:f>
              <c:numCache>
                <c:formatCode>#,##0</c:formatCode>
                <c:ptCount val="5"/>
                <c:pt idx="0">
                  <c:v>2694</c:v>
                </c:pt>
                <c:pt idx="1">
                  <c:v>2988</c:v>
                </c:pt>
                <c:pt idx="2">
                  <c:v>2515</c:v>
                </c:pt>
                <c:pt idx="3">
                  <c:v>2001</c:v>
                </c:pt>
                <c:pt idx="4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6-49FF-9248-1BE6D757D7E3}"/>
            </c:ext>
          </c:extLst>
        </c:ser>
        <c:ser>
          <c:idx val="4"/>
          <c:order val="4"/>
          <c:tx>
            <c:strRef>
              <c:f>Bilanca!$B$39</c:f>
              <c:strCache>
                <c:ptCount val="1"/>
                <c:pt idx="0">
                  <c:v>Dolgoročne finančne obveznosti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Bilanca!$C$39:$G$39</c:f>
              <c:numCache>
                <c:formatCode>#,##0</c:formatCode>
                <c:ptCount val="5"/>
                <c:pt idx="0">
                  <c:v>198754</c:v>
                </c:pt>
                <c:pt idx="1">
                  <c:v>270070</c:v>
                </c:pt>
                <c:pt idx="2">
                  <c:v>270986</c:v>
                </c:pt>
                <c:pt idx="3">
                  <c:v>275616</c:v>
                </c:pt>
                <c:pt idx="4">
                  <c:v>293020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6-49FF-9248-1BE6D757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7050384"/>
        <c:axId val="1346051488"/>
        <c:axId val="0"/>
      </c:bar3DChart>
      <c:catAx>
        <c:axId val="12270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6051488"/>
        <c:crosses val="autoZero"/>
        <c:auto val="1"/>
        <c:lblAlgn val="ctr"/>
        <c:lblOffset val="100"/>
        <c:noMultiLvlLbl val="0"/>
      </c:catAx>
      <c:valAx>
        <c:axId val="1346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70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Bilanca!$B$41</c:f>
              <c:strCache>
                <c:ptCount val="1"/>
                <c:pt idx="0">
                  <c:v>Kratkoročne finančne obveznosti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Bilanca!$C$41:$G$41</c:f>
              <c:numCache>
                <c:formatCode>#,##0</c:formatCode>
                <c:ptCount val="5"/>
                <c:pt idx="0">
                  <c:v>198659</c:v>
                </c:pt>
                <c:pt idx="1">
                  <c:v>97536</c:v>
                </c:pt>
                <c:pt idx="2">
                  <c:v>91038</c:v>
                </c:pt>
                <c:pt idx="3">
                  <c:v>101226</c:v>
                </c:pt>
                <c:pt idx="4">
                  <c:v>90731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8-4BC6-A76D-F8B95E50E25C}"/>
            </c:ext>
          </c:extLst>
        </c:ser>
        <c:ser>
          <c:idx val="1"/>
          <c:order val="1"/>
          <c:tx>
            <c:strRef>
              <c:f>Bilanca!$B$42</c:f>
              <c:strCache>
                <c:ptCount val="1"/>
                <c:pt idx="0">
                  <c:v>Obveznosti do dobaviteljev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Bilanca!$C$42:$G$42</c:f>
              <c:numCache>
                <c:formatCode>#,##0</c:formatCode>
                <c:ptCount val="5"/>
                <c:pt idx="0">
                  <c:v>213820</c:v>
                </c:pt>
                <c:pt idx="1">
                  <c:v>202615</c:v>
                </c:pt>
                <c:pt idx="2">
                  <c:v>221027</c:v>
                </c:pt>
                <c:pt idx="3">
                  <c:v>223725</c:v>
                </c:pt>
                <c:pt idx="4">
                  <c:v>229402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8-4BC6-A76D-F8B95E50E25C}"/>
            </c:ext>
          </c:extLst>
        </c:ser>
        <c:ser>
          <c:idx val="2"/>
          <c:order val="2"/>
          <c:tx>
            <c:strRef>
              <c:f>Bilanca!$B$43</c:f>
              <c:strCache>
                <c:ptCount val="1"/>
                <c:pt idx="0">
                  <c:v>Druge kratkoročne obveznosti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Bilanca!$C$43:$G$43</c:f>
              <c:numCache>
                <c:formatCode>#,##0</c:formatCode>
                <c:ptCount val="5"/>
                <c:pt idx="0">
                  <c:v>71001</c:v>
                </c:pt>
                <c:pt idx="1">
                  <c:v>71901</c:v>
                </c:pt>
                <c:pt idx="2">
                  <c:v>73807</c:v>
                </c:pt>
                <c:pt idx="3">
                  <c:v>79563</c:v>
                </c:pt>
                <c:pt idx="4">
                  <c:v>87752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8-4BC6-A76D-F8B95E50E25C}"/>
            </c:ext>
          </c:extLst>
        </c:ser>
        <c:ser>
          <c:idx val="3"/>
          <c:order val="3"/>
          <c:tx>
            <c:strRef>
              <c:f>Bilanca!$B$44</c:f>
              <c:strCache>
                <c:ptCount val="1"/>
                <c:pt idx="0">
                  <c:v>Obveznosti za davek iz dobička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Bilanca!$C$44:$G$44</c:f>
              <c:numCache>
                <c:formatCode>#,##0</c:formatCode>
                <c:ptCount val="5"/>
                <c:pt idx="0">
                  <c:v>1243</c:v>
                </c:pt>
                <c:pt idx="1">
                  <c:v>1689</c:v>
                </c:pt>
                <c:pt idx="2">
                  <c:v>2042</c:v>
                </c:pt>
                <c:pt idx="3">
                  <c:v>2390</c:v>
                </c:pt>
                <c:pt idx="4">
                  <c:v>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8-4BC6-A76D-F8B95E50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163200"/>
        <c:axId val="1345972864"/>
        <c:axId val="0"/>
      </c:bar3DChart>
      <c:catAx>
        <c:axId val="17061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5972864"/>
        <c:crosses val="autoZero"/>
        <c:auto val="1"/>
        <c:lblAlgn val="ctr"/>
        <c:lblOffset val="100"/>
        <c:noMultiLvlLbl val="0"/>
      </c:catAx>
      <c:valAx>
        <c:axId val="1345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1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Bilanca!$B$23</c:f>
              <c:strCache>
                <c:ptCount val="1"/>
                <c:pt idx="0">
                  <c:v>Kapital  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shade val="76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shade val="76000"/>
                  <a:lumMod val="75000"/>
                </a:schemeClr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Bilanca!$C$23:$G$23</c:f>
              <c:numCache>
                <c:formatCode>#,##0</c:formatCode>
                <c:ptCount val="5"/>
                <c:pt idx="0">
                  <c:v>380670</c:v>
                </c:pt>
                <c:pt idx="1">
                  <c:v>380267</c:v>
                </c:pt>
                <c:pt idx="2">
                  <c:v>368062</c:v>
                </c:pt>
                <c:pt idx="3">
                  <c:v>366541</c:v>
                </c:pt>
                <c:pt idx="4">
                  <c:v>368344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1-4E6F-8522-C682D95DDB09}"/>
            </c:ext>
          </c:extLst>
        </c:ser>
        <c:ser>
          <c:idx val="1"/>
          <c:order val="1"/>
          <c:tx>
            <c:strRef>
              <c:f>Bilanca!$B$46</c:f>
              <c:strCache>
                <c:ptCount val="1"/>
                <c:pt idx="0">
                  <c:v>Posojilo</c:v>
                </c:pt>
              </c:strCache>
            </c:strRef>
          </c:tx>
          <c:spPr>
            <a:solidFill>
              <a:srgbClr val="FFCC99"/>
            </a:solidFill>
            <a:ln>
              <a:solidFill>
                <a:srgbClr val="FFCC99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rgbClr val="FFCC99"/>
              </a:contourClr>
            </a:sp3d>
          </c:spPr>
          <c:invertIfNegative val="0"/>
          <c:cat>
            <c:numRef>
              <c:f>Bilanca!$C$3:$G$3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Bilanca!$C$46:$G$46</c:f>
              <c:numCache>
                <c:formatCode>#,##0</c:formatCode>
                <c:ptCount val="5"/>
                <c:pt idx="0">
                  <c:v>397413</c:v>
                </c:pt>
                <c:pt idx="1">
                  <c:v>367606</c:v>
                </c:pt>
                <c:pt idx="2">
                  <c:v>362024</c:v>
                </c:pt>
                <c:pt idx="3">
                  <c:v>376842</c:v>
                </c:pt>
                <c:pt idx="4">
                  <c:v>383751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B1-4E6F-8522-C682D95D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4106992"/>
        <c:axId val="1239039264"/>
        <c:axId val="0"/>
      </c:bar3DChart>
      <c:catAx>
        <c:axId val="14141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9039264"/>
        <c:crosses val="autoZero"/>
        <c:auto val="1"/>
        <c:lblAlgn val="ctr"/>
        <c:lblOffset val="100"/>
        <c:noMultiLvlLbl val="0"/>
      </c:catAx>
      <c:valAx>
        <c:axId val="12390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41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Primerjava!$A$41</c:f>
          <c:strCache>
            <c:ptCount val="1"/>
            <c:pt idx="0">
              <c:v>Obračanje celotnih sredstev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Primerjava!$A$43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Primerjava!$B$42:$F$42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Primerjava!$B$43:$F$43</c:f>
              <c:numCache>
                <c:formatCode>0.00%</c:formatCode>
                <c:ptCount val="5"/>
                <c:pt idx="0">
                  <c:v>1.4361784713359034</c:v>
                </c:pt>
                <c:pt idx="1">
                  <c:v>1.3087363458127159</c:v>
                </c:pt>
                <c:pt idx="2">
                  <c:v>1.4796875561572282</c:v>
                </c:pt>
                <c:pt idx="3">
                  <c:v>1.4105512067840835</c:v>
                </c:pt>
                <c:pt idx="4">
                  <c:v>1.3610767292231181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8-40EF-95E6-AE96C18B33A3}"/>
            </c:ext>
          </c:extLst>
        </c:ser>
        <c:ser>
          <c:idx val="1"/>
          <c:order val="1"/>
          <c:tx>
            <c:strRef>
              <c:f>Primerjava!$A$44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Primerjava!$B$42:$F$42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Primerjava!$B$44:$F$44</c:f>
              <c:numCache>
                <c:formatCode>0.00%</c:formatCode>
                <c:ptCount val="5"/>
                <c:pt idx="0">
                  <c:v>1.0804980554236912</c:v>
                </c:pt>
                <c:pt idx="1">
                  <c:v>1.1372634928582961</c:v>
                </c:pt>
                <c:pt idx="2">
                  <c:v>1.1123743954728795</c:v>
                </c:pt>
                <c:pt idx="3">
                  <c:v>1.1194130511765135</c:v>
                </c:pt>
                <c:pt idx="4">
                  <c:v>1.1459309466405858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8-40EF-95E6-AE96C18B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52112"/>
        <c:axId val="475346208"/>
      </c:barChart>
      <c:catAx>
        <c:axId val="4753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46208"/>
        <c:crosses val="autoZero"/>
        <c:auto val="1"/>
        <c:lblAlgn val="ctr"/>
        <c:lblOffset val="100"/>
        <c:noMultiLvlLbl val="0"/>
      </c:catAx>
      <c:valAx>
        <c:axId val="4753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FCFF!$C$15</c:f>
          <c:strCache>
            <c:ptCount val="1"/>
            <c:pt idx="0">
              <c:v>Stroški dela    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134424373423909"/>
          <c:y val="9.2851118185673195E-2"/>
          <c:w val="0.72451422983891722"/>
          <c:h val="0.80674719403028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FCFF!$C$15</c:f>
              <c:strCache>
                <c:ptCount val="1"/>
                <c:pt idx="0">
                  <c:v>Stroški dela     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FCFF!$D$15:$M$15</c:f>
              <c:numCache>
                <c:formatCode>#,##0</c:formatCode>
                <c:ptCount val="10"/>
                <c:pt idx="0">
                  <c:v>-237914</c:v>
                </c:pt>
                <c:pt idx="1">
                  <c:v>-228479</c:v>
                </c:pt>
                <c:pt idx="2">
                  <c:v>-231362</c:v>
                </c:pt>
                <c:pt idx="3">
                  <c:v>-235325</c:v>
                </c:pt>
                <c:pt idx="4">
                  <c:v>-249012</c:v>
                </c:pt>
                <c:pt idx="5">
                  <c:v>-251513.00539480138</c:v>
                </c:pt>
                <c:pt idx="6">
                  <c:v>-248737.69115487349</c:v>
                </c:pt>
                <c:pt idx="7">
                  <c:v>-254657.67060384582</c:v>
                </c:pt>
                <c:pt idx="8">
                  <c:v>-258396.53370286225</c:v>
                </c:pt>
                <c:pt idx="9">
                  <c:v>-261001.11475912062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F-4EF9-B497-88FD4E71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408720"/>
        <c:axId val="437412656"/>
      </c:barChart>
      <c:lineChart>
        <c:grouping val="standard"/>
        <c:varyColors val="0"/>
        <c:ser>
          <c:idx val="2"/>
          <c:order val="2"/>
          <c:tx>
            <c:strRef>
              <c:f>FCFF!$C$23</c:f>
              <c:strCache>
                <c:ptCount val="1"/>
                <c:pt idx="0">
                  <c:v>stroški dela/zaposlenega (v EUR)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FCFF!$D$23:$M$23</c:f>
              <c:numCache>
                <c:formatCode>0.00</c:formatCode>
                <c:ptCount val="10"/>
                <c:pt idx="0">
                  <c:v>22.362440078954791</c:v>
                </c:pt>
                <c:pt idx="1">
                  <c:v>21.82642338555598</c:v>
                </c:pt>
                <c:pt idx="2">
                  <c:v>21.791654893095977</c:v>
                </c:pt>
                <c:pt idx="3">
                  <c:v>21.611259068785014</c:v>
                </c:pt>
                <c:pt idx="4">
                  <c:v>22.557478032430474</c:v>
                </c:pt>
                <c:pt idx="5">
                  <c:v>22.5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F-4EF9-B497-88FD4E71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590424"/>
        <c:axId val="57059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FCFF!$C$11</c15:sqref>
                        </c15:formulaRef>
                      </c:ext>
                    </c:extLst>
                    <c:strCache>
                      <c:ptCount val="1"/>
                      <c:pt idx="0">
                        <c:v>Kosmati donos iz poslovanja   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FCFF!$D$3:$M$3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FCFF!$D$11:$M$11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1248877</c:v>
                      </c:pt>
                      <c:pt idx="1">
                        <c:v>1263369</c:v>
                      </c:pt>
                      <c:pt idx="2">
                        <c:v>1270265</c:v>
                      </c:pt>
                      <c:pt idx="3">
                        <c:v>1285195</c:v>
                      </c:pt>
                      <c:pt idx="4">
                        <c:v>1334255</c:v>
                      </c:pt>
                      <c:pt idx="5">
                        <c:v>1367560.048</c:v>
                      </c:pt>
                      <c:pt idx="6">
                        <c:v>1364614.9493760001</c:v>
                      </c:pt>
                      <c:pt idx="7">
                        <c:v>1401188.1696453758</c:v>
                      </c:pt>
                      <c:pt idx="8">
                        <c:v>1420601.5709403995</c:v>
                      </c:pt>
                      <c:pt idx="9">
                        <c:v>1433750.5182956178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1F-4EF9-B497-88FD4E7102A9}"/>
                  </c:ext>
                </c:extLst>
              </c15:ser>
            </c15:filteredLineSeries>
          </c:ext>
        </c:extLst>
      </c:lineChart>
      <c:catAx>
        <c:axId val="437408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412656"/>
        <c:crosses val="autoZero"/>
        <c:auto val="1"/>
        <c:lblAlgn val="ctr"/>
        <c:lblOffset val="100"/>
        <c:noMultiLvlLbl val="0"/>
      </c:catAx>
      <c:valAx>
        <c:axId val="437412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408720"/>
        <c:crosses val="autoZero"/>
        <c:crossBetween val="between"/>
      </c:valAx>
      <c:valAx>
        <c:axId val="570590096"/>
        <c:scaling>
          <c:orientation val="maxMin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590424"/>
        <c:crosses val="max"/>
        <c:crossBetween val="between"/>
      </c:valAx>
      <c:catAx>
        <c:axId val="5705904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0590096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33079171124592"/>
          <c:y val="9.9207548270513687E-2"/>
          <c:w val="0.34461506931769953"/>
          <c:h val="0.1856749262926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Primerjava!$A$46</c:f>
          <c:strCache>
            <c:ptCount val="1"/>
            <c:pt idx="0">
              <c:v>Delež kapitala v financiranju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Primerjava!$A$48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Primerjava!$B$47:$F$47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Primerjava!$B$48:$F$48</c:f>
              <c:numCache>
                <c:formatCode>0.00%</c:formatCode>
                <c:ptCount val="5"/>
                <c:pt idx="0">
                  <c:v>0.18826068078051605</c:v>
                </c:pt>
                <c:pt idx="1">
                  <c:v>0.19218560358509942</c:v>
                </c:pt>
                <c:pt idx="2">
                  <c:v>0.17976303147200826</c:v>
                </c:pt>
                <c:pt idx="3">
                  <c:v>0.20662100456621005</c:v>
                </c:pt>
                <c:pt idx="4">
                  <c:v>0.22966357787218858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A-4B47-B429-5F3F070C7B8B}"/>
            </c:ext>
          </c:extLst>
        </c:ser>
        <c:ser>
          <c:idx val="1"/>
          <c:order val="1"/>
          <c:tx>
            <c:strRef>
              <c:f>Primerjava!$A$49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Primerjava!$B$47:$F$47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Primerjava!$B$49:$F$49</c:f>
              <c:numCache>
                <c:formatCode>0.00%</c:formatCode>
                <c:ptCount val="5"/>
                <c:pt idx="0">
                  <c:v>0.3315753027920893</c:v>
                </c:pt>
                <c:pt idx="1">
                  <c:v>0.34494529199073293</c:v>
                </c:pt>
                <c:pt idx="2">
                  <c:v>0.33421473675034552</c:v>
                </c:pt>
                <c:pt idx="3">
                  <c:v>0.3261290454607737</c:v>
                </c:pt>
                <c:pt idx="4">
                  <c:v>0.32222801535452222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A-4B47-B429-5F3F070C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09896"/>
        <c:axId val="504806616"/>
      </c:barChart>
      <c:catAx>
        <c:axId val="5048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806616"/>
        <c:crosses val="autoZero"/>
        <c:auto val="1"/>
        <c:lblAlgn val="ctr"/>
        <c:lblOffset val="100"/>
        <c:noMultiLvlLbl val="0"/>
      </c:catAx>
      <c:valAx>
        <c:axId val="5048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8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Primerjava!$A$52</c:f>
          <c:strCache>
            <c:ptCount val="1"/>
            <c:pt idx="0">
              <c:v>Delež dolgov v financiranju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Primerjava!$A$54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Primerjava!$B$54:$F$54</c:f>
              <c:numCache>
                <c:formatCode>0.00%</c:formatCode>
                <c:ptCount val="5"/>
                <c:pt idx="0">
                  <c:v>0.19299746055972947</c:v>
                </c:pt>
                <c:pt idx="1">
                  <c:v>0.52148492204275976</c:v>
                </c:pt>
                <c:pt idx="2">
                  <c:v>0.1536701369337854</c:v>
                </c:pt>
                <c:pt idx="3">
                  <c:v>0.1136776628459603</c:v>
                </c:pt>
                <c:pt idx="4">
                  <c:v>0.10350249222225939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7-4151-B98B-7890469EE7C8}"/>
            </c:ext>
          </c:extLst>
        </c:ser>
        <c:ser>
          <c:idx val="1"/>
          <c:order val="1"/>
          <c:tx>
            <c:strRef>
              <c:f>Primerjava!$A$55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Primerjava!$B$55:$F$55</c:f>
              <c:numCache>
                <c:formatCode>0.00%</c:formatCode>
                <c:ptCount val="5"/>
                <c:pt idx="0">
                  <c:v>0.34615897183521838</c:v>
                </c:pt>
                <c:pt idx="1">
                  <c:v>0.33346032920959578</c:v>
                </c:pt>
                <c:pt idx="2">
                  <c:v>0.3287319958520768</c:v>
                </c:pt>
                <c:pt idx="3">
                  <c:v>0.33529433746710158</c:v>
                </c:pt>
                <c:pt idx="4">
                  <c:v>0.33570608757116516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7-4151-B98B-7890469E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15144"/>
        <c:axId val="504819408"/>
      </c:barChart>
      <c:catAx>
        <c:axId val="5048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819408"/>
        <c:crosses val="autoZero"/>
        <c:auto val="1"/>
        <c:lblAlgn val="ctr"/>
        <c:lblOffset val="100"/>
        <c:noMultiLvlLbl val="0"/>
      </c:catAx>
      <c:valAx>
        <c:axId val="5048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8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Primerjava!$A$58</c:f>
          <c:strCache>
            <c:ptCount val="1"/>
            <c:pt idx="0">
              <c:v>Zadolženost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Primerjava!$A$60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Primerjava!$B$59:$F$59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Primerjava!$B$60:$F$60</c:f>
              <c:numCache>
                <c:formatCode>0.00%</c:formatCode>
                <c:ptCount val="5"/>
                <c:pt idx="0">
                  <c:v>5.3117836175566113</c:v>
                </c:pt>
                <c:pt idx="1">
                  <c:v>5.2033033762448389</c:v>
                </c:pt>
                <c:pt idx="2">
                  <c:v>5.5628790403198938</c:v>
                </c:pt>
                <c:pt idx="3">
                  <c:v>4.8397790055248615</c:v>
                </c:pt>
                <c:pt idx="4">
                  <c:v>4.3541949893183141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C-42A3-88AA-84B561885548}"/>
            </c:ext>
          </c:extLst>
        </c:ser>
        <c:ser>
          <c:idx val="1"/>
          <c:order val="1"/>
          <c:tx>
            <c:strRef>
              <c:f>Primerjava!$A$61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Primerjava!$B$59:$F$59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Primerjava!$B$61:$F$61</c:f>
              <c:numCache>
                <c:formatCode>0.00%</c:formatCode>
                <c:ptCount val="5"/>
                <c:pt idx="0">
                  <c:v>3.015906165445136</c:v>
                </c:pt>
                <c:pt idx="1">
                  <c:v>2.8990104321437307</c:v>
                </c:pt>
                <c:pt idx="2">
                  <c:v>2.992088289472969</c:v>
                </c:pt>
                <c:pt idx="3">
                  <c:v>3.0662708946611703</c:v>
                </c:pt>
                <c:pt idx="4">
                  <c:v>3.1033924809417286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C-42A3-88AA-84B56188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86608"/>
        <c:axId val="504786936"/>
      </c:barChart>
      <c:catAx>
        <c:axId val="5047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86936"/>
        <c:crosses val="autoZero"/>
        <c:auto val="1"/>
        <c:lblAlgn val="ctr"/>
        <c:lblOffset val="100"/>
        <c:noMultiLvlLbl val="0"/>
      </c:catAx>
      <c:valAx>
        <c:axId val="5047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Primerjava!$A$64</c:f>
          <c:strCache>
            <c:ptCount val="1"/>
            <c:pt idx="0">
              <c:v>Kratkoročni koeficient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Primerjava!$A$66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Primerjava!$B$65:$F$65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Primerjava!$B$66:$F$66</c:f>
              <c:numCache>
                <c:formatCode>0.00%</c:formatCode>
                <c:ptCount val="5"/>
                <c:pt idx="0">
                  <c:v>1.0731641534878018</c:v>
                </c:pt>
                <c:pt idx="1">
                  <c:v>1.040454988895116</c:v>
                </c:pt>
                <c:pt idx="2">
                  <c:v>0.99673089103651191</c:v>
                </c:pt>
                <c:pt idx="3">
                  <c:v>1.0525044650105537</c:v>
                </c:pt>
                <c:pt idx="4">
                  <c:v>0.98216310180636379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6-4EF0-B023-9D3C90EB5616}"/>
            </c:ext>
          </c:extLst>
        </c:ser>
        <c:ser>
          <c:idx val="1"/>
          <c:order val="1"/>
          <c:tx>
            <c:strRef>
              <c:f>Primerjava!$A$67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Primerjava!$B$65:$F$65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Primerjava!$B$67:$F$67</c:f>
              <c:numCache>
                <c:formatCode>0.00%</c:formatCode>
                <c:ptCount val="5"/>
                <c:pt idx="0">
                  <c:v>1.1346233380150772</c:v>
                </c:pt>
                <c:pt idx="1">
                  <c:v>1.358748438089479</c:v>
                </c:pt>
                <c:pt idx="2">
                  <c:v>1.2558170109869713</c:v>
                </c:pt>
                <c:pt idx="3">
                  <c:v>1.2156380866248551</c:v>
                </c:pt>
                <c:pt idx="4">
                  <c:v>1.209148363590187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6-4EF0-B023-9D3C90EB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79392"/>
        <c:axId val="504772176"/>
      </c:barChart>
      <c:catAx>
        <c:axId val="5047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72176"/>
        <c:crosses val="autoZero"/>
        <c:auto val="1"/>
        <c:lblAlgn val="ctr"/>
        <c:lblOffset val="100"/>
        <c:noMultiLvlLbl val="0"/>
      </c:catAx>
      <c:valAx>
        <c:axId val="5047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Primerjava!$A$70</c:f>
          <c:strCache>
            <c:ptCount val="1"/>
            <c:pt idx="0">
              <c:v>Dobičkonosnost prihodkov od poslovanja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Primerjava!$A$72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Primerjava!$B$71:$F$71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Primerjava!$B$72:$F$72</c:f>
              <c:numCache>
                <c:formatCode>0.00%</c:formatCode>
                <c:ptCount val="5"/>
                <c:pt idx="0">
                  <c:v>8.282104607378769E-3</c:v>
                </c:pt>
                <c:pt idx="1">
                  <c:v>2.6724806719991438E-2</c:v>
                </c:pt>
                <c:pt idx="2">
                  <c:v>1.7010630632089449E-2</c:v>
                </c:pt>
                <c:pt idx="3">
                  <c:v>4.6088543516140487E-2</c:v>
                </c:pt>
                <c:pt idx="4">
                  <c:v>5.7070293298377844E-2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5B7-AF39-855443E3DB23}"/>
            </c:ext>
          </c:extLst>
        </c:ser>
        <c:ser>
          <c:idx val="1"/>
          <c:order val="1"/>
          <c:tx>
            <c:strRef>
              <c:f>Primerjava!$A$73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Primerjava!$B$71:$F$71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Primerjava!$B$73:$F$73</c:f>
              <c:numCache>
                <c:formatCode>0.00%</c:formatCode>
                <c:ptCount val="5"/>
                <c:pt idx="0">
                  <c:v>-1.5029641703789334E-2</c:v>
                </c:pt>
                <c:pt idx="1">
                  <c:v>3.0812376317781447E-3</c:v>
                </c:pt>
                <c:pt idx="2">
                  <c:v>-3.2554331366849276E-3</c:v>
                </c:pt>
                <c:pt idx="3">
                  <c:v>1.0523604986471922E-2</c:v>
                </c:pt>
                <c:pt idx="4">
                  <c:v>3.4253686450899743E-3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7-45B7-AF39-855443E3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44296"/>
        <c:axId val="504745936"/>
      </c:barChart>
      <c:catAx>
        <c:axId val="50474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45936"/>
        <c:crosses val="autoZero"/>
        <c:auto val="1"/>
        <c:lblAlgn val="ctr"/>
        <c:lblOffset val="100"/>
        <c:noMultiLvlLbl val="0"/>
      </c:catAx>
      <c:valAx>
        <c:axId val="504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4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Primerjava!$A$76</c:f>
          <c:strCache>
            <c:ptCount val="1"/>
            <c:pt idx="0">
              <c:v>Profitna marža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Primerjava!$A$78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Primerjava!$B$77:$F$77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Primerjava!$B$78:$F$78</c:f>
              <c:numCache>
                <c:formatCode>0.00%</c:formatCode>
                <c:ptCount val="5"/>
                <c:pt idx="0">
                  <c:v>6.1566087346886424E-3</c:v>
                </c:pt>
                <c:pt idx="1">
                  <c:v>1.9992331219960229E-2</c:v>
                </c:pt>
                <c:pt idx="2">
                  <c:v>1.2695225526471326E-2</c:v>
                </c:pt>
                <c:pt idx="3">
                  <c:v>3.7103713674613729E-2</c:v>
                </c:pt>
                <c:pt idx="4">
                  <c:v>4.7067016221530394E-2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E-466E-9ADD-21EBE0E1A446}"/>
            </c:ext>
          </c:extLst>
        </c:ser>
        <c:ser>
          <c:idx val="1"/>
          <c:order val="1"/>
          <c:tx>
            <c:strRef>
              <c:f>Primerjava!$A$79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Primerjava!$B$77:$F$77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Primerjava!$B$79:$F$79</c:f>
              <c:numCache>
                <c:formatCode>0.00%</c:formatCode>
                <c:ptCount val="5"/>
                <c:pt idx="0">
                  <c:v>-2.0152650340754641E-2</c:v>
                </c:pt>
                <c:pt idx="1">
                  <c:v>9.8826130617994342E-4</c:v>
                </c:pt>
                <c:pt idx="2">
                  <c:v>-6.5206619598393179E-3</c:v>
                </c:pt>
                <c:pt idx="3">
                  <c:v>6.7004524196343125E-3</c:v>
                </c:pt>
                <c:pt idx="4">
                  <c:v>1.0237172616593838E-3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E-466E-9ADD-21EBE0E1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99728"/>
        <c:axId val="504794480"/>
      </c:barChart>
      <c:catAx>
        <c:axId val="5047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94480"/>
        <c:crosses val="autoZero"/>
        <c:auto val="1"/>
        <c:lblAlgn val="ctr"/>
        <c:lblOffset val="100"/>
        <c:noMultiLvlLbl val="0"/>
      </c:catAx>
      <c:valAx>
        <c:axId val="5047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Primerjava!$A$6</c:f>
          <c:strCache>
            <c:ptCount val="1"/>
            <c:pt idx="0">
              <c:v>Rast prihodkov od prodaje v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Primerjava!$C$6:$F$6</c:f>
              <c:numCache>
                <c:formatCode>0.00%</c:formatCode>
                <c:ptCount val="4"/>
                <c:pt idx="0">
                  <c:v>2.7411567461590014E-2</c:v>
                </c:pt>
                <c:pt idx="1">
                  <c:v>0.10137057150245665</c:v>
                </c:pt>
                <c:pt idx="2">
                  <c:v>-1.9577203649877362E-2</c:v>
                </c:pt>
                <c:pt idx="3">
                  <c:v>7.9855978462834987E-3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45-4B22-B06D-9368811B9A45}"/>
            </c:ext>
          </c:extLst>
        </c:ser>
        <c:ser>
          <c:idx val="0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Primerjava!$J$6:$M$6</c:f>
              <c:numCache>
                <c:formatCode>0.00%</c:formatCode>
                <c:ptCount val="4"/>
                <c:pt idx="0">
                  <c:v>1.066923985998991E-2</c:v>
                </c:pt>
                <c:pt idx="1">
                  <c:v>-2.2882357023155997E-2</c:v>
                </c:pt>
                <c:pt idx="2">
                  <c:v>2.701568697557355E-2</c:v>
                </c:pt>
                <c:pt idx="3">
                  <c:v>4.1178770931959097E-2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45-4B22-B06D-9368811B9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20120"/>
        <c:axId val="500218480"/>
      </c:barChart>
      <c:catAx>
        <c:axId val="5002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18480"/>
        <c:crosses val="autoZero"/>
        <c:auto val="1"/>
        <c:lblAlgn val="ctr"/>
        <c:lblOffset val="100"/>
        <c:noMultiLvlLbl val="0"/>
      </c:catAx>
      <c:valAx>
        <c:axId val="500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Primerjava!$A$12</c:f>
          <c:strCache>
            <c:ptCount val="1"/>
            <c:pt idx="0">
              <c:v>Rast stroškov v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Primerjava!$C$12:$F$12</c:f>
              <c:numCache>
                <c:formatCode>0.00%</c:formatCode>
                <c:ptCount val="4"/>
                <c:pt idx="0">
                  <c:v>3.390040151471907E-2</c:v>
                </c:pt>
                <c:pt idx="1">
                  <c:v>9.1897114986426276E-2</c:v>
                </c:pt>
                <c:pt idx="2">
                  <c:v>-3.2119409023101397E-2</c:v>
                </c:pt>
                <c:pt idx="3">
                  <c:v>1.0275165447579671E-3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338-8737-50D65C2A9BAA}"/>
            </c:ext>
          </c:extLst>
        </c:ser>
        <c:ser>
          <c:idx val="0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Primerjava!$J$12:$M$12</c:f>
              <c:numCache>
                <c:formatCode>0.00%</c:formatCode>
                <c:ptCount val="4"/>
                <c:pt idx="0">
                  <c:v>6.7352820807538016E-3</c:v>
                </c:pt>
                <c:pt idx="1">
                  <c:v>1.0761439759895852E-2</c:v>
                </c:pt>
                <c:pt idx="2">
                  <c:v>7.5919449395733807E-3</c:v>
                </c:pt>
                <c:pt idx="3">
                  <c:v>4.4965557772155496E-2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7-4338-8737-50D65C2A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20120"/>
        <c:axId val="500218480"/>
      </c:barChart>
      <c:catAx>
        <c:axId val="5002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18480"/>
        <c:crosses val="autoZero"/>
        <c:auto val="1"/>
        <c:lblAlgn val="ctr"/>
        <c:lblOffset val="100"/>
        <c:noMultiLvlLbl val="0"/>
      </c:catAx>
      <c:valAx>
        <c:axId val="500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Primerjava!$A$21</c:f>
          <c:strCache>
            <c:ptCount val="1"/>
            <c:pt idx="0">
              <c:v>Poslovni izid pred davki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Primerjava!$C$22:$F$22</c:f>
              <c:numCache>
                <c:formatCode>0.00%</c:formatCode>
                <c:ptCount val="4"/>
                <c:pt idx="0">
                  <c:v>2.3152654867256639</c:v>
                </c:pt>
                <c:pt idx="1">
                  <c:v>-0.29896563229896567</c:v>
                </c:pt>
                <c:pt idx="2">
                  <c:v>1.6563541170871012</c:v>
                </c:pt>
                <c:pt idx="3">
                  <c:v>0.24816341157498667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40FD-9FEA-B3F53BC4FDAA}"/>
            </c:ext>
          </c:extLst>
        </c:ser>
        <c:ser>
          <c:idx val="0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Primerjava!$J$23:$M$23</c:f>
              <c:numCache>
                <c:formatCode>0.00%</c:formatCode>
                <c:ptCount val="4"/>
                <c:pt idx="0">
                  <c:v>1.2071980261746407</c:v>
                </c:pt>
                <c:pt idx="1">
                  <c:v>-2.0323582707740098</c:v>
                </c:pt>
                <c:pt idx="2">
                  <c:v>4.3199598796389171</c:v>
                </c:pt>
                <c:pt idx="3">
                  <c:v>-0.66110271903323259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0-40FD-9FEA-B3F53BC4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20120"/>
        <c:axId val="500218480"/>
      </c:barChart>
      <c:catAx>
        <c:axId val="5002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18480"/>
        <c:crosses val="autoZero"/>
        <c:auto val="1"/>
        <c:lblAlgn val="ctr"/>
        <c:lblOffset val="100"/>
        <c:noMultiLvlLbl val="0"/>
      </c:catAx>
      <c:valAx>
        <c:axId val="500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Primerjava!$A$25</c:f>
          <c:strCache>
            <c:ptCount val="1"/>
            <c:pt idx="0">
              <c:v>Poslovni izid poslovnega  leta 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Primerjava!$C$26:$F$26</c:f>
              <c:numCache>
                <c:formatCode>0.00%</c:formatCode>
                <c:ptCount val="4"/>
                <c:pt idx="0">
                  <c:v>2.3363095238095237</c:v>
                </c:pt>
                <c:pt idx="1">
                  <c:v>-0.30062444246208742</c:v>
                </c:pt>
                <c:pt idx="2">
                  <c:v>1.8654336734693877</c:v>
                </c:pt>
                <c:pt idx="3">
                  <c:v>0.27865568662363671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3-41D1-9B4C-A7D4FBCAC105}"/>
            </c:ext>
          </c:extLst>
        </c:ser>
        <c:ser>
          <c:idx val="0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Primerjava!$C$4:$F$4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Primerjava!$J$27:$M$27</c:f>
              <c:numCache>
                <c:formatCode>0.00%</c:formatCode>
                <c:ptCount val="4"/>
                <c:pt idx="0">
                  <c:v>1.0495619824792992</c:v>
                </c:pt>
                <c:pt idx="1">
                  <c:v>-7.4471347861178367</c:v>
                </c:pt>
                <c:pt idx="2">
                  <c:v>2.0553329994992486</c:v>
                </c:pt>
                <c:pt idx="3">
                  <c:v>-0.84092526690391456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1D1-9B4C-A7D4FBCA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20120"/>
        <c:axId val="500218480"/>
      </c:barChart>
      <c:catAx>
        <c:axId val="5002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18480"/>
        <c:crosses val="autoZero"/>
        <c:auto val="1"/>
        <c:lblAlgn val="ctr"/>
        <c:lblOffset val="100"/>
        <c:noMultiLvlLbl val="0"/>
      </c:catAx>
      <c:valAx>
        <c:axId val="500218480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Drugi 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FCFF!$C$8</c:f>
              <c:strCache>
                <c:ptCount val="1"/>
                <c:pt idx="0">
                  <c:v>Drugi poslovni prihodki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FCFF!$D$3:$M$3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FCFF!$D$8:$M$8</c:f>
              <c:numCache>
                <c:formatCode>#,##0</c:formatCode>
                <c:ptCount val="10"/>
                <c:pt idx="0">
                  <c:v>34517</c:v>
                </c:pt>
                <c:pt idx="1">
                  <c:v>21694</c:v>
                </c:pt>
                <c:pt idx="2">
                  <c:v>31866</c:v>
                </c:pt>
                <c:pt idx="3">
                  <c:v>21871</c:v>
                </c:pt>
                <c:pt idx="4">
                  <c:v>39440</c:v>
                </c:pt>
                <c:pt idx="5">
                  <c:v>25636</c:v>
                </c:pt>
                <c:pt idx="6">
                  <c:v>28604.648799999999</c:v>
                </c:pt>
                <c:pt idx="7">
                  <c:v>28770.55576304</c:v>
                </c:pt>
                <c:pt idx="8">
                  <c:v>26934.99430535805</c:v>
                </c:pt>
                <c:pt idx="9">
                  <c:v>33609.485894225778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500-9FAC-583E6D81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656024"/>
        <c:axId val="570660288"/>
      </c:barChart>
      <c:lineChart>
        <c:grouping val="stacked"/>
        <c:varyColors val="0"/>
        <c:ser>
          <c:idx val="1"/>
          <c:order val="1"/>
          <c:tx>
            <c:strRef>
              <c:f>FCFF!$C$18</c:f>
              <c:strCache>
                <c:ptCount val="1"/>
                <c:pt idx="0">
                  <c:v>Drugi poslovni odhodki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FCFF!$D$18:$M$18</c:f>
              <c:numCache>
                <c:formatCode>#,##0</c:formatCode>
                <c:ptCount val="10"/>
                <c:pt idx="0">
                  <c:v>-22242</c:v>
                </c:pt>
                <c:pt idx="1">
                  <c:v>-21650</c:v>
                </c:pt>
                <c:pt idx="2">
                  <c:v>-21570</c:v>
                </c:pt>
                <c:pt idx="3">
                  <c:v>-20470</c:v>
                </c:pt>
                <c:pt idx="4">
                  <c:v>-27459</c:v>
                </c:pt>
                <c:pt idx="5">
                  <c:v>-24616.080863999996</c:v>
                </c:pt>
                <c:pt idx="6">
                  <c:v>-24563.069088767999</c:v>
                </c:pt>
                <c:pt idx="7">
                  <c:v>-25221.387053616763</c:v>
                </c:pt>
                <c:pt idx="8">
                  <c:v>-25570.82827692719</c:v>
                </c:pt>
                <c:pt idx="9">
                  <c:v>-25807.509329321118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1-4500-9FAC-583E6D81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36368"/>
        <c:axId val="515735384"/>
      </c:lineChart>
      <c:catAx>
        <c:axId val="5706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660288"/>
        <c:crosses val="autoZero"/>
        <c:auto val="1"/>
        <c:lblAlgn val="ctr"/>
        <c:lblOffset val="100"/>
        <c:noMultiLvlLbl val="0"/>
      </c:catAx>
      <c:valAx>
        <c:axId val="5706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656024"/>
        <c:crosses val="autoZero"/>
        <c:crossBetween val="between"/>
      </c:valAx>
      <c:valAx>
        <c:axId val="515735384"/>
        <c:scaling>
          <c:orientation val="maxMin"/>
          <c:min val="-45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5736368"/>
        <c:crosses val="max"/>
        <c:crossBetween val="between"/>
      </c:valAx>
      <c:catAx>
        <c:axId val="515736368"/>
        <c:scaling>
          <c:orientation val="minMax"/>
        </c:scaling>
        <c:delete val="1"/>
        <c:axPos val="t"/>
        <c:majorTickMark val="out"/>
        <c:minorTickMark val="none"/>
        <c:tickLblPos val="nextTo"/>
        <c:crossAx val="515735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Primerjava!$A$82</c:f>
          <c:strCache>
            <c:ptCount val="1"/>
            <c:pt idx="0">
              <c:v>EBITDA marža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Primerjava!$A$84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Primerjava!$B$83:$F$83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Primerjava!$B$84:$F$84</c:f>
              <c:numCache>
                <c:formatCode>0.00%</c:formatCode>
                <c:ptCount val="5"/>
                <c:pt idx="0">
                  <c:v>4.5221757015510622E-2</c:v>
                </c:pt>
                <c:pt idx="1">
                  <c:v>6.4667433544670638E-2</c:v>
                </c:pt>
                <c:pt idx="2">
                  <c:v>5.4059962270566995E-2</c:v>
                </c:pt>
                <c:pt idx="3">
                  <c:v>8.4298844689618721E-2</c:v>
                </c:pt>
                <c:pt idx="4">
                  <c:v>9.3265607078485996E-2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16B-9C07-EA16E0D7524D}"/>
            </c:ext>
          </c:extLst>
        </c:ser>
        <c:ser>
          <c:idx val="1"/>
          <c:order val="1"/>
          <c:tx>
            <c:strRef>
              <c:f>Primerjava!$A$85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Primerjava!$B$83:$F$83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Primerjava!$B$85:$F$85</c:f>
              <c:numCache>
                <c:formatCode>0.00%</c:formatCode>
                <c:ptCount val="5"/>
                <c:pt idx="0">
                  <c:v>6.3044042557650976E-2</c:v>
                </c:pt>
                <c:pt idx="1">
                  <c:v>6.8240280701306597E-2</c:v>
                </c:pt>
                <c:pt idx="2">
                  <c:v>6.5376411497197209E-2</c:v>
                </c:pt>
                <c:pt idx="3">
                  <c:v>6.9346105789254472E-2</c:v>
                </c:pt>
                <c:pt idx="4">
                  <c:v>5.8301499619827592E-2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7-416B-9C07-EA16E0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36752"/>
        <c:axId val="504730520"/>
      </c:barChart>
      <c:catAx>
        <c:axId val="5047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30520"/>
        <c:crosses val="autoZero"/>
        <c:auto val="1"/>
        <c:lblAlgn val="ctr"/>
        <c:lblOffset val="100"/>
        <c:noMultiLvlLbl val="0"/>
      </c:catAx>
      <c:valAx>
        <c:axId val="5047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7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Primerjava!$A$88</c:f>
          <c:strCache>
            <c:ptCount val="1"/>
            <c:pt idx="0">
              <c:v>EBIT marža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Primerjava!$A$90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Primerjava!$B$89:$F$89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Primerjava!$B$90:$F$90</c:f>
              <c:numCache>
                <c:formatCode>0.00%</c:formatCode>
                <c:ptCount val="5"/>
                <c:pt idx="0">
                  <c:v>8.282104607378769E-3</c:v>
                </c:pt>
                <c:pt idx="1">
                  <c:v>2.6724806719991438E-2</c:v>
                </c:pt>
                <c:pt idx="2">
                  <c:v>1.7010630632089449E-2</c:v>
                </c:pt>
                <c:pt idx="3">
                  <c:v>4.6088543516140487E-2</c:v>
                </c:pt>
                <c:pt idx="4">
                  <c:v>5.7070293298377844E-2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E8B-B89C-91E22A0FD8E3}"/>
            </c:ext>
          </c:extLst>
        </c:ser>
        <c:ser>
          <c:idx val="1"/>
          <c:order val="1"/>
          <c:tx>
            <c:strRef>
              <c:f>Primerjava!$A$91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Primerjava!$B$89:$F$89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Primerjava!$B$91:$F$91</c:f>
              <c:numCache>
                <c:formatCode>0.00%</c:formatCode>
                <c:ptCount val="5"/>
                <c:pt idx="0">
                  <c:v>-1.5029641703789334E-2</c:v>
                </c:pt>
                <c:pt idx="1">
                  <c:v>3.0812376317781447E-3</c:v>
                </c:pt>
                <c:pt idx="2">
                  <c:v>-3.2554331366849276E-3</c:v>
                </c:pt>
                <c:pt idx="3">
                  <c:v>1.0523604986471922E-2</c:v>
                </c:pt>
                <c:pt idx="4">
                  <c:v>3.4253686450899743E-3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E8B-B89C-91E22A0F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51600"/>
        <c:axId val="586651928"/>
      </c:barChart>
      <c:catAx>
        <c:axId val="5866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6651928"/>
        <c:crosses val="autoZero"/>
        <c:auto val="1"/>
        <c:lblAlgn val="ctr"/>
        <c:lblOffset val="100"/>
        <c:noMultiLvlLbl val="0"/>
      </c:catAx>
      <c:valAx>
        <c:axId val="5866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66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Primerjava!$A$13</c:f>
          <c:strCache>
            <c:ptCount val="1"/>
            <c:pt idx="0">
              <c:v>Delež stroškov v prihodkih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Primerjava!$B$13:$F$13</c:f>
              <c:numCache>
                <c:formatCode>0.00%</c:formatCode>
                <c:ptCount val="5"/>
                <c:pt idx="0">
                  <c:v>0.96290460004947276</c:v>
                </c:pt>
                <c:pt idx="1">
                  <c:v>0.96898602676939261</c:v>
                </c:pt>
                <c:pt idx="2">
                  <c:v>0.96065127802381978</c:v>
                </c:pt>
                <c:pt idx="3">
                  <c:v>0.94836200275821059</c:v>
                </c:pt>
                <c:pt idx="4">
                  <c:v>0.9418155005734884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1-47B2-A2CB-A89ACBDD2E64}"/>
            </c:ext>
          </c:extLst>
        </c:ser>
        <c:ser>
          <c:idx val="1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Primerjava!$I$13:$M$13</c:f>
              <c:numCache>
                <c:formatCode>0.00%</c:formatCode>
                <c:ptCount val="5"/>
                <c:pt idx="0">
                  <c:v>0.92579336096775289</c:v>
                </c:pt>
                <c:pt idx="1">
                  <c:v>0.92218977648065714</c:v>
                </c:pt>
                <c:pt idx="2">
                  <c:v>0.9539423148349957</c:v>
                </c:pt>
                <c:pt idx="3">
                  <c:v>0.9359005948539254</c:v>
                </c:pt>
                <c:pt idx="4">
                  <c:v>0.93930448298079594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1-47B2-A2CB-A89ACBDD2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40832"/>
        <c:axId val="568238208"/>
      </c:barChart>
      <c:catAx>
        <c:axId val="568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238208"/>
        <c:crosses val="autoZero"/>
        <c:auto val="1"/>
        <c:lblAlgn val="ctr"/>
        <c:lblOffset val="100"/>
        <c:noMultiLvlLbl val="0"/>
      </c:catAx>
      <c:valAx>
        <c:axId val="568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Primerjava!$A$5</c:f>
          <c:strCache>
            <c:ptCount val="1"/>
            <c:pt idx="0">
              <c:v>Prihodki od prodaje   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Primerjava!$B$5:$F$5</c:f>
              <c:numCache>
                <c:formatCode>#,##0</c:formatCode>
                <c:ptCount val="5"/>
                <c:pt idx="0">
                  <c:v>109151</c:v>
                </c:pt>
                <c:pt idx="1">
                  <c:v>112143</c:v>
                </c:pt>
                <c:pt idx="2">
                  <c:v>123511</c:v>
                </c:pt>
                <c:pt idx="3">
                  <c:v>121093</c:v>
                </c:pt>
                <c:pt idx="4">
                  <c:v>122060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221-AB78-210E055F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199504"/>
        <c:axId val="568207704"/>
      </c:barChart>
      <c:lineChart>
        <c:grouping val="standard"/>
        <c:varyColors val="0"/>
        <c:ser>
          <c:idx val="1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Primerjava!$I$5:$M$5</c:f>
              <c:numCache>
                <c:formatCode>#,##0</c:formatCode>
                <c:ptCount val="5"/>
                <c:pt idx="0">
                  <c:v>1240482</c:v>
                </c:pt>
                <c:pt idx="1">
                  <c:v>1253717</c:v>
                </c:pt>
                <c:pt idx="2">
                  <c:v>1225029</c:v>
                </c:pt>
                <c:pt idx="3">
                  <c:v>1258124</c:v>
                </c:pt>
                <c:pt idx="4">
                  <c:v>1309932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8-4221-AB78-210E055F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15056"/>
        <c:axId val="650617024"/>
      </c:lineChart>
      <c:catAx>
        <c:axId val="5681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207704"/>
        <c:crosses val="autoZero"/>
        <c:auto val="1"/>
        <c:lblAlgn val="ctr"/>
        <c:lblOffset val="100"/>
        <c:noMultiLvlLbl val="0"/>
      </c:catAx>
      <c:valAx>
        <c:axId val="5682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199504"/>
        <c:crosses val="autoZero"/>
        <c:crossBetween val="between"/>
      </c:valAx>
      <c:valAx>
        <c:axId val="6506170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0615056"/>
        <c:crosses val="max"/>
        <c:crossBetween val="between"/>
      </c:valAx>
      <c:catAx>
        <c:axId val="65061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6170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strRef>
          <c:f>Primerjava!$A$11</c:f>
          <c:strCache>
            <c:ptCount val="1"/>
            <c:pt idx="0">
              <c:v>Stroški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Primerjava!$B$11:$F$11</c:f>
              <c:numCache>
                <c:formatCode>#,##0</c:formatCode>
                <c:ptCount val="5"/>
                <c:pt idx="0">
                  <c:v>-105102</c:v>
                </c:pt>
                <c:pt idx="1">
                  <c:v>-108665</c:v>
                </c:pt>
                <c:pt idx="2">
                  <c:v>-118651</c:v>
                </c:pt>
                <c:pt idx="3">
                  <c:v>-114840</c:v>
                </c:pt>
                <c:pt idx="4">
                  <c:v>-114958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1-481B-95D4-A8305DCF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199504"/>
        <c:axId val="568207704"/>
      </c:barChart>
      <c:lineChart>
        <c:grouping val="standard"/>
        <c:varyColors val="0"/>
        <c:ser>
          <c:idx val="1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Primerjava!$I$11:$M$11</c:f>
              <c:numCache>
                <c:formatCode>#,##0</c:formatCode>
                <c:ptCount val="5"/>
                <c:pt idx="0">
                  <c:v>-1148430</c:v>
                </c:pt>
                <c:pt idx="1">
                  <c:v>-1156165</c:v>
                </c:pt>
                <c:pt idx="2">
                  <c:v>-1168607</c:v>
                </c:pt>
                <c:pt idx="3">
                  <c:v>-1177479</c:v>
                </c:pt>
                <c:pt idx="4">
                  <c:v>-1230425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1-481B-95D4-A8305DCF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15056"/>
        <c:axId val="650617024"/>
      </c:lineChart>
      <c:catAx>
        <c:axId val="5681995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207704"/>
        <c:crosses val="autoZero"/>
        <c:auto val="1"/>
        <c:lblAlgn val="ctr"/>
        <c:lblOffset val="100"/>
        <c:noMultiLvlLbl val="0"/>
      </c:catAx>
      <c:valAx>
        <c:axId val="568207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199504"/>
        <c:crosses val="autoZero"/>
        <c:crossBetween val="between"/>
      </c:valAx>
      <c:valAx>
        <c:axId val="650617024"/>
        <c:scaling>
          <c:orientation val="maxMin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0615056"/>
        <c:crosses val="max"/>
        <c:crossBetween val="between"/>
      </c:valAx>
      <c:catAx>
        <c:axId val="650615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506170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Primerjava!$A$13</c:f>
          <c:strCache>
            <c:ptCount val="1"/>
            <c:pt idx="0">
              <c:v>Delež stroškov v prihodkih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Primerjava!$A$3</c:f>
              <c:strCache>
                <c:ptCount val="1"/>
                <c:pt idx="0">
                  <c:v>Electrolux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Primerjava!$B$4:$F$4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Primerjava!$B$13:$F$13</c:f>
              <c:numCache>
                <c:formatCode>0.00%</c:formatCode>
                <c:ptCount val="5"/>
                <c:pt idx="0">
                  <c:v>0.96290460004947276</c:v>
                </c:pt>
                <c:pt idx="1">
                  <c:v>0.96898602676939261</c:v>
                </c:pt>
                <c:pt idx="2">
                  <c:v>0.96065127802381978</c:v>
                </c:pt>
                <c:pt idx="3">
                  <c:v>0.94836200275821059</c:v>
                </c:pt>
                <c:pt idx="4">
                  <c:v>0.9418155005734884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6-4C00-B38D-447FA5082242}"/>
            </c:ext>
          </c:extLst>
        </c:ser>
        <c:ser>
          <c:idx val="0"/>
          <c:order val="1"/>
          <c:tx>
            <c:strRef>
              <c:f>Primerjava!$H$4</c:f>
              <c:strCache>
                <c:ptCount val="1"/>
                <c:pt idx="0">
                  <c:v>Skupina Gorenje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Primerjava!$B$4:$F$4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Primerjava!$I$13:$M$13</c:f>
              <c:numCache>
                <c:formatCode>0.00%</c:formatCode>
                <c:ptCount val="5"/>
                <c:pt idx="0">
                  <c:v>0.92579336096775289</c:v>
                </c:pt>
                <c:pt idx="1">
                  <c:v>0.92218977648065714</c:v>
                </c:pt>
                <c:pt idx="2">
                  <c:v>0.9539423148349957</c:v>
                </c:pt>
                <c:pt idx="3">
                  <c:v>0.9359005948539254</c:v>
                </c:pt>
                <c:pt idx="4">
                  <c:v>0.93930448298079594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6-4C00-B38D-447FA508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20120"/>
        <c:axId val="500218480"/>
      </c:barChart>
      <c:catAx>
        <c:axId val="5002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18480"/>
        <c:crosses val="autoZero"/>
        <c:auto val="1"/>
        <c:lblAlgn val="ctr"/>
        <c:lblOffset val="100"/>
        <c:noMultiLvlLbl val="0"/>
      </c:catAx>
      <c:valAx>
        <c:axId val="500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2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Dolg/EBITDA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Primerjava!$A$97</c:f>
              <c:strCache>
                <c:ptCount val="1"/>
                <c:pt idx="0">
                  <c:v>Electrolux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Primerjava!$B$96:$F$96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Primerjava!$B$97:$F$97</c:f>
              <c:numCache>
                <c:formatCode>0.00</c:formatCode>
                <c:ptCount val="5"/>
                <c:pt idx="0">
                  <c:v>2.971636952998379</c:v>
                </c:pt>
                <c:pt idx="1">
                  <c:v>6.161748483177055</c:v>
                </c:pt>
                <c:pt idx="2">
                  <c:v>1.9210723378762917</c:v>
                </c:pt>
                <c:pt idx="3">
                  <c:v>0.95601489028213171</c:v>
                </c:pt>
                <c:pt idx="4">
                  <c:v>0.81535488404778633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B-4B66-9FBF-5126ABAF6BE9}"/>
            </c:ext>
          </c:extLst>
        </c:ser>
        <c:ser>
          <c:idx val="1"/>
          <c:order val="1"/>
          <c:tx>
            <c:strRef>
              <c:f>Primerjava!$A$98</c:f>
              <c:strCache>
                <c:ptCount val="1"/>
                <c:pt idx="0">
                  <c:v>Skupina Gorenje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Primerjava!$B$96:$F$96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Primerjava!$B$98:$F$98</c:f>
              <c:numCache>
                <c:formatCode>0.00</c:formatCode>
                <c:ptCount val="5"/>
                <c:pt idx="0">
                  <c:v>4.3682884726040534</c:v>
                </c:pt>
                <c:pt idx="1">
                  <c:v>3.6358674053813966</c:v>
                </c:pt>
                <c:pt idx="2">
                  <c:v>3.9212366396963341</c:v>
                </c:pt>
                <c:pt idx="3">
                  <c:v>3.8142608257112074</c:v>
                </c:pt>
                <c:pt idx="4">
                  <c:v>4.5914679655890325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B-4B66-9FBF-5126ABAF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228015"/>
        <c:axId val="1809309487"/>
      </c:lineChart>
      <c:catAx>
        <c:axId val="189822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9309487"/>
        <c:crosses val="autoZero"/>
        <c:auto val="1"/>
        <c:lblAlgn val="ctr"/>
        <c:lblOffset val="100"/>
        <c:noMultiLvlLbl val="0"/>
      </c:catAx>
      <c:valAx>
        <c:axId val="18093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82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Primerjava!$H$5</c:f>
              <c:strCache>
                <c:ptCount val="1"/>
                <c:pt idx="0">
                  <c:v>Prihodki od prodaje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Primerjava!$I$4:$M$4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Primerjava!$I$5:$M$5</c:f>
              <c:numCache>
                <c:formatCode>#,##0</c:formatCode>
                <c:ptCount val="5"/>
                <c:pt idx="0">
                  <c:v>1240482</c:v>
                </c:pt>
                <c:pt idx="1">
                  <c:v>1253717</c:v>
                </c:pt>
                <c:pt idx="2">
                  <c:v>1225029</c:v>
                </c:pt>
                <c:pt idx="3">
                  <c:v>1258124</c:v>
                </c:pt>
                <c:pt idx="4">
                  <c:v>1309932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5-4B6A-8DAE-91389B2A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91408"/>
        <c:axId val="1889709520"/>
      </c:lineChart>
      <c:catAx>
        <c:axId val="18887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9709520"/>
        <c:crosses val="autoZero"/>
        <c:auto val="1"/>
        <c:lblAlgn val="ctr"/>
        <c:lblOffset val="100"/>
        <c:noMultiLvlLbl val="0"/>
      </c:catAx>
      <c:valAx>
        <c:axId val="1889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8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Lastniška struktura po državah na dan </a:t>
            </a:r>
            <a:endParaRPr lang="sl-SI"/>
          </a:p>
          <a:p>
            <a:pPr>
              <a:defRPr/>
            </a:pPr>
            <a:r>
              <a:rPr lang="en-US"/>
              <a:t>31. 12. 2017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Delnica!$B$12</c:f>
              <c:strCache>
                <c:ptCount val="1"/>
                <c:pt idx="0">
                  <c:v>Lastniška struktura po državah na dan 31. 12.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40-44B9-A958-987CED155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40-44B9-A958-987CED155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40-44B9-A958-987CED155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A40-44B9-A958-987CED155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40-44B9-A958-987CED155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A40-44B9-A958-987CED1551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40-44B9-A958-987CED1551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A40-44B9-A958-987CED1551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A40-44B9-A958-987CED1551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40-44B9-A958-987CED1551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A40-44B9-A958-987CED1551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A40-44B9-A958-987CED155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A40-44B9-A958-987CED155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A40-44B9-A958-987CED15515E}"/>
                </c:ext>
              </c:extLst>
            </c:dLbl>
            <c:dLbl>
              <c:idx val="2"/>
              <c:layout>
                <c:manualLayout>
                  <c:x val="0"/>
                  <c:y val="-4.2666666666666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0-44B9-A958-987CED15515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A40-44B9-A958-987CED15515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A40-44B9-A958-987CED15515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4A40-44B9-A958-987CED15515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A40-44B9-A958-987CED15515E}"/>
                </c:ext>
              </c:extLst>
            </c:dLbl>
            <c:dLbl>
              <c:idx val="7"/>
              <c:layout>
                <c:manualLayout>
                  <c:x val="-4.1522491349480967E-2"/>
                  <c:y val="8.53333333333332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40-44B9-A958-987CED15515E}"/>
                </c:ext>
              </c:extLst>
            </c:dLbl>
            <c:dLbl>
              <c:idx val="8"/>
              <c:layout>
                <c:manualLayout>
                  <c:x val="1.8454440599769233E-2"/>
                  <c:y val="-0.181333333333333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40-44B9-A958-987CED15515E}"/>
                </c:ext>
              </c:extLst>
            </c:dLbl>
            <c:dLbl>
              <c:idx val="9"/>
              <c:layout>
                <c:manualLayout>
                  <c:x val="-2.0761245674740483E-2"/>
                  <c:y val="-8.53333333333333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40-44B9-A958-987CED15515E}"/>
                </c:ext>
              </c:extLst>
            </c:dLbl>
            <c:dLbl>
              <c:idx val="10"/>
              <c:layout>
                <c:manualLayout>
                  <c:x val="0"/>
                  <c:y val="0.209777777777777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40-44B9-A958-987CED15515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A40-44B9-A958-987CED155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Delnica!$C$11:$M$11</c:f>
              <c:strCache>
                <c:ptCount val="11"/>
                <c:pt idx="0">
                  <c:v>Slovenija</c:v>
                </c:pt>
                <c:pt idx="1">
                  <c:v>ZDA</c:v>
                </c:pt>
                <c:pt idx="2">
                  <c:v>Hrvaška</c:v>
                </c:pt>
                <c:pt idx="3">
                  <c:v>Japonska</c:v>
                </c:pt>
                <c:pt idx="4">
                  <c:v>Poljska</c:v>
                </c:pt>
                <c:pt idx="5">
                  <c:v>Nizozemska</c:v>
                </c:pt>
                <c:pt idx="6">
                  <c:v>Avstrija</c:v>
                </c:pt>
                <c:pt idx="7">
                  <c:v>Francija</c:v>
                </c:pt>
                <c:pt idx="8">
                  <c:v>Luksemburg</c:v>
                </c:pt>
                <c:pt idx="9">
                  <c:v>Madžarska</c:v>
                </c:pt>
                <c:pt idx="10">
                  <c:v>Ostale države</c:v>
                </c:pt>
              </c:strCache>
            </c:strRef>
          </c:cat>
          <c:val>
            <c:numRef>
              <c:f>Delnica!$C$12:$M$12</c:f>
              <c:numCache>
                <c:formatCode>0.00%</c:formatCode>
                <c:ptCount val="11"/>
                <c:pt idx="0">
                  <c:v>0.35070000000000001</c:v>
                </c:pt>
                <c:pt idx="1">
                  <c:v>0.13009999999999999</c:v>
                </c:pt>
                <c:pt idx="2">
                  <c:v>0.15279999999999999</c:v>
                </c:pt>
                <c:pt idx="3">
                  <c:v>0.1081</c:v>
                </c:pt>
                <c:pt idx="4">
                  <c:v>7.6999999999999999E-2</c:v>
                </c:pt>
                <c:pt idx="5">
                  <c:v>5.0299999999999997E-2</c:v>
                </c:pt>
                <c:pt idx="6">
                  <c:v>4.0099999999999997E-2</c:v>
                </c:pt>
                <c:pt idx="7">
                  <c:v>3.6900000000000002E-2</c:v>
                </c:pt>
                <c:pt idx="8">
                  <c:v>2.9399999999999999E-2</c:v>
                </c:pt>
                <c:pt idx="9">
                  <c:v>1.9599999999999999E-2</c:v>
                </c:pt>
                <c:pt idx="1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0-44B9-A958-987CED155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88210848643919"/>
          <c:y val="5.0925925925925923E-2"/>
          <c:w val="0.55312467191601045"/>
          <c:h val="0.92187445319335082"/>
        </c:manualLayout>
      </c:layout>
      <c:doughnutChart>
        <c:varyColors val="1"/>
        <c:ser>
          <c:idx val="0"/>
          <c:order val="0"/>
          <c:tx>
            <c:strRef>
              <c:f>Panoga!$C$4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7F0-4E3B-994B-BDBF557E9B0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F0-4E3B-994B-BDBF557E9B0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F0-4E3B-994B-BDBF557E9B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2FF43E4-F7FE-48F2-BBC1-AA081F3951E8}" type="VALUE">
                      <a:rPr lang="en-US"/>
                      <a:pPr/>
                      <a:t>[VREDNOST]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F0-4E3B-994B-BDBF557E9B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7FDF2A-AAB7-49B1-88CF-D83DEE9431EE}" type="VALUE">
                      <a:rPr lang="en-US"/>
                      <a:pPr/>
                      <a:t>[VREDNOST]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F0-4E3B-994B-BDBF557E9B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FD6D2A-2AB6-4B42-9A3E-2E401BFF0476}" type="VALUE">
                      <a:rPr lang="en-US"/>
                      <a:pPr/>
                      <a:t>[VREDNOST]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7F0-4E3B-994B-BDBF557E9B0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Panoga!$D$3:$F$3</c:f>
              <c:strCache>
                <c:ptCount val="3"/>
                <c:pt idx="0">
                  <c:v>Zahodna Evropa</c:v>
                </c:pt>
                <c:pt idx="1">
                  <c:v>Vzhodna Evropa</c:v>
                </c:pt>
                <c:pt idx="2">
                  <c:v>Ostali svet</c:v>
                </c:pt>
              </c:strCache>
            </c:strRef>
          </c:cat>
          <c:val>
            <c:numRef>
              <c:f>Panoga!$D$4:$F$4</c:f>
              <c:numCache>
                <c:formatCode>0.0%</c:formatCode>
                <c:ptCount val="3"/>
                <c:pt idx="0">
                  <c:v>0.41499999999999998</c:v>
                </c:pt>
                <c:pt idx="1">
                  <c:v>0.48099999999999998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0-4E3B-994B-BDBF557E9B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Investicije</a:t>
            </a:r>
            <a:r>
              <a:rPr lang="sl-SI" baseline="0"/>
              <a:t> v opredmetena in neopredmetena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FCFF!$C$46</c:f>
              <c:strCache>
                <c:ptCount val="1"/>
                <c:pt idx="0">
                  <c:v>Nakup neopredmetenih sredstev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FCFF!$D$45:$M$45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FCFF!$D$46:$M$46</c:f>
              <c:numCache>
                <c:formatCode>#,##0</c:formatCode>
                <c:ptCount val="10"/>
                <c:pt idx="0">
                  <c:v>15678</c:v>
                </c:pt>
                <c:pt idx="1">
                  <c:v>21264</c:v>
                </c:pt>
                <c:pt idx="2">
                  <c:v>23084</c:v>
                </c:pt>
                <c:pt idx="3">
                  <c:v>23819</c:v>
                </c:pt>
                <c:pt idx="4">
                  <c:v>25656</c:v>
                </c:pt>
                <c:pt idx="5">
                  <c:v>20513.400719999998</c:v>
                </c:pt>
                <c:pt idx="6">
                  <c:v>19104.609291264002</c:v>
                </c:pt>
                <c:pt idx="7">
                  <c:v>19616.634375035261</c:v>
                </c:pt>
                <c:pt idx="8">
                  <c:v>18467.820422225192</c:v>
                </c:pt>
                <c:pt idx="9">
                  <c:v>18638.756737843029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3-42C6-99A3-1ACF5A8C7765}"/>
            </c:ext>
          </c:extLst>
        </c:ser>
        <c:ser>
          <c:idx val="1"/>
          <c:order val="1"/>
          <c:tx>
            <c:strRef>
              <c:f>FCFF!$C$47</c:f>
              <c:strCache>
                <c:ptCount val="1"/>
                <c:pt idx="0">
                  <c:v>Nakup opredmetenih sredstev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FCFF!$D$45:$M$45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FCFF!$D$47:$M$47</c:f>
              <c:numCache>
                <c:formatCode>#,##0</c:formatCode>
                <c:ptCount val="10"/>
                <c:pt idx="0">
                  <c:v>68232</c:v>
                </c:pt>
                <c:pt idx="1">
                  <c:v>40380</c:v>
                </c:pt>
                <c:pt idx="2">
                  <c:v>52412</c:v>
                </c:pt>
                <c:pt idx="3">
                  <c:v>59412</c:v>
                </c:pt>
                <c:pt idx="4">
                  <c:v>50043</c:v>
                </c:pt>
                <c:pt idx="5">
                  <c:v>41710.581463999995</c:v>
                </c:pt>
                <c:pt idx="6">
                  <c:v>43667.678380032004</c:v>
                </c:pt>
                <c:pt idx="7">
                  <c:v>44838.021428652028</c:v>
                </c:pt>
                <c:pt idx="8">
                  <c:v>45459.250270092787</c:v>
                </c:pt>
                <c:pt idx="9">
                  <c:v>44446.26606716415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3-42C6-99A3-1ACF5A8C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58976"/>
        <c:axId val="570662584"/>
      </c:barChart>
      <c:catAx>
        <c:axId val="5706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662584"/>
        <c:crosses val="autoZero"/>
        <c:auto val="1"/>
        <c:lblAlgn val="ctr"/>
        <c:lblOffset val="100"/>
        <c:noMultiLvlLbl val="0"/>
      </c:catAx>
      <c:valAx>
        <c:axId val="5706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88210848643919"/>
          <c:y val="5.0925925925925923E-2"/>
          <c:w val="0.55312467191601045"/>
          <c:h val="0.92187445319335082"/>
        </c:manualLayout>
      </c:layout>
      <c:doughnutChart>
        <c:varyColors val="1"/>
        <c:ser>
          <c:idx val="1"/>
          <c:order val="0"/>
          <c:tx>
            <c:strRef>
              <c:f>Panoga!$C$5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B3-4BF7-AD1A-2AAA10554D5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FB3-4BF7-AD1A-2AAA10554D5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FB3-4BF7-AD1A-2AAA10554D5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39348D-0489-40E9-9647-316DF91A5FB9}" type="VALUE">
                      <a:rPr lang="en-US"/>
                      <a:pPr/>
                      <a:t>[VREDNOST]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FB3-4BF7-AD1A-2AAA10554D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1B974A-2F8F-4EDA-A2CF-BD5A512EAEC6}" type="VALUE">
                      <a:rPr lang="en-US"/>
                      <a:pPr/>
                      <a:t>[VREDNOST]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FB3-4BF7-AD1A-2AAA10554D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835B71-2710-4FA6-8D02-5DDE548ABB22}" type="VALUE">
                      <a:rPr lang="en-US"/>
                      <a:pPr/>
                      <a:t>[VREDNOST]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FB3-4BF7-AD1A-2AAA10554D5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Panoga!$D$3:$F$3</c:f>
              <c:strCache>
                <c:ptCount val="3"/>
                <c:pt idx="0">
                  <c:v>Zahodna Evropa</c:v>
                </c:pt>
                <c:pt idx="1">
                  <c:v>Vzhodna Evropa</c:v>
                </c:pt>
                <c:pt idx="2">
                  <c:v>Ostali svet</c:v>
                </c:pt>
              </c:strCache>
            </c:strRef>
          </c:cat>
          <c:val>
            <c:numRef>
              <c:f>Panoga!$D$5:$F$5</c:f>
              <c:numCache>
                <c:formatCode>0.0%</c:formatCode>
                <c:ptCount val="3"/>
                <c:pt idx="0">
                  <c:v>0.38500000000000001</c:v>
                </c:pt>
                <c:pt idx="1">
                  <c:v>0.499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B3-4BF7-AD1A-2AAA10554D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'Kontrolna premija'!$B$1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'Kontrolna premija'!$A$2:$A$13</c:f>
              <c:strCache>
                <c:ptCount val="12"/>
                <c:pt idx="0">
                  <c:v>Consumer Products and Services</c:v>
                </c:pt>
                <c:pt idx="1">
                  <c:v>Consumer Staples</c:v>
                </c:pt>
                <c:pt idx="2">
                  <c:v>Energy and Power</c:v>
                </c:pt>
                <c:pt idx="3">
                  <c:v>Financials</c:v>
                </c:pt>
                <c:pt idx="4">
                  <c:v>Healthcare</c:v>
                </c:pt>
                <c:pt idx="5">
                  <c:v>High Technology</c:v>
                </c:pt>
                <c:pt idx="6">
                  <c:v>Industrials</c:v>
                </c:pt>
                <c:pt idx="7">
                  <c:v>Materials</c:v>
                </c:pt>
                <c:pt idx="8">
                  <c:v>Media and Entertainment</c:v>
                </c:pt>
                <c:pt idx="9">
                  <c:v>Real Estate</c:v>
                </c:pt>
                <c:pt idx="10">
                  <c:v>Retail</c:v>
                </c:pt>
                <c:pt idx="11">
                  <c:v>Telecommunications</c:v>
                </c:pt>
              </c:strCache>
            </c:strRef>
          </c:cat>
          <c:val>
            <c:numRef>
              <c:f>'Kontrolna premija'!$B$2:$B$13</c:f>
              <c:numCache>
                <c:formatCode>0.00%</c:formatCode>
                <c:ptCount val="12"/>
                <c:pt idx="0">
                  <c:v>0.193</c:v>
                </c:pt>
                <c:pt idx="1">
                  <c:v>0.23699999999999999</c:v>
                </c:pt>
                <c:pt idx="2">
                  <c:v>0.24099999999999999</c:v>
                </c:pt>
                <c:pt idx="3">
                  <c:v>0.23699999999999999</c:v>
                </c:pt>
                <c:pt idx="4">
                  <c:v>0.36199999999999999</c:v>
                </c:pt>
                <c:pt idx="5">
                  <c:v>0.23200000000000001</c:v>
                </c:pt>
                <c:pt idx="6">
                  <c:v>0.222</c:v>
                </c:pt>
                <c:pt idx="7">
                  <c:v>0.22500000000000001</c:v>
                </c:pt>
                <c:pt idx="8">
                  <c:v>0.216</c:v>
                </c:pt>
                <c:pt idx="9">
                  <c:v>0.16</c:v>
                </c:pt>
                <c:pt idx="10">
                  <c:v>0.373</c:v>
                </c:pt>
                <c:pt idx="11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D-4AB8-B00F-955C433EAACF}"/>
            </c:ext>
          </c:extLst>
        </c:ser>
        <c:ser>
          <c:idx val="1"/>
          <c:order val="1"/>
          <c:tx>
            <c:strRef>
              <c:f>'Kontrolna premija'!$C$1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'Kontrolna premija'!$A$2:$A$13</c:f>
              <c:strCache>
                <c:ptCount val="12"/>
                <c:pt idx="0">
                  <c:v>Consumer Products and Services</c:v>
                </c:pt>
                <c:pt idx="1">
                  <c:v>Consumer Staples</c:v>
                </c:pt>
                <c:pt idx="2">
                  <c:v>Energy and Power</c:v>
                </c:pt>
                <c:pt idx="3">
                  <c:v>Financials</c:v>
                </c:pt>
                <c:pt idx="4">
                  <c:v>Healthcare</c:v>
                </c:pt>
                <c:pt idx="5">
                  <c:v>High Technology</c:v>
                </c:pt>
                <c:pt idx="6">
                  <c:v>Industrials</c:v>
                </c:pt>
                <c:pt idx="7">
                  <c:v>Materials</c:v>
                </c:pt>
                <c:pt idx="8">
                  <c:v>Media and Entertainment</c:v>
                </c:pt>
                <c:pt idx="9">
                  <c:v>Real Estate</c:v>
                </c:pt>
                <c:pt idx="10">
                  <c:v>Retail</c:v>
                </c:pt>
                <c:pt idx="11">
                  <c:v>Telecommunications</c:v>
                </c:pt>
              </c:strCache>
            </c:strRef>
          </c:cat>
          <c:val>
            <c:numRef>
              <c:f>'Kontrolna premija'!$C$2:$C$13</c:f>
              <c:numCache>
                <c:formatCode>0.00%</c:formatCode>
                <c:ptCount val="12"/>
                <c:pt idx="0">
                  <c:v>0.246</c:v>
                </c:pt>
                <c:pt idx="1">
                  <c:v>0.28000000000000003</c:v>
                </c:pt>
                <c:pt idx="2">
                  <c:v>0.25700000000000001</c:v>
                </c:pt>
                <c:pt idx="3">
                  <c:v>0.23300000000000001</c:v>
                </c:pt>
                <c:pt idx="4">
                  <c:v>0.34499999999999997</c:v>
                </c:pt>
                <c:pt idx="5">
                  <c:v>0.35599999999999998</c:v>
                </c:pt>
                <c:pt idx="6">
                  <c:v>0.3</c:v>
                </c:pt>
                <c:pt idx="7">
                  <c:v>0.161</c:v>
                </c:pt>
                <c:pt idx="8">
                  <c:v>0.23799999999999999</c:v>
                </c:pt>
                <c:pt idx="9">
                  <c:v>0.14499999999999999</c:v>
                </c:pt>
                <c:pt idx="10">
                  <c:v>0.23799999999999999</c:v>
                </c:pt>
                <c:pt idx="11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D-4AB8-B00F-955C433EA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5"/>
        <c:overlap val="-28"/>
        <c:axId val="362389168"/>
        <c:axId val="363098560"/>
      </c:barChart>
      <c:catAx>
        <c:axId val="36238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3098560"/>
        <c:crosses val="autoZero"/>
        <c:auto val="1"/>
        <c:lblAlgn val="ctr"/>
        <c:lblOffset val="100"/>
        <c:noMultiLvlLbl val="0"/>
      </c:catAx>
      <c:valAx>
        <c:axId val="36309856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3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Kazalniki!$K$27</c:f>
              <c:strCache>
                <c:ptCount val="1"/>
                <c:pt idx="0">
                  <c:v>DOBIČKONOSNOST KAPITALA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Kazalniki!$L$26:$P$26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Kazalniki!$L$27:$P$27</c:f>
              <c:numCache>
                <c:formatCode>General</c:formatCode>
                <c:ptCount val="5"/>
                <c:pt idx="0">
                  <c:v>-7.1855409635333586E-2</c:v>
                </c:pt>
                <c:pt idx="1">
                  <c:v>3.2582369755987241E-3</c:v>
                </c:pt>
                <c:pt idx="2">
                  <c:v>-2.1702865278132488E-2</c:v>
                </c:pt>
                <c:pt idx="3">
                  <c:v>2.2998791403962996E-2</c:v>
                </c:pt>
                <c:pt idx="4">
                  <c:v>3.6406185522229219E-3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4-4BB9-B2E0-8D5713E0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42744"/>
        <c:axId val="471643072"/>
      </c:lineChart>
      <c:catAx>
        <c:axId val="47164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43072"/>
        <c:crosses val="autoZero"/>
        <c:auto val="1"/>
        <c:lblAlgn val="ctr"/>
        <c:lblOffset val="100"/>
        <c:noMultiLvlLbl val="0"/>
      </c:catAx>
      <c:valAx>
        <c:axId val="471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4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Kazalniki!$K$32</c:f>
              <c:strCache>
                <c:ptCount val="1"/>
                <c:pt idx="0">
                  <c:v>DOBIČKONOSNOST SREDSTEV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Kazalniki!$L$31:$P$31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Kazalniki!$L$32:$P$32</c:f>
              <c:numCache>
                <c:formatCode>General</c:formatCode>
                <c:ptCount val="5"/>
                <c:pt idx="0">
                  <c:v>-2.8228702285938833E-2</c:v>
                </c:pt>
                <c:pt idx="1">
                  <c:v>1.1239135049229045E-3</c:v>
                </c:pt>
                <c:pt idx="2">
                  <c:v>-7.2534174056592638E-3</c:v>
                </c:pt>
                <c:pt idx="3">
                  <c:v>7.5005738873258985E-3</c:v>
                </c:pt>
                <c:pt idx="4">
                  <c:v>1.1731092907456462E-3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2-4732-9473-5F14537D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16176"/>
        <c:axId val="47161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Kazalniki!$K$33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Kazalniki!$L$33:$P$33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02-4732-9473-5F14537D6E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Kazalniki!$L$34:$P$34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02-4732-9473-5F14537D6E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Kazalniki!$L$35:$P$35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02-4732-9473-5F14537D6E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Kazalniki!$L$36:$P$36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02-4732-9473-5F14537D6E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Kazalniki!$K$37</c15:sqref>
                        </c15:formulaRef>
                      </c:ext>
                    </c:extLst>
                    <c:strCache>
                      <c:ptCount val="1"/>
                      <c:pt idx="0">
                        <c:v>ČISTA DOBRIČKONOSNOST PRIHODKOV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Kazalniki!$L$37:$P$37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-1.9807275424051113E-2</c:v>
                      </c:pt>
                      <c:pt idx="1">
                        <c:v>9.8071109865763674E-4</c:v>
                      </c:pt>
                      <c:pt idx="2">
                        <c:v>-6.2884516222992837E-3</c:v>
                      </c:pt>
                      <c:pt idx="3">
                        <c:v>6.5593159014779856E-3</c:v>
                      </c:pt>
                      <c:pt idx="4">
                        <c:v>1.0050552555545978E-3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02-4732-9473-5F14537D6E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Kazalniki!$L$38:$P$38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02-4732-9473-5F14537D6E2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Kazalniki!$L$39:$P$39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02-4732-9473-5F14537D6E2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Kazalniki!$L$40:$P$40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02-4732-9473-5F14537D6E2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Kazalniki!$L$41:$P$41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02-4732-9473-5F14537D6E2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Kazalniki!$K$42</c15:sqref>
                        </c15:formulaRef>
                      </c:ext>
                    </c:extLst>
                    <c:strCache>
                      <c:ptCount val="1"/>
                      <c:pt idx="0">
                        <c:v>OBRAČANJE (celotnih) SREDSTEV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Kazalniki!$L$31:$P$31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Kazalniki!$L$42:$P$42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1.4251683627149418</c:v>
                      </c:pt>
                      <c:pt idx="1">
                        <c:v>1.146018951413192</c:v>
                      </c:pt>
                      <c:pt idx="2">
                        <c:v>1.1534504582874017</c:v>
                      </c:pt>
                      <c:pt idx="3">
                        <c:v>1.1434994136562051</c:v>
                      </c:pt>
                      <c:pt idx="4">
                        <c:v>1.1672087522176227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02-4732-9473-5F14537D6E29}"/>
                  </c:ext>
                </c:extLst>
              </c15:ser>
            </c15:filteredLineSeries>
          </c:ext>
        </c:extLst>
      </c:lineChart>
      <c:catAx>
        <c:axId val="4716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17816"/>
        <c:crosses val="autoZero"/>
        <c:auto val="1"/>
        <c:lblAlgn val="ctr"/>
        <c:lblOffset val="100"/>
        <c:noMultiLvlLbl val="0"/>
      </c:catAx>
      <c:valAx>
        <c:axId val="4716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Kazalniki!$K$37</c:f>
              <c:strCache>
                <c:ptCount val="1"/>
                <c:pt idx="0">
                  <c:v>ČISTA DOBRIČKONOSNOST PRIHODKOV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Kazalniki!$L$31:$P$31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Kazalniki!$L$37:$P$37</c:f>
              <c:numCache>
                <c:formatCode>General</c:formatCode>
                <c:ptCount val="5"/>
                <c:pt idx="0">
                  <c:v>-1.9807275424051113E-2</c:v>
                </c:pt>
                <c:pt idx="1">
                  <c:v>9.8071109865763674E-4</c:v>
                </c:pt>
                <c:pt idx="2">
                  <c:v>-6.2884516222992837E-3</c:v>
                </c:pt>
                <c:pt idx="3">
                  <c:v>6.5593159014779856E-3</c:v>
                </c:pt>
                <c:pt idx="4">
                  <c:v>1.0050552555545978E-3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2-409A-86A8-D4FD7F9C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16176"/>
        <c:axId val="471617816"/>
        <c:extLst/>
      </c:lineChart>
      <c:catAx>
        <c:axId val="4716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17816"/>
        <c:crosses val="autoZero"/>
        <c:auto val="1"/>
        <c:lblAlgn val="ctr"/>
        <c:lblOffset val="100"/>
        <c:noMultiLvlLbl val="0"/>
      </c:catAx>
      <c:valAx>
        <c:axId val="4716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Kazalniki!$K$42</c:f>
              <c:strCache>
                <c:ptCount val="1"/>
                <c:pt idx="0">
                  <c:v>OBRAČANJE (celotnih) SREDSTEV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Kazalniki!$L$31:$P$31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Kazalniki!$L$42:$P$42</c:f>
              <c:numCache>
                <c:formatCode>General</c:formatCode>
                <c:ptCount val="5"/>
                <c:pt idx="0">
                  <c:v>1.4251683627149418</c:v>
                </c:pt>
                <c:pt idx="1">
                  <c:v>1.146018951413192</c:v>
                </c:pt>
                <c:pt idx="2">
                  <c:v>1.1534504582874017</c:v>
                </c:pt>
                <c:pt idx="3">
                  <c:v>1.1434994136562051</c:v>
                </c:pt>
                <c:pt idx="4">
                  <c:v>1.1672087522176227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5-4484-940B-CB420E00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16176"/>
        <c:axId val="471617816"/>
        <c:extLst/>
      </c:lineChart>
      <c:catAx>
        <c:axId val="4716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17816"/>
        <c:crosses val="autoZero"/>
        <c:auto val="1"/>
        <c:lblAlgn val="ctr"/>
        <c:lblOffset val="100"/>
        <c:noMultiLvlLbl val="0"/>
      </c:catAx>
      <c:valAx>
        <c:axId val="4716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Kazalniki!$K$47</c:f>
              <c:strCache>
                <c:ptCount val="1"/>
                <c:pt idx="0">
                  <c:v>OBRAČANJE ZALOG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Kazalniki!$L$47:$P$47</c:f>
              <c:numCache>
                <c:formatCode>General</c:formatCode>
                <c:ptCount val="5"/>
                <c:pt idx="0">
                  <c:v>13.066672928995628</c:v>
                </c:pt>
                <c:pt idx="1">
                  <c:v>5.7039249496130555</c:v>
                </c:pt>
                <c:pt idx="2">
                  <c:v>5.4227377758890869</c:v>
                </c:pt>
                <c:pt idx="3">
                  <c:v>5.5680536746417415</c:v>
                </c:pt>
                <c:pt idx="4">
                  <c:v>5.9375303124390921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3E3-9935-CE6169F7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Kazalniki!$K$52</c:f>
              <c:strCache>
                <c:ptCount val="1"/>
                <c:pt idx="0">
                  <c:v>OBRAČANJE TERJATEV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Kazalniki!$L$52:$P$52</c:f>
              <c:numCache>
                <c:formatCode>General</c:formatCode>
                <c:ptCount val="5"/>
                <c:pt idx="0">
                  <c:v>6.3895220353688726</c:v>
                </c:pt>
                <c:pt idx="1">
                  <c:v>6.6132336728611589</c:v>
                </c:pt>
                <c:pt idx="2">
                  <c:v>7.3459280535850278</c:v>
                </c:pt>
                <c:pt idx="3">
                  <c:v>7.4769503229985679</c:v>
                </c:pt>
                <c:pt idx="4">
                  <c:v>6.9717284397419794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5-48F0-A41E-E319AA40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Kazalniki!$K$57</c:f>
              <c:strCache>
                <c:ptCount val="1"/>
                <c:pt idx="0">
                  <c:v>DNEVI VEZAVE ZALOG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Kazalniki!$L$57:$P$57</c:f>
              <c:numCache>
                <c:formatCode>General</c:formatCode>
                <c:ptCount val="5"/>
                <c:pt idx="0">
                  <c:v>27.933660081905472</c:v>
                </c:pt>
                <c:pt idx="1">
                  <c:v>63.991024290170749</c:v>
                </c:pt>
                <c:pt idx="2">
                  <c:v>67.309173905270811</c:v>
                </c:pt>
                <c:pt idx="3">
                  <c:v>65.552529003500453</c:v>
                </c:pt>
                <c:pt idx="4">
                  <c:v>61.473370373423961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B-4045-804E-A880A33E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Kazalniki!$K$62</c:f>
              <c:strCache>
                <c:ptCount val="1"/>
                <c:pt idx="0">
                  <c:v>DNEVI VEZAVE TERJATEV IZ POSLOVANJA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Kazalniki!$L$62:$P$62</c:f>
              <c:numCache>
                <c:formatCode>General</c:formatCode>
                <c:ptCount val="5"/>
                <c:pt idx="0">
                  <c:v>57.12477364966599</c:v>
                </c:pt>
                <c:pt idx="1">
                  <c:v>55.192363986449898</c:v>
                </c:pt>
                <c:pt idx="2">
                  <c:v>49.68739107400723</c:v>
                </c:pt>
                <c:pt idx="3">
                  <c:v>48.816694538853085</c:v>
                </c:pt>
                <c:pt idx="4">
                  <c:v>52.354305414326852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D-4753-B420-D706D935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Investicije</a:t>
            </a:r>
            <a:r>
              <a:rPr lang="sl-SI" baseline="0"/>
              <a:t> v obratna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FCFF!$C$58</c:f>
              <c:strCache>
                <c:ptCount val="1"/>
                <c:pt idx="0">
                  <c:v>Zaloge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FCFF!$D$58:$M$58</c:f>
              <c:numCache>
                <c:formatCode>#,##0</c:formatCode>
                <c:ptCount val="10"/>
                <c:pt idx="0">
                  <c:v>235767</c:v>
                </c:pt>
                <c:pt idx="1">
                  <c:v>219799</c:v>
                </c:pt>
                <c:pt idx="2">
                  <c:v>225906</c:v>
                </c:pt>
                <c:pt idx="3">
                  <c:v>225954</c:v>
                </c:pt>
                <c:pt idx="4">
                  <c:v>220619</c:v>
                </c:pt>
                <c:pt idx="5">
                  <c:v>225647.40792</c:v>
                </c:pt>
                <c:pt idx="6">
                  <c:v>225161.46664704001</c:v>
                </c:pt>
                <c:pt idx="7">
                  <c:v>233998.42433077778</c:v>
                </c:pt>
                <c:pt idx="8">
                  <c:v>238661.06391798714</c:v>
                </c:pt>
                <c:pt idx="9">
                  <c:v>240870.0870736638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5-4AB4-90A4-201F11FB0A99}"/>
            </c:ext>
          </c:extLst>
        </c:ser>
        <c:ser>
          <c:idx val="1"/>
          <c:order val="1"/>
          <c:tx>
            <c:strRef>
              <c:f>FCFF!$C$59</c:f>
              <c:strCache>
                <c:ptCount val="1"/>
                <c:pt idx="0">
                  <c:v>Terjatve do kupcev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FCFF!$D$59:$M$59</c:f>
              <c:numCache>
                <c:formatCode>#,##0</c:formatCode>
                <c:ptCount val="10"/>
                <c:pt idx="0">
                  <c:v>205581</c:v>
                </c:pt>
                <c:pt idx="1">
                  <c:v>182589</c:v>
                </c:pt>
                <c:pt idx="2">
                  <c:v>161020</c:v>
                </c:pt>
                <c:pt idx="3">
                  <c:v>165786</c:v>
                </c:pt>
                <c:pt idx="4">
                  <c:v>180517</c:v>
                </c:pt>
                <c:pt idx="5">
                  <c:v>184620.60648000002</c:v>
                </c:pt>
                <c:pt idx="6">
                  <c:v>184223.01816576003</c:v>
                </c:pt>
                <c:pt idx="7">
                  <c:v>191962.77924141649</c:v>
                </c:pt>
                <c:pt idx="8">
                  <c:v>194622.41521883477</c:v>
                </c:pt>
                <c:pt idx="9">
                  <c:v>196423.82100649964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5-4AB4-90A4-201F11FB0A99}"/>
            </c:ext>
          </c:extLst>
        </c:ser>
        <c:ser>
          <c:idx val="2"/>
          <c:order val="2"/>
          <c:tx>
            <c:strRef>
              <c:f>FCFF!$C$60</c:f>
              <c:strCache>
                <c:ptCount val="1"/>
                <c:pt idx="0">
                  <c:v>denar in denarni ustrezniki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FCFF!$D$60:$M$60</c:f>
              <c:numCache>
                <c:formatCode>#,##0</c:formatCode>
                <c:ptCount val="10"/>
                <c:pt idx="0">
                  <c:v>38589</c:v>
                </c:pt>
                <c:pt idx="1">
                  <c:v>36062</c:v>
                </c:pt>
                <c:pt idx="2">
                  <c:v>31610</c:v>
                </c:pt>
                <c:pt idx="3">
                  <c:v>35242</c:v>
                </c:pt>
                <c:pt idx="4">
                  <c:v>25037</c:v>
                </c:pt>
                <c:pt idx="5">
                  <c:v>24616.080863999996</c:v>
                </c:pt>
                <c:pt idx="6">
                  <c:v>24563.069088767999</c:v>
                </c:pt>
                <c:pt idx="7">
                  <c:v>25221.387053616763</c:v>
                </c:pt>
                <c:pt idx="8">
                  <c:v>25570.82827692719</c:v>
                </c:pt>
                <c:pt idx="9">
                  <c:v>22940.008292729886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5-4AB4-90A4-201F11FB0A99}"/>
            </c:ext>
          </c:extLst>
        </c:ser>
        <c:ser>
          <c:idx val="3"/>
          <c:order val="3"/>
          <c:tx>
            <c:strRef>
              <c:f>FCFF!$C$61</c:f>
              <c:strCache>
                <c:ptCount val="1"/>
                <c:pt idx="0">
                  <c:v>Ostala kratkoročna sredstva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FCFF!$D$61:$M$61</c:f>
              <c:numCache>
                <c:formatCode>#,##0</c:formatCode>
                <c:ptCount val="10"/>
                <c:pt idx="0">
                  <c:v>50270</c:v>
                </c:pt>
                <c:pt idx="1">
                  <c:v>48889</c:v>
                </c:pt>
                <c:pt idx="2">
                  <c:v>52243</c:v>
                </c:pt>
                <c:pt idx="3">
                  <c:v>58845</c:v>
                </c:pt>
                <c:pt idx="4">
                  <c:v>60907</c:v>
                </c:pt>
                <c:pt idx="5">
                  <c:v>61540.202159999993</c:v>
                </c:pt>
                <c:pt idx="6">
                  <c:v>61407.672721920004</c:v>
                </c:pt>
                <c:pt idx="7">
                  <c:v>61652.279464396532</c:v>
                </c:pt>
                <c:pt idx="8">
                  <c:v>62506.469121377573</c:v>
                </c:pt>
                <c:pt idx="9">
                  <c:v>60217.521768415951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5-4AB4-90A4-201F11FB0A99}"/>
            </c:ext>
          </c:extLst>
        </c:ser>
        <c:ser>
          <c:idx val="4"/>
          <c:order val="4"/>
          <c:tx>
            <c:strRef>
              <c:f>FCFF!$C$62</c:f>
              <c:strCache>
                <c:ptCount val="1"/>
                <c:pt idx="0">
                  <c:v>Obveznosti do dobaviteljev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FCFF!$D$62:$M$62</c:f>
              <c:numCache>
                <c:formatCode>#,##0</c:formatCode>
                <c:ptCount val="10"/>
                <c:pt idx="0">
                  <c:v>213820</c:v>
                </c:pt>
                <c:pt idx="1">
                  <c:v>202615</c:v>
                </c:pt>
                <c:pt idx="2">
                  <c:v>221027</c:v>
                </c:pt>
                <c:pt idx="3">
                  <c:v>223725</c:v>
                </c:pt>
                <c:pt idx="4">
                  <c:v>229402</c:v>
                </c:pt>
                <c:pt idx="5">
                  <c:v>232485.20816000001</c:v>
                </c:pt>
                <c:pt idx="6">
                  <c:v>231984.54139392002</c:v>
                </c:pt>
                <c:pt idx="7">
                  <c:v>238201.98883971391</c:v>
                </c:pt>
                <c:pt idx="8">
                  <c:v>244343.47020174871</c:v>
                </c:pt>
                <c:pt idx="9">
                  <c:v>246605.08914684624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5-4AB4-90A4-201F11FB0A99}"/>
            </c:ext>
          </c:extLst>
        </c:ser>
        <c:ser>
          <c:idx val="5"/>
          <c:order val="5"/>
          <c:tx>
            <c:strRef>
              <c:f>FCFF!$C$63</c:f>
              <c:strCache>
                <c:ptCount val="1"/>
                <c:pt idx="0">
                  <c:v>Ostale kratkoročne Obveznosti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FCFF!$D$63:$M$63</c:f>
              <c:numCache>
                <c:formatCode>#,##0</c:formatCode>
                <c:ptCount val="10"/>
                <c:pt idx="0">
                  <c:v>72244</c:v>
                </c:pt>
                <c:pt idx="1">
                  <c:v>73590</c:v>
                </c:pt>
                <c:pt idx="2">
                  <c:v>75849</c:v>
                </c:pt>
                <c:pt idx="3">
                  <c:v>81953</c:v>
                </c:pt>
                <c:pt idx="4">
                  <c:v>89361</c:v>
                </c:pt>
                <c:pt idx="5">
                  <c:v>88891.403120000003</c:v>
                </c:pt>
                <c:pt idx="6">
                  <c:v>88699.971709440011</c:v>
                </c:pt>
                <c:pt idx="7">
                  <c:v>91077.231026949434</c:v>
                </c:pt>
                <c:pt idx="8">
                  <c:v>92339.102111125976</c:v>
                </c:pt>
                <c:pt idx="9">
                  <c:v>93193.783689215154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5-4AB4-90A4-201F11FB0A99}"/>
            </c:ext>
          </c:extLst>
        </c:ser>
        <c:ser>
          <c:idx val="6"/>
          <c:order val="6"/>
          <c:tx>
            <c:strRef>
              <c:f>FCFF!$C$64</c:f>
              <c:strCache>
                <c:ptCount val="1"/>
                <c:pt idx="0">
                  <c:v>Čisti obratni kapital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FCFF!$D$64:$M$64</c:f>
              <c:numCache>
                <c:formatCode>#,##0</c:formatCode>
                <c:ptCount val="10"/>
                <c:pt idx="0">
                  <c:v>244143</c:v>
                </c:pt>
                <c:pt idx="1">
                  <c:v>211134</c:v>
                </c:pt>
                <c:pt idx="2">
                  <c:v>173903</c:v>
                </c:pt>
                <c:pt idx="3">
                  <c:v>180149</c:v>
                </c:pt>
                <c:pt idx="4">
                  <c:v>168317</c:v>
                </c:pt>
                <c:pt idx="5">
                  <c:v>175047.68614399995</c:v>
                </c:pt>
                <c:pt idx="6">
                  <c:v>174670.71352012805</c:v>
                </c:pt>
                <c:pt idx="7">
                  <c:v>183555.65022354422</c:v>
                </c:pt>
                <c:pt idx="8">
                  <c:v>184678.20422225198</c:v>
                </c:pt>
                <c:pt idx="9">
                  <c:v>180652.56530524784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9-4D0B-8F2B-39241274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65080"/>
        <c:axId val="362763112"/>
      </c:barChart>
      <c:catAx>
        <c:axId val="36276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763112"/>
        <c:crosses val="autoZero"/>
        <c:auto val="1"/>
        <c:lblAlgn val="ctr"/>
        <c:lblOffset val="100"/>
        <c:noMultiLvlLbl val="0"/>
      </c:catAx>
      <c:valAx>
        <c:axId val="36276311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7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Kazalniki!$K$67</c:f>
              <c:strCache>
                <c:ptCount val="1"/>
                <c:pt idx="0">
                  <c:v>DELEŽ KAPITALA V FINANCIRANJU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Kazalniki!$L$67:$P$67</c:f>
              <c:numCache>
                <c:formatCode>General</c:formatCode>
                <c:ptCount val="5"/>
                <c:pt idx="0">
                  <c:v>0.39285423921733359</c:v>
                </c:pt>
                <c:pt idx="1">
                  <c:v>0.34494529199073293</c:v>
                </c:pt>
                <c:pt idx="2">
                  <c:v>0.33421473675034552</c:v>
                </c:pt>
                <c:pt idx="3">
                  <c:v>0.3261290454607737</c:v>
                </c:pt>
                <c:pt idx="4">
                  <c:v>0.32222801535452222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0-4E75-B57C-7FBF8822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5"/>
          <c:order val="0"/>
          <c:tx>
            <c:strRef>
              <c:f>Kazalniki!$K$72</c:f>
              <c:strCache>
                <c:ptCount val="1"/>
                <c:pt idx="0">
                  <c:v>DELEŽ DOLGOV V FINANCIRANJU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Kazalniki!$L$72:$P$72</c:f>
              <c:numCache>
                <c:formatCode>General</c:formatCode>
                <c:ptCount val="5"/>
                <c:pt idx="0">
                  <c:v>0.37023649823620014</c:v>
                </c:pt>
                <c:pt idx="1">
                  <c:v>0.33346032920959578</c:v>
                </c:pt>
                <c:pt idx="2">
                  <c:v>0.3287319958520768</c:v>
                </c:pt>
                <c:pt idx="3">
                  <c:v>0.33529433746710158</c:v>
                </c:pt>
                <c:pt idx="4">
                  <c:v>0.33570608757116516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E-4AA3-9DE5-041087F5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0"/>
          <c:order val="0"/>
          <c:tx>
            <c:strRef>
              <c:f>Kazalniki!$K$77</c:f>
              <c:strCache>
                <c:ptCount val="1"/>
                <c:pt idx="0">
                  <c:v>DNEVI VEZAVE OBVEZNOSTI DO DOBAVITELJEV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Kazalniki!$L$77:$P$77</c:f>
              <c:numCache>
                <c:formatCode>General</c:formatCode>
                <c:ptCount val="5"/>
                <c:pt idx="0">
                  <c:v>-67.029096378231245</c:v>
                </c:pt>
                <c:pt idx="1">
                  <c:v>-79.719296184269254</c:v>
                </c:pt>
                <c:pt idx="2">
                  <c:v>-86.076591499554553</c:v>
                </c:pt>
                <c:pt idx="3">
                  <c:v>-86.673330474635776</c:v>
                </c:pt>
                <c:pt idx="4">
                  <c:v>-85.317526871969292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7-4369-8408-4DE44811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5"/>
          <c:order val="0"/>
          <c:tx>
            <c:strRef>
              <c:f>Kazalniki!$K$82</c:f>
              <c:strCache>
                <c:ptCount val="1"/>
                <c:pt idx="0">
                  <c:v>ZADOLŽENOST = sredstva/ kapital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Kazalniki!$L$82:$P$82</c:f>
              <c:numCache>
                <c:formatCode>General</c:formatCode>
                <c:ptCount val="5"/>
                <c:pt idx="0">
                  <c:v>2.5454733592598022</c:v>
                </c:pt>
                <c:pt idx="1">
                  <c:v>2.8990104321437307</c:v>
                </c:pt>
                <c:pt idx="2">
                  <c:v>2.992088289472969</c:v>
                </c:pt>
                <c:pt idx="3">
                  <c:v>3.0662708946611703</c:v>
                </c:pt>
                <c:pt idx="4">
                  <c:v>3.1033924809417286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B0-4318-B35A-64AF57D3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40"/>
          <c:order val="0"/>
          <c:tx>
            <c:strRef>
              <c:f>Kazalniki!$K$87</c:f>
              <c:strCache>
                <c:ptCount val="1"/>
                <c:pt idx="0">
                  <c:v>HITRI TEST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Kazalniki!$L$87:$P$87</c:f>
              <c:numCache>
                <c:formatCode>General</c:formatCode>
                <c:ptCount val="5"/>
                <c:pt idx="0">
                  <c:v>0.92083817716810046</c:v>
                </c:pt>
                <c:pt idx="1">
                  <c:v>0.77064330646089141</c:v>
                </c:pt>
                <c:pt idx="2">
                  <c:v>0.67345597220002373</c:v>
                </c:pt>
                <c:pt idx="3">
                  <c:v>0.66033757348170574</c:v>
                </c:pt>
                <c:pt idx="4">
                  <c:v>0.67038833291818678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3C-48A0-BC24-A1D614DE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45"/>
          <c:order val="0"/>
          <c:tx>
            <c:strRef>
              <c:f>Kazalniki!$K$92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Kazalniki!$L$92:$P$92</c:f>
              <c:numCache>
                <c:formatCode>General</c:formatCode>
                <c:ptCount val="5"/>
                <c:pt idx="0">
                  <c:v>1.1992937688909555</c:v>
                </c:pt>
                <c:pt idx="1">
                  <c:v>1.358748438089479</c:v>
                </c:pt>
                <c:pt idx="2">
                  <c:v>1.2558170109869713</c:v>
                </c:pt>
                <c:pt idx="3">
                  <c:v>1.2156380866248551</c:v>
                </c:pt>
                <c:pt idx="4">
                  <c:v>1.209148363590187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0B-4CE1-8BEB-60BEACF4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50"/>
          <c:order val="0"/>
          <c:tx>
            <c:strRef>
              <c:f>Kazalniki!$K$97</c:f>
              <c:strCache>
                <c:ptCount val="1"/>
                <c:pt idx="0">
                  <c:v>DOBA VEZAVE ČOS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Kazalniki!$L$97:$P$97</c:f>
              <c:numCache>
                <c:formatCode>General</c:formatCode>
                <c:ptCount val="5"/>
                <c:pt idx="0">
                  <c:v>152.08753010980269</c:v>
                </c:pt>
                <c:pt idx="1">
                  <c:v>198.9026844608899</c:v>
                </c:pt>
                <c:pt idx="2">
                  <c:v>203.0731564788326</c:v>
                </c:pt>
                <c:pt idx="3">
                  <c:v>201.0425540169893</c:v>
                </c:pt>
                <c:pt idx="4">
                  <c:v>199.1452026597201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86-4A96-B445-E707AB01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55"/>
          <c:order val="0"/>
          <c:tx>
            <c:strRef>
              <c:f>Kazalniki!$K$102</c:f>
              <c:strCache>
                <c:ptCount val="1"/>
                <c:pt idx="0">
                  <c:v>DOBIČKOVNOST PRIHODKOV OD POSLOVANJA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Kazalniki!$L$102:$P$102</c:f>
              <c:numCache>
                <c:formatCode>General</c:formatCode>
                <c:ptCount val="5"/>
                <c:pt idx="0">
                  <c:v>-2.3338346921675395E-2</c:v>
                </c:pt>
                <c:pt idx="1">
                  <c:v>3.0812376317781447E-3</c:v>
                </c:pt>
                <c:pt idx="2">
                  <c:v>-3.2554331366849276E-3</c:v>
                </c:pt>
                <c:pt idx="3">
                  <c:v>1.0523604986471922E-2</c:v>
                </c:pt>
                <c:pt idx="4">
                  <c:v>3.4253686450899743E-3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F-43FC-B313-E3267E38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60"/>
          <c:order val="0"/>
          <c:tx>
            <c:strRef>
              <c:f>Kazalniki!$K$107</c:f>
              <c:strCache>
                <c:ptCount val="1"/>
                <c:pt idx="0">
                  <c:v>PROFITNA MARŽA (števec = čisti dobiček)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Kazalniki!$L$107:$P$107</c:f>
              <c:numCache>
                <c:formatCode>General</c:formatCode>
                <c:ptCount val="5"/>
                <c:pt idx="0">
                  <c:v>-1.9807275424051113E-2</c:v>
                </c:pt>
                <c:pt idx="1">
                  <c:v>9.8071109865763674E-4</c:v>
                </c:pt>
                <c:pt idx="2">
                  <c:v>-6.2884516222992837E-3</c:v>
                </c:pt>
                <c:pt idx="3">
                  <c:v>6.5593159014779856E-3</c:v>
                </c:pt>
                <c:pt idx="4">
                  <c:v>1.0050552555545978E-3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6F-4044-A383-DC18F688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  <c:extLst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65"/>
          <c:order val="0"/>
          <c:tx>
            <c:strRef>
              <c:f>Kazalniki!$K$112</c:f>
              <c:strCache>
                <c:ptCount val="1"/>
                <c:pt idx="0">
                  <c:v>POKRITJE OBRESTI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Kazalniki!$L$112:$P$112</c:f>
              <c:numCache>
                <c:formatCode>General</c:formatCode>
                <c:ptCount val="5"/>
                <c:pt idx="0">
                  <c:v>2.5140251247633798</c:v>
                </c:pt>
                <c:pt idx="1">
                  <c:v>-0.19576344195003295</c:v>
                </c:pt>
                <c:pt idx="2">
                  <c:v>0.23471249485021481</c:v>
                </c:pt>
                <c:pt idx="3">
                  <c:v>-0.93767705382436262</c:v>
                </c:pt>
                <c:pt idx="4">
                  <c:v>-0.38006098593935289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25-4FFE-8D61-03ACE733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  <c:extLst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FCFF!$C$69</c:f>
              <c:strCache>
                <c:ptCount val="1"/>
                <c:pt idx="0">
                  <c:v>Zaloge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FCFF!$D$69:$M$69</c:f>
              <c:numCache>
                <c:formatCode>0.00%</c:formatCode>
                <c:ptCount val="10"/>
                <c:pt idx="0">
                  <c:v>0.18878320282942196</c:v>
                </c:pt>
                <c:pt idx="1">
                  <c:v>0.17397846551561738</c:v>
                </c:pt>
                <c:pt idx="2">
                  <c:v>0.17784163147059864</c:v>
                </c:pt>
                <c:pt idx="3">
                  <c:v>0.17581300892082524</c:v>
                </c:pt>
                <c:pt idx="4">
                  <c:v>0.1653499518457866</c:v>
                </c:pt>
                <c:pt idx="5">
                  <c:v>0.16500000000000001</c:v>
                </c:pt>
                <c:pt idx="6">
                  <c:v>0.16500000000000001</c:v>
                </c:pt>
                <c:pt idx="7">
                  <c:v>0.16700000000000001</c:v>
                </c:pt>
                <c:pt idx="8">
                  <c:v>0.16800000000000001</c:v>
                </c:pt>
                <c:pt idx="9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5-427A-BA41-6A17F1A78988}"/>
            </c:ext>
          </c:extLst>
        </c:ser>
        <c:ser>
          <c:idx val="1"/>
          <c:order val="1"/>
          <c:tx>
            <c:strRef>
              <c:f>FCFF!$C$70</c:f>
              <c:strCache>
                <c:ptCount val="1"/>
                <c:pt idx="0">
                  <c:v>Terjatve do kupcev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FCFF!$D$70:$M$70</c:f>
              <c:numCache>
                <c:formatCode>0.00%</c:formatCode>
                <c:ptCount val="10"/>
                <c:pt idx="0">
                  <c:v>0.16461268803893417</c:v>
                </c:pt>
                <c:pt idx="1">
                  <c:v>0.14452547118062894</c:v>
                </c:pt>
                <c:pt idx="2">
                  <c:v>0.12676095145501134</c:v>
                </c:pt>
                <c:pt idx="3">
                  <c:v>0.12899676702757168</c:v>
                </c:pt>
                <c:pt idx="4">
                  <c:v>0.13529422786498832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5-427A-BA41-6A17F1A78988}"/>
            </c:ext>
          </c:extLst>
        </c:ser>
        <c:ser>
          <c:idx val="2"/>
          <c:order val="2"/>
          <c:tx>
            <c:strRef>
              <c:f>FCFF!$C$71</c:f>
              <c:strCache>
                <c:ptCount val="1"/>
                <c:pt idx="0">
                  <c:v>Denar in denarni ustrezniki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FCFF!$D$71:$M$71</c:f>
              <c:numCache>
                <c:formatCode>0.00%</c:formatCode>
                <c:ptCount val="10"/>
                <c:pt idx="0">
                  <c:v>3.0898959625327394E-2</c:v>
                </c:pt>
                <c:pt idx="1">
                  <c:v>2.8544312865045763E-2</c:v>
                </c:pt>
                <c:pt idx="2">
                  <c:v>2.4884571329604453E-2</c:v>
                </c:pt>
                <c:pt idx="3">
                  <c:v>2.7421519691564315E-2</c:v>
                </c:pt>
                <c:pt idx="4">
                  <c:v>1.8764778846622272E-2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5-427A-BA41-6A17F1A78988}"/>
            </c:ext>
          </c:extLst>
        </c:ser>
        <c:ser>
          <c:idx val="3"/>
          <c:order val="3"/>
          <c:tx>
            <c:strRef>
              <c:f>FCFF!$C$72</c:f>
              <c:strCache>
                <c:ptCount val="1"/>
                <c:pt idx="0">
                  <c:v>Druga kratkoročna sredstva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FCFF!$D$72:$M$72</c:f>
              <c:numCache>
                <c:formatCode>0.00%</c:formatCode>
                <c:ptCount val="10"/>
                <c:pt idx="0">
                  <c:v>4.0252162542828478E-2</c:v>
                </c:pt>
                <c:pt idx="1">
                  <c:v>3.8697324376330271E-2</c:v>
                </c:pt>
                <c:pt idx="2">
                  <c:v>4.1127638721054266E-2</c:v>
                </c:pt>
                <c:pt idx="3">
                  <c:v>4.5786826123662167E-2</c:v>
                </c:pt>
                <c:pt idx="4">
                  <c:v>4.5648695339346679E-2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4.3999999999999997E-2</c:v>
                </c:pt>
                <c:pt idx="8">
                  <c:v>4.3999999999999997E-2</c:v>
                </c:pt>
                <c:pt idx="9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5-427A-BA41-6A17F1A78988}"/>
            </c:ext>
          </c:extLst>
        </c:ser>
        <c:ser>
          <c:idx val="4"/>
          <c:order val="4"/>
          <c:tx>
            <c:strRef>
              <c:f>FCFF!$C$73</c:f>
              <c:strCache>
                <c:ptCount val="1"/>
                <c:pt idx="0">
                  <c:v>Obveznosti do dobaviteljev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FCFF!$D$73:$M$73</c:f>
              <c:numCache>
                <c:formatCode>0.00%</c:formatCode>
                <c:ptCount val="10"/>
                <c:pt idx="0">
                  <c:v>0.17120981489770409</c:v>
                </c:pt>
                <c:pt idx="1">
                  <c:v>0.16037673870421074</c:v>
                </c:pt>
                <c:pt idx="2">
                  <c:v>0.17400070064120479</c:v>
                </c:pt>
                <c:pt idx="3">
                  <c:v>0.1740786417625341</c:v>
                </c:pt>
                <c:pt idx="4">
                  <c:v>0.17193265155461288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0.17199999999999999</c:v>
                </c:pt>
                <c:pt idx="9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5-427A-BA41-6A17F1A78988}"/>
            </c:ext>
          </c:extLst>
        </c:ser>
        <c:ser>
          <c:idx val="5"/>
          <c:order val="5"/>
          <c:tx>
            <c:strRef>
              <c:f>FCFF!$C$74</c:f>
              <c:strCache>
                <c:ptCount val="1"/>
                <c:pt idx="0">
                  <c:v>Druge kratkoročne obveznosti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FCFF!$D$74:$M$74</c:f>
              <c:numCache>
                <c:formatCode>0.00%</c:formatCode>
                <c:ptCount val="10"/>
                <c:pt idx="0">
                  <c:v>5.7847169897435859E-2</c:v>
                </c:pt>
                <c:pt idx="1">
                  <c:v>5.8249015133345843E-2</c:v>
                </c:pt>
                <c:pt idx="2">
                  <c:v>5.9711162631419429E-2</c:v>
                </c:pt>
                <c:pt idx="3">
                  <c:v>6.3766976995708824E-2</c:v>
                </c:pt>
                <c:pt idx="4">
                  <c:v>6.697445390873559E-2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5-427A-BA41-6A17F1A7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7112072"/>
        <c:axId val="517112728"/>
      </c:barChart>
      <c:catAx>
        <c:axId val="5171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7112728"/>
        <c:crosses val="autoZero"/>
        <c:auto val="1"/>
        <c:lblAlgn val="ctr"/>
        <c:lblOffset val="100"/>
        <c:noMultiLvlLbl val="0"/>
      </c:catAx>
      <c:valAx>
        <c:axId val="5171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71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70"/>
          <c:order val="0"/>
          <c:tx>
            <c:strRef>
              <c:f>Kazalniki!$K$117</c:f>
              <c:strCache>
                <c:ptCount val="1"/>
                <c:pt idx="0">
                  <c:v>OBRAČANJE OBVEZNOSTI DO DOBAVITELJEV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Kazalniki!$L$46:$P$46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Kazalniki!$L$117:$P$117</c:f>
              <c:numCache>
                <c:formatCode>General</c:formatCode>
                <c:ptCount val="5"/>
                <c:pt idx="0">
                  <c:v>-5.445396398310085</c:v>
                </c:pt>
                <c:pt idx="1">
                  <c:v>-4.5785652592354955</c:v>
                </c:pt>
                <c:pt idx="2">
                  <c:v>-4.2404095427255495</c:v>
                </c:pt>
                <c:pt idx="3">
                  <c:v>-4.211214660855962</c:v>
                </c:pt>
                <c:pt idx="4">
                  <c:v>-4.2781361975920005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1AF0-497F-924D-04C4CE98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8488"/>
        <c:axId val="470655704"/>
        <c:extLst/>
      </c:lineChart>
      <c:catAx>
        <c:axId val="470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55704"/>
        <c:crosses val="autoZero"/>
        <c:auto val="1"/>
        <c:lblAlgn val="ctr"/>
        <c:lblOffset val="100"/>
        <c:noMultiLvlLbl val="0"/>
      </c:catAx>
      <c:valAx>
        <c:axId val="470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0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FCFF!$C$66</c:f>
              <c:strCache>
                <c:ptCount val="1"/>
                <c:pt idx="0">
                  <c:v>Investicije v obratni kapital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FCFF!$D$57:$M$57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FCFF!$D$66:$M$66</c:f>
              <c:numCache>
                <c:formatCode>#,##0</c:formatCode>
                <c:ptCount val="10"/>
                <c:pt idx="0">
                  <c:v>-35237.859056708956</c:v>
                </c:pt>
                <c:pt idx="1">
                  <c:v>-33009</c:v>
                </c:pt>
                <c:pt idx="2">
                  <c:v>-37231</c:v>
                </c:pt>
                <c:pt idx="3">
                  <c:v>6246</c:v>
                </c:pt>
                <c:pt idx="4">
                  <c:v>-11832</c:v>
                </c:pt>
                <c:pt idx="5">
                  <c:v>6730.6861439999484</c:v>
                </c:pt>
                <c:pt idx="6">
                  <c:v>-376.97262387190131</c:v>
                </c:pt>
                <c:pt idx="7">
                  <c:v>8884.9367034161696</c:v>
                </c:pt>
                <c:pt idx="8">
                  <c:v>1122.5539987077645</c:v>
                </c:pt>
                <c:pt idx="9">
                  <c:v>-4025.6389170041366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440E-A219-2ECD1851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37431352"/>
        <c:axId val="437424792"/>
      </c:barChart>
      <c:catAx>
        <c:axId val="4374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424792"/>
        <c:crosses val="autoZero"/>
        <c:auto val="1"/>
        <c:lblAlgn val="ctr"/>
        <c:lblOffset val="100"/>
        <c:noMultiLvlLbl val="0"/>
      </c:catAx>
      <c:valAx>
        <c:axId val="4374247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43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FCFF!$C$77</c:f>
              <c:strCache>
                <c:ptCount val="1"/>
                <c:pt idx="0">
                  <c:v>EBIT * (1-T)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FCFF!$D$76:$M$76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FCFF!$D$77:$M$77</c:f>
              <c:numCache>
                <c:formatCode>#,##0</c:formatCode>
                <c:ptCount val="10"/>
                <c:pt idx="0">
                  <c:v>23946.544196524352</c:v>
                </c:pt>
                <c:pt idx="1">
                  <c:v>13642.470877556305</c:v>
                </c:pt>
                <c:pt idx="2">
                  <c:v>-103.64292878635024</c:v>
                </c:pt>
                <c:pt idx="3">
                  <c:v>25589.888972809669</c:v>
                </c:pt>
                <c:pt idx="4">
                  <c:v>6483.8410965010025</c:v>
                </c:pt>
                <c:pt idx="5">
                  <c:v>39402.620171149443</c:v>
                </c:pt>
                <c:pt idx="6">
                  <c:v>29602.236937587561</c:v>
                </c:pt>
                <c:pt idx="7">
                  <c:v>47048.462132252425</c:v>
                </c:pt>
                <c:pt idx="8">
                  <c:v>47762.667741630816</c:v>
                </c:pt>
                <c:pt idx="9">
                  <c:v>47441.793682187432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AD3-B26F-B4C3BA0B95DD}"/>
            </c:ext>
          </c:extLst>
        </c:ser>
        <c:ser>
          <c:idx val="1"/>
          <c:order val="1"/>
          <c:tx>
            <c:strRef>
              <c:f>FCFF!$C$78</c:f>
              <c:strCache>
                <c:ptCount val="1"/>
                <c:pt idx="0">
                  <c:v>+amortizacija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FCFF!$D$76:$M$76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FCFF!$D$78:$M$78</c:f>
              <c:numCache>
                <c:formatCode>#,##0</c:formatCode>
                <c:ptCount val="10"/>
                <c:pt idx="0">
                  <c:v>41875</c:v>
                </c:pt>
                <c:pt idx="1">
                  <c:v>43019</c:v>
                </c:pt>
                <c:pt idx="2">
                  <c:v>45644</c:v>
                </c:pt>
                <c:pt idx="3">
                  <c:v>47055</c:v>
                </c:pt>
                <c:pt idx="4">
                  <c:v>54676</c:v>
                </c:pt>
                <c:pt idx="5">
                  <c:v>54552.091941359999</c:v>
                </c:pt>
                <c:pt idx="6">
                  <c:v>54003.648825640797</c:v>
                </c:pt>
                <c:pt idx="7">
                  <c:v>51451.611801585226</c:v>
                </c:pt>
                <c:pt idx="8">
                  <c:v>52017.579531402662</c:v>
                </c:pt>
                <c:pt idx="9">
                  <c:v>52464.901862515624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D-4AD3-B26F-B4C3BA0B95DD}"/>
            </c:ext>
          </c:extLst>
        </c:ser>
        <c:ser>
          <c:idx val="2"/>
          <c:order val="2"/>
          <c:tx>
            <c:strRef>
              <c:f>FCFF!$C$79</c:f>
              <c:strCache>
                <c:ptCount val="1"/>
                <c:pt idx="0">
                  <c:v>-naložbe v osn. sredstva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FCFF!$D$76:$M$76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FCFF!$D$79:$M$79</c:f>
              <c:numCache>
                <c:formatCode>#,##0</c:formatCode>
                <c:ptCount val="10"/>
                <c:pt idx="0">
                  <c:v>83910</c:v>
                </c:pt>
                <c:pt idx="1">
                  <c:v>61644</c:v>
                </c:pt>
                <c:pt idx="2">
                  <c:v>75496</c:v>
                </c:pt>
                <c:pt idx="3">
                  <c:v>83231</c:v>
                </c:pt>
                <c:pt idx="4">
                  <c:v>75699</c:v>
                </c:pt>
                <c:pt idx="5">
                  <c:v>62223.982183999993</c:v>
                </c:pt>
                <c:pt idx="6">
                  <c:v>62772.287671296006</c:v>
                </c:pt>
                <c:pt idx="7">
                  <c:v>64454.655803687288</c:v>
                </c:pt>
                <c:pt idx="8">
                  <c:v>63927.070692317982</c:v>
                </c:pt>
                <c:pt idx="9">
                  <c:v>63085.022805007175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D-4AD3-B26F-B4C3BA0B95DD}"/>
            </c:ext>
          </c:extLst>
        </c:ser>
        <c:ser>
          <c:idx val="3"/>
          <c:order val="3"/>
          <c:tx>
            <c:strRef>
              <c:f>FCFF!$C$80</c:f>
              <c:strCache>
                <c:ptCount val="1"/>
                <c:pt idx="0">
                  <c:v>-naložbe v obratni kapital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FCFF!$D$76:$M$76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FCFF!$D$80:$M$80</c:f>
              <c:numCache>
                <c:formatCode>#,##0</c:formatCode>
                <c:ptCount val="10"/>
                <c:pt idx="0">
                  <c:v>-35237.859056708956</c:v>
                </c:pt>
                <c:pt idx="1">
                  <c:v>-33009</c:v>
                </c:pt>
                <c:pt idx="2">
                  <c:v>-37231</c:v>
                </c:pt>
                <c:pt idx="3">
                  <c:v>6246</c:v>
                </c:pt>
                <c:pt idx="4">
                  <c:v>-11832</c:v>
                </c:pt>
                <c:pt idx="5">
                  <c:v>6730.6861439999484</c:v>
                </c:pt>
                <c:pt idx="6">
                  <c:v>-376.97262387190131</c:v>
                </c:pt>
                <c:pt idx="7">
                  <c:v>8884.9367034161696</c:v>
                </c:pt>
                <c:pt idx="8">
                  <c:v>1122.5539987077645</c:v>
                </c:pt>
                <c:pt idx="9">
                  <c:v>-4025.6389170041366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D-4AD3-B26F-B4C3BA0B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033216"/>
        <c:axId val="493028624"/>
      </c:barChart>
      <c:catAx>
        <c:axId val="4930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3028624"/>
        <c:crosses val="autoZero"/>
        <c:auto val="1"/>
        <c:lblAlgn val="ctr"/>
        <c:lblOffset val="100"/>
        <c:noMultiLvlLbl val="0"/>
      </c:catAx>
      <c:valAx>
        <c:axId val="4930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30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1</xdr:row>
      <xdr:rowOff>147276</xdr:rowOff>
    </xdr:from>
    <xdr:to>
      <xdr:col>34</xdr:col>
      <xdr:colOff>265739</xdr:colOff>
      <xdr:row>22</xdr:row>
      <xdr:rowOff>38100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2076449</xdr:colOff>
      <xdr:row>23</xdr:row>
      <xdr:rowOff>47624</xdr:rowOff>
    </xdr:from>
    <xdr:to>
      <xdr:col>33</xdr:col>
      <xdr:colOff>566736</xdr:colOff>
      <xdr:row>44</xdr:row>
      <xdr:rowOff>80961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34</xdr:col>
      <xdr:colOff>137553</xdr:colOff>
      <xdr:row>64</xdr:row>
      <xdr:rowOff>33337</xdr:rowOff>
    </xdr:to>
    <xdr:graphicFrame macro="">
      <xdr:nvGraphicFramePr>
        <xdr:cNvPr id="12" name="Grafiko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2115910</xdr:colOff>
      <xdr:row>64</xdr:row>
      <xdr:rowOff>159204</xdr:rowOff>
    </xdr:from>
    <xdr:to>
      <xdr:col>34</xdr:col>
      <xdr:colOff>449035</xdr:colOff>
      <xdr:row>89</xdr:row>
      <xdr:rowOff>170090</xdr:rowOff>
    </xdr:to>
    <xdr:graphicFrame macro="">
      <xdr:nvGraphicFramePr>
        <xdr:cNvPr id="13" name="Grafiko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186017</xdr:colOff>
      <xdr:row>91</xdr:row>
      <xdr:rowOff>186018</xdr:rowOff>
    </xdr:from>
    <xdr:to>
      <xdr:col>31</xdr:col>
      <xdr:colOff>500342</xdr:colOff>
      <xdr:row>106</xdr:row>
      <xdr:rowOff>71718</xdr:rowOff>
    </xdr:to>
    <xdr:graphicFrame macro="">
      <xdr:nvGraphicFramePr>
        <xdr:cNvPr id="14" name="Grafiko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1752599</xdr:colOff>
      <xdr:row>108</xdr:row>
      <xdr:rowOff>0</xdr:rowOff>
    </xdr:from>
    <xdr:to>
      <xdr:col>35</xdr:col>
      <xdr:colOff>133350</xdr:colOff>
      <xdr:row>130</xdr:row>
      <xdr:rowOff>9525</xdr:rowOff>
    </xdr:to>
    <xdr:graphicFrame macro="">
      <xdr:nvGraphicFramePr>
        <xdr:cNvPr id="15" name="Grafiko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1752600</xdr:colOff>
      <xdr:row>132</xdr:row>
      <xdr:rowOff>19050</xdr:rowOff>
    </xdr:from>
    <xdr:to>
      <xdr:col>33</xdr:col>
      <xdr:colOff>323850</xdr:colOff>
      <xdr:row>150</xdr:row>
      <xdr:rowOff>95250</xdr:rowOff>
    </xdr:to>
    <xdr:graphicFrame macro="">
      <xdr:nvGraphicFramePr>
        <xdr:cNvPr id="16" name="Grafiko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344326</xdr:colOff>
      <xdr:row>69</xdr:row>
      <xdr:rowOff>39323</xdr:rowOff>
    </xdr:from>
    <xdr:to>
      <xdr:col>23</xdr:col>
      <xdr:colOff>1880551</xdr:colOff>
      <xdr:row>83</xdr:row>
      <xdr:rowOff>104317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1625870</xdr:colOff>
      <xdr:row>84</xdr:row>
      <xdr:rowOff>55621</xdr:rowOff>
    </xdr:from>
    <xdr:to>
      <xdr:col>23</xdr:col>
      <xdr:colOff>1801090</xdr:colOff>
      <xdr:row>108</xdr:row>
      <xdr:rowOff>138544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1697182</xdr:colOff>
      <xdr:row>110</xdr:row>
      <xdr:rowOff>94331</xdr:rowOff>
    </xdr:from>
    <xdr:to>
      <xdr:col>23</xdr:col>
      <xdr:colOff>965743</xdr:colOff>
      <xdr:row>129</xdr:row>
      <xdr:rowOff>86590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912608</xdr:colOff>
      <xdr:row>133</xdr:row>
      <xdr:rowOff>33616</xdr:rowOff>
    </xdr:from>
    <xdr:to>
      <xdr:col>23</xdr:col>
      <xdr:colOff>1414631</xdr:colOff>
      <xdr:row>158</xdr:row>
      <xdr:rowOff>164949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266700</xdr:colOff>
      <xdr:row>86</xdr:row>
      <xdr:rowOff>106680</xdr:rowOff>
    </xdr:from>
    <xdr:to>
      <xdr:col>46</xdr:col>
      <xdr:colOff>68580</xdr:colOff>
      <xdr:row>107</xdr:row>
      <xdr:rowOff>121920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FA42ECA-6981-4A37-99ED-BE0FEBD1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1814943</xdr:colOff>
      <xdr:row>49</xdr:row>
      <xdr:rowOff>180108</xdr:rowOff>
    </xdr:from>
    <xdr:to>
      <xdr:col>21</xdr:col>
      <xdr:colOff>457198</xdr:colOff>
      <xdr:row>65</xdr:row>
      <xdr:rowOff>13853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5A474166-6890-4BC4-9BBB-4D4BF6C2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235466</xdr:colOff>
      <xdr:row>3</xdr:row>
      <xdr:rowOff>1843</xdr:rowOff>
    </xdr:from>
    <xdr:to>
      <xdr:col>19</xdr:col>
      <xdr:colOff>135318</xdr:colOff>
      <xdr:row>31</xdr:row>
      <xdr:rowOff>78043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E23A2E4-8D86-4F6C-8282-29375048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152400</xdr:rowOff>
    </xdr:from>
    <xdr:to>
      <xdr:col>24</xdr:col>
      <xdr:colOff>333375</xdr:colOff>
      <xdr:row>15</xdr:row>
      <xdr:rowOff>38100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16</xdr:row>
      <xdr:rowOff>95250</xdr:rowOff>
    </xdr:from>
    <xdr:to>
      <xdr:col>24</xdr:col>
      <xdr:colOff>342900</xdr:colOff>
      <xdr:row>30</xdr:row>
      <xdr:rowOff>171450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304800</xdr:colOff>
      <xdr:row>46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304800</xdr:colOff>
      <xdr:row>61</xdr:row>
      <xdr:rowOff>76200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34637</xdr:colOff>
      <xdr:row>62</xdr:row>
      <xdr:rowOff>83127</xdr:rowOff>
    </xdr:from>
    <xdr:to>
      <xdr:col>24</xdr:col>
      <xdr:colOff>363683</xdr:colOff>
      <xdr:row>76</xdr:row>
      <xdr:rowOff>159327</xdr:rowOff>
    </xdr:to>
    <xdr:graphicFrame macro="">
      <xdr:nvGraphicFramePr>
        <xdr:cNvPr id="12" name="Grafiko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78</xdr:row>
      <xdr:rowOff>0</xdr:rowOff>
    </xdr:from>
    <xdr:to>
      <xdr:col>24</xdr:col>
      <xdr:colOff>329046</xdr:colOff>
      <xdr:row>92</xdr:row>
      <xdr:rowOff>76200</xdr:rowOff>
    </xdr:to>
    <xdr:graphicFrame macro="">
      <xdr:nvGraphicFramePr>
        <xdr:cNvPr id="14" name="Grafikon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93</xdr:row>
      <xdr:rowOff>0</xdr:rowOff>
    </xdr:from>
    <xdr:to>
      <xdr:col>24</xdr:col>
      <xdr:colOff>329046</xdr:colOff>
      <xdr:row>107</xdr:row>
      <xdr:rowOff>76200</xdr:rowOff>
    </xdr:to>
    <xdr:graphicFrame macro="">
      <xdr:nvGraphicFramePr>
        <xdr:cNvPr id="23" name="Grafikon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24</xdr:col>
      <xdr:colOff>329046</xdr:colOff>
      <xdr:row>122</xdr:row>
      <xdr:rowOff>76200</xdr:rowOff>
    </xdr:to>
    <xdr:graphicFrame macro="">
      <xdr:nvGraphicFramePr>
        <xdr:cNvPr id="24" name="Grafikon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329046</xdr:colOff>
      <xdr:row>15</xdr:row>
      <xdr:rowOff>76200</xdr:rowOff>
    </xdr:to>
    <xdr:graphicFrame macro="">
      <xdr:nvGraphicFramePr>
        <xdr:cNvPr id="25" name="Grafikon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329046</xdr:colOff>
      <xdr:row>31</xdr:row>
      <xdr:rowOff>76200</xdr:rowOff>
    </xdr:to>
    <xdr:graphicFrame macro="">
      <xdr:nvGraphicFramePr>
        <xdr:cNvPr id="26" name="Grafikon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32</xdr:row>
      <xdr:rowOff>0</xdr:rowOff>
    </xdr:from>
    <xdr:to>
      <xdr:col>32</xdr:col>
      <xdr:colOff>329046</xdr:colOff>
      <xdr:row>46</xdr:row>
      <xdr:rowOff>76200</xdr:rowOff>
    </xdr:to>
    <xdr:graphicFrame macro="">
      <xdr:nvGraphicFramePr>
        <xdr:cNvPr id="27" name="Grafikon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329046</xdr:colOff>
      <xdr:row>61</xdr:row>
      <xdr:rowOff>76200</xdr:rowOff>
    </xdr:to>
    <xdr:graphicFrame macro="">
      <xdr:nvGraphicFramePr>
        <xdr:cNvPr id="29" name="Grafikon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32</xdr:col>
      <xdr:colOff>329046</xdr:colOff>
      <xdr:row>77</xdr:row>
      <xdr:rowOff>76200</xdr:rowOff>
    </xdr:to>
    <xdr:graphicFrame macro="">
      <xdr:nvGraphicFramePr>
        <xdr:cNvPr id="30" name="Grafiko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78</xdr:row>
      <xdr:rowOff>0</xdr:rowOff>
    </xdr:from>
    <xdr:to>
      <xdr:col>32</xdr:col>
      <xdr:colOff>329046</xdr:colOff>
      <xdr:row>92</xdr:row>
      <xdr:rowOff>76200</xdr:rowOff>
    </xdr:to>
    <xdr:graphicFrame macro="">
      <xdr:nvGraphicFramePr>
        <xdr:cNvPr id="31" name="Grafikon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32</xdr:col>
      <xdr:colOff>329046</xdr:colOff>
      <xdr:row>107</xdr:row>
      <xdr:rowOff>76200</xdr:rowOff>
    </xdr:to>
    <xdr:graphicFrame macro="">
      <xdr:nvGraphicFramePr>
        <xdr:cNvPr id="32" name="Grafikon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32</xdr:col>
      <xdr:colOff>329046</xdr:colOff>
      <xdr:row>122</xdr:row>
      <xdr:rowOff>76200</xdr:rowOff>
    </xdr:to>
    <xdr:graphicFrame macro="">
      <xdr:nvGraphicFramePr>
        <xdr:cNvPr id="33" name="Grafikon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329047</xdr:colOff>
      <xdr:row>15</xdr:row>
      <xdr:rowOff>76200</xdr:rowOff>
    </xdr:to>
    <xdr:graphicFrame macro="">
      <xdr:nvGraphicFramePr>
        <xdr:cNvPr id="34" name="Grafikon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329047</xdr:colOff>
      <xdr:row>31</xdr:row>
      <xdr:rowOff>76200</xdr:rowOff>
    </xdr:to>
    <xdr:graphicFrame macro="">
      <xdr:nvGraphicFramePr>
        <xdr:cNvPr id="35" name="Grafikon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0</xdr:colOff>
      <xdr:row>32</xdr:row>
      <xdr:rowOff>0</xdr:rowOff>
    </xdr:from>
    <xdr:to>
      <xdr:col>40</xdr:col>
      <xdr:colOff>329047</xdr:colOff>
      <xdr:row>46</xdr:row>
      <xdr:rowOff>76200</xdr:rowOff>
    </xdr:to>
    <xdr:graphicFrame macro="">
      <xdr:nvGraphicFramePr>
        <xdr:cNvPr id="36" name="Grafikon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564969</xdr:colOff>
      <xdr:row>0</xdr:row>
      <xdr:rowOff>47897</xdr:rowOff>
    </xdr:from>
    <xdr:to>
      <xdr:col>24</xdr:col>
      <xdr:colOff>117566</xdr:colOff>
      <xdr:row>17</xdr:row>
      <xdr:rowOff>183969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31FB269-0A0E-40FD-9BFD-6ED1107CF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582704</xdr:colOff>
      <xdr:row>28</xdr:row>
      <xdr:rowOff>174811</xdr:rowOff>
    </xdr:from>
    <xdr:to>
      <xdr:col>11</xdr:col>
      <xdr:colOff>13448</xdr:colOff>
      <xdr:row>44</xdr:row>
      <xdr:rowOff>62752</xdr:rowOff>
    </xdr:to>
    <xdr:grpSp>
      <xdr:nvGrpSpPr>
        <xdr:cNvPr id="6" name="Skupina 5">
          <a:extLst>
            <a:ext uri="{FF2B5EF4-FFF2-40B4-BE49-F238E27FC236}">
              <a16:creationId xmlns:a16="http://schemas.microsoft.com/office/drawing/2014/main" id="{AC164567-EE60-4FFE-AB94-313CFFACB344}"/>
            </a:ext>
          </a:extLst>
        </xdr:cNvPr>
        <xdr:cNvGrpSpPr/>
      </xdr:nvGrpSpPr>
      <xdr:grpSpPr>
        <a:xfrm>
          <a:off x="582704" y="5254811"/>
          <a:ext cx="9431994" cy="2766608"/>
          <a:chOff x="2635622" y="4450976"/>
          <a:chExt cx="9148485" cy="2756647"/>
        </a:xfrm>
      </xdr:grpSpPr>
      <xdr:graphicFrame macro="">
        <xdr:nvGraphicFramePr>
          <xdr:cNvPr id="4" name="Grafikon 3">
            <a:extLst>
              <a:ext uri="{FF2B5EF4-FFF2-40B4-BE49-F238E27FC236}">
                <a16:creationId xmlns:a16="http://schemas.microsoft.com/office/drawing/2014/main" id="{80FB5934-01CC-4BED-9B8E-D1601CCBBAFE}"/>
              </a:ext>
            </a:extLst>
          </xdr:cNvPr>
          <xdr:cNvGraphicFramePr/>
        </xdr:nvGraphicFramePr>
        <xdr:xfrm>
          <a:off x="7212107" y="445097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afikon 4">
            <a:extLst>
              <a:ext uri="{FF2B5EF4-FFF2-40B4-BE49-F238E27FC236}">
                <a16:creationId xmlns:a16="http://schemas.microsoft.com/office/drawing/2014/main" id="{87A810DB-1C4A-42C7-9F74-A6886FBF2031}"/>
              </a:ext>
            </a:extLst>
          </xdr:cNvPr>
          <xdr:cNvGraphicFramePr>
            <a:graphicFrameLocks/>
          </xdr:cNvGraphicFramePr>
        </xdr:nvGraphicFramePr>
        <xdr:xfrm>
          <a:off x="2635622" y="446442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14</xdr:col>
      <xdr:colOff>336993</xdr:colOff>
      <xdr:row>19</xdr:row>
      <xdr:rowOff>174811</xdr:rowOff>
    </xdr:from>
    <xdr:to>
      <xdr:col>22</xdr:col>
      <xdr:colOff>11003</xdr:colOff>
      <xdr:row>35</xdr:row>
      <xdr:rowOff>58271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0BDB481D-8BC0-46C1-B85D-A4BB47CE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107577</xdr:colOff>
      <xdr:row>36</xdr:row>
      <xdr:rowOff>143436</xdr:rowOff>
    </xdr:from>
    <xdr:to>
      <xdr:col>21</xdr:col>
      <xdr:colOff>391187</xdr:colOff>
      <xdr:row>52</xdr:row>
      <xdr:rowOff>27710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5ACB87-5EE9-4FD0-B9E9-2FE3C02D6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290946</xdr:colOff>
      <xdr:row>20</xdr:row>
      <xdr:rowOff>13855</xdr:rowOff>
    </xdr:from>
    <xdr:to>
      <xdr:col>29</xdr:col>
      <xdr:colOff>574556</xdr:colOff>
      <xdr:row>35</xdr:row>
      <xdr:rowOff>77424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96D16A49-D5A6-4A64-84E3-8CB228A9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110305</xdr:colOff>
      <xdr:row>37</xdr:row>
      <xdr:rowOff>114202</xdr:rowOff>
    </xdr:from>
    <xdr:to>
      <xdr:col>29</xdr:col>
      <xdr:colOff>421342</xdr:colOff>
      <xdr:row>52</xdr:row>
      <xdr:rowOff>80681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97914253-1F2A-4E8B-88E8-75B0C7FA5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328082</xdr:colOff>
      <xdr:row>2</xdr:row>
      <xdr:rowOff>115358</xdr:rowOff>
    </xdr:from>
    <xdr:to>
      <xdr:col>31</xdr:col>
      <xdr:colOff>603249</xdr:colOff>
      <xdr:row>17</xdr:row>
      <xdr:rowOff>128058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ECE8464-D0C6-413A-A97E-F36FAA82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521969</xdr:colOff>
      <xdr:row>15</xdr:row>
      <xdr:rowOff>152400</xdr:rowOff>
    </xdr:from>
    <xdr:to>
      <xdr:col>11</xdr:col>
      <xdr:colOff>360044</xdr:colOff>
      <xdr:row>35</xdr:row>
      <xdr:rowOff>180975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409398</xdr:colOff>
      <xdr:row>15</xdr:row>
      <xdr:rowOff>63185</xdr:rowOff>
    </xdr:from>
    <xdr:to>
      <xdr:col>20</xdr:col>
      <xdr:colOff>104598</xdr:colOff>
      <xdr:row>30</xdr:row>
      <xdr:rowOff>37154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A8FE8EC-222F-43E3-9A3B-2E7682D40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594075</xdr:colOff>
      <xdr:row>4</xdr:row>
      <xdr:rowOff>41564</xdr:rowOff>
    </xdr:from>
    <xdr:to>
      <xdr:col>29</xdr:col>
      <xdr:colOff>124690</xdr:colOff>
      <xdr:row>23</xdr:row>
      <xdr:rowOff>166255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634A17E-652E-4666-88B9-77AEC1C9F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25</xdr:row>
      <xdr:rowOff>124692</xdr:rowOff>
    </xdr:from>
    <xdr:to>
      <xdr:col>32</xdr:col>
      <xdr:colOff>263236</xdr:colOff>
      <xdr:row>51</xdr:row>
      <xdr:rowOff>41563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4317F182-B04B-420E-A58D-B084D0EE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484910</xdr:colOff>
      <xdr:row>53</xdr:row>
      <xdr:rowOff>124691</xdr:rowOff>
    </xdr:from>
    <xdr:to>
      <xdr:col>23</xdr:col>
      <xdr:colOff>180110</xdr:colOff>
      <xdr:row>68</xdr:row>
      <xdr:rowOff>166255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543B0108-9FE0-4A9A-9AC0-21CB54A9C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595747</xdr:colOff>
      <xdr:row>53</xdr:row>
      <xdr:rowOff>138546</xdr:rowOff>
    </xdr:from>
    <xdr:to>
      <xdr:col>31</xdr:col>
      <xdr:colOff>290947</xdr:colOff>
      <xdr:row>69</xdr:row>
      <xdr:rowOff>1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57BD267E-A5C4-4293-8A05-DCE850DBA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41</xdr:row>
      <xdr:rowOff>152400</xdr:rowOff>
    </xdr:from>
    <xdr:to>
      <xdr:col>23</xdr:col>
      <xdr:colOff>138545</xdr:colOff>
      <xdr:row>61</xdr:row>
      <xdr:rowOff>27709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FFA01E2E-8EE1-4B4D-960F-B22ECAF75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635680</xdr:colOff>
      <xdr:row>85</xdr:row>
      <xdr:rowOff>118783</xdr:rowOff>
    </xdr:from>
    <xdr:to>
      <xdr:col>16</xdr:col>
      <xdr:colOff>95760</xdr:colOff>
      <xdr:row>100</xdr:row>
      <xdr:rowOff>4483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347383</xdr:colOff>
      <xdr:row>55</xdr:row>
      <xdr:rowOff>85164</xdr:rowOff>
    </xdr:from>
    <xdr:to>
      <xdr:col>8</xdr:col>
      <xdr:colOff>67235</xdr:colOff>
      <xdr:row>69</xdr:row>
      <xdr:rowOff>161364</xdr:rowOff>
    </xdr:to>
    <xdr:graphicFrame macro="">
      <xdr:nvGraphicFramePr>
        <xdr:cNvPr id="14" name="Grafiko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224118</xdr:colOff>
      <xdr:row>39</xdr:row>
      <xdr:rowOff>121227</xdr:rowOff>
    </xdr:from>
    <xdr:to>
      <xdr:col>9</xdr:col>
      <xdr:colOff>103909</xdr:colOff>
      <xdr:row>54</xdr:row>
      <xdr:rowOff>16706</xdr:rowOff>
    </xdr:to>
    <xdr:graphicFrame macro="">
      <xdr:nvGraphicFramePr>
        <xdr:cNvPr id="15" name="Grafiko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268941</xdr:colOff>
      <xdr:row>56</xdr:row>
      <xdr:rowOff>6724</xdr:rowOff>
    </xdr:from>
    <xdr:to>
      <xdr:col>15</xdr:col>
      <xdr:colOff>324971</xdr:colOff>
      <xdr:row>70</xdr:row>
      <xdr:rowOff>82924</xdr:rowOff>
    </xdr:to>
    <xdr:graphicFrame macro="">
      <xdr:nvGraphicFramePr>
        <xdr:cNvPr id="16" name="Grafiko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459442</xdr:colOff>
      <xdr:row>70</xdr:row>
      <xdr:rowOff>186017</xdr:rowOff>
    </xdr:from>
    <xdr:to>
      <xdr:col>8</xdr:col>
      <xdr:colOff>179294</xdr:colOff>
      <xdr:row>85</xdr:row>
      <xdr:rowOff>71717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336176</xdr:colOff>
      <xdr:row>70</xdr:row>
      <xdr:rowOff>118782</xdr:rowOff>
    </xdr:from>
    <xdr:to>
      <xdr:col>15</xdr:col>
      <xdr:colOff>392206</xdr:colOff>
      <xdr:row>85</xdr:row>
      <xdr:rowOff>4482</xdr:rowOff>
    </xdr:to>
    <xdr:graphicFrame macro="">
      <xdr:nvGraphicFramePr>
        <xdr:cNvPr id="18" name="Grafikon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11207</xdr:colOff>
      <xdr:row>86</xdr:row>
      <xdr:rowOff>29135</xdr:rowOff>
    </xdr:from>
    <xdr:to>
      <xdr:col>8</xdr:col>
      <xdr:colOff>336177</xdr:colOff>
      <xdr:row>100</xdr:row>
      <xdr:rowOff>105335</xdr:rowOff>
    </xdr:to>
    <xdr:graphicFrame macro="">
      <xdr:nvGraphicFramePr>
        <xdr:cNvPr id="19" name="Grafikon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2</xdr:row>
      <xdr:rowOff>142875</xdr:rowOff>
    </xdr:from>
    <xdr:to>
      <xdr:col>20</xdr:col>
      <xdr:colOff>561975</xdr:colOff>
      <xdr:row>20</xdr:row>
      <xdr:rowOff>28575</xdr:rowOff>
    </xdr:to>
    <xdr:graphicFrame macro="">
      <xdr:nvGraphicFramePr>
        <xdr:cNvPr id="21" name="Grafiko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268941</xdr:colOff>
      <xdr:row>20</xdr:row>
      <xdr:rowOff>168088</xdr:rowOff>
    </xdr:from>
    <xdr:to>
      <xdr:col>20</xdr:col>
      <xdr:colOff>573741</xdr:colOff>
      <xdr:row>37</xdr:row>
      <xdr:rowOff>53788</xdr:rowOff>
    </xdr:to>
    <xdr:graphicFrame macro="">
      <xdr:nvGraphicFramePr>
        <xdr:cNvPr id="22" name="Grafikon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304801</xdr:colOff>
      <xdr:row>20</xdr:row>
      <xdr:rowOff>76200</xdr:rowOff>
    </xdr:to>
    <xdr:graphicFrame macro="">
      <xdr:nvGraphicFramePr>
        <xdr:cNvPr id="23" name="Grafiko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304801</xdr:colOff>
      <xdr:row>37</xdr:row>
      <xdr:rowOff>76200</xdr:rowOff>
    </xdr:to>
    <xdr:graphicFrame macro="">
      <xdr:nvGraphicFramePr>
        <xdr:cNvPr id="24" name="Grafiko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145473</xdr:colOff>
      <xdr:row>39</xdr:row>
      <xdr:rowOff>116744</xdr:rowOff>
    </xdr:from>
    <xdr:to>
      <xdr:col>16</xdr:col>
      <xdr:colOff>202114</xdr:colOff>
      <xdr:row>54</xdr:row>
      <xdr:rowOff>2444</xdr:rowOff>
    </xdr:to>
    <xdr:graphicFrame macro="">
      <xdr:nvGraphicFramePr>
        <xdr:cNvPr id="27" name="Grafikon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484909</xdr:colOff>
      <xdr:row>40</xdr:row>
      <xdr:rowOff>34636</xdr:rowOff>
    </xdr:from>
    <xdr:to>
      <xdr:col>23</xdr:col>
      <xdr:colOff>322118</xdr:colOff>
      <xdr:row>54</xdr:row>
      <xdr:rowOff>115930</xdr:rowOff>
    </xdr:to>
    <xdr:graphicFrame macro="">
      <xdr:nvGraphicFramePr>
        <xdr:cNvPr id="28" name="Grafikon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96195</xdr:colOff>
      <xdr:row>39</xdr:row>
      <xdr:rowOff>93533</xdr:rowOff>
    </xdr:from>
    <xdr:to>
      <xdr:col>31</xdr:col>
      <xdr:colOff>358151</xdr:colOff>
      <xdr:row>53</xdr:row>
      <xdr:rowOff>169733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121228</xdr:colOff>
      <xdr:row>57</xdr:row>
      <xdr:rowOff>31173</xdr:rowOff>
    </xdr:from>
    <xdr:to>
      <xdr:col>24</xdr:col>
      <xdr:colOff>450273</xdr:colOff>
      <xdr:row>71</xdr:row>
      <xdr:rowOff>107373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57</xdr:row>
      <xdr:rowOff>0</xdr:rowOff>
    </xdr:from>
    <xdr:to>
      <xdr:col>32</xdr:col>
      <xdr:colOff>329045</xdr:colOff>
      <xdr:row>71</xdr:row>
      <xdr:rowOff>76200</xdr:rowOff>
    </xdr:to>
    <xdr:graphicFrame macro="">
      <xdr:nvGraphicFramePr>
        <xdr:cNvPr id="20" name="Grafiko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73</xdr:row>
      <xdr:rowOff>0</xdr:rowOff>
    </xdr:from>
    <xdr:to>
      <xdr:col>25</xdr:col>
      <xdr:colOff>304800</xdr:colOff>
      <xdr:row>89</xdr:row>
      <xdr:rowOff>76200</xdr:rowOff>
    </xdr:to>
    <xdr:graphicFrame macro="">
      <xdr:nvGraphicFramePr>
        <xdr:cNvPr id="25" name="Grafikon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83820</xdr:colOff>
      <xdr:row>101</xdr:row>
      <xdr:rowOff>121920</xdr:rowOff>
    </xdr:from>
    <xdr:to>
      <xdr:col>8</xdr:col>
      <xdr:colOff>289560</xdr:colOff>
      <xdr:row>116</xdr:row>
      <xdr:rowOff>121920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CC1E23FA-A223-47E7-87C3-E2CEE28E8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104602</xdr:colOff>
      <xdr:row>92</xdr:row>
      <xdr:rowOff>9698</xdr:rowOff>
    </xdr:from>
    <xdr:to>
      <xdr:col>25</xdr:col>
      <xdr:colOff>419100</xdr:colOff>
      <xdr:row>107</xdr:row>
      <xdr:rowOff>22167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58FC548-39BC-4F95-BECF-BB5DA0DF4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13</xdr:row>
      <xdr:rowOff>133349</xdr:rowOff>
    </xdr:from>
    <xdr:to>
      <xdr:col>16</xdr:col>
      <xdr:colOff>190500</xdr:colOff>
      <xdr:row>32</xdr:row>
      <xdr:rowOff>85724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152400</xdr:rowOff>
    </xdr:from>
    <xdr:to>
      <xdr:col>17</xdr:col>
      <xdr:colOff>104774</xdr:colOff>
      <xdr:row>18</xdr:row>
      <xdr:rowOff>38100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18</xdr:row>
      <xdr:rowOff>28575</xdr:rowOff>
    </xdr:from>
    <xdr:to>
      <xdr:col>17</xdr:col>
      <xdr:colOff>104774</xdr:colOff>
      <xdr:row>32</xdr:row>
      <xdr:rowOff>104775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0.37708</cdr:x>
      <cdr:y>0.29514</cdr:y>
    </cdr:from>
    <cdr:to>
      <cdr:x>0.61875</cdr:x>
      <cdr:y>0.77083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1724026" y="809624"/>
          <a:ext cx="1104900" cy="1304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sl-SI" sz="1100"/>
            <a:t>Struktura vrednostne prodaje </a:t>
          </a:r>
        </a:p>
        <a:p xmlns:a="http://schemas.openxmlformats.org/drawingml/2006/main">
          <a:pPr algn="ctr"/>
          <a:r>
            <a:rPr lang="sl-SI" sz="1100"/>
            <a:t>dejavnosti Gospodinjski</a:t>
          </a:r>
          <a:r>
            <a:rPr lang="sl-SI" sz="1100" baseline="0"/>
            <a:t> aparati v letu 2016</a:t>
          </a:r>
          <a:endParaRPr lang="sl-SI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0.37708</cdr:x>
      <cdr:y>0.29514</cdr:y>
    </cdr:from>
    <cdr:to>
      <cdr:x>0.61875</cdr:x>
      <cdr:y>0.77083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1724026" y="809624"/>
          <a:ext cx="1104900" cy="1304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sl-SI" sz="1100"/>
            <a:t>Struktura vrednostne prodaje </a:t>
          </a:r>
        </a:p>
        <a:p xmlns:a="http://schemas.openxmlformats.org/drawingml/2006/main">
          <a:pPr algn="ctr"/>
          <a:r>
            <a:rPr lang="sl-SI" sz="1100"/>
            <a:t>dejavnosti Gospodinjski</a:t>
          </a:r>
          <a:r>
            <a:rPr lang="sl-SI" sz="1100" baseline="0"/>
            <a:t> aparati v letu 2017</a:t>
          </a:r>
        </a:p>
        <a:p xmlns:a="http://schemas.openxmlformats.org/drawingml/2006/main">
          <a:pPr algn="ctr"/>
          <a:endParaRPr lang="sl-SI" sz="1100"/>
        </a:p>
      </cdr:txBody>
    </cdr:sp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5"/>
  <sheetViews>
    <sheetView topLeftCell="B10" zoomScale="66" zoomScaleNormal="66" workbookViewId="0">
      <selection activeCell="M19" sqref="D19:M19"/>
    </sheetView>
  </sheetViews>
  <sheetFormatPr defaultRowHeight="14.4" x14ac:dyDescent="0.3"/>
  <cols>
    <col min="1" max="2" width="14.6640625" style="121" bestFit="1" customWidth="1"/>
    <col min="3" max="3" width="44" customWidth="1"/>
    <col min="4" max="5" width="12.5546875" bestFit="1" customWidth="1"/>
    <col min="6" max="7" width="11.44140625" customWidth="1"/>
    <col min="8" max="9" width="14.6640625" bestFit="1" customWidth="1"/>
    <col min="10" max="10" width="14.109375" bestFit="1" customWidth="1"/>
    <col min="11" max="12" width="12" bestFit="1" customWidth="1"/>
    <col min="13" max="13" width="14.77734375" bestFit="1" customWidth="1"/>
    <col min="14" max="14" width="14.109375" bestFit="1" customWidth="1"/>
    <col min="15" max="15" width="28.5546875" customWidth="1"/>
    <col min="16" max="16" width="10.109375" bestFit="1" customWidth="1"/>
    <col min="17" max="17" width="11.33203125" bestFit="1" customWidth="1"/>
    <col min="18" max="18" width="9.88671875" bestFit="1" customWidth="1"/>
    <col min="24" max="24" width="33.6640625" bestFit="1" customWidth="1"/>
  </cols>
  <sheetData>
    <row r="1" spans="1:37" x14ac:dyDescent="0.3">
      <c r="A1" s="123"/>
      <c r="B1" s="123"/>
      <c r="C1" s="8"/>
      <c r="D1" s="193"/>
      <c r="E1" s="193"/>
      <c r="F1" s="193"/>
      <c r="G1" s="193"/>
      <c r="H1" s="194"/>
      <c r="I1" s="194"/>
      <c r="J1" s="193"/>
      <c r="K1" s="193"/>
      <c r="L1" s="193"/>
      <c r="M1" s="193"/>
      <c r="N1" s="8"/>
    </row>
    <row r="2" spans="1:37" x14ac:dyDescent="0.3">
      <c r="C2" s="8"/>
      <c r="D2" s="11"/>
      <c r="E2" s="11"/>
      <c r="F2" s="11"/>
      <c r="G2" s="11"/>
      <c r="H2" s="195"/>
      <c r="I2" s="195"/>
      <c r="J2" s="11"/>
      <c r="K2" s="11"/>
      <c r="L2" s="11"/>
      <c r="M2" s="11"/>
      <c r="N2" s="196"/>
    </row>
    <row r="3" spans="1:37" ht="15" thickBot="1" x14ac:dyDescent="0.35">
      <c r="A3" s="121" t="s">
        <v>375</v>
      </c>
      <c r="B3" s="121" t="s">
        <v>376</v>
      </c>
      <c r="C3" s="197" t="s">
        <v>222</v>
      </c>
      <c r="D3" s="197">
        <v>2013</v>
      </c>
      <c r="E3" s="197">
        <v>2014</v>
      </c>
      <c r="F3" s="197">
        <v>2015</v>
      </c>
      <c r="G3" s="197">
        <v>2016</v>
      </c>
      <c r="H3" s="198">
        <v>2017</v>
      </c>
      <c r="I3" s="197">
        <v>2018</v>
      </c>
      <c r="J3" s="197">
        <v>2019</v>
      </c>
      <c r="K3" s="197">
        <v>2020</v>
      </c>
      <c r="L3" s="197">
        <v>2021</v>
      </c>
      <c r="M3" s="197">
        <v>2022</v>
      </c>
      <c r="N3" s="8"/>
    </row>
    <row r="4" spans="1:37" ht="15" thickBot="1" x14ac:dyDescent="0.35">
      <c r="A4" s="122">
        <f>AVERAGE(D4:H4)</f>
        <v>1257456.8</v>
      </c>
      <c r="B4" s="122">
        <f>AVERAGE(I4:M4)</f>
        <v>1358621.7142989538</v>
      </c>
      <c r="C4" s="199" t="s">
        <v>1</v>
      </c>
      <c r="D4" s="200">
        <v>1240482</v>
      </c>
      <c r="E4" s="200">
        <v>1253717</v>
      </c>
      <c r="F4" s="200">
        <v>1225029</v>
      </c>
      <c r="G4" s="200">
        <v>1258124</v>
      </c>
      <c r="H4" s="201">
        <v>1309932</v>
      </c>
      <c r="I4" s="200">
        <f>H4*(1+I5)</f>
        <v>1328271.048</v>
      </c>
      <c r="J4" s="200">
        <f t="shared" ref="J4:M4" si="0">I4*(1+J5)</f>
        <v>1344210.300576</v>
      </c>
      <c r="K4" s="200">
        <f t="shared" si="0"/>
        <v>1358996.6138823358</v>
      </c>
      <c r="L4" s="200">
        <f t="shared" si="0"/>
        <v>1373945.5766350415</v>
      </c>
      <c r="M4" s="200">
        <f t="shared" si="0"/>
        <v>1387685.032401392</v>
      </c>
      <c r="N4" s="8"/>
    </row>
    <row r="5" spans="1:37" x14ac:dyDescent="0.3">
      <c r="A5" s="123">
        <f>AVERAGE(D5:H5)</f>
        <v>1.399533518609164E-2</v>
      </c>
      <c r="B5" s="123">
        <f t="shared" ref="B5:B65" si="1">AVERAGE(I5:M5)</f>
        <v>1.1600000000000003E-2</v>
      </c>
      <c r="C5" s="202" t="s">
        <v>302</v>
      </c>
      <c r="D5" s="193"/>
      <c r="E5" s="193">
        <f>E4/D4-100%</f>
        <v>1.066923985998991E-2</v>
      </c>
      <c r="F5" s="193">
        <f>F4/E4-100%</f>
        <v>-2.2882357023155997E-2</v>
      </c>
      <c r="G5" s="193">
        <f>G4/F4-100%</f>
        <v>2.701568697557355E-2</v>
      </c>
      <c r="H5" s="203">
        <f>H4/G4-100%</f>
        <v>4.1178770931959097E-2</v>
      </c>
      <c r="I5" s="193">
        <v>1.4000000000000012E-2</v>
      </c>
      <c r="J5" s="193">
        <v>1.2E-2</v>
      </c>
      <c r="K5" s="193">
        <v>1.0999999999999999E-2</v>
      </c>
      <c r="L5" s="193">
        <v>1.0999999999999999E-2</v>
      </c>
      <c r="M5" s="193">
        <v>0.01</v>
      </c>
      <c r="N5" s="8"/>
      <c r="P5" s="2"/>
    </row>
    <row r="6" spans="1:37" x14ac:dyDescent="0.3">
      <c r="A6" s="55">
        <f>AVERAGE(D6:H6)</f>
        <v>-6942.2</v>
      </c>
      <c r="B6" s="55">
        <f>AVERAGE(I6:M6)</f>
        <v>10210.200000000001</v>
      </c>
      <c r="C6" s="8" t="s">
        <v>2</v>
      </c>
      <c r="D6" s="11">
        <v>-26122</v>
      </c>
      <c r="E6" s="11">
        <v>-12042</v>
      </c>
      <c r="F6" s="11">
        <v>13370</v>
      </c>
      <c r="G6" s="11">
        <v>5200</v>
      </c>
      <c r="H6" s="204">
        <v>-15117</v>
      </c>
      <c r="I6" s="11">
        <v>13653</v>
      </c>
      <c r="J6" s="11">
        <v>-8200</v>
      </c>
      <c r="K6" s="11">
        <v>13421</v>
      </c>
      <c r="L6" s="11">
        <v>19721</v>
      </c>
      <c r="M6" s="11">
        <v>12456</v>
      </c>
      <c r="N6" s="194"/>
      <c r="O6" s="39"/>
    </row>
    <row r="7" spans="1:37" x14ac:dyDescent="0.3">
      <c r="A7" s="123">
        <f>AVERAGE(D7:H7)</f>
        <v>-1.7918687229555916</v>
      </c>
      <c r="B7" s="123">
        <f t="shared" si="1"/>
        <v>-1.2078877454059274</v>
      </c>
      <c r="C7" s="202" t="s">
        <v>302</v>
      </c>
      <c r="D7" s="8"/>
      <c r="E7" s="193">
        <f t="shared" ref="E7:L7" si="2">E6/D6-100%</f>
        <v>-0.53900926422172879</v>
      </c>
      <c r="F7" s="193">
        <f t="shared" si="2"/>
        <v>-2.1102806842717157</v>
      </c>
      <c r="G7" s="194">
        <f t="shared" si="2"/>
        <v>-0.61106955871353774</v>
      </c>
      <c r="H7" s="203">
        <f t="shared" si="2"/>
        <v>-3.9071153846153845</v>
      </c>
      <c r="I7" s="193">
        <f t="shared" si="2"/>
        <v>-1.9031553879738043</v>
      </c>
      <c r="J7" s="193">
        <f t="shared" si="2"/>
        <v>-1.6006006006006006</v>
      </c>
      <c r="K7" s="193">
        <f t="shared" si="2"/>
        <v>-2.6367073170731707</v>
      </c>
      <c r="L7" s="193">
        <f t="shared" si="2"/>
        <v>0.46941360554355116</v>
      </c>
      <c r="M7" s="193">
        <f>M6/L6-100%</f>
        <v>-0.36838902692561226</v>
      </c>
      <c r="N7" s="194"/>
      <c r="O7" s="49"/>
    </row>
    <row r="8" spans="1:37" x14ac:dyDescent="0.3">
      <c r="A8" s="55">
        <f>AVERAGE(D8:G8)</f>
        <v>27487</v>
      </c>
      <c r="B8" s="55">
        <f t="shared" si="1"/>
        <v>28711.136952524765</v>
      </c>
      <c r="C8" s="8" t="s">
        <v>3</v>
      </c>
      <c r="D8" s="11">
        <v>34517</v>
      </c>
      <c r="E8" s="11">
        <v>21694</v>
      </c>
      <c r="F8" s="11">
        <v>31866</v>
      </c>
      <c r="G8" s="195">
        <v>21871</v>
      </c>
      <c r="H8" s="204">
        <v>39440</v>
      </c>
      <c r="I8" s="195">
        <f>H8*(1+I9)</f>
        <v>25636</v>
      </c>
      <c r="J8" s="195">
        <f>I8*(1+J9)</f>
        <v>28604.648799999999</v>
      </c>
      <c r="K8" s="195">
        <f>J8*(1+K9)</f>
        <v>28770.55576304</v>
      </c>
      <c r="L8" s="195">
        <f>K8*(1+L9)</f>
        <v>26934.99430535805</v>
      </c>
      <c r="M8" s="195">
        <f>L8*(1+M9)</f>
        <v>33609.485894225778</v>
      </c>
      <c r="N8" s="8"/>
    </row>
    <row r="9" spans="1:37" x14ac:dyDescent="0.3">
      <c r="A9" s="123">
        <f>AVERAGE(D9:H9)</f>
        <v>0.14675782232744986</v>
      </c>
      <c r="B9" s="123">
        <f t="shared" si="1"/>
        <v>-8.8799999999999938E-3</v>
      </c>
      <c r="C9" s="202" t="s">
        <v>302</v>
      </c>
      <c r="D9" s="193"/>
      <c r="E9" s="193">
        <f>E8/D8-100%</f>
        <v>-0.37149810238433234</v>
      </c>
      <c r="F9" s="193">
        <f>F8/E8-100%</f>
        <v>0.46888540610307006</v>
      </c>
      <c r="G9" s="193">
        <f>G8/F8-100%</f>
        <v>-0.31365718948095145</v>
      </c>
      <c r="H9" s="203">
        <f>H8/G8-100%</f>
        <v>0.80330117507201315</v>
      </c>
      <c r="I9" s="193">
        <v>-0.35</v>
      </c>
      <c r="J9" s="193">
        <v>0.1158</v>
      </c>
      <c r="K9" s="193">
        <v>5.7999999999999996E-3</v>
      </c>
      <c r="L9" s="193">
        <v>-6.3799999999999996E-2</v>
      </c>
      <c r="M9" s="193">
        <v>0.24779999999999999</v>
      </c>
      <c r="N9" s="11"/>
      <c r="O9" s="3"/>
    </row>
    <row r="10" spans="1:37" ht="15" thickBot="1" x14ac:dyDescent="0.35">
      <c r="A10" s="123">
        <f>AVERAGE(D10:H10)</f>
        <v>2.3726783497152355E-2</v>
      </c>
      <c r="B10" s="123">
        <f t="shared" ref="B10" si="3">AVERAGE(I10:M10)</f>
        <v>2.1114910324727201E-2</v>
      </c>
      <c r="C10" s="202" t="s">
        <v>362</v>
      </c>
      <c r="D10" s="193">
        <f>D8/D4</f>
        <v>2.7825474291444777E-2</v>
      </c>
      <c r="E10" s="193">
        <f t="shared" ref="E10:M10" si="4">E8/E4</f>
        <v>1.7303745582136959E-2</v>
      </c>
      <c r="F10" s="193">
        <f t="shared" si="4"/>
        <v>2.6012445419659452E-2</v>
      </c>
      <c r="G10" s="193">
        <f t="shared" si="4"/>
        <v>1.7383819083015666E-2</v>
      </c>
      <c r="H10" s="205">
        <f t="shared" si="4"/>
        <v>3.0108433109504919E-2</v>
      </c>
      <c r="I10" s="193">
        <f t="shared" si="4"/>
        <v>1.9300277634298028E-2</v>
      </c>
      <c r="J10" s="193">
        <f t="shared" si="4"/>
        <v>2.127989109125468E-2</v>
      </c>
      <c r="K10" s="193">
        <f t="shared" si="4"/>
        <v>2.1170439623723007E-2</v>
      </c>
      <c r="L10" s="193">
        <f t="shared" si="4"/>
        <v>1.9604120252947065E-2</v>
      </c>
      <c r="M10" s="193">
        <f t="shared" si="4"/>
        <v>2.4219823021413216E-2</v>
      </c>
      <c r="N10" s="8"/>
      <c r="O10" s="72"/>
    </row>
    <row r="11" spans="1:37" ht="15" thickBot="1" x14ac:dyDescent="0.35">
      <c r="A11" s="122">
        <f>AVERAGE(D11:H11)</f>
        <v>1280392.2</v>
      </c>
      <c r="B11" s="122">
        <f t="shared" si="1"/>
        <v>1397543.0512514787</v>
      </c>
      <c r="C11" s="200" t="s">
        <v>4</v>
      </c>
      <c r="D11" s="200">
        <v>1248877</v>
      </c>
      <c r="E11" s="200">
        <f t="shared" ref="E11:M11" si="5">E4+E8+E6</f>
        <v>1263369</v>
      </c>
      <c r="F11" s="200">
        <f t="shared" si="5"/>
        <v>1270265</v>
      </c>
      <c r="G11" s="200">
        <f t="shared" si="5"/>
        <v>1285195</v>
      </c>
      <c r="H11" s="201">
        <f t="shared" si="5"/>
        <v>1334255</v>
      </c>
      <c r="I11" s="200">
        <f t="shared" si="5"/>
        <v>1367560.048</v>
      </c>
      <c r="J11" s="200">
        <f t="shared" si="5"/>
        <v>1364614.9493760001</v>
      </c>
      <c r="K11" s="200">
        <f t="shared" si="5"/>
        <v>1401188.1696453758</v>
      </c>
      <c r="L11" s="200">
        <f t="shared" si="5"/>
        <v>1420601.5709403995</v>
      </c>
      <c r="M11" s="200">
        <f t="shared" si="5"/>
        <v>1433750.5182956178</v>
      </c>
      <c r="N11" s="8"/>
      <c r="O11" s="30"/>
      <c r="P11" s="30"/>
    </row>
    <row r="12" spans="1:37" x14ac:dyDescent="0.3">
      <c r="A12" s="122"/>
      <c r="B12" s="122"/>
      <c r="C12" s="8"/>
      <c r="D12" s="11"/>
      <c r="E12" s="193"/>
      <c r="F12" s="193"/>
      <c r="G12" s="193"/>
      <c r="H12" s="195"/>
      <c r="I12" s="195"/>
      <c r="J12" s="195"/>
      <c r="K12" s="195"/>
      <c r="L12" s="195"/>
      <c r="M12" s="195"/>
      <c r="N12" s="206"/>
    </row>
    <row r="13" spans="1:37" x14ac:dyDescent="0.3">
      <c r="A13" s="123"/>
      <c r="B13" s="123"/>
      <c r="C13" s="8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207"/>
    </row>
    <row r="14" spans="1:37" x14ac:dyDescent="0.3">
      <c r="A14" s="55">
        <f t="shared" ref="A14:A20" si="6">AVERAGE(D14:H14)</f>
        <v>-939802.8</v>
      </c>
      <c r="B14" s="55">
        <f t="shared" si="1"/>
        <v>-1012465.6914343856</v>
      </c>
      <c r="C14" s="8" t="s">
        <v>5</v>
      </c>
      <c r="D14" s="11">
        <f>Stroški!D17</f>
        <v>-910516</v>
      </c>
      <c r="E14" s="11">
        <f>Stroški!E17</f>
        <v>-927686</v>
      </c>
      <c r="F14" s="11">
        <f>Stroški!F17</f>
        <v>-937245</v>
      </c>
      <c r="G14" s="11">
        <f>Stroški!G17</f>
        <v>-942154</v>
      </c>
      <c r="H14" s="204">
        <f>Stroški!H17</f>
        <v>-981413</v>
      </c>
      <c r="I14" s="11">
        <f>Stroški!I17</f>
        <v>-988233.65971199994</v>
      </c>
      <c r="J14" s="11">
        <f>Stroški!J17</f>
        <v>-1000764.568778832</v>
      </c>
      <c r="K14" s="11">
        <f>Stroški!K17</f>
        <v>-1011772.979035399</v>
      </c>
      <c r="L14" s="11">
        <f>Stroški!L17</f>
        <v>-1025650.3729580585</v>
      </c>
      <c r="M14" s="11">
        <f>Stroški!M17</f>
        <v>-1035906.876687639</v>
      </c>
      <c r="N14" s="206"/>
      <c r="AJ14" s="3"/>
      <c r="AK14" s="3"/>
    </row>
    <row r="15" spans="1:37" x14ac:dyDescent="0.3">
      <c r="A15" s="55">
        <f t="shared" si="6"/>
        <v>-236418.4</v>
      </c>
      <c r="B15" s="55">
        <f t="shared" si="1"/>
        <v>-254861.20312310071</v>
      </c>
      <c r="C15" s="8" t="s">
        <v>6</v>
      </c>
      <c r="D15" s="11">
        <f>-Stroški!D6</f>
        <v>-237914</v>
      </c>
      <c r="E15" s="11">
        <f>-Stroški!E6</f>
        <v>-228479</v>
      </c>
      <c r="F15" s="11">
        <f>-Stroški!F6</f>
        <v>-231362</v>
      </c>
      <c r="G15" s="11">
        <f>-Stroški!G6</f>
        <v>-235325</v>
      </c>
      <c r="H15" s="11">
        <f>-Stroški!H6</f>
        <v>-249012</v>
      </c>
      <c r="I15" s="11">
        <f>-Stroški!I6</f>
        <v>-251513.00539480138</v>
      </c>
      <c r="J15" s="11">
        <f>-Stroški!J6</f>
        <v>-248737.69115487349</v>
      </c>
      <c r="K15" s="11">
        <f>-Stroški!K6</f>
        <v>-254657.67060384582</v>
      </c>
      <c r="L15" s="11">
        <f>-Stroški!L6</f>
        <v>-258396.53370286225</v>
      </c>
      <c r="M15" s="11">
        <f>-Stroški!M6</f>
        <v>-261001.11475912062</v>
      </c>
      <c r="N15" s="8"/>
    </row>
    <row r="16" spans="1:37" x14ac:dyDescent="0.3">
      <c r="A16" s="55">
        <f t="shared" si="6"/>
        <v>10730.4</v>
      </c>
      <c r="B16" s="55">
        <f t="shared" si="1"/>
        <v>11398.743572513107</v>
      </c>
      <c r="C16" s="8" t="s">
        <v>269</v>
      </c>
      <c r="D16" s="11">
        <f>Stroški!D8:H8</f>
        <v>10639</v>
      </c>
      <c r="E16" s="11">
        <f>Stroški!E8:I8</f>
        <v>10468</v>
      </c>
      <c r="F16" s="11">
        <f>Stroški!F8:J8</f>
        <v>10617</v>
      </c>
      <c r="G16" s="11">
        <f>Stroški!G8:K8</f>
        <v>10889</v>
      </c>
      <c r="H16" s="204">
        <f>Stroški!H8:L8</f>
        <v>11039</v>
      </c>
      <c r="I16" s="11">
        <f>Stroški!I8:M8</f>
        <v>11178.355795324505</v>
      </c>
      <c r="J16" s="11">
        <f>Stroški!J8:N8</f>
        <v>11104.361212271138</v>
      </c>
      <c r="K16" s="11">
        <f>Stroški!K8:O8</f>
        <v>11419.62648447739</v>
      </c>
      <c r="L16" s="11">
        <f>Stroški!L8:P8</f>
        <v>11587.288506854809</v>
      </c>
      <c r="M16" s="11">
        <f>Stroški!M8:Q8</f>
        <v>11704.085863637696</v>
      </c>
      <c r="N16" s="8"/>
    </row>
    <row r="17" spans="1:30" x14ac:dyDescent="0.3">
      <c r="A17" s="55">
        <f t="shared" si="6"/>
        <v>-46453.8</v>
      </c>
      <c r="B17" s="55">
        <f t="shared" si="1"/>
        <v>-52897.966792500854</v>
      </c>
      <c r="C17" s="8" t="s">
        <v>7</v>
      </c>
      <c r="D17" s="11">
        <f>-Amortizacija!E10</f>
        <v>-41875</v>
      </c>
      <c r="E17" s="11">
        <f>-Amortizacija!F10</f>
        <v>-43019</v>
      </c>
      <c r="F17" s="11">
        <f>-Amortizacija!G10</f>
        <v>-45644</v>
      </c>
      <c r="G17" s="11">
        <f>-Amortizacija!H10</f>
        <v>-47055</v>
      </c>
      <c r="H17" s="204">
        <f>-Amortizacija!I10</f>
        <v>-54676</v>
      </c>
      <c r="I17" s="11">
        <f>-Amortizacija!J10</f>
        <v>-54552.091941359999</v>
      </c>
      <c r="J17" s="11">
        <f>-Amortizacija!K10</f>
        <v>-54003.648825640797</v>
      </c>
      <c r="K17" s="11">
        <f>-Amortizacija!L10</f>
        <v>-51451.611801585226</v>
      </c>
      <c r="L17" s="11">
        <f>-Amortizacija!M10</f>
        <v>-52017.579531402662</v>
      </c>
      <c r="M17" s="11">
        <f>-Amortizacija!N10</f>
        <v>-52464.901862515624</v>
      </c>
      <c r="N17" s="8"/>
    </row>
    <row r="18" spans="1:30" ht="15" thickBot="1" x14ac:dyDescent="0.35">
      <c r="A18" s="55">
        <f t="shared" si="6"/>
        <v>-22678.2</v>
      </c>
      <c r="B18" s="55">
        <f t="shared" si="1"/>
        <v>-25155.774922526616</v>
      </c>
      <c r="C18" s="208" t="s">
        <v>8</v>
      </c>
      <c r="D18" s="208">
        <v>-22242</v>
      </c>
      <c r="E18" s="208">
        <v>-21650</v>
      </c>
      <c r="F18" s="208">
        <v>-21570</v>
      </c>
      <c r="G18" s="208">
        <v>-20470</v>
      </c>
      <c r="H18" s="209">
        <v>-27459</v>
      </c>
      <c r="I18" s="208">
        <f>I11*I25</f>
        <v>-24616.080863999996</v>
      </c>
      <c r="J18" s="208">
        <f>J11*J25</f>
        <v>-24563.069088767999</v>
      </c>
      <c r="K18" s="208">
        <f>K11*K25</f>
        <v>-25221.387053616763</v>
      </c>
      <c r="L18" s="208">
        <f>L11*L25</f>
        <v>-25570.82827692719</v>
      </c>
      <c r="M18" s="208">
        <f>M11*M25</f>
        <v>-25807.509329321118</v>
      </c>
      <c r="N18" s="8"/>
    </row>
    <row r="19" spans="1:30" x14ac:dyDescent="0.3">
      <c r="A19" s="122">
        <f t="shared" si="6"/>
        <v>-1245353.2</v>
      </c>
      <c r="B19" s="122">
        <f t="shared" si="1"/>
        <v>-1345380.6362725138</v>
      </c>
      <c r="C19" s="196" t="s">
        <v>210</v>
      </c>
      <c r="D19" s="196">
        <f t="shared" ref="D19:M19" si="7">D14+D15+D17+D18</f>
        <v>-1212547</v>
      </c>
      <c r="E19" s="196">
        <f t="shared" si="7"/>
        <v>-1220834</v>
      </c>
      <c r="F19" s="196">
        <f t="shared" si="7"/>
        <v>-1235821</v>
      </c>
      <c r="G19" s="196">
        <f t="shared" si="7"/>
        <v>-1245004</v>
      </c>
      <c r="H19" s="210">
        <f t="shared" si="7"/>
        <v>-1312560</v>
      </c>
      <c r="I19" s="196">
        <f>I14+I15+I17+I18</f>
        <v>-1318914.8379121611</v>
      </c>
      <c r="J19" s="196">
        <f t="shared" si="7"/>
        <v>-1328068.9778481142</v>
      </c>
      <c r="K19" s="196">
        <f t="shared" si="7"/>
        <v>-1343103.6484944469</v>
      </c>
      <c r="L19" s="196">
        <f t="shared" si="7"/>
        <v>-1361635.3144692504</v>
      </c>
      <c r="M19" s="196">
        <f t="shared" si="7"/>
        <v>-1375180.4026385962</v>
      </c>
      <c r="N19" s="8"/>
    </row>
    <row r="20" spans="1:30" x14ac:dyDescent="0.3">
      <c r="A20" s="124">
        <f t="shared" si="6"/>
        <v>-0.99032793880309344</v>
      </c>
      <c r="B20" s="124">
        <f t="shared" si="1"/>
        <v>-0.99025650000357701</v>
      </c>
      <c r="C20" s="8" t="s">
        <v>360</v>
      </c>
      <c r="D20" s="193">
        <f t="shared" ref="D20:M20" si="8">D19/D4</f>
        <v>-0.97748052773034999</v>
      </c>
      <c r="E20" s="193">
        <f t="shared" si="8"/>
        <v>-0.97377159279167469</v>
      </c>
      <c r="F20" s="193">
        <f t="shared" si="8"/>
        <v>-1.0088095873648706</v>
      </c>
      <c r="G20" s="193">
        <f t="shared" si="8"/>
        <v>-0.98957177511914562</v>
      </c>
      <c r="H20" s="203">
        <f t="shared" si="8"/>
        <v>-1.0020062110094266</v>
      </c>
      <c r="I20" s="193">
        <f t="shared" si="8"/>
        <v>-0.99295609875565183</v>
      </c>
      <c r="J20" s="193">
        <f t="shared" si="8"/>
        <v>-0.98799196619683005</v>
      </c>
      <c r="K20" s="193">
        <f t="shared" si="8"/>
        <v>-0.98830536792693957</v>
      </c>
      <c r="L20" s="193">
        <f t="shared" si="8"/>
        <v>-0.9910402112171427</v>
      </c>
      <c r="M20" s="193">
        <f t="shared" si="8"/>
        <v>-0.99098885592132069</v>
      </c>
      <c r="N20" s="8"/>
      <c r="Z20" s="3"/>
      <c r="AA20" s="3"/>
      <c r="AB20" s="3"/>
      <c r="AC20" s="3"/>
      <c r="AD20" s="38"/>
    </row>
    <row r="21" spans="1:30" x14ac:dyDescent="0.3">
      <c r="A21" s="124"/>
      <c r="B21" s="124"/>
      <c r="C21" s="8" t="s">
        <v>300</v>
      </c>
      <c r="D21" s="211"/>
      <c r="E21" s="211"/>
      <c r="F21" s="211"/>
      <c r="G21" s="211"/>
      <c r="H21" s="212"/>
      <c r="I21" s="213"/>
      <c r="J21" s="213"/>
      <c r="K21" s="213"/>
      <c r="L21" s="213"/>
      <c r="M21" s="213"/>
      <c r="N21" s="8"/>
    </row>
    <row r="22" spans="1:30" x14ac:dyDescent="0.3">
      <c r="A22" s="124">
        <f>AVERAGE(D22:H22)</f>
        <v>-0.74741909445171095</v>
      </c>
      <c r="B22" s="123">
        <f t="shared" si="1"/>
        <v>-0.74519999999999997</v>
      </c>
      <c r="C22" s="202" t="s">
        <v>277</v>
      </c>
      <c r="D22" s="194">
        <f t="shared" ref="D22:M22" si="9">D14/D4</f>
        <v>-0.73400178317782927</v>
      </c>
      <c r="E22" s="194">
        <f t="shared" si="9"/>
        <v>-0.73994848917259637</v>
      </c>
      <c r="F22" s="194">
        <f t="shared" si="9"/>
        <v>-0.76507984708933419</v>
      </c>
      <c r="G22" s="194">
        <f t="shared" si="9"/>
        <v>-0.74885623356680264</v>
      </c>
      <c r="H22" s="203">
        <f t="shared" si="9"/>
        <v>-0.74920911925199174</v>
      </c>
      <c r="I22" s="194">
        <f t="shared" si="9"/>
        <v>-0.74399999999999999</v>
      </c>
      <c r="J22" s="194">
        <f t="shared" si="9"/>
        <v>-0.74449999999999994</v>
      </c>
      <c r="K22" s="194">
        <f t="shared" si="9"/>
        <v>-0.74450000000000005</v>
      </c>
      <c r="L22" s="194">
        <f t="shared" si="9"/>
        <v>-0.74650000000000005</v>
      </c>
      <c r="M22" s="194">
        <f t="shared" si="9"/>
        <v>-0.74649999999999994</v>
      </c>
      <c r="N22" s="214"/>
      <c r="O22" s="29"/>
    </row>
    <row r="23" spans="1:30" x14ac:dyDescent="0.3">
      <c r="A23" s="125">
        <f>AVERAGE(D23:H23)</f>
        <v>22.029851091764449</v>
      </c>
      <c r="B23" s="125">
        <f t="shared" si="1"/>
        <v>22.36</v>
      </c>
      <c r="C23" s="202" t="s">
        <v>271</v>
      </c>
      <c r="D23" s="215">
        <f>Stroški!D7</f>
        <v>22.362440078954791</v>
      </c>
      <c r="E23" s="215">
        <f>Stroški!E7</f>
        <v>21.82642338555598</v>
      </c>
      <c r="F23" s="215">
        <f>Stroški!F7</f>
        <v>21.791654893095977</v>
      </c>
      <c r="G23" s="215">
        <f>Stroški!G7</f>
        <v>21.611259068785014</v>
      </c>
      <c r="H23" s="216">
        <f>Stroški!H7</f>
        <v>22.557478032430474</v>
      </c>
      <c r="I23" s="215">
        <f>Stroški!I7</f>
        <v>22.5</v>
      </c>
      <c r="J23" s="215">
        <f>Stroški!J7</f>
        <v>22.4</v>
      </c>
      <c r="K23" s="215">
        <f>Stroški!K7</f>
        <v>22.3</v>
      </c>
      <c r="L23" s="215">
        <f>Stroški!L7</f>
        <v>22.3</v>
      </c>
      <c r="M23" s="215">
        <f>Stroški!M7</f>
        <v>22.3</v>
      </c>
      <c r="N23" s="8"/>
    </row>
    <row r="24" spans="1:30" x14ac:dyDescent="0.3">
      <c r="A24" s="123">
        <f>AVERAGE(E24:H24)</f>
        <v>-8.1537275645490292E-2</v>
      </c>
      <c r="B24" s="123">
        <f t="shared" si="1"/>
        <v>-8.5749659896098215E-2</v>
      </c>
      <c r="C24" s="202" t="s">
        <v>306</v>
      </c>
      <c r="D24" s="193">
        <f>-Amortizacija!E11</f>
        <v>-7.5783213859777071E-2</v>
      </c>
      <c r="E24" s="193">
        <f>-Amortizacija!F11</f>
        <v>-7.7286119794473793E-2</v>
      </c>
      <c r="F24" s="193">
        <f>-Amortizacija!G11</f>
        <v>-7.8779405926923146E-2</v>
      </c>
      <c r="G24" s="194">
        <f>-Amortizacija!H11</f>
        <v>-7.9748695429639638E-2</v>
      </c>
      <c r="H24" s="203">
        <f>-Amortizacija!I11</f>
        <v>-9.0334881430924607E-2</v>
      </c>
      <c r="I24" s="193">
        <f>-Amortizacija!J11</f>
        <v>-8.8704103671706266E-2</v>
      </c>
      <c r="J24" s="193">
        <f>-Amortizacija!K11</f>
        <v>-8.8784530386740335E-2</v>
      </c>
      <c r="K24" s="193">
        <f>-Amortizacija!L11</f>
        <v>-8.3761061946902651E-2</v>
      </c>
      <c r="L24" s="193">
        <f>-Amortizacija!M11</f>
        <v>-8.3761061946902637E-2</v>
      </c>
      <c r="M24" s="193">
        <f>-Amortizacija!N11</f>
        <v>-8.3737541528239201E-2</v>
      </c>
      <c r="N24" s="8"/>
    </row>
    <row r="25" spans="1:30" x14ac:dyDescent="0.3">
      <c r="A25" s="123">
        <f>AVERAGE(D25:H25)</f>
        <v>-1.7686919276237435E-2</v>
      </c>
      <c r="B25" s="123">
        <f t="shared" si="1"/>
        <v>-1.7999999999999999E-2</v>
      </c>
      <c r="C25" s="202" t="s">
        <v>307</v>
      </c>
      <c r="D25" s="193">
        <f>D18/D11</f>
        <v>-1.7809600144770062E-2</v>
      </c>
      <c r="E25" s="193">
        <f>E18/E11</f>
        <v>-1.7136719359110441E-2</v>
      </c>
      <c r="F25" s="193">
        <f>F18/F11</f>
        <v>-1.6980708749749069E-2</v>
      </c>
      <c r="G25" s="194">
        <f>G18/G11</f>
        <v>-1.5927544069187945E-2</v>
      </c>
      <c r="H25" s="203">
        <f>H18/H11</f>
        <v>-2.0580024058369652E-2</v>
      </c>
      <c r="I25" s="193">
        <v>-1.7999999999999999E-2</v>
      </c>
      <c r="J25" s="193">
        <v>-1.7999999999999999E-2</v>
      </c>
      <c r="K25" s="193">
        <v>-1.7999999999999999E-2</v>
      </c>
      <c r="L25" s="193">
        <v>-1.7999999999999999E-2</v>
      </c>
      <c r="M25" s="193">
        <v>-1.7999999999999999E-2</v>
      </c>
      <c r="N25" s="193"/>
      <c r="O25" s="2"/>
      <c r="P25" s="2"/>
      <c r="Q25" s="2"/>
      <c r="R25" s="2"/>
      <c r="S25" s="2"/>
    </row>
    <row r="26" spans="1:30" x14ac:dyDescent="0.3">
      <c r="A26" s="123">
        <f>AVERAGE(D26:H26)</f>
        <v>5.3265461317731589E-3</v>
      </c>
      <c r="B26" s="123">
        <f t="shared" si="1"/>
        <v>3.8600000000000001E-3</v>
      </c>
      <c r="C26" s="202" t="s">
        <v>309</v>
      </c>
      <c r="D26" s="193">
        <f>D31/D11</f>
        <v>6.0430290573050827E-3</v>
      </c>
      <c r="E26" s="193">
        <f>E31/E11</f>
        <v>6.8744761031812561E-3</v>
      </c>
      <c r="F26" s="193">
        <f>F31/F11</f>
        <v>5.8224071355189666E-3</v>
      </c>
      <c r="G26" s="194">
        <f>G31/G11</f>
        <v>4.790712693404503E-3</v>
      </c>
      <c r="H26" s="203">
        <f>H31/H11</f>
        <v>3.1021056694559884E-3</v>
      </c>
      <c r="I26" s="193">
        <v>3.3E-3</v>
      </c>
      <c r="J26" s="193">
        <v>3.7000000000000002E-3</v>
      </c>
      <c r="K26" s="193">
        <v>4.1000000000000003E-3</v>
      </c>
      <c r="L26" s="193">
        <v>4.1000000000000003E-3</v>
      </c>
      <c r="M26" s="193">
        <v>4.1000000000000003E-3</v>
      </c>
      <c r="N26" s="8"/>
    </row>
    <row r="27" spans="1:30" x14ac:dyDescent="0.3">
      <c r="A27" s="123">
        <f>AVERAGE(D27:H27)</f>
        <v>-3.3084870541903996E-2</v>
      </c>
      <c r="B27" s="123">
        <f t="shared" si="1"/>
        <v>-1.5639999999999998E-2</v>
      </c>
      <c r="C27" s="202" t="s">
        <v>308</v>
      </c>
      <c r="D27" s="193">
        <f>D32/D11</f>
        <v>-4.9587749634271427E-2</v>
      </c>
      <c r="E27" s="193">
        <f>E32/E11</f>
        <v>-3.7536143438694478E-2</v>
      </c>
      <c r="F27" s="193">
        <f>F32/F11</f>
        <v>-3.636091681656977E-2</v>
      </c>
      <c r="G27" s="194">
        <f>G32/G11</f>
        <v>-2.5826431008523998E-2</v>
      </c>
      <c r="H27" s="203">
        <f>H32/H11</f>
        <v>-1.6113111811460329E-2</v>
      </c>
      <c r="I27" s="193">
        <v>-1.55E-2</v>
      </c>
      <c r="J27" s="193">
        <v>-1.4999999999999999E-2</v>
      </c>
      <c r="K27" s="193">
        <v>-1.5699999999999999E-2</v>
      </c>
      <c r="L27" s="193">
        <v>-1.6E-2</v>
      </c>
      <c r="M27" s="193">
        <v>-1.6E-2</v>
      </c>
      <c r="N27" s="8"/>
    </row>
    <row r="28" spans="1:30" x14ac:dyDescent="0.3">
      <c r="A28" s="123"/>
      <c r="B28" s="123"/>
      <c r="C28" s="193"/>
      <c r="D28" s="193"/>
      <c r="E28" s="193"/>
      <c r="F28" s="193"/>
      <c r="G28" s="194"/>
      <c r="H28" s="203"/>
      <c r="I28" s="11"/>
      <c r="J28" s="8"/>
      <c r="K28" s="8"/>
      <c r="L28" s="8"/>
      <c r="M28" s="8"/>
      <c r="N28" s="8"/>
    </row>
    <row r="29" spans="1:30" ht="15" thickBot="1" x14ac:dyDescent="0.35">
      <c r="A29" s="55">
        <f t="shared" ref="A29:A39" si="10">AVERAGE(D29:H29)</f>
        <v>81492.800000000003</v>
      </c>
      <c r="B29" s="55">
        <f t="shared" si="1"/>
        <v>105060.38177146572</v>
      </c>
      <c r="C29" s="197" t="s">
        <v>187</v>
      </c>
      <c r="D29" s="217">
        <f t="shared" ref="D29:M29" si="11">D30-D17</f>
        <v>78205</v>
      </c>
      <c r="E29" s="217">
        <f t="shared" si="11"/>
        <v>85554</v>
      </c>
      <c r="F29" s="217">
        <f t="shared" si="11"/>
        <v>80088</v>
      </c>
      <c r="G29" s="217">
        <f t="shared" si="11"/>
        <v>87246</v>
      </c>
      <c r="H29" s="218">
        <f t="shared" si="11"/>
        <v>76371</v>
      </c>
      <c r="I29" s="217">
        <f>I30-I17</f>
        <v>103197.30202919882</v>
      </c>
      <c r="J29" s="217">
        <f t="shared" si="11"/>
        <v>90549.620353526669</v>
      </c>
      <c r="K29" s="217">
        <f t="shared" si="11"/>
        <v>109536.13295251415</v>
      </c>
      <c r="L29" s="217">
        <f t="shared" si="11"/>
        <v>110983.83600255182</v>
      </c>
      <c r="M29" s="217">
        <f t="shared" si="11"/>
        <v>111035.01751953716</v>
      </c>
      <c r="N29" s="8"/>
    </row>
    <row r="30" spans="1:30" ht="15" thickBot="1" x14ac:dyDescent="0.35">
      <c r="A30" s="55">
        <f t="shared" si="10"/>
        <v>35039</v>
      </c>
      <c r="B30" s="55">
        <f t="shared" si="1"/>
        <v>52162.414978964858</v>
      </c>
      <c r="C30" s="197" t="s">
        <v>225</v>
      </c>
      <c r="D30" s="217">
        <f>D11+D19</f>
        <v>36330</v>
      </c>
      <c r="E30" s="217">
        <f t="shared" ref="E30:M30" si="12">E11+E19</f>
        <v>42535</v>
      </c>
      <c r="F30" s="217">
        <f t="shared" si="12"/>
        <v>34444</v>
      </c>
      <c r="G30" s="217">
        <f t="shared" si="12"/>
        <v>40191</v>
      </c>
      <c r="H30" s="218">
        <f t="shared" si="12"/>
        <v>21695</v>
      </c>
      <c r="I30" s="217">
        <f t="shared" si="12"/>
        <v>48645.210087838816</v>
      </c>
      <c r="J30" s="217">
        <f t="shared" si="12"/>
        <v>36545.971527885878</v>
      </c>
      <c r="K30" s="217">
        <f t="shared" si="12"/>
        <v>58084.521150928922</v>
      </c>
      <c r="L30" s="217">
        <f t="shared" si="12"/>
        <v>58966.256471149158</v>
      </c>
      <c r="M30" s="217">
        <f t="shared" si="12"/>
        <v>58570.115657021524</v>
      </c>
      <c r="N30" s="8"/>
    </row>
    <row r="31" spans="1:30" x14ac:dyDescent="0.3">
      <c r="A31" s="55">
        <f t="shared" si="10"/>
        <v>6784.8</v>
      </c>
      <c r="B31" s="55">
        <f t="shared" si="1"/>
        <v>5401.9477065009833</v>
      </c>
      <c r="C31" s="8" t="s">
        <v>10</v>
      </c>
      <c r="D31" s="11">
        <v>7547</v>
      </c>
      <c r="E31" s="11">
        <v>8685</v>
      </c>
      <c r="F31" s="11">
        <v>7396</v>
      </c>
      <c r="G31" s="195">
        <v>6157</v>
      </c>
      <c r="H31" s="204">
        <v>4139</v>
      </c>
      <c r="I31" s="11">
        <f>I$11*I26</f>
        <v>4512.9481583999996</v>
      </c>
      <c r="J31" s="11">
        <f>J$11*J26</f>
        <v>5049.0753126912005</v>
      </c>
      <c r="K31" s="11">
        <f>K$11*K26</f>
        <v>5744.8714955460409</v>
      </c>
      <c r="L31" s="11">
        <f>L$11*L26</f>
        <v>5824.4664408556382</v>
      </c>
      <c r="M31" s="11">
        <f>M$11*M26</f>
        <v>5878.3771250120335</v>
      </c>
      <c r="N31" s="8"/>
    </row>
    <row r="32" spans="1:30" x14ac:dyDescent="0.3">
      <c r="A32" s="55">
        <f t="shared" si="10"/>
        <v>-42046</v>
      </c>
      <c r="B32" s="55">
        <f t="shared" si="1"/>
        <v>-21866.938535169735</v>
      </c>
      <c r="C32" s="8" t="s">
        <v>11</v>
      </c>
      <c r="D32" s="11">
        <v>-61929</v>
      </c>
      <c r="E32" s="11">
        <v>-47422</v>
      </c>
      <c r="F32" s="11">
        <v>-46188</v>
      </c>
      <c r="G32" s="195">
        <v>-33192</v>
      </c>
      <c r="H32" s="204">
        <v>-21499</v>
      </c>
      <c r="I32" s="11">
        <f>I11*I27</f>
        <v>-21197.180743999998</v>
      </c>
      <c r="J32" s="11">
        <f>J11*J27</f>
        <v>-20469.22424064</v>
      </c>
      <c r="K32" s="11">
        <f>K11*K27</f>
        <v>-21998.6542634324</v>
      </c>
      <c r="L32" s="11">
        <f>L11*L27</f>
        <v>-22729.625135046394</v>
      </c>
      <c r="M32" s="11">
        <f>M11*M27</f>
        <v>-22940.008292729886</v>
      </c>
      <c r="N32" s="8"/>
    </row>
    <row r="33" spans="1:24" x14ac:dyDescent="0.3">
      <c r="A33" s="55">
        <f t="shared" si="10"/>
        <v>-35261.199999999997</v>
      </c>
      <c r="B33" s="55">
        <f t="shared" si="1"/>
        <v>-16464.99082866875</v>
      </c>
      <c r="C33" s="8" t="s">
        <v>226</v>
      </c>
      <c r="D33" s="11">
        <f>D31+D32</f>
        <v>-54382</v>
      </c>
      <c r="E33" s="11">
        <f>E31+E32</f>
        <v>-38737</v>
      </c>
      <c r="F33" s="11">
        <f t="shared" ref="F33:M33" si="13">F31+F32</f>
        <v>-38792</v>
      </c>
      <c r="G33" s="195">
        <f t="shared" si="13"/>
        <v>-27035</v>
      </c>
      <c r="H33" s="204">
        <f t="shared" si="13"/>
        <v>-17360</v>
      </c>
      <c r="I33" s="11">
        <f>I31+I32</f>
        <v>-16684.232585599999</v>
      </c>
      <c r="J33" s="11">
        <f>J31+J32</f>
        <v>-15420.1489279488</v>
      </c>
      <c r="K33" s="11">
        <f t="shared" si="13"/>
        <v>-16253.782767886358</v>
      </c>
      <c r="L33" s="11">
        <f t="shared" si="13"/>
        <v>-16905.158694190755</v>
      </c>
      <c r="M33" s="11">
        <f t="shared" si="13"/>
        <v>-17061.631167717853</v>
      </c>
      <c r="N33" s="8"/>
    </row>
    <row r="34" spans="1:24" x14ac:dyDescent="0.3">
      <c r="A34" s="55">
        <f t="shared" si="10"/>
        <v>13.8</v>
      </c>
      <c r="B34" s="55"/>
      <c r="C34" s="8" t="s">
        <v>13</v>
      </c>
      <c r="D34" s="8">
        <v>-592</v>
      </c>
      <c r="E34" s="11">
        <v>65</v>
      </c>
      <c r="F34" s="11">
        <v>360</v>
      </c>
      <c r="G34" s="195">
        <v>84</v>
      </c>
      <c r="H34" s="204">
        <v>152</v>
      </c>
      <c r="I34" s="195"/>
      <c r="J34" s="195"/>
      <c r="K34" s="195"/>
      <c r="L34" s="195"/>
      <c r="M34" s="195"/>
      <c r="N34" s="8"/>
    </row>
    <row r="35" spans="1:24" x14ac:dyDescent="0.3">
      <c r="A35" s="122">
        <f t="shared" si="10"/>
        <v>-208.4</v>
      </c>
      <c r="B35" s="122">
        <f t="shared" si="1"/>
        <v>35697.424150296101</v>
      </c>
      <c r="C35" s="196" t="s">
        <v>188</v>
      </c>
      <c r="D35" s="196">
        <v>-18644</v>
      </c>
      <c r="E35" s="196">
        <v>3863</v>
      </c>
      <c r="F35" s="196">
        <v>-3988</v>
      </c>
      <c r="G35" s="196">
        <v>13240</v>
      </c>
      <c r="H35" s="210">
        <v>4487</v>
      </c>
      <c r="I35" s="196">
        <f>I30+I33+I34</f>
        <v>31960.977502238817</v>
      </c>
      <c r="J35" s="196">
        <f>J30+J33+J34</f>
        <v>21125.822599937077</v>
      </c>
      <c r="K35" s="196">
        <f>K30+K33+K34</f>
        <v>41830.738383042568</v>
      </c>
      <c r="L35" s="196">
        <f>L30+L33+L34</f>
        <v>42061.097776958399</v>
      </c>
      <c r="M35" s="196">
        <f>M30+M33+M34</f>
        <v>41508.484489303672</v>
      </c>
      <c r="N35" s="11"/>
      <c r="O35" s="3"/>
      <c r="P35" s="3"/>
      <c r="Q35" s="3"/>
      <c r="R35" s="3"/>
      <c r="S35" s="3"/>
      <c r="T35" s="3"/>
      <c r="U35" s="3"/>
      <c r="V35" s="3"/>
      <c r="W35" s="3"/>
    </row>
    <row r="36" spans="1:24" x14ac:dyDescent="0.3">
      <c r="A36" s="123">
        <f t="shared" si="10"/>
        <v>-2.0551547239052002</v>
      </c>
      <c r="B36" s="123">
        <f t="shared" si="1"/>
        <v>1.3512899673030385</v>
      </c>
      <c r="C36" s="8" t="s">
        <v>302</v>
      </c>
      <c r="D36" s="8"/>
      <c r="E36" s="193">
        <f t="shared" ref="E36:M36" si="14">E35/D35-100%</f>
        <v>-1.2071980261746407</v>
      </c>
      <c r="F36" s="193">
        <f t="shared" si="14"/>
        <v>-2.0323582707740098</v>
      </c>
      <c r="G36" s="194">
        <f t="shared" si="14"/>
        <v>-4.3199598796389171</v>
      </c>
      <c r="H36" s="203">
        <f t="shared" si="14"/>
        <v>-0.66110271903323259</v>
      </c>
      <c r="I36" s="194">
        <f>I35/H35-100%</f>
        <v>6.1230170497523551</v>
      </c>
      <c r="J36" s="194">
        <f t="shared" si="14"/>
        <v>-0.33901199991592101</v>
      </c>
      <c r="K36" s="194">
        <f t="shared" si="14"/>
        <v>0.98007619278063807</v>
      </c>
      <c r="L36" s="194">
        <f t="shared" si="14"/>
        <v>5.5069406570460444E-3</v>
      </c>
      <c r="M36" s="194">
        <f t="shared" si="14"/>
        <v>-1.3138346758925001E-2</v>
      </c>
      <c r="N36" s="11"/>
      <c r="O36" s="72"/>
      <c r="P36" s="3"/>
      <c r="Q36" s="3"/>
      <c r="R36" s="3"/>
      <c r="S36" s="3"/>
      <c r="T36" s="3"/>
      <c r="U36" s="3"/>
      <c r="V36" s="3"/>
      <c r="W36" s="3"/>
    </row>
    <row r="37" spans="1:24" x14ac:dyDescent="0.3">
      <c r="A37" s="55">
        <f>AVERAGE(D37:H37)</f>
        <v>-4187</v>
      </c>
      <c r="B37" s="55">
        <f t="shared" si="1"/>
        <v>-6782.5105885562607</v>
      </c>
      <c r="C37" s="8" t="s">
        <v>15</v>
      </c>
      <c r="D37" s="11">
        <v>-6355</v>
      </c>
      <c r="E37" s="11">
        <v>-2624</v>
      </c>
      <c r="F37" s="11">
        <v>-4000</v>
      </c>
      <c r="G37" s="195">
        <v>-4810</v>
      </c>
      <c r="H37" s="204">
        <v>-3146</v>
      </c>
      <c r="I37" s="219">
        <f>-I35*I38</f>
        <v>-6072.5857254253751</v>
      </c>
      <c r="J37" s="219">
        <f t="shared" ref="J37:M37" si="15">-J35*J38</f>
        <v>-4013.9062939880446</v>
      </c>
      <c r="K37" s="219">
        <f t="shared" si="15"/>
        <v>-7947.840292778088</v>
      </c>
      <c r="L37" s="219">
        <f t="shared" si="15"/>
        <v>-7991.6085776220962</v>
      </c>
      <c r="M37" s="219">
        <f t="shared" si="15"/>
        <v>-7886.6120529676973</v>
      </c>
      <c r="N37" s="11"/>
      <c r="O37" s="3"/>
      <c r="P37" s="3"/>
      <c r="Q37" s="3"/>
      <c r="R37" s="3"/>
      <c r="S37" s="3"/>
      <c r="T37" s="3"/>
      <c r="U37" s="3"/>
      <c r="V37" s="3"/>
      <c r="W37" s="3"/>
    </row>
    <row r="38" spans="1:24" ht="15" thickBot="1" x14ac:dyDescent="0.35">
      <c r="A38" s="123">
        <f t="shared" si="10"/>
        <v>7.9965026171666648E-2</v>
      </c>
      <c r="B38" s="123">
        <f t="shared" si="1"/>
        <v>0.19</v>
      </c>
      <c r="C38" s="220" t="s">
        <v>304</v>
      </c>
      <c r="D38" s="221">
        <f>1-D39/D35</f>
        <v>-0.34086033040120145</v>
      </c>
      <c r="E38" s="221">
        <f>1-E39/E35</f>
        <v>0.67926482008801448</v>
      </c>
      <c r="F38" s="221">
        <f t="shared" ref="F38:H38" si="16">1-F39/F35</f>
        <v>-1.0030090270812435</v>
      </c>
      <c r="G38" s="221">
        <f t="shared" si="16"/>
        <v>0.36329305135951662</v>
      </c>
      <c r="H38" s="205">
        <f t="shared" si="16"/>
        <v>0.70113661689324713</v>
      </c>
      <c r="I38" s="222">
        <v>0.19</v>
      </c>
      <c r="J38" s="222">
        <v>0.19</v>
      </c>
      <c r="K38" s="222">
        <v>0.19</v>
      </c>
      <c r="L38" s="222">
        <v>0.19</v>
      </c>
      <c r="M38" s="222">
        <v>0.19</v>
      </c>
      <c r="N38" s="8"/>
    </row>
    <row r="39" spans="1:24" ht="15" thickBot="1" x14ac:dyDescent="0.35">
      <c r="A39" s="122">
        <f t="shared" si="10"/>
        <v>-4395.3999999999996</v>
      </c>
      <c r="B39" s="122">
        <f t="shared" si="1"/>
        <v>28914.91356173985</v>
      </c>
      <c r="C39" s="223" t="s">
        <v>191</v>
      </c>
      <c r="D39" s="200">
        <v>-24999</v>
      </c>
      <c r="E39" s="200">
        <v>1239</v>
      </c>
      <c r="F39" s="200">
        <v>-7988</v>
      </c>
      <c r="G39" s="200">
        <v>8430</v>
      </c>
      <c r="H39" s="201">
        <v>1341</v>
      </c>
      <c r="I39" s="200">
        <f>I35+I37</f>
        <v>25888.391776813442</v>
      </c>
      <c r="J39" s="200">
        <f>J35+J37</f>
        <v>17111.916305949031</v>
      </c>
      <c r="K39" s="200">
        <f>K35+K37</f>
        <v>33882.898090264483</v>
      </c>
      <c r="L39" s="200">
        <f>L35+L37</f>
        <v>34069.489199336305</v>
      </c>
      <c r="M39" s="200">
        <f>M35+M37</f>
        <v>33621.872436335972</v>
      </c>
      <c r="N39" s="8"/>
      <c r="U39" s="2"/>
    </row>
    <row r="40" spans="1:24" x14ac:dyDescent="0.3">
      <c r="A40" s="123">
        <f>AVERAGE(D40:H40)</f>
        <v>-2.848238758750075</v>
      </c>
      <c r="B40" s="123">
        <f t="shared" si="1"/>
        <v>3.7877442421867871</v>
      </c>
      <c r="C40" s="8" t="s">
        <v>302</v>
      </c>
      <c r="D40" s="11"/>
      <c r="E40" s="194">
        <f t="shared" ref="E40:M40" si="17">E39/D39-100%</f>
        <v>-1.0495619824792992</v>
      </c>
      <c r="F40" s="194">
        <f t="shared" si="17"/>
        <v>-7.4471347861178367</v>
      </c>
      <c r="G40" s="194">
        <f t="shared" si="17"/>
        <v>-2.0553329994992486</v>
      </c>
      <c r="H40" s="203">
        <f t="shared" si="17"/>
        <v>-0.84092526690391456</v>
      </c>
      <c r="I40" s="193">
        <f t="shared" si="17"/>
        <v>18.305288424171096</v>
      </c>
      <c r="J40" s="193">
        <f t="shared" si="17"/>
        <v>-0.33901199991592113</v>
      </c>
      <c r="K40" s="193">
        <f t="shared" si="17"/>
        <v>0.98007619278063851</v>
      </c>
      <c r="L40" s="193">
        <f t="shared" si="17"/>
        <v>5.5069406570460444E-3</v>
      </c>
      <c r="M40" s="193">
        <f t="shared" si="17"/>
        <v>-1.3138346758925112E-2</v>
      </c>
      <c r="N40" s="8"/>
      <c r="U40" s="2"/>
    </row>
    <row r="41" spans="1:24" x14ac:dyDescent="0.3">
      <c r="A41" s="130"/>
      <c r="B41" s="130"/>
      <c r="C41" s="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1"/>
      <c r="O41" s="40"/>
      <c r="P41" s="40"/>
      <c r="Q41" s="40"/>
      <c r="U41" s="40"/>
      <c r="V41" s="40"/>
      <c r="W41" s="40"/>
    </row>
    <row r="42" spans="1:24" x14ac:dyDescent="0.3">
      <c r="A42" s="130"/>
      <c r="B42" s="130"/>
      <c r="C42" s="8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213"/>
      <c r="O42" s="41"/>
      <c r="P42" s="41"/>
      <c r="Q42" s="41"/>
      <c r="U42" s="41"/>
      <c r="V42" s="41"/>
      <c r="W42" s="41"/>
    </row>
    <row r="43" spans="1:24" x14ac:dyDescent="0.3">
      <c r="A43" s="130"/>
      <c r="B43" s="130"/>
      <c r="C43" s="8"/>
      <c r="D43" s="193"/>
      <c r="E43" s="193"/>
      <c r="F43" s="193"/>
      <c r="G43" s="193"/>
      <c r="H43" s="194"/>
      <c r="I43" s="194"/>
      <c r="J43" s="193"/>
      <c r="K43" s="193"/>
      <c r="L43" s="193"/>
      <c r="M43" s="193"/>
      <c r="N43" s="213"/>
      <c r="O43" s="41"/>
      <c r="P43" s="41"/>
      <c r="Q43" s="41"/>
      <c r="U43" s="41"/>
      <c r="V43" s="41"/>
      <c r="W43" s="41"/>
    </row>
    <row r="44" spans="1:24" x14ac:dyDescent="0.3">
      <c r="A44" s="130"/>
      <c r="B44" s="130"/>
      <c r="C44" s="8"/>
      <c r="D44" s="193"/>
      <c r="E44" s="193"/>
      <c r="F44" s="193"/>
      <c r="G44" s="193"/>
      <c r="H44" s="194"/>
      <c r="I44" s="194"/>
      <c r="J44" s="193"/>
      <c r="K44" s="193"/>
      <c r="L44" s="193"/>
      <c r="M44" s="193"/>
      <c r="N44" s="213"/>
      <c r="O44" s="41"/>
      <c r="P44" s="41"/>
      <c r="Q44" s="41"/>
      <c r="U44" s="41"/>
      <c r="V44" s="41"/>
      <c r="W44" s="41"/>
    </row>
    <row r="45" spans="1:24" ht="15" thickBot="1" x14ac:dyDescent="0.35">
      <c r="A45" s="71"/>
      <c r="B45" s="71"/>
      <c r="C45" s="197" t="s">
        <v>214</v>
      </c>
      <c r="D45" s="197">
        <v>2013</v>
      </c>
      <c r="E45" s="197">
        <v>2014</v>
      </c>
      <c r="F45" s="197">
        <v>2015</v>
      </c>
      <c r="G45" s="197">
        <v>2016</v>
      </c>
      <c r="H45" s="198">
        <v>2017</v>
      </c>
      <c r="I45" s="197">
        <v>2018</v>
      </c>
      <c r="J45" s="197">
        <v>2019</v>
      </c>
      <c r="K45" s="197">
        <v>2020</v>
      </c>
      <c r="L45" s="197">
        <v>2021</v>
      </c>
      <c r="M45" s="197">
        <v>2022</v>
      </c>
      <c r="N45" s="213"/>
      <c r="O45" s="41"/>
      <c r="P45" s="72"/>
      <c r="Q45" s="72"/>
      <c r="R45" s="72"/>
      <c r="S45" s="72"/>
      <c r="T45" s="72"/>
      <c r="U45" s="41"/>
      <c r="V45" s="41"/>
      <c r="W45" s="41"/>
    </row>
    <row r="46" spans="1:24" x14ac:dyDescent="0.3">
      <c r="A46" s="55">
        <f>AVERAGE(D46:H46)</f>
        <v>21900.2</v>
      </c>
      <c r="B46" s="55">
        <f t="shared" si="1"/>
        <v>19268.244309273497</v>
      </c>
      <c r="C46" s="224" t="s">
        <v>343</v>
      </c>
      <c r="D46" s="11">
        <f>-'Denarni tok'!C37</f>
        <v>15678</v>
      </c>
      <c r="E46" s="11">
        <f>-'Denarni tok'!D37</f>
        <v>21264</v>
      </c>
      <c r="F46" s="11">
        <f>-'Denarni tok'!E37</f>
        <v>23084</v>
      </c>
      <c r="G46" s="195">
        <f>-'Denarni tok'!F37</f>
        <v>23819</v>
      </c>
      <c r="H46" s="204">
        <f>-'Denarni tok'!G37</f>
        <v>25656</v>
      </c>
      <c r="I46" s="11">
        <f>I53*I$11</f>
        <v>20513.400719999998</v>
      </c>
      <c r="J46" s="11">
        <f t="shared" ref="J46:M46" si="18">J53*J$11</f>
        <v>19104.609291264002</v>
      </c>
      <c r="K46" s="11">
        <f t="shared" si="18"/>
        <v>19616.634375035261</v>
      </c>
      <c r="L46" s="11">
        <f t="shared" si="18"/>
        <v>18467.820422225192</v>
      </c>
      <c r="M46" s="11">
        <f t="shared" si="18"/>
        <v>18638.756737843029</v>
      </c>
      <c r="N46" s="213"/>
      <c r="W46" s="41"/>
    </row>
    <row r="47" spans="1:24" ht="15" thickBot="1" x14ac:dyDescent="0.35">
      <c r="A47" s="55">
        <f>AVERAGE(D47:H47)</f>
        <v>54095.8</v>
      </c>
      <c r="B47" s="55">
        <f t="shared" si="1"/>
        <v>44024.359521988183</v>
      </c>
      <c r="C47" s="225" t="s">
        <v>344</v>
      </c>
      <c r="D47" s="195">
        <f>-('Denarni tok'!C30+'Denarni tok'!C31)</f>
        <v>68232</v>
      </c>
      <c r="E47" s="195">
        <f>-('Denarni tok'!D30+'Denarni tok'!D31)</f>
        <v>40380</v>
      </c>
      <c r="F47" s="195">
        <f>-('Denarni tok'!E30+'Denarni tok'!E31)</f>
        <v>52412</v>
      </c>
      <c r="G47" s="195">
        <f>-('Denarni tok'!F30+'Denarni tok'!F31)</f>
        <v>59412</v>
      </c>
      <c r="H47" s="204">
        <f>-('Denarni tok'!G30+'Denarni tok'!G31)</f>
        <v>50043</v>
      </c>
      <c r="I47" s="11">
        <f>I54*I$11</f>
        <v>41710.581463999995</v>
      </c>
      <c r="J47" s="11">
        <f t="shared" ref="J47:L47" si="19">J54*J$11</f>
        <v>43667.678380032004</v>
      </c>
      <c r="K47" s="11">
        <f t="shared" si="19"/>
        <v>44838.021428652028</v>
      </c>
      <c r="L47" s="11">
        <f t="shared" si="19"/>
        <v>45459.250270092787</v>
      </c>
      <c r="M47" s="11">
        <f>M54*M$11</f>
        <v>44446.26606716415</v>
      </c>
      <c r="N47" s="219"/>
      <c r="W47" s="51"/>
    </row>
    <row r="48" spans="1:24" ht="15" thickBot="1" x14ac:dyDescent="0.35">
      <c r="A48" s="122">
        <f>AVERAGE(D48:H48)</f>
        <v>75996</v>
      </c>
      <c r="B48" s="122">
        <f t="shared" si="1"/>
        <v>63292.603831261687</v>
      </c>
      <c r="C48" s="223" t="s">
        <v>357</v>
      </c>
      <c r="D48" s="200">
        <f>D47+D46</f>
        <v>83910</v>
      </c>
      <c r="E48" s="200">
        <f t="shared" ref="E48:H48" si="20">E47+E46</f>
        <v>61644</v>
      </c>
      <c r="F48" s="200">
        <f t="shared" si="20"/>
        <v>75496</v>
      </c>
      <c r="G48" s="200">
        <f t="shared" si="20"/>
        <v>83231</v>
      </c>
      <c r="H48" s="201">
        <f t="shared" si="20"/>
        <v>75699</v>
      </c>
      <c r="I48" s="200">
        <f>I47+I46</f>
        <v>62223.982183999993</v>
      </c>
      <c r="J48" s="200">
        <f t="shared" ref="J48:M48" si="21">J47+J46</f>
        <v>62772.287671296006</v>
      </c>
      <c r="K48" s="200">
        <f t="shared" si="21"/>
        <v>64454.655803687288</v>
      </c>
      <c r="L48" s="200">
        <f t="shared" si="21"/>
        <v>63927.070692317982</v>
      </c>
      <c r="M48" s="200">
        <f t="shared" si="21"/>
        <v>63085.022805007175</v>
      </c>
      <c r="N48" s="213"/>
      <c r="W48" s="41"/>
      <c r="X48" s="30"/>
    </row>
    <row r="49" spans="1:24" x14ac:dyDescent="0.3">
      <c r="A49" s="55"/>
      <c r="B49" s="55"/>
      <c r="C49" s="8"/>
      <c r="D49" s="11"/>
      <c r="E49" s="11"/>
      <c r="F49" s="11"/>
      <c r="G49" s="194"/>
      <c r="H49" s="204"/>
      <c r="I49" s="193"/>
      <c r="J49" s="11"/>
      <c r="K49" s="193"/>
      <c r="L49" s="193"/>
      <c r="M49" s="11"/>
      <c r="N49" s="193"/>
      <c r="W49" s="41"/>
    </row>
    <row r="50" spans="1:24" x14ac:dyDescent="0.3">
      <c r="A50" s="55"/>
      <c r="B50" s="55"/>
      <c r="C50" s="8"/>
      <c r="D50" s="193"/>
      <c r="E50" s="193"/>
      <c r="F50" s="193"/>
      <c r="G50" s="193"/>
      <c r="H50" s="203"/>
      <c r="I50" s="193"/>
      <c r="J50" s="11"/>
      <c r="K50" s="193"/>
      <c r="L50" s="193"/>
      <c r="M50" s="11"/>
      <c r="N50" s="193"/>
      <c r="W50" s="41"/>
    </row>
    <row r="51" spans="1:24" x14ac:dyDescent="0.3">
      <c r="A51" s="55"/>
      <c r="B51" s="55"/>
      <c r="C51" s="8"/>
      <c r="D51" s="193"/>
      <c r="E51" s="195"/>
      <c r="F51" s="195"/>
      <c r="G51" s="195"/>
      <c r="H51" s="204"/>
      <c r="I51" s="195"/>
      <c r="J51" s="195"/>
      <c r="K51" s="195"/>
      <c r="L51" s="195"/>
      <c r="M51" s="195"/>
      <c r="N51" s="213"/>
      <c r="W51" s="41"/>
    </row>
    <row r="52" spans="1:24" x14ac:dyDescent="0.3">
      <c r="A52" s="55"/>
      <c r="B52" s="55"/>
      <c r="C52" s="224" t="s">
        <v>264</v>
      </c>
      <c r="D52" s="193"/>
      <c r="E52" s="193"/>
      <c r="F52" s="193"/>
      <c r="G52" s="193"/>
      <c r="H52" s="203"/>
      <c r="I52" s="193"/>
      <c r="J52" s="193"/>
      <c r="K52" s="193"/>
      <c r="L52" s="193"/>
      <c r="M52" s="193"/>
      <c r="N52" s="11"/>
      <c r="W52" s="3"/>
      <c r="X52" s="3"/>
    </row>
    <row r="53" spans="1:24" x14ac:dyDescent="0.3">
      <c r="A53" s="123">
        <f>AVERAGE(D53:H53)</f>
        <v>1.7063906763181442E-2</v>
      </c>
      <c r="B53" s="123">
        <f t="shared" si="1"/>
        <v>1.3799999999999998E-2</v>
      </c>
      <c r="C53" s="224" t="s">
        <v>215</v>
      </c>
      <c r="D53" s="193">
        <f t="shared" ref="D53:H54" si="22">D46/D$11</f>
        <v>1.2553678224516905E-2</v>
      </c>
      <c r="E53" s="193">
        <f t="shared" si="22"/>
        <v>1.6831187087857941E-2</v>
      </c>
      <c r="F53" s="193">
        <f t="shared" si="22"/>
        <v>1.8172586035197381E-2</v>
      </c>
      <c r="G53" s="194">
        <f t="shared" si="22"/>
        <v>1.8533374312847468E-2</v>
      </c>
      <c r="H53" s="203">
        <f t="shared" si="22"/>
        <v>1.9228708155487519E-2</v>
      </c>
      <c r="I53" s="193">
        <v>1.4999999999999999E-2</v>
      </c>
      <c r="J53" s="193">
        <v>1.4E-2</v>
      </c>
      <c r="K53" s="193">
        <v>1.4E-2</v>
      </c>
      <c r="L53" s="193">
        <v>1.2999999999999999E-2</v>
      </c>
      <c r="M53" s="193">
        <v>1.2999999999999999E-2</v>
      </c>
      <c r="N53" s="214"/>
      <c r="W53" s="30"/>
    </row>
    <row r="54" spans="1:24" x14ac:dyDescent="0.3">
      <c r="A54" s="123">
        <f>AVERAGE(D54:H54)</f>
        <v>4.2318370402956829E-2</v>
      </c>
      <c r="B54" s="123">
        <f t="shared" si="1"/>
        <v>3.15E-2</v>
      </c>
      <c r="C54" s="224" t="s">
        <v>216</v>
      </c>
      <c r="D54" s="193">
        <f t="shared" si="22"/>
        <v>5.4634683799925851E-2</v>
      </c>
      <c r="E54" s="193">
        <f t="shared" si="22"/>
        <v>3.1962158324290051E-2</v>
      </c>
      <c r="F54" s="193">
        <f t="shared" si="22"/>
        <v>4.126068182623311E-2</v>
      </c>
      <c r="G54" s="194">
        <f t="shared" si="22"/>
        <v>4.6228004310629907E-2</v>
      </c>
      <c r="H54" s="203">
        <f t="shared" si="22"/>
        <v>3.7506323753705252E-2</v>
      </c>
      <c r="I54" s="193">
        <v>3.0499999999999999E-2</v>
      </c>
      <c r="J54" s="193">
        <v>3.2000000000000001E-2</v>
      </c>
      <c r="K54" s="193">
        <v>3.2000000000000001E-2</v>
      </c>
      <c r="L54" s="193">
        <v>3.2000000000000001E-2</v>
      </c>
      <c r="M54" s="193">
        <v>3.1E-2</v>
      </c>
      <c r="N54" s="214"/>
    </row>
    <row r="55" spans="1:24" x14ac:dyDescent="0.3">
      <c r="A55" s="123">
        <f>AVERAGE(D55:H55)</f>
        <v>5.9382277166138274E-2</v>
      </c>
      <c r="B55" s="123">
        <f t="shared" si="1"/>
        <v>4.5300000000000007E-2</v>
      </c>
      <c r="C55" s="8" t="s">
        <v>217</v>
      </c>
      <c r="D55" s="193">
        <f>D48/D$11</f>
        <v>6.7188362024442755E-2</v>
      </c>
      <c r="E55" s="193">
        <f t="shared" ref="E55:M55" si="23">E48/E$11</f>
        <v>4.8793345412147998E-2</v>
      </c>
      <c r="F55" s="193">
        <f t="shared" si="23"/>
        <v>5.9433267861430487E-2</v>
      </c>
      <c r="G55" s="193">
        <f t="shared" si="23"/>
        <v>6.4761378623477375E-2</v>
      </c>
      <c r="H55" s="193">
        <f t="shared" si="23"/>
        <v>5.6735031909192768E-2</v>
      </c>
      <c r="I55" s="193">
        <f t="shared" si="23"/>
        <v>4.5499999999999999E-2</v>
      </c>
      <c r="J55" s="193">
        <f t="shared" si="23"/>
        <v>4.5999999999999999E-2</v>
      </c>
      <c r="K55" s="193">
        <f t="shared" si="23"/>
        <v>4.5999999999999999E-2</v>
      </c>
      <c r="L55" s="193">
        <f t="shared" si="23"/>
        <v>4.5000000000000005E-2</v>
      </c>
      <c r="M55" s="193">
        <f t="shared" si="23"/>
        <v>4.3999999999999997E-2</v>
      </c>
      <c r="N55" s="214"/>
    </row>
    <row r="56" spans="1:24" x14ac:dyDescent="0.3">
      <c r="A56" s="123"/>
      <c r="B56" s="123"/>
      <c r="C56" s="8"/>
      <c r="D56" s="8"/>
      <c r="E56" s="8"/>
      <c r="F56" s="8"/>
      <c r="G56" s="8"/>
      <c r="H56" s="226"/>
      <c r="I56" s="8"/>
      <c r="J56" s="8"/>
      <c r="K56" s="8"/>
      <c r="L56" s="8"/>
      <c r="M56" s="8"/>
      <c r="N56" s="8"/>
    </row>
    <row r="57" spans="1:24" ht="15" thickBot="1" x14ac:dyDescent="0.35">
      <c r="A57" s="123"/>
      <c r="B57" s="123"/>
      <c r="C57" s="197" t="s">
        <v>223</v>
      </c>
      <c r="D57" s="197">
        <v>2013</v>
      </c>
      <c r="E57" s="197">
        <v>2014</v>
      </c>
      <c r="F57" s="197">
        <v>2015</v>
      </c>
      <c r="G57" s="197">
        <v>2016</v>
      </c>
      <c r="H57" s="198">
        <v>2017</v>
      </c>
      <c r="I57" s="197">
        <v>2018</v>
      </c>
      <c r="J57" s="197">
        <v>2019</v>
      </c>
      <c r="K57" s="197">
        <v>2020</v>
      </c>
      <c r="L57" s="197">
        <v>2021</v>
      </c>
      <c r="M57" s="197">
        <v>2022</v>
      </c>
      <c r="N57" s="11"/>
    </row>
    <row r="58" spans="1:24" x14ac:dyDescent="0.3">
      <c r="A58" s="55">
        <f t="shared" ref="A58:A66" si="24">AVERAGE(D58:H58)</f>
        <v>225609</v>
      </c>
      <c r="B58" s="55">
        <f t="shared" si="1"/>
        <v>232867.68997789375</v>
      </c>
      <c r="C58" s="9" t="s">
        <v>155</v>
      </c>
      <c r="D58" s="195">
        <f>Bilanca!C16</f>
        <v>235767</v>
      </c>
      <c r="E58" s="195">
        <f>Bilanca!D16</f>
        <v>219799</v>
      </c>
      <c r="F58" s="195">
        <f>Bilanca!E16</f>
        <v>225906</v>
      </c>
      <c r="G58" s="195">
        <f>Bilanca!F16</f>
        <v>225954</v>
      </c>
      <c r="H58" s="204">
        <f>Bilanca!G16</f>
        <v>220619</v>
      </c>
      <c r="I58" s="195">
        <f t="shared" ref="I58:I63" si="25">I$11*I69</f>
        <v>225647.40792</v>
      </c>
      <c r="J58" s="195">
        <f t="shared" ref="J58:M58" si="26">J$11*J69</f>
        <v>225161.46664704001</v>
      </c>
      <c r="K58" s="195">
        <f t="shared" si="26"/>
        <v>233998.42433077778</v>
      </c>
      <c r="L58" s="195">
        <f t="shared" si="26"/>
        <v>238661.06391798714</v>
      </c>
      <c r="M58" s="195">
        <f t="shared" si="26"/>
        <v>240870.0870736638</v>
      </c>
      <c r="N58" s="8"/>
    </row>
    <row r="59" spans="1:24" x14ac:dyDescent="0.3">
      <c r="A59" s="55">
        <f t="shared" si="24"/>
        <v>179098.6</v>
      </c>
      <c r="B59" s="55">
        <f t="shared" si="1"/>
        <v>190370.52802250217</v>
      </c>
      <c r="C59" s="8" t="s">
        <v>345</v>
      </c>
      <c r="D59" s="195">
        <f>Bilanca!C18</f>
        <v>205581</v>
      </c>
      <c r="E59" s="195">
        <f>Bilanca!D18</f>
        <v>182589</v>
      </c>
      <c r="F59" s="195">
        <f>Bilanca!E18</f>
        <v>161020</v>
      </c>
      <c r="G59" s="195">
        <f>Bilanca!F18</f>
        <v>165786</v>
      </c>
      <c r="H59" s="204">
        <f>Bilanca!G18</f>
        <v>180517</v>
      </c>
      <c r="I59" s="195">
        <f t="shared" si="25"/>
        <v>184620.60648000002</v>
      </c>
      <c r="J59" s="195">
        <f t="shared" ref="J59:M59" si="27">J$11*J70</f>
        <v>184223.01816576003</v>
      </c>
      <c r="K59" s="195">
        <f t="shared" si="27"/>
        <v>191962.77924141649</v>
      </c>
      <c r="L59" s="195">
        <f t="shared" si="27"/>
        <v>194622.41521883477</v>
      </c>
      <c r="M59" s="195">
        <f t="shared" si="27"/>
        <v>196423.82100649964</v>
      </c>
      <c r="N59" s="227"/>
    </row>
    <row r="60" spans="1:24" x14ac:dyDescent="0.3">
      <c r="A60" s="55">
        <f t="shared" si="24"/>
        <v>33308</v>
      </c>
      <c r="B60" s="55">
        <f t="shared" si="1"/>
        <v>24582.274715208368</v>
      </c>
      <c r="C60" s="9" t="s">
        <v>346</v>
      </c>
      <c r="D60" s="11">
        <f>Bilanca!C21</f>
        <v>38589</v>
      </c>
      <c r="E60" s="11">
        <f>Bilanca!D21</f>
        <v>36062</v>
      </c>
      <c r="F60" s="11">
        <f>Bilanca!E21</f>
        <v>31610</v>
      </c>
      <c r="G60" s="11">
        <f>Bilanca!F21</f>
        <v>35242</v>
      </c>
      <c r="H60" s="204">
        <f>Bilanca!G21</f>
        <v>25037</v>
      </c>
      <c r="I60" s="195">
        <f t="shared" si="25"/>
        <v>24616.080863999996</v>
      </c>
      <c r="J60" s="195">
        <f t="shared" ref="J60:M60" si="28">J$11*J71</f>
        <v>24563.069088767999</v>
      </c>
      <c r="K60" s="195">
        <f t="shared" si="28"/>
        <v>25221.387053616763</v>
      </c>
      <c r="L60" s="195">
        <f t="shared" si="28"/>
        <v>25570.82827692719</v>
      </c>
      <c r="M60" s="195">
        <f t="shared" si="28"/>
        <v>22940.008292729886</v>
      </c>
      <c r="N60" s="227"/>
      <c r="O60" s="52"/>
      <c r="P60" s="39"/>
      <c r="Q60" s="39"/>
      <c r="R60" s="39"/>
      <c r="S60" s="39"/>
      <c r="T60" s="39"/>
      <c r="U60" s="39"/>
    </row>
    <row r="61" spans="1:24" x14ac:dyDescent="0.3">
      <c r="A61" s="55">
        <f t="shared" si="24"/>
        <v>54230.8</v>
      </c>
      <c r="B61" s="55">
        <f t="shared" si="1"/>
        <v>61464.829047222003</v>
      </c>
      <c r="C61" s="8" t="s">
        <v>347</v>
      </c>
      <c r="D61" s="195">
        <f>Bilanca!C19+Bilanca!C15+Bilanca!C20</f>
        <v>50270</v>
      </c>
      <c r="E61" s="195">
        <f>Bilanca!D19+Bilanca!D15+Bilanca!D20</f>
        <v>48889</v>
      </c>
      <c r="F61" s="195">
        <f>Bilanca!E19+Bilanca!E15+Bilanca!E20</f>
        <v>52243</v>
      </c>
      <c r="G61" s="195">
        <f>Bilanca!F19+Bilanca!F15+Bilanca!F20</f>
        <v>58845</v>
      </c>
      <c r="H61" s="204">
        <f>Bilanca!G19+Bilanca!G15+Bilanca!G20</f>
        <v>60907</v>
      </c>
      <c r="I61" s="195">
        <f t="shared" si="25"/>
        <v>61540.202159999993</v>
      </c>
      <c r="J61" s="195">
        <f t="shared" ref="J61:M61" si="29">J$11*J72</f>
        <v>61407.672721920004</v>
      </c>
      <c r="K61" s="195">
        <f t="shared" si="29"/>
        <v>61652.279464396532</v>
      </c>
      <c r="L61" s="195">
        <f t="shared" si="29"/>
        <v>62506.469121377573</v>
      </c>
      <c r="M61" s="195">
        <f t="shared" si="29"/>
        <v>60217.521768415951</v>
      </c>
      <c r="N61" s="227"/>
      <c r="P61" s="39"/>
      <c r="Q61" s="39"/>
      <c r="R61" s="39"/>
      <c r="S61" s="39"/>
      <c r="T61" s="39"/>
      <c r="U61" s="39"/>
    </row>
    <row r="62" spans="1:24" x14ac:dyDescent="0.3">
      <c r="A62" s="55">
        <f t="shared" si="24"/>
        <v>218117.8</v>
      </c>
      <c r="B62" s="55">
        <f t="shared" si="1"/>
        <v>238724.05954844574</v>
      </c>
      <c r="C62" s="9" t="s">
        <v>164</v>
      </c>
      <c r="D62" s="195">
        <f>Bilanca!C42</f>
        <v>213820</v>
      </c>
      <c r="E62" s="195">
        <f>Bilanca!D42</f>
        <v>202615</v>
      </c>
      <c r="F62" s="195">
        <f>Bilanca!E42</f>
        <v>221027</v>
      </c>
      <c r="G62" s="195">
        <f>Bilanca!F42</f>
        <v>223725</v>
      </c>
      <c r="H62" s="204">
        <f>Bilanca!G42</f>
        <v>229402</v>
      </c>
      <c r="I62" s="195">
        <f t="shared" si="25"/>
        <v>232485.20816000001</v>
      </c>
      <c r="J62" s="195">
        <f t="shared" ref="J62:M62" si="30">J$11*J73</f>
        <v>231984.54139392002</v>
      </c>
      <c r="K62" s="195">
        <f t="shared" si="30"/>
        <v>238201.98883971391</v>
      </c>
      <c r="L62" s="195">
        <f t="shared" si="30"/>
        <v>244343.47020174871</v>
      </c>
      <c r="M62" s="195">
        <f t="shared" si="30"/>
        <v>246605.08914684624</v>
      </c>
      <c r="N62" s="227"/>
      <c r="P62" s="39"/>
      <c r="Q62" s="39"/>
      <c r="R62" s="39"/>
      <c r="S62" s="39"/>
      <c r="T62" s="39"/>
      <c r="U62" s="39"/>
    </row>
    <row r="63" spans="1:24" x14ac:dyDescent="0.3">
      <c r="A63" s="55">
        <f t="shared" si="24"/>
        <v>78599.399999999994</v>
      </c>
      <c r="B63" s="55">
        <f t="shared" si="1"/>
        <v>90840.298331346115</v>
      </c>
      <c r="C63" s="9" t="s">
        <v>348</v>
      </c>
      <c r="D63" s="195">
        <f>Bilanca!C43+Bilanca!C44</f>
        <v>72244</v>
      </c>
      <c r="E63" s="195">
        <f>Bilanca!D43+Bilanca!D44</f>
        <v>73590</v>
      </c>
      <c r="F63" s="195">
        <f>Bilanca!E43+Bilanca!E44</f>
        <v>75849</v>
      </c>
      <c r="G63" s="195">
        <f>Bilanca!F43+Bilanca!F44</f>
        <v>81953</v>
      </c>
      <c r="H63" s="204">
        <f>Bilanca!G43+Bilanca!G44</f>
        <v>89361</v>
      </c>
      <c r="I63" s="195">
        <f t="shared" si="25"/>
        <v>88891.403120000003</v>
      </c>
      <c r="J63" s="195">
        <f t="shared" ref="J63:M63" si="31">J$11*J74</f>
        <v>88699.971709440011</v>
      </c>
      <c r="K63" s="195">
        <f t="shared" si="31"/>
        <v>91077.231026949434</v>
      </c>
      <c r="L63" s="195">
        <f t="shared" si="31"/>
        <v>92339.102111125976</v>
      </c>
      <c r="M63" s="195">
        <f t="shared" si="31"/>
        <v>93193.783689215154</v>
      </c>
      <c r="N63" s="227"/>
      <c r="O63" s="52"/>
      <c r="P63" s="39"/>
      <c r="Q63" s="39"/>
      <c r="R63" s="39"/>
      <c r="S63" s="39"/>
      <c r="T63" s="39"/>
      <c r="U63" s="39"/>
    </row>
    <row r="64" spans="1:24" x14ac:dyDescent="0.3">
      <c r="A64" s="55">
        <f t="shared" si="24"/>
        <v>195529.2</v>
      </c>
      <c r="B64" s="55">
        <f t="shared" si="1"/>
        <v>179720.96388303442</v>
      </c>
      <c r="C64" s="228" t="s">
        <v>267</v>
      </c>
      <c r="D64" s="229">
        <f>D58+D59+D60+D61-D62-D63</f>
        <v>244143</v>
      </c>
      <c r="E64" s="229">
        <f t="shared" ref="E64:H64" si="32">E58+E59+E60+E61-E62-E63</f>
        <v>211134</v>
      </c>
      <c r="F64" s="229">
        <f t="shared" si="32"/>
        <v>173903</v>
      </c>
      <c r="G64" s="229">
        <f t="shared" si="32"/>
        <v>180149</v>
      </c>
      <c r="H64" s="230">
        <f t="shared" si="32"/>
        <v>168317</v>
      </c>
      <c r="I64" s="229">
        <f>I58+I59+I60+I61-I62-I63</f>
        <v>175047.68614399995</v>
      </c>
      <c r="J64" s="229">
        <f t="shared" ref="J64:M64" si="33">J58+J59+J60+J61-J62-J63</f>
        <v>174670.71352012805</v>
      </c>
      <c r="K64" s="229">
        <f t="shared" si="33"/>
        <v>183555.65022354422</v>
      </c>
      <c r="L64" s="229">
        <f t="shared" si="33"/>
        <v>184678.20422225198</v>
      </c>
      <c r="M64" s="229">
        <f t="shared" si="33"/>
        <v>180652.56530524784</v>
      </c>
      <c r="N64" s="227"/>
      <c r="O64" s="52"/>
      <c r="P64" s="39"/>
      <c r="Q64" s="39"/>
      <c r="R64" s="39"/>
      <c r="S64" s="39"/>
      <c r="T64" s="39"/>
      <c r="U64" s="39"/>
    </row>
    <row r="65" spans="1:22" ht="15" thickBot="1" x14ac:dyDescent="0.35">
      <c r="A65" s="55">
        <f t="shared" si="24"/>
        <v>-18956.5</v>
      </c>
      <c r="B65" s="55">
        <f t="shared" si="1"/>
        <v>2467.1130610495688</v>
      </c>
      <c r="C65" s="8" t="s">
        <v>224</v>
      </c>
      <c r="D65" s="11"/>
      <c r="E65" s="11">
        <f>E64-D64</f>
        <v>-33009</v>
      </c>
      <c r="F65" s="11">
        <f t="shared" ref="F65:I65" si="34">F64-E64</f>
        <v>-37231</v>
      </c>
      <c r="G65" s="195">
        <f t="shared" si="34"/>
        <v>6246</v>
      </c>
      <c r="H65" s="204">
        <f t="shared" si="34"/>
        <v>-11832</v>
      </c>
      <c r="I65" s="11">
        <f t="shared" si="34"/>
        <v>6730.6861439999484</v>
      </c>
      <c r="J65" s="11">
        <f t="shared" ref="J65" si="35">J64-I64</f>
        <v>-376.97262387190131</v>
      </c>
      <c r="K65" s="11">
        <f t="shared" ref="K65" si="36">K64-J64</f>
        <v>8884.9367034161696</v>
      </c>
      <c r="L65" s="11">
        <f t="shared" ref="L65" si="37">L64-K64</f>
        <v>1122.5539987077645</v>
      </c>
      <c r="M65" s="11">
        <f t="shared" ref="M65" si="38">M64-L64</f>
        <v>-4025.6389170041366</v>
      </c>
      <c r="N65" s="227"/>
      <c r="P65" s="39"/>
      <c r="Q65" s="39"/>
      <c r="R65" s="39"/>
      <c r="S65" s="39"/>
      <c r="T65" s="39"/>
      <c r="U65" s="39"/>
    </row>
    <row r="66" spans="1:22" ht="15" thickBot="1" x14ac:dyDescent="0.35">
      <c r="A66" s="55">
        <f t="shared" si="24"/>
        <v>-22212.77181134179</v>
      </c>
      <c r="B66" s="55">
        <f>AVERAGE(I66:M66)</f>
        <v>2467.1130610495688</v>
      </c>
      <c r="C66" s="200" t="s">
        <v>349</v>
      </c>
      <c r="D66" s="200">
        <v>-35237.859056708956</v>
      </c>
      <c r="E66" s="200">
        <f t="shared" ref="E66:I66" si="39">E65</f>
        <v>-33009</v>
      </c>
      <c r="F66" s="200">
        <f t="shared" si="39"/>
        <v>-37231</v>
      </c>
      <c r="G66" s="200">
        <f t="shared" si="39"/>
        <v>6246</v>
      </c>
      <c r="H66" s="201">
        <f t="shared" si="39"/>
        <v>-11832</v>
      </c>
      <c r="I66" s="200">
        <f t="shared" si="39"/>
        <v>6730.6861439999484</v>
      </c>
      <c r="J66" s="200">
        <f t="shared" ref="J66:M66" si="40">J65</f>
        <v>-376.97262387190131</v>
      </c>
      <c r="K66" s="200">
        <f t="shared" si="40"/>
        <v>8884.9367034161696</v>
      </c>
      <c r="L66" s="200">
        <f t="shared" si="40"/>
        <v>1122.5539987077645</v>
      </c>
      <c r="M66" s="200">
        <f t="shared" si="40"/>
        <v>-4025.6389170041366</v>
      </c>
      <c r="N66" s="195"/>
      <c r="P66" s="72"/>
      <c r="Q66" s="72"/>
      <c r="R66" s="72"/>
      <c r="S66" s="72"/>
      <c r="T66" s="72"/>
      <c r="U66" s="72"/>
    </row>
    <row r="67" spans="1:22" x14ac:dyDescent="0.3">
      <c r="A67" s="123"/>
      <c r="B67" s="123"/>
      <c r="C67" s="211"/>
      <c r="D67" s="195" t="s">
        <v>325</v>
      </c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P67" s="72"/>
      <c r="Q67" s="72"/>
      <c r="R67" s="72"/>
      <c r="S67" s="72"/>
      <c r="T67" s="72"/>
      <c r="U67" s="72"/>
    </row>
    <row r="68" spans="1:22" x14ac:dyDescent="0.3">
      <c r="A68" s="123"/>
      <c r="B68" s="123"/>
      <c r="C68" s="224" t="s">
        <v>265</v>
      </c>
      <c r="D68" s="195"/>
      <c r="E68" s="211"/>
      <c r="F68" s="194"/>
      <c r="G68" s="194"/>
      <c r="H68" s="194"/>
      <c r="I68" s="227"/>
      <c r="J68" s="8"/>
      <c r="K68" s="194"/>
      <c r="L68" s="194"/>
      <c r="M68" s="194"/>
      <c r="N68" s="227"/>
      <c r="U68" s="3"/>
    </row>
    <row r="69" spans="1:22" x14ac:dyDescent="0.3">
      <c r="A69" s="123">
        <f t="shared" ref="A69:A74" si="41">AVERAGE(D69:H69)</f>
        <v>0.17635325211644998</v>
      </c>
      <c r="B69" s="123">
        <f t="shared" ref="B69:B81" si="42">AVERAGE(I69:M69)</f>
        <v>0.16660000000000003</v>
      </c>
      <c r="C69" s="8" t="s">
        <v>32</v>
      </c>
      <c r="D69" s="194">
        <f t="shared" ref="D69:H74" si="43">D58/D$11</f>
        <v>0.18878320282942196</v>
      </c>
      <c r="E69" s="194">
        <f t="shared" si="43"/>
        <v>0.17397846551561738</v>
      </c>
      <c r="F69" s="194">
        <f t="shared" si="43"/>
        <v>0.17784163147059864</v>
      </c>
      <c r="G69" s="194">
        <f t="shared" si="43"/>
        <v>0.17581300892082524</v>
      </c>
      <c r="H69" s="203">
        <f t="shared" si="43"/>
        <v>0.1653499518457866</v>
      </c>
      <c r="I69" s="231">
        <v>0.16500000000000001</v>
      </c>
      <c r="J69" s="231">
        <v>0.16500000000000001</v>
      </c>
      <c r="K69" s="231">
        <v>0.16700000000000001</v>
      </c>
      <c r="L69" s="231">
        <v>0.16800000000000001</v>
      </c>
      <c r="M69" s="231">
        <v>0.16800000000000001</v>
      </c>
      <c r="N69" s="227"/>
    </row>
    <row r="70" spans="1:22" x14ac:dyDescent="0.3">
      <c r="A70" s="123">
        <f t="shared" si="41"/>
        <v>0.14003802111342689</v>
      </c>
      <c r="B70" s="123">
        <f t="shared" si="42"/>
        <v>0.13620000000000002</v>
      </c>
      <c r="C70" s="8" t="s">
        <v>34</v>
      </c>
      <c r="D70" s="194">
        <f t="shared" si="43"/>
        <v>0.16461268803893417</v>
      </c>
      <c r="E70" s="194">
        <f t="shared" si="43"/>
        <v>0.14452547118062894</v>
      </c>
      <c r="F70" s="194">
        <f t="shared" si="43"/>
        <v>0.12676095145501134</v>
      </c>
      <c r="G70" s="194">
        <f t="shared" si="43"/>
        <v>0.12899676702757168</v>
      </c>
      <c r="H70" s="203">
        <f t="shared" si="43"/>
        <v>0.13529422786498832</v>
      </c>
      <c r="I70" s="231">
        <v>0.13500000000000001</v>
      </c>
      <c r="J70" s="231">
        <v>0.13500000000000001</v>
      </c>
      <c r="K70" s="231">
        <v>0.13700000000000001</v>
      </c>
      <c r="L70" s="231">
        <v>0.13700000000000001</v>
      </c>
      <c r="M70" s="231">
        <v>0.13700000000000001</v>
      </c>
      <c r="N70" s="232"/>
    </row>
    <row r="71" spans="1:22" x14ac:dyDescent="0.3">
      <c r="A71" s="123">
        <f t="shared" si="41"/>
        <v>2.6102828471632838E-2</v>
      </c>
      <c r="B71" s="123">
        <f t="shared" si="42"/>
        <v>1.7599999999999998E-2</v>
      </c>
      <c r="C71" s="8" t="s">
        <v>37</v>
      </c>
      <c r="D71" s="194">
        <f t="shared" si="43"/>
        <v>3.0898959625327394E-2</v>
      </c>
      <c r="E71" s="194">
        <f t="shared" si="43"/>
        <v>2.8544312865045763E-2</v>
      </c>
      <c r="F71" s="194">
        <f t="shared" si="43"/>
        <v>2.4884571329604453E-2</v>
      </c>
      <c r="G71" s="194">
        <f t="shared" si="43"/>
        <v>2.7421519691564315E-2</v>
      </c>
      <c r="H71" s="203">
        <f t="shared" si="43"/>
        <v>1.8764778846622272E-2</v>
      </c>
      <c r="I71" s="231">
        <v>1.7999999999999999E-2</v>
      </c>
      <c r="J71" s="231">
        <v>1.7999999999999999E-2</v>
      </c>
      <c r="K71" s="231">
        <v>1.7999999999999999E-2</v>
      </c>
      <c r="L71" s="231">
        <v>1.7999999999999999E-2</v>
      </c>
      <c r="M71" s="231">
        <v>1.6E-2</v>
      </c>
      <c r="N71" s="227"/>
    </row>
    <row r="72" spans="1:22" x14ac:dyDescent="0.3">
      <c r="A72" s="123">
        <f t="shared" si="41"/>
        <v>4.2302529420644372E-2</v>
      </c>
      <c r="B72" s="123">
        <f t="shared" si="42"/>
        <v>4.3999999999999997E-2</v>
      </c>
      <c r="C72" s="8" t="s">
        <v>35</v>
      </c>
      <c r="D72" s="194">
        <f t="shared" si="43"/>
        <v>4.0252162542828478E-2</v>
      </c>
      <c r="E72" s="194">
        <f t="shared" si="43"/>
        <v>3.8697324376330271E-2</v>
      </c>
      <c r="F72" s="194">
        <f t="shared" si="43"/>
        <v>4.1127638721054266E-2</v>
      </c>
      <c r="G72" s="194">
        <f t="shared" si="43"/>
        <v>4.5786826123662167E-2</v>
      </c>
      <c r="H72" s="203">
        <f t="shared" si="43"/>
        <v>4.5648695339346679E-2</v>
      </c>
      <c r="I72" s="231">
        <v>4.4999999999999998E-2</v>
      </c>
      <c r="J72" s="231">
        <v>4.4999999999999998E-2</v>
      </c>
      <c r="K72" s="231">
        <v>4.3999999999999997E-2</v>
      </c>
      <c r="L72" s="231">
        <v>4.3999999999999997E-2</v>
      </c>
      <c r="M72" s="231">
        <v>4.2000000000000003E-2</v>
      </c>
      <c r="N72" s="227"/>
      <c r="P72" s="39"/>
      <c r="Q72" s="39"/>
      <c r="R72" s="39"/>
      <c r="S72" s="39"/>
      <c r="T72" s="39"/>
      <c r="U72" s="39"/>
    </row>
    <row r="73" spans="1:22" x14ac:dyDescent="0.3">
      <c r="A73" s="123">
        <f t="shared" si="41"/>
        <v>0.1703197095120533</v>
      </c>
      <c r="B73" s="123">
        <f t="shared" si="42"/>
        <v>0.17079999999999998</v>
      </c>
      <c r="C73" s="11" t="s">
        <v>58</v>
      </c>
      <c r="D73" s="194">
        <f t="shared" si="43"/>
        <v>0.17120981489770409</v>
      </c>
      <c r="E73" s="194">
        <f t="shared" si="43"/>
        <v>0.16037673870421074</v>
      </c>
      <c r="F73" s="194">
        <f t="shared" si="43"/>
        <v>0.17400070064120479</v>
      </c>
      <c r="G73" s="194">
        <f t="shared" si="43"/>
        <v>0.1740786417625341</v>
      </c>
      <c r="H73" s="203">
        <f t="shared" si="43"/>
        <v>0.17193265155461288</v>
      </c>
      <c r="I73" s="231">
        <v>0.17</v>
      </c>
      <c r="J73" s="231">
        <v>0.17</v>
      </c>
      <c r="K73" s="231">
        <v>0.17</v>
      </c>
      <c r="L73" s="231">
        <v>0.17199999999999999</v>
      </c>
      <c r="M73" s="231">
        <v>0.17199999999999999</v>
      </c>
      <c r="N73" s="227"/>
      <c r="P73" s="39"/>
      <c r="Q73" s="39"/>
      <c r="R73" s="39"/>
      <c r="S73" s="39"/>
      <c r="T73" s="39"/>
      <c r="U73" s="39"/>
    </row>
    <row r="74" spans="1:22" x14ac:dyDescent="0.3">
      <c r="A74" s="123">
        <f t="shared" si="41"/>
        <v>6.1309755713329105E-2</v>
      </c>
      <c r="B74" s="123">
        <f t="shared" si="42"/>
        <v>6.5000000000000002E-2</v>
      </c>
      <c r="C74" s="11" t="s">
        <v>59</v>
      </c>
      <c r="D74" s="194">
        <f t="shared" si="43"/>
        <v>5.7847169897435859E-2</v>
      </c>
      <c r="E74" s="194">
        <f t="shared" si="43"/>
        <v>5.8249015133345843E-2</v>
      </c>
      <c r="F74" s="194">
        <f t="shared" si="43"/>
        <v>5.9711162631419429E-2</v>
      </c>
      <c r="G74" s="194">
        <f t="shared" si="43"/>
        <v>6.3766976995708824E-2</v>
      </c>
      <c r="H74" s="203">
        <f t="shared" si="43"/>
        <v>6.697445390873559E-2</v>
      </c>
      <c r="I74" s="231">
        <v>6.5000000000000002E-2</v>
      </c>
      <c r="J74" s="231">
        <v>6.5000000000000002E-2</v>
      </c>
      <c r="K74" s="231">
        <v>6.5000000000000002E-2</v>
      </c>
      <c r="L74" s="231">
        <v>6.5000000000000002E-2</v>
      </c>
      <c r="M74" s="231">
        <v>6.5000000000000002E-2</v>
      </c>
      <c r="N74" s="227"/>
      <c r="P74" s="39"/>
      <c r="Q74" s="39"/>
      <c r="R74" s="39"/>
      <c r="S74" s="39"/>
      <c r="T74" s="39"/>
      <c r="U74" s="39"/>
    </row>
    <row r="75" spans="1:22" x14ac:dyDescent="0.3">
      <c r="C75" s="8"/>
      <c r="D75" s="8"/>
      <c r="E75" s="8"/>
      <c r="F75" s="8"/>
      <c r="G75" s="227"/>
      <c r="H75" s="226"/>
      <c r="I75" s="8"/>
      <c r="J75" s="8"/>
      <c r="K75" s="8"/>
      <c r="L75" s="8"/>
      <c r="M75" s="8"/>
      <c r="N75" s="227"/>
      <c r="Q75" s="39"/>
      <c r="R75" s="3"/>
      <c r="T75" s="36"/>
      <c r="U75" s="36"/>
      <c r="V75" s="39"/>
    </row>
    <row r="76" spans="1:22" ht="15" thickBot="1" x14ac:dyDescent="0.35">
      <c r="A76" s="55"/>
      <c r="B76" s="55"/>
      <c r="C76" s="197" t="s">
        <v>219</v>
      </c>
      <c r="D76" s="197">
        <v>2013</v>
      </c>
      <c r="E76" s="197">
        <v>2014</v>
      </c>
      <c r="F76" s="197">
        <v>2015</v>
      </c>
      <c r="G76" s="197">
        <v>2016</v>
      </c>
      <c r="H76" s="198">
        <v>2017</v>
      </c>
      <c r="I76" s="197">
        <v>2018</v>
      </c>
      <c r="J76" s="197">
        <v>2019</v>
      </c>
      <c r="K76" s="197">
        <v>2020</v>
      </c>
      <c r="L76" s="197">
        <v>2021</v>
      </c>
      <c r="M76" s="197">
        <v>2022</v>
      </c>
      <c r="N76" s="227"/>
      <c r="T76" s="36"/>
      <c r="U76" s="36"/>
    </row>
    <row r="77" spans="1:22" x14ac:dyDescent="0.3">
      <c r="A77" s="55">
        <f>AVERAGE(D77:H77)</f>
        <v>13911.820442920996</v>
      </c>
      <c r="B77" s="55">
        <f t="shared" si="42"/>
        <v>42251.55613296153</v>
      </c>
      <c r="C77" s="11" t="s">
        <v>359</v>
      </c>
      <c r="D77" s="11">
        <f t="shared" ref="D77:M77" si="44">D30-ABS(D30*D38)</f>
        <v>23946.544196524352</v>
      </c>
      <c r="E77" s="11">
        <f t="shared" si="44"/>
        <v>13642.470877556305</v>
      </c>
      <c r="F77" s="11">
        <f t="shared" si="44"/>
        <v>-103.64292878635024</v>
      </c>
      <c r="G77" s="11">
        <f t="shared" si="44"/>
        <v>25589.888972809669</v>
      </c>
      <c r="H77" s="204">
        <f>H30-ABS(H30*H38)</f>
        <v>6483.8410965010025</v>
      </c>
      <c r="I77" s="11">
        <f t="shared" si="44"/>
        <v>39402.620171149443</v>
      </c>
      <c r="J77" s="11">
        <f t="shared" si="44"/>
        <v>29602.236937587561</v>
      </c>
      <c r="K77" s="11">
        <f t="shared" si="44"/>
        <v>47048.462132252425</v>
      </c>
      <c r="L77" s="11">
        <f t="shared" si="44"/>
        <v>47762.667741630816</v>
      </c>
      <c r="M77" s="11">
        <f t="shared" si="44"/>
        <v>47441.793682187432</v>
      </c>
      <c r="N77" s="227"/>
      <c r="T77" s="36"/>
      <c r="U77" s="36"/>
    </row>
    <row r="78" spans="1:22" x14ac:dyDescent="0.3">
      <c r="A78" s="55">
        <f>AVERAGE(D78:H78)</f>
        <v>46453.8</v>
      </c>
      <c r="B78" s="55">
        <f>AVERAGE(I78:M78)</f>
        <v>52897.966792500854</v>
      </c>
      <c r="C78" s="11" t="s">
        <v>211</v>
      </c>
      <c r="D78" s="11">
        <f>Amortizacija!E10</f>
        <v>41875</v>
      </c>
      <c r="E78" s="11">
        <f>Amortizacija!F10</f>
        <v>43019</v>
      </c>
      <c r="F78" s="11">
        <f>Amortizacija!G10</f>
        <v>45644</v>
      </c>
      <c r="G78" s="11">
        <f>Amortizacija!H10</f>
        <v>47055</v>
      </c>
      <c r="H78" s="204">
        <f>Amortizacija!I10</f>
        <v>54676</v>
      </c>
      <c r="I78" s="11">
        <f>Amortizacija!J10</f>
        <v>54552.091941359999</v>
      </c>
      <c r="J78" s="11">
        <f>Amortizacija!K10</f>
        <v>54003.648825640797</v>
      </c>
      <c r="K78" s="11">
        <f>Amortizacija!L10</f>
        <v>51451.611801585226</v>
      </c>
      <c r="L78" s="11">
        <f>Amortizacija!M10</f>
        <v>52017.579531402662</v>
      </c>
      <c r="M78" s="11">
        <f>Amortizacija!N10</f>
        <v>52464.901862515624</v>
      </c>
      <c r="N78" s="227"/>
      <c r="T78" s="36"/>
      <c r="U78" s="36"/>
    </row>
    <row r="79" spans="1:22" x14ac:dyDescent="0.3">
      <c r="A79" s="55">
        <f>AVERAGE(D79:H79)</f>
        <v>75996</v>
      </c>
      <c r="B79" s="55">
        <f t="shared" si="42"/>
        <v>63292.603831261687</v>
      </c>
      <c r="C79" s="11" t="s">
        <v>212</v>
      </c>
      <c r="D79" s="11">
        <f t="shared" ref="D79:M79" si="45">D48</f>
        <v>83910</v>
      </c>
      <c r="E79" s="11">
        <f t="shared" si="45"/>
        <v>61644</v>
      </c>
      <c r="F79" s="11">
        <f t="shared" si="45"/>
        <v>75496</v>
      </c>
      <c r="G79" s="11">
        <f t="shared" si="45"/>
        <v>83231</v>
      </c>
      <c r="H79" s="204">
        <f t="shared" si="45"/>
        <v>75699</v>
      </c>
      <c r="I79" s="204">
        <f t="shared" si="45"/>
        <v>62223.982183999993</v>
      </c>
      <c r="J79" s="204">
        <f t="shared" si="45"/>
        <v>62772.287671296006</v>
      </c>
      <c r="K79" s="204">
        <f t="shared" si="45"/>
        <v>64454.655803687288</v>
      </c>
      <c r="L79" s="204">
        <f t="shared" si="45"/>
        <v>63927.070692317982</v>
      </c>
      <c r="M79" s="204">
        <f t="shared" si="45"/>
        <v>63085.022805007175</v>
      </c>
      <c r="N79" s="227"/>
    </row>
    <row r="80" spans="1:22" ht="15" thickBot="1" x14ac:dyDescent="0.35">
      <c r="A80" s="55">
        <f>AVERAGE(D80:H80)</f>
        <v>-22212.77181134179</v>
      </c>
      <c r="B80" s="55">
        <f t="shared" si="42"/>
        <v>2467.1130610495688</v>
      </c>
      <c r="C80" s="233" t="s">
        <v>213</v>
      </c>
      <c r="D80" s="208">
        <f t="shared" ref="D80:I80" si="46">D66</f>
        <v>-35237.859056708956</v>
      </c>
      <c r="E80" s="208">
        <f t="shared" si="46"/>
        <v>-33009</v>
      </c>
      <c r="F80" s="208">
        <f t="shared" si="46"/>
        <v>-37231</v>
      </c>
      <c r="G80" s="208">
        <f t="shared" si="46"/>
        <v>6246</v>
      </c>
      <c r="H80" s="209">
        <f t="shared" si="46"/>
        <v>-11832</v>
      </c>
      <c r="I80" s="208">
        <f t="shared" si="46"/>
        <v>6730.6861439999484</v>
      </c>
      <c r="J80" s="208">
        <f t="shared" ref="J80:M80" si="47">J66</f>
        <v>-376.97262387190131</v>
      </c>
      <c r="K80" s="208">
        <f t="shared" si="47"/>
        <v>8884.9367034161696</v>
      </c>
      <c r="L80" s="208">
        <f t="shared" si="47"/>
        <v>1122.5539987077645</v>
      </c>
      <c r="M80" s="208">
        <f t="shared" si="47"/>
        <v>-4025.6389170041366</v>
      </c>
      <c r="N80" s="219"/>
    </row>
    <row r="81" spans="1:26" ht="15" thickBot="1" x14ac:dyDescent="0.35">
      <c r="A81" s="55">
        <f>AVERAGE(D81:H81)</f>
        <v>6582.392254262787</v>
      </c>
      <c r="B81" s="55">
        <f t="shared" si="42"/>
        <v>29389.806033151144</v>
      </c>
      <c r="C81" s="223" t="s">
        <v>219</v>
      </c>
      <c r="D81" s="200">
        <f>D77+D78-D79-D80</f>
        <v>17149.403253233308</v>
      </c>
      <c r="E81" s="200">
        <f>E77+E78-E79-E80</f>
        <v>28026.470877556305</v>
      </c>
      <c r="F81" s="200">
        <f t="shared" ref="F81:H81" si="48">F77+F78-F79-F80</f>
        <v>7275.3570712136498</v>
      </c>
      <c r="G81" s="200">
        <f t="shared" si="48"/>
        <v>-16832.111027190331</v>
      </c>
      <c r="H81" s="201">
        <f t="shared" si="48"/>
        <v>-2707.1589034989956</v>
      </c>
      <c r="I81" s="200">
        <f>I77+I78-I79-I80</f>
        <v>25000.0437845095</v>
      </c>
      <c r="J81" s="200">
        <f t="shared" ref="J81:M81" si="49">J77+J78-J79-J80</f>
        <v>21210.570715804257</v>
      </c>
      <c r="K81" s="200">
        <f t="shared" si="49"/>
        <v>25160.481426734186</v>
      </c>
      <c r="L81" s="200">
        <f t="shared" si="49"/>
        <v>34730.622582007738</v>
      </c>
      <c r="M81" s="200">
        <f t="shared" si="49"/>
        <v>40847.311656700011</v>
      </c>
      <c r="N81" s="195"/>
    </row>
    <row r="82" spans="1:26" x14ac:dyDescent="0.3">
      <c r="C82" s="8"/>
      <c r="D82" s="11"/>
      <c r="E82" s="11"/>
      <c r="F82" s="11"/>
      <c r="G82" s="11"/>
      <c r="H82" s="204"/>
      <c r="I82" s="11"/>
      <c r="J82" s="11"/>
      <c r="K82" s="11"/>
      <c r="L82" s="11"/>
      <c r="M82" s="11"/>
      <c r="N82" s="227"/>
    </row>
    <row r="83" spans="1:26" x14ac:dyDescent="0.3">
      <c r="A83" s="39"/>
      <c r="C83" s="234"/>
      <c r="D83" s="235"/>
      <c r="E83" s="234"/>
      <c r="F83" s="234"/>
      <c r="G83" s="234"/>
      <c r="H83" s="234"/>
      <c r="I83" s="211"/>
      <c r="J83" s="211"/>
      <c r="K83" s="211"/>
      <c r="L83" s="211"/>
      <c r="M83" s="211"/>
      <c r="N83" s="227"/>
    </row>
    <row r="84" spans="1:26" x14ac:dyDescent="0.3">
      <c r="A84" s="39"/>
      <c r="C84" s="236" t="s">
        <v>314</v>
      </c>
      <c r="D84" s="237">
        <f>1/(1+D86)^D85</f>
        <v>0.91849910107305466</v>
      </c>
      <c r="E84" s="237">
        <f t="shared" ref="E84:H84" si="50">1/(1+E86)^E85</f>
        <v>0.84364059867200958</v>
      </c>
      <c r="F84" s="237">
        <f t="shared" si="50"/>
        <v>0.77488313150897448</v>
      </c>
      <c r="G84" s="237">
        <f t="shared" si="50"/>
        <v>0.71172945972766666</v>
      </c>
      <c r="H84" s="238">
        <f t="shared" si="50"/>
        <v>0.65372286896707277</v>
      </c>
      <c r="I84" s="195"/>
      <c r="J84" s="195"/>
      <c r="K84" s="195"/>
      <c r="L84" s="195"/>
      <c r="M84" s="195"/>
      <c r="N84" s="195"/>
    </row>
    <row r="85" spans="1:26" x14ac:dyDescent="0.3">
      <c r="A85" s="39"/>
      <c r="C85" s="8" t="s">
        <v>315</v>
      </c>
      <c r="D85" s="8">
        <v>1</v>
      </c>
      <c r="E85" s="8">
        <v>2</v>
      </c>
      <c r="F85" s="8">
        <v>3</v>
      </c>
      <c r="G85" s="8">
        <v>4</v>
      </c>
      <c r="H85" s="226">
        <v>5</v>
      </c>
      <c r="I85" s="231"/>
      <c r="J85" s="231"/>
      <c r="K85" s="231"/>
      <c r="L85" s="231"/>
      <c r="M85" s="231"/>
      <c r="N85" s="195"/>
      <c r="Z85" s="49"/>
    </row>
    <row r="86" spans="1:26" ht="15" thickBot="1" x14ac:dyDescent="0.35">
      <c r="A86" s="36"/>
      <c r="C86" s="220" t="s">
        <v>290</v>
      </c>
      <c r="D86" s="221">
        <f>WACC!$F$18</f>
        <v>8.8732693185796602E-2</v>
      </c>
      <c r="E86" s="221">
        <f>WACC!$F$18</f>
        <v>8.8732693185796602E-2</v>
      </c>
      <c r="F86" s="221">
        <f>WACC!$F$18</f>
        <v>8.8732693185796602E-2</v>
      </c>
      <c r="G86" s="221">
        <f>WACC!$F$18</f>
        <v>8.8732693185796602E-2</v>
      </c>
      <c r="H86" s="205">
        <f>WACC!$F$18</f>
        <v>8.8732693185796602E-2</v>
      </c>
      <c r="I86" s="231"/>
      <c r="J86" s="231"/>
      <c r="K86" s="231"/>
      <c r="L86" s="231"/>
      <c r="M86" s="231"/>
      <c r="N86" s="195"/>
    </row>
    <row r="87" spans="1:26" ht="15" thickBot="1" x14ac:dyDescent="0.35">
      <c r="A87" s="36"/>
      <c r="C87" s="197" t="s">
        <v>316</v>
      </c>
      <c r="D87" s="217">
        <f>I81*D84</f>
        <v>22962.517742858985</v>
      </c>
      <c r="E87" s="217">
        <f t="shared" ref="E87:H87" si="51">J81*E84</f>
        <v>17894.098576856097</v>
      </c>
      <c r="F87" s="217">
        <f t="shared" si="51"/>
        <v>19496.432638221177</v>
      </c>
      <c r="G87" s="217">
        <f t="shared" si="51"/>
        <v>24718.807246297867</v>
      </c>
      <c r="H87" s="218">
        <f t="shared" si="51"/>
        <v>26702.821765810084</v>
      </c>
      <c r="I87" s="231"/>
      <c r="J87" s="231"/>
      <c r="K87" s="231"/>
      <c r="L87" s="231"/>
      <c r="M87" s="231"/>
      <c r="N87" s="195"/>
    </row>
    <row r="88" spans="1:26" x14ac:dyDescent="0.3">
      <c r="A88" s="36"/>
      <c r="C88" s="8" t="s">
        <v>350</v>
      </c>
      <c r="D88" s="11">
        <f>D87+E87+F87+G87+H87</f>
        <v>111774.6779700442</v>
      </c>
      <c r="E88" s="213"/>
      <c r="F88" s="213"/>
      <c r="G88" s="213"/>
      <c r="H88" s="213"/>
      <c r="I88" s="231"/>
      <c r="J88" s="231"/>
      <c r="K88" s="231"/>
      <c r="L88" s="231"/>
      <c r="M88" s="231"/>
      <c r="N88" s="195"/>
    </row>
    <row r="89" spans="1:26" x14ac:dyDescent="0.3">
      <c r="A89" s="36"/>
      <c r="C89" s="8" t="s">
        <v>324</v>
      </c>
      <c r="D89" s="193">
        <v>1.6E-2</v>
      </c>
      <c r="E89" s="8"/>
      <c r="F89" s="8"/>
      <c r="G89" s="8"/>
      <c r="H89" s="8"/>
      <c r="I89" s="231"/>
      <c r="J89" s="231"/>
      <c r="K89" s="231"/>
      <c r="L89" s="231"/>
      <c r="M89" s="231"/>
      <c r="N89" s="195"/>
    </row>
    <row r="90" spans="1:26" x14ac:dyDescent="0.3">
      <c r="A90" s="36"/>
      <c r="B90" s="36"/>
      <c r="C90" s="8" t="s">
        <v>317</v>
      </c>
      <c r="D90" s="11">
        <f>M81*(1+D89)/(D86-D89)</f>
        <v>570594.41669776628</v>
      </c>
      <c r="E90" s="11"/>
      <c r="F90" s="8"/>
      <c r="G90" s="8"/>
      <c r="H90" s="8"/>
      <c r="I90" s="231"/>
      <c r="J90" s="231"/>
      <c r="K90" s="231"/>
      <c r="L90" s="231"/>
      <c r="M90" s="231"/>
      <c r="N90" s="195"/>
    </row>
    <row r="91" spans="1:26" x14ac:dyDescent="0.3">
      <c r="A91" s="36"/>
      <c r="B91" s="36"/>
      <c r="C91" s="8" t="s">
        <v>358</v>
      </c>
      <c r="D91" s="11">
        <f>D90/(1+D86)^H85</f>
        <v>373010.61910025717</v>
      </c>
      <c r="E91" s="11"/>
      <c r="F91" s="8"/>
      <c r="G91" s="8"/>
      <c r="H91" s="8"/>
      <c r="I91" s="195"/>
      <c r="J91" s="195"/>
      <c r="K91" s="195"/>
      <c r="L91" s="8"/>
      <c r="M91" s="195"/>
      <c r="N91" s="195"/>
    </row>
    <row r="92" spans="1:26" x14ac:dyDescent="0.3">
      <c r="A92" s="36"/>
      <c r="B92" s="36"/>
      <c r="C92" s="8" t="s">
        <v>319</v>
      </c>
      <c r="D92" s="11">
        <f>SUM(D87:H87)+D91</f>
        <v>484785.29707030137</v>
      </c>
      <c r="E92" s="8"/>
      <c r="F92" s="11"/>
      <c r="G92" s="8"/>
      <c r="H92" s="8"/>
      <c r="I92" s="227"/>
      <c r="J92" s="227"/>
      <c r="K92" s="227"/>
      <c r="L92" s="227"/>
      <c r="M92" s="227"/>
      <c r="N92" s="227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1:26" x14ac:dyDescent="0.3">
      <c r="A93" s="36"/>
      <c r="B93" s="36"/>
      <c r="C93" s="8" t="s">
        <v>321</v>
      </c>
      <c r="D93" s="11">
        <f xml:space="preserve"> Bilanca!G39+Bilanca!G41-Bilanca!G21-Bilanca!G17</f>
        <v>350655</v>
      </c>
      <c r="E93" s="8" t="s">
        <v>361</v>
      </c>
      <c r="F93" s="11"/>
      <c r="G93" s="8"/>
      <c r="H93" s="8"/>
      <c r="I93" s="8"/>
      <c r="J93" s="8"/>
      <c r="K93" s="8"/>
      <c r="L93" s="8"/>
      <c r="M93" s="8"/>
      <c r="N93" s="8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spans="1:26" x14ac:dyDescent="0.3">
      <c r="A94" s="36"/>
      <c r="B94" s="36"/>
      <c r="C94" s="8" t="s">
        <v>322</v>
      </c>
      <c r="D94" s="11">
        <f>D92*1000</f>
        <v>484785297.07030135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36"/>
      <c r="P94" s="48"/>
      <c r="Q94" s="48"/>
      <c r="R94" s="48"/>
      <c r="S94" s="48"/>
      <c r="T94" s="48"/>
      <c r="U94" s="50"/>
      <c r="V94" s="50"/>
      <c r="W94" s="50"/>
      <c r="X94" s="50"/>
      <c r="Y94" s="50"/>
    </row>
    <row r="95" spans="1:26" x14ac:dyDescent="0.3">
      <c r="A95" s="36"/>
      <c r="B95" s="36"/>
      <c r="C95" s="8" t="s">
        <v>323</v>
      </c>
      <c r="D95" s="11">
        <f>1000*(D92-D93)</f>
        <v>134130297.07030137</v>
      </c>
      <c r="E95" s="8"/>
      <c r="F95" s="11">
        <f>D92-D93</f>
        <v>134130.29707030137</v>
      </c>
      <c r="G95" s="8"/>
      <c r="H95" s="8"/>
      <c r="I95" s="8"/>
      <c r="J95" s="8"/>
      <c r="K95" s="8"/>
      <c r="L95" s="8"/>
      <c r="M95" s="8"/>
      <c r="N95" s="8"/>
      <c r="O95" s="36"/>
      <c r="P95" s="48"/>
      <c r="Q95" s="48"/>
      <c r="R95" s="48"/>
      <c r="S95" s="48"/>
      <c r="T95" s="48"/>
      <c r="U95" s="50"/>
      <c r="V95" s="50"/>
      <c r="W95" s="50"/>
      <c r="X95" s="50"/>
      <c r="Y95" s="50"/>
    </row>
    <row r="96" spans="1:26" ht="15" thickBot="1" x14ac:dyDescent="0.35">
      <c r="A96" s="36"/>
      <c r="B96" s="36"/>
      <c r="C96" s="208" t="s">
        <v>318</v>
      </c>
      <c r="D96" s="208">
        <f>24424613</f>
        <v>24424613</v>
      </c>
      <c r="E96" s="11"/>
      <c r="F96" s="8"/>
      <c r="G96" s="8"/>
      <c r="H96" s="8"/>
      <c r="I96" s="8"/>
      <c r="J96" s="8"/>
      <c r="K96" s="8"/>
      <c r="L96" s="8"/>
      <c r="M96" s="8"/>
      <c r="N96" s="8"/>
      <c r="O96" s="36"/>
      <c r="P96" s="48"/>
      <c r="Q96" s="48"/>
      <c r="R96" s="48"/>
      <c r="S96" s="48"/>
      <c r="T96" s="48"/>
      <c r="U96" s="50"/>
      <c r="V96" s="50"/>
      <c r="W96" s="50"/>
      <c r="X96" s="50"/>
      <c r="Y96" s="50"/>
    </row>
    <row r="97" spans="1:25" ht="15" thickBot="1" x14ac:dyDescent="0.35">
      <c r="A97" s="36"/>
      <c r="B97" s="36"/>
      <c r="C97" s="217" t="s">
        <v>320</v>
      </c>
      <c r="D97" s="239">
        <f>D95/D96</f>
        <v>5.491603779773353</v>
      </c>
      <c r="E97" s="215"/>
      <c r="F97" s="240">
        <f>D94/D96</f>
        <v>19.848228386271725</v>
      </c>
      <c r="G97" s="8"/>
      <c r="H97" s="8"/>
      <c r="I97" s="8"/>
      <c r="J97" s="8"/>
      <c r="K97" s="8"/>
      <c r="L97" s="8"/>
      <c r="M97" s="8"/>
      <c r="N97" s="8"/>
      <c r="O97" s="36"/>
      <c r="P97" s="48"/>
      <c r="Q97" s="48"/>
      <c r="R97" s="48"/>
      <c r="S97" s="48"/>
      <c r="T97" s="48"/>
      <c r="U97" s="50"/>
      <c r="V97" s="50"/>
      <c r="W97" s="50"/>
      <c r="X97" s="50"/>
      <c r="Y97" s="50"/>
    </row>
    <row r="98" spans="1:25" x14ac:dyDescent="0.3">
      <c r="A98" s="36"/>
      <c r="B98" s="3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36"/>
      <c r="P98" s="48"/>
      <c r="Q98" s="48"/>
      <c r="R98" s="48"/>
      <c r="S98" s="48"/>
      <c r="T98" s="48"/>
      <c r="U98" s="50"/>
      <c r="V98" s="50"/>
      <c r="W98" s="50"/>
      <c r="X98" s="50"/>
      <c r="Y98" s="50"/>
    </row>
    <row r="99" spans="1:25" x14ac:dyDescent="0.3">
      <c r="A99" s="36"/>
      <c r="B99" s="36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36"/>
      <c r="P99" s="48"/>
      <c r="Q99" s="48"/>
      <c r="R99" s="48"/>
      <c r="S99" s="48"/>
      <c r="T99" s="48"/>
      <c r="U99" s="50"/>
      <c r="V99" s="50"/>
      <c r="W99" s="50"/>
      <c r="X99" s="50"/>
      <c r="Y99" s="50"/>
    </row>
    <row r="100" spans="1:25" x14ac:dyDescent="0.3">
      <c r="C100" s="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8"/>
      <c r="O100" s="36"/>
      <c r="P100" s="48"/>
      <c r="Q100" s="48"/>
      <c r="R100" s="48"/>
      <c r="S100" s="48"/>
      <c r="T100" s="48"/>
      <c r="U100" s="50"/>
      <c r="V100" s="50"/>
      <c r="W100" s="50"/>
      <c r="X100" s="50"/>
      <c r="Y100" s="50"/>
    </row>
    <row r="101" spans="1:25" x14ac:dyDescent="0.3">
      <c r="C101" s="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8"/>
    </row>
    <row r="103" spans="1:25" x14ac:dyDescent="0.3">
      <c r="F103" s="72"/>
      <c r="N103" s="36"/>
    </row>
    <row r="104" spans="1:25" x14ac:dyDescent="0.3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 spans="1:25" x14ac:dyDescent="0.3"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36"/>
    </row>
    <row r="106" spans="1:25" x14ac:dyDescent="0.3">
      <c r="C106" s="36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6"/>
    </row>
    <row r="107" spans="1:25" x14ac:dyDescent="0.3">
      <c r="C107" s="36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25" x14ac:dyDescent="0.3">
      <c r="C108" s="36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6"/>
    </row>
    <row r="109" spans="1:25" x14ac:dyDescent="0.3">
      <c r="C109" s="36"/>
      <c r="D109" s="36"/>
      <c r="E109" s="39"/>
      <c r="F109" s="39"/>
      <c r="G109" s="39"/>
      <c r="H109" s="39"/>
      <c r="I109" s="39"/>
      <c r="J109" s="39"/>
      <c r="K109" s="39"/>
      <c r="L109" s="39"/>
      <c r="M109" s="39"/>
      <c r="N109" s="36"/>
    </row>
    <row r="110" spans="1:25" x14ac:dyDescent="0.3">
      <c r="C110" s="41"/>
      <c r="D110" s="189"/>
      <c r="E110" s="189"/>
      <c r="F110" s="189"/>
      <c r="G110" s="189"/>
      <c r="H110" s="189"/>
      <c r="I110" s="41"/>
      <c r="J110" s="41"/>
      <c r="K110" s="41"/>
      <c r="L110" s="41"/>
      <c r="M110" s="41"/>
      <c r="N110" s="36"/>
    </row>
    <row r="111" spans="1:25" x14ac:dyDescent="0.3">
      <c r="C111" s="36"/>
      <c r="D111" s="190"/>
      <c r="E111" s="186"/>
      <c r="F111" s="186"/>
      <c r="G111" s="186"/>
      <c r="H111" s="186"/>
      <c r="I111" s="49"/>
      <c r="J111" s="49"/>
      <c r="K111" s="49"/>
      <c r="L111" s="49"/>
      <c r="M111" s="49"/>
      <c r="N111" s="36"/>
    </row>
    <row r="112" spans="1:25" x14ac:dyDescent="0.3">
      <c r="C112" s="36"/>
      <c r="D112" s="187"/>
      <c r="E112" s="187"/>
      <c r="F112" s="187"/>
      <c r="G112" s="187"/>
      <c r="H112" s="187"/>
      <c r="I112" s="51"/>
      <c r="J112" s="51"/>
      <c r="K112" s="51"/>
      <c r="L112" s="51"/>
      <c r="M112" s="51"/>
      <c r="N112" s="36"/>
    </row>
    <row r="113" spans="3:14" x14ac:dyDescent="0.3">
      <c r="C113" s="36"/>
      <c r="D113" s="186"/>
      <c r="E113" s="186"/>
      <c r="F113" s="186"/>
      <c r="G113" s="186"/>
      <c r="H113" s="186"/>
      <c r="I113" s="191"/>
      <c r="J113" s="191"/>
      <c r="K113" s="191"/>
      <c r="L113" s="191"/>
      <c r="M113" s="191"/>
      <c r="N113" s="36"/>
    </row>
    <row r="114" spans="3:14" x14ac:dyDescent="0.3">
      <c r="C114" s="40"/>
      <c r="D114" s="189"/>
      <c r="E114" s="189"/>
      <c r="F114" s="189"/>
      <c r="G114" s="189"/>
      <c r="H114" s="189"/>
      <c r="I114" s="41"/>
      <c r="J114" s="41"/>
      <c r="K114" s="41"/>
      <c r="L114" s="41"/>
      <c r="M114" s="41"/>
      <c r="N114" s="36"/>
    </row>
    <row r="115" spans="3:14" x14ac:dyDescent="0.3">
      <c r="C115" s="3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36"/>
    </row>
    <row r="116" spans="3:14" x14ac:dyDescent="0.3">
      <c r="C116" s="36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36"/>
    </row>
    <row r="117" spans="3:14" x14ac:dyDescent="0.3">
      <c r="C117" s="36"/>
      <c r="D117" s="192"/>
      <c r="E117" s="189"/>
      <c r="F117" s="192"/>
      <c r="G117" s="189"/>
      <c r="H117" s="189"/>
      <c r="I117" s="189"/>
      <c r="J117" s="189"/>
      <c r="K117" s="189"/>
      <c r="L117" s="189"/>
      <c r="M117" s="189"/>
      <c r="N117" s="36"/>
    </row>
    <row r="118" spans="3:14" x14ac:dyDescent="0.3">
      <c r="C118" s="36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36"/>
    </row>
    <row r="119" spans="3:14" x14ac:dyDescent="0.3">
      <c r="C119" s="36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36"/>
    </row>
    <row r="120" spans="3:14" x14ac:dyDescent="0.3">
      <c r="C120" s="36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36"/>
    </row>
    <row r="121" spans="3:14" x14ac:dyDescent="0.3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 spans="3:14" x14ac:dyDescent="0.3">
      <c r="C122" s="36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36"/>
    </row>
    <row r="123" spans="3:14" x14ac:dyDescent="0.3">
      <c r="C123" s="36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6"/>
    </row>
    <row r="124" spans="3:14" x14ac:dyDescent="0.3">
      <c r="C124" s="3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36"/>
    </row>
    <row r="125" spans="3:14" x14ac:dyDescent="0.3">
      <c r="C125" s="36"/>
      <c r="D125" s="189"/>
      <c r="E125" s="189"/>
      <c r="F125" s="189"/>
      <c r="G125" s="189"/>
      <c r="H125" s="189"/>
      <c r="I125" s="41"/>
      <c r="J125" s="41"/>
      <c r="K125" s="41"/>
      <c r="L125" s="41"/>
      <c r="M125" s="41"/>
      <c r="N125" s="36"/>
    </row>
    <row r="126" spans="3:14" x14ac:dyDescent="0.3">
      <c r="C126" s="36"/>
      <c r="D126" s="189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 spans="3:14" x14ac:dyDescent="0.3">
      <c r="C127" s="3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36"/>
    </row>
    <row r="128" spans="3:14" x14ac:dyDescent="0.3">
      <c r="C128" s="36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36"/>
    </row>
    <row r="129" spans="3:20" x14ac:dyDescent="0.3">
      <c r="C129" s="36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36"/>
    </row>
    <row r="130" spans="3:20" x14ac:dyDescent="0.3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 spans="3:20" x14ac:dyDescent="0.3">
      <c r="C131" s="36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36"/>
    </row>
    <row r="132" spans="3:20" x14ac:dyDescent="0.3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T132" t="s">
        <v>351</v>
      </c>
    </row>
    <row r="133" spans="3:20" x14ac:dyDescent="0.3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 spans="3:20" x14ac:dyDescent="0.3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 spans="3:20" x14ac:dyDescent="0.3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74"/>
  <sheetViews>
    <sheetView workbookViewId="0">
      <selection activeCell="C3" sqref="C3"/>
    </sheetView>
  </sheetViews>
  <sheetFormatPr defaultRowHeight="14.4" x14ac:dyDescent="0.3"/>
  <cols>
    <col min="2" max="2" width="53.109375" bestFit="1" customWidth="1"/>
    <col min="3" max="7" width="11.109375" bestFit="1" customWidth="1"/>
    <col min="11" max="11" width="11.6640625" bestFit="1" customWidth="1"/>
  </cols>
  <sheetData>
    <row r="2" spans="2:14" ht="15" thickBot="1" x14ac:dyDescent="0.35">
      <c r="B2" s="44"/>
      <c r="C2" s="44">
        <v>2013</v>
      </c>
      <c r="D2" s="44">
        <v>2014</v>
      </c>
      <c r="E2" s="44">
        <v>2015</v>
      </c>
      <c r="F2" s="44">
        <v>2016</v>
      </c>
      <c r="G2" s="45">
        <v>2017</v>
      </c>
      <c r="H2" t="s">
        <v>240</v>
      </c>
    </row>
    <row r="3" spans="2:14" x14ac:dyDescent="0.3">
      <c r="B3" s="46" t="s">
        <v>234</v>
      </c>
      <c r="C3" s="3">
        <v>22104427</v>
      </c>
      <c r="D3" s="3">
        <v>24424613</v>
      </c>
      <c r="E3" s="3">
        <v>24424613</v>
      </c>
      <c r="F3" s="3">
        <v>24424613</v>
      </c>
      <c r="G3" s="38">
        <v>24424613</v>
      </c>
      <c r="H3" s="62">
        <v>0.11</v>
      </c>
    </row>
    <row r="4" spans="2:14" x14ac:dyDescent="0.3">
      <c r="B4" t="s">
        <v>235</v>
      </c>
      <c r="C4" s="3">
        <v>121311</v>
      </c>
      <c r="D4" s="3">
        <v>121311</v>
      </c>
      <c r="E4" s="3">
        <v>121311</v>
      </c>
      <c r="F4" s="3">
        <v>121311</v>
      </c>
      <c r="G4" s="38">
        <v>121311</v>
      </c>
      <c r="H4" s="63">
        <v>0</v>
      </c>
    </row>
    <row r="5" spans="2:14" x14ac:dyDescent="0.3">
      <c r="B5" s="64" t="s">
        <v>236</v>
      </c>
      <c r="C5" s="65">
        <v>17438</v>
      </c>
      <c r="D5" s="65">
        <v>17000</v>
      </c>
      <c r="E5" s="65">
        <v>16248</v>
      </c>
      <c r="F5" s="65">
        <v>13415</v>
      </c>
      <c r="G5" s="67">
        <v>12247</v>
      </c>
      <c r="H5" s="66">
        <v>-0.3</v>
      </c>
    </row>
    <row r="6" spans="2:14" x14ac:dyDescent="0.3">
      <c r="B6" t="s">
        <v>237</v>
      </c>
      <c r="C6" s="5">
        <v>4.2</v>
      </c>
      <c r="D6" s="5">
        <v>5.62</v>
      </c>
      <c r="E6" s="5">
        <v>4.5999999999999996</v>
      </c>
      <c r="F6" s="5">
        <v>6</v>
      </c>
      <c r="G6" s="69">
        <v>5.0999999999999996</v>
      </c>
      <c r="H6" s="62">
        <v>0.21</v>
      </c>
    </row>
    <row r="7" spans="2:14" x14ac:dyDescent="0.3">
      <c r="B7" t="s">
        <v>239</v>
      </c>
      <c r="C7" s="5">
        <v>3.8</v>
      </c>
      <c r="D7" s="5">
        <v>3.96</v>
      </c>
      <c r="E7" s="5">
        <v>3.85</v>
      </c>
      <c r="F7" s="5">
        <v>4.0999999999999996</v>
      </c>
      <c r="G7" s="69">
        <v>5.0999999999999996</v>
      </c>
      <c r="H7" s="62">
        <v>0.34</v>
      </c>
    </row>
    <row r="8" spans="2:14" x14ac:dyDescent="0.3">
      <c r="B8" t="s">
        <v>238</v>
      </c>
      <c r="C8" s="5">
        <v>4.62</v>
      </c>
      <c r="D8" s="5">
        <v>7.2</v>
      </c>
      <c r="E8" s="5">
        <v>6.3</v>
      </c>
      <c r="F8" s="5">
        <v>9.15</v>
      </c>
      <c r="G8" s="69">
        <v>7.25</v>
      </c>
      <c r="H8" s="62">
        <v>0.56999999999999995</v>
      </c>
    </row>
    <row r="9" spans="2:14" x14ac:dyDescent="0.3">
      <c r="B9" t="s">
        <v>241</v>
      </c>
      <c r="C9" s="5">
        <v>17.32</v>
      </c>
      <c r="D9" s="5">
        <v>15.65</v>
      </c>
      <c r="E9" s="5">
        <v>15.14</v>
      </c>
      <c r="F9" s="5">
        <v>15.4</v>
      </c>
      <c r="G9" s="69">
        <v>15.13</v>
      </c>
    </row>
    <row r="11" spans="2:14" x14ac:dyDescent="0.3">
      <c r="C11" t="s">
        <v>243</v>
      </c>
      <c r="D11" t="s">
        <v>244</v>
      </c>
      <c r="E11" t="s">
        <v>245</v>
      </c>
      <c r="F11" t="s">
        <v>246</v>
      </c>
      <c r="G11" t="s">
        <v>247</v>
      </c>
      <c r="H11" t="s">
        <v>248</v>
      </c>
      <c r="I11" t="s">
        <v>249</v>
      </c>
      <c r="J11" t="s">
        <v>250</v>
      </c>
      <c r="K11" t="s">
        <v>251</v>
      </c>
      <c r="L11" t="s">
        <v>252</v>
      </c>
      <c r="M11" t="s">
        <v>253</v>
      </c>
    </row>
    <row r="12" spans="2:14" x14ac:dyDescent="0.3">
      <c r="B12" t="s">
        <v>242</v>
      </c>
      <c r="C12" s="24">
        <v>0.35070000000000001</v>
      </c>
      <c r="D12" s="24">
        <v>0.13009999999999999</v>
      </c>
      <c r="E12" s="24">
        <v>0.15279999999999999</v>
      </c>
      <c r="F12" s="24">
        <v>0.1081</v>
      </c>
      <c r="G12" s="24">
        <v>7.6999999999999999E-2</v>
      </c>
      <c r="H12" s="24">
        <v>5.0299999999999997E-2</v>
      </c>
      <c r="I12" s="24">
        <v>4.0099999999999997E-2</v>
      </c>
      <c r="J12" s="24">
        <v>3.6900000000000002E-2</v>
      </c>
      <c r="K12" s="24">
        <v>2.9399999999999999E-2</v>
      </c>
      <c r="L12" s="24">
        <v>1.9599999999999999E-2</v>
      </c>
      <c r="M12" s="24">
        <v>5.0000000000000001E-3</v>
      </c>
      <c r="N12" s="61"/>
    </row>
    <row r="13" spans="2:14" x14ac:dyDescent="0.3">
      <c r="C13" s="61"/>
      <c r="D13" s="61"/>
      <c r="E13" s="61"/>
      <c r="G13" s="30"/>
      <c r="I13" s="30"/>
    </row>
    <row r="14" spans="2:14" x14ac:dyDescent="0.3">
      <c r="B14" s="1" t="s">
        <v>257</v>
      </c>
      <c r="C14" s="68" t="s">
        <v>258</v>
      </c>
      <c r="D14" s="1" t="s">
        <v>259</v>
      </c>
    </row>
    <row r="15" spans="2:14" x14ac:dyDescent="0.3">
      <c r="B15" t="s">
        <v>254</v>
      </c>
      <c r="C15" s="3">
        <v>3998653</v>
      </c>
      <c r="D15" s="24">
        <v>0.16370000000000001</v>
      </c>
    </row>
    <row r="16" spans="2:14" x14ac:dyDescent="0.3">
      <c r="B16" t="s">
        <v>255</v>
      </c>
      <c r="C16" s="3">
        <v>2881896</v>
      </c>
      <c r="D16" s="24">
        <v>0.11799999999999999</v>
      </c>
    </row>
    <row r="17" spans="2:4" x14ac:dyDescent="0.3">
      <c r="B17" t="s">
        <v>256</v>
      </c>
      <c r="C17" s="3">
        <v>2623664</v>
      </c>
      <c r="D17" s="24">
        <v>0.1074</v>
      </c>
    </row>
    <row r="55" spans="4:12" x14ac:dyDescent="0.3">
      <c r="L55" s="87"/>
    </row>
    <row r="56" spans="4:12" x14ac:dyDescent="0.3">
      <c r="L56" s="87"/>
    </row>
    <row r="57" spans="4:12" x14ac:dyDescent="0.3">
      <c r="L57" s="87"/>
    </row>
    <row r="58" spans="4:12" x14ac:dyDescent="0.3">
      <c r="L58" s="87"/>
    </row>
    <row r="59" spans="4:12" x14ac:dyDescent="0.3">
      <c r="D59" s="87"/>
      <c r="E59" s="87"/>
      <c r="F59" s="89"/>
      <c r="G59" s="89"/>
      <c r="H59" s="87"/>
      <c r="I59" s="90"/>
      <c r="J59" s="87"/>
      <c r="K59" s="90"/>
      <c r="L59" s="87"/>
    </row>
    <row r="60" spans="4:12" x14ac:dyDescent="0.3">
      <c r="F60" s="89"/>
      <c r="G60" s="89"/>
      <c r="H60" s="87"/>
      <c r="I60" s="90"/>
      <c r="J60" s="87"/>
      <c r="K60" s="90"/>
      <c r="L60" s="87"/>
    </row>
    <row r="61" spans="4:12" x14ac:dyDescent="0.3">
      <c r="L61" s="87"/>
    </row>
    <row r="62" spans="4:12" x14ac:dyDescent="0.3">
      <c r="F62" s="89"/>
      <c r="G62" s="89"/>
      <c r="H62" s="87"/>
      <c r="I62" s="90"/>
      <c r="J62" s="87"/>
      <c r="K62" s="90"/>
      <c r="L62" s="87"/>
    </row>
    <row r="63" spans="4:12" x14ac:dyDescent="0.3">
      <c r="G63" s="89"/>
      <c r="H63" s="87"/>
      <c r="I63" s="90"/>
      <c r="J63" s="87"/>
      <c r="K63" s="90"/>
      <c r="L63" s="87"/>
    </row>
    <row r="64" spans="4:12" x14ac:dyDescent="0.3">
      <c r="G64" s="89"/>
      <c r="H64" s="87"/>
      <c r="I64" s="90"/>
      <c r="J64" s="87"/>
      <c r="K64" s="90"/>
      <c r="L64" s="87"/>
    </row>
    <row r="65" spans="4:12" x14ac:dyDescent="0.3">
      <c r="F65" s="89"/>
      <c r="G65" s="89"/>
      <c r="H65" s="87"/>
      <c r="I65" s="90"/>
      <c r="J65" s="87"/>
      <c r="K65" s="90"/>
      <c r="L65" s="87"/>
    </row>
    <row r="67" spans="4:12" x14ac:dyDescent="0.3">
      <c r="G67" s="92"/>
      <c r="H67" s="91"/>
      <c r="I67" s="91"/>
      <c r="J67" s="91"/>
      <c r="K67" s="91"/>
      <c r="L67" s="87"/>
    </row>
    <row r="68" spans="4:12" x14ac:dyDescent="0.3">
      <c r="D68" s="87"/>
      <c r="E68" s="87"/>
      <c r="F68" s="92"/>
      <c r="G68" s="92"/>
      <c r="H68" s="91"/>
      <c r="I68" s="91"/>
      <c r="J68" s="91"/>
      <c r="K68" s="91"/>
      <c r="L68" s="87"/>
    </row>
    <row r="69" spans="4:12" x14ac:dyDescent="0.3">
      <c r="D69" s="87"/>
      <c r="E69" s="87"/>
      <c r="F69" s="92"/>
      <c r="G69" s="92"/>
      <c r="H69" s="91"/>
      <c r="I69" s="90"/>
      <c r="J69" s="91"/>
      <c r="K69" s="90"/>
      <c r="L69" s="87"/>
    </row>
    <row r="70" spans="4:12" x14ac:dyDescent="0.3">
      <c r="D70" s="87"/>
      <c r="E70" s="87"/>
      <c r="F70" s="92"/>
      <c r="G70" s="92"/>
      <c r="H70" s="91"/>
      <c r="I70" s="90"/>
      <c r="J70" s="91"/>
      <c r="K70" s="90"/>
      <c r="L70" s="87"/>
    </row>
    <row r="71" spans="4:12" x14ac:dyDescent="0.3">
      <c r="D71" s="87"/>
      <c r="E71" s="87"/>
      <c r="F71" s="92"/>
      <c r="G71" s="92"/>
      <c r="H71" s="91"/>
      <c r="I71" s="90"/>
      <c r="J71" s="91"/>
      <c r="K71" s="90"/>
      <c r="L71" s="87"/>
    </row>
    <row r="72" spans="4:12" x14ac:dyDescent="0.3">
      <c r="D72" s="87"/>
      <c r="E72" s="87"/>
      <c r="F72" s="92"/>
      <c r="G72" s="92"/>
      <c r="H72" s="91"/>
      <c r="I72" s="90"/>
      <c r="J72" s="91"/>
      <c r="K72" s="90"/>
      <c r="L72" s="87"/>
    </row>
    <row r="73" spans="4:12" x14ac:dyDescent="0.3">
      <c r="D73" s="87"/>
      <c r="E73" s="87"/>
      <c r="F73" s="92"/>
      <c r="G73" s="92"/>
      <c r="H73" s="91"/>
      <c r="I73" s="90"/>
      <c r="J73" s="91"/>
      <c r="K73" s="90"/>
      <c r="L73" s="87"/>
    </row>
    <row r="74" spans="4:12" x14ac:dyDescent="0.3">
      <c r="D74" s="87"/>
      <c r="E74" s="87"/>
      <c r="F74" s="92"/>
      <c r="G74" s="92"/>
      <c r="H74" s="91"/>
      <c r="I74" s="90"/>
      <c r="J74" s="91"/>
      <c r="K74" s="90"/>
      <c r="L74" s="8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F7"/>
  <sheetViews>
    <sheetView workbookViewId="0">
      <selection activeCell="G31" sqref="G31"/>
    </sheetView>
  </sheetViews>
  <sheetFormatPr defaultRowHeight="14.4" x14ac:dyDescent="0.3"/>
  <cols>
    <col min="3" max="3" width="16.5546875" bestFit="1" customWidth="1"/>
  </cols>
  <sheetData>
    <row r="3" spans="3:6" x14ac:dyDescent="0.3">
      <c r="C3" t="s">
        <v>230</v>
      </c>
      <c r="D3" t="s">
        <v>231</v>
      </c>
      <c r="E3" t="s">
        <v>232</v>
      </c>
      <c r="F3" t="s">
        <v>233</v>
      </c>
    </row>
    <row r="4" spans="3:6" x14ac:dyDescent="0.3">
      <c r="C4">
        <v>2016</v>
      </c>
      <c r="D4" s="61">
        <v>0.41499999999999998</v>
      </c>
      <c r="E4" s="61">
        <v>0.48099999999999998</v>
      </c>
      <c r="F4" s="61">
        <v>0.104</v>
      </c>
    </row>
    <row r="5" spans="3:6" x14ac:dyDescent="0.3">
      <c r="C5">
        <v>2017</v>
      </c>
      <c r="D5" s="61">
        <v>0.38500000000000001</v>
      </c>
      <c r="E5" s="61">
        <v>0.499</v>
      </c>
      <c r="F5" s="61">
        <v>0.11600000000000001</v>
      </c>
    </row>
    <row r="6" spans="3:6" x14ac:dyDescent="0.3">
      <c r="D6" s="61"/>
      <c r="E6" s="61"/>
    </row>
    <row r="7" spans="3:6" x14ac:dyDescent="0.3">
      <c r="D7" s="42"/>
      <c r="E7" s="4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720C-9900-427B-B784-FBB4FC3E3BA4}">
  <dimension ref="A1:C13"/>
  <sheetViews>
    <sheetView zoomScale="130" zoomScaleNormal="130" workbookViewId="0">
      <selection activeCell="C17" sqref="C17"/>
    </sheetView>
  </sheetViews>
  <sheetFormatPr defaultRowHeight="14.4" x14ac:dyDescent="0.3"/>
  <cols>
    <col min="1" max="1" width="27.6640625" bestFit="1" customWidth="1"/>
    <col min="2" max="2" width="9.21875" bestFit="1" customWidth="1"/>
  </cols>
  <sheetData>
    <row r="1" spans="1:3" x14ac:dyDescent="0.3">
      <c r="B1">
        <v>2017</v>
      </c>
      <c r="C1">
        <v>2018</v>
      </c>
    </row>
    <row r="2" spans="1:3" x14ac:dyDescent="0.3">
      <c r="A2" t="s">
        <v>363</v>
      </c>
      <c r="B2" s="24">
        <v>0.193</v>
      </c>
      <c r="C2" s="24">
        <v>0.246</v>
      </c>
    </row>
    <row r="3" spans="1:3" x14ac:dyDescent="0.3">
      <c r="A3" t="s">
        <v>364</v>
      </c>
      <c r="B3" s="24">
        <v>0.23699999999999999</v>
      </c>
      <c r="C3" s="24">
        <v>0.28000000000000003</v>
      </c>
    </row>
    <row r="4" spans="1:3" x14ac:dyDescent="0.3">
      <c r="A4" t="s">
        <v>365</v>
      </c>
      <c r="B4" s="24">
        <v>0.24099999999999999</v>
      </c>
      <c r="C4" s="24">
        <v>0.25700000000000001</v>
      </c>
    </row>
    <row r="5" spans="1:3" x14ac:dyDescent="0.3">
      <c r="A5" t="s">
        <v>366</v>
      </c>
      <c r="B5" s="24">
        <v>0.23699999999999999</v>
      </c>
      <c r="C5" s="24">
        <v>0.23300000000000001</v>
      </c>
    </row>
    <row r="6" spans="1:3" x14ac:dyDescent="0.3">
      <c r="A6" t="s">
        <v>367</v>
      </c>
      <c r="B6" s="24">
        <v>0.36199999999999999</v>
      </c>
      <c r="C6" s="24">
        <v>0.34499999999999997</v>
      </c>
    </row>
    <row r="7" spans="1:3" x14ac:dyDescent="0.3">
      <c r="A7" t="s">
        <v>373</v>
      </c>
      <c r="B7" s="24">
        <v>0.23200000000000001</v>
      </c>
      <c r="C7" s="24">
        <v>0.35599999999999998</v>
      </c>
    </row>
    <row r="8" spans="1:3" x14ac:dyDescent="0.3">
      <c r="A8" t="s">
        <v>368</v>
      </c>
      <c r="B8" s="24">
        <v>0.222</v>
      </c>
      <c r="C8" s="24">
        <v>0.3</v>
      </c>
    </row>
    <row r="9" spans="1:3" x14ac:dyDescent="0.3">
      <c r="A9" t="s">
        <v>369</v>
      </c>
      <c r="B9" s="24">
        <v>0.22500000000000001</v>
      </c>
      <c r="C9" s="24">
        <v>0.161</v>
      </c>
    </row>
    <row r="10" spans="1:3" x14ac:dyDescent="0.3">
      <c r="A10" t="s">
        <v>374</v>
      </c>
      <c r="B10" s="24">
        <v>0.216</v>
      </c>
      <c r="C10" s="24">
        <v>0.23799999999999999</v>
      </c>
    </row>
    <row r="11" spans="1:3" x14ac:dyDescent="0.3">
      <c r="A11" t="s">
        <v>370</v>
      </c>
      <c r="B11" s="24">
        <v>0.16</v>
      </c>
      <c r="C11" s="24">
        <v>0.14499999999999999</v>
      </c>
    </row>
    <row r="12" spans="1:3" x14ac:dyDescent="0.3">
      <c r="A12" t="s">
        <v>371</v>
      </c>
      <c r="B12" s="24">
        <v>0.373</v>
      </c>
      <c r="C12" s="24">
        <v>0.23799999999999999</v>
      </c>
    </row>
    <row r="13" spans="1:3" x14ac:dyDescent="0.3">
      <c r="A13" t="s">
        <v>372</v>
      </c>
      <c r="B13" s="24">
        <v>0.35799999999999998</v>
      </c>
      <c r="C13" s="24">
        <v>0.29499999999999998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"/>
  <dimension ref="A2:L43"/>
  <sheetViews>
    <sheetView topLeftCell="A43" workbookViewId="0">
      <selection activeCell="C18" sqref="C18"/>
    </sheetView>
  </sheetViews>
  <sheetFormatPr defaultRowHeight="14.4" x14ac:dyDescent="0.3"/>
  <cols>
    <col min="2" max="2" width="46.5546875" customWidth="1"/>
    <col min="3" max="7" width="11.6640625" customWidth="1"/>
    <col min="8" max="8" width="9.109375" bestFit="1" customWidth="1"/>
    <col min="9" max="12" width="14.44140625" bestFit="1" customWidth="1"/>
  </cols>
  <sheetData>
    <row r="2" spans="1:12" ht="15" thickBot="1" x14ac:dyDescent="0.35">
      <c r="B2" s="44" t="str">
        <f>FCFF!C3</f>
        <v>v 1000 EUR</v>
      </c>
      <c r="C2" s="44">
        <f>FCFF!D3</f>
        <v>2013</v>
      </c>
      <c r="D2" s="44">
        <f>FCFF!E3</f>
        <v>2014</v>
      </c>
      <c r="E2" s="44">
        <f>FCFF!F3</f>
        <v>2015</v>
      </c>
      <c r="F2" s="44">
        <f>FCFF!G3</f>
        <v>2016</v>
      </c>
      <c r="G2" s="44">
        <f>FCFF!H3</f>
        <v>2017</v>
      </c>
    </row>
    <row r="3" spans="1:12" ht="15" thickBot="1" x14ac:dyDescent="0.35">
      <c r="B3" s="114" t="str">
        <f>FCFF!C4</f>
        <v xml:space="preserve">Prihodki od prodaje     </v>
      </c>
      <c r="C3" s="102">
        <f>FCFF!D4</f>
        <v>1240482</v>
      </c>
      <c r="D3" s="102">
        <f>FCFF!E4</f>
        <v>1253717</v>
      </c>
      <c r="E3" s="102">
        <f>FCFF!F4</f>
        <v>1225029</v>
      </c>
      <c r="F3" s="102">
        <f>FCFF!G4</f>
        <v>1258124</v>
      </c>
      <c r="G3" s="102">
        <f>FCFF!H4</f>
        <v>1309932</v>
      </c>
    </row>
    <row r="4" spans="1:12" x14ac:dyDescent="0.3">
      <c r="A4" s="3"/>
      <c r="B4" s="105" t="str">
        <f>FCFF!C6</f>
        <v xml:space="preserve">Sprememba vrednosti zalog proizvodov in nedokončane proizvodnje </v>
      </c>
      <c r="C4" s="72">
        <f>FCFF!D6</f>
        <v>-26122</v>
      </c>
      <c r="D4" s="72">
        <f>FCFF!E6</f>
        <v>-12042</v>
      </c>
      <c r="E4" s="72">
        <f>FCFF!F6</f>
        <v>13370</v>
      </c>
      <c r="F4" s="72">
        <f>FCFF!G6</f>
        <v>5200</v>
      </c>
      <c r="G4" s="72">
        <f>FCFF!H6</f>
        <v>-15117</v>
      </c>
      <c r="I4" s="1"/>
      <c r="J4" s="2"/>
      <c r="K4" s="2"/>
      <c r="L4" s="2"/>
    </row>
    <row r="5" spans="1:12" ht="15" thickBot="1" x14ac:dyDescent="0.35">
      <c r="A5" s="3"/>
      <c r="B5" s="105" t="str">
        <f>FCFF!C8</f>
        <v xml:space="preserve">Drugi poslovni prihodki     </v>
      </c>
      <c r="C5" s="72">
        <f>FCFF!D8</f>
        <v>34517</v>
      </c>
      <c r="D5" s="72">
        <f>FCFF!E8</f>
        <v>21694</v>
      </c>
      <c r="E5" s="72">
        <f>FCFF!F8</f>
        <v>31866</v>
      </c>
      <c r="F5" s="72">
        <f>FCFF!G8</f>
        <v>21871</v>
      </c>
      <c r="G5" s="72">
        <f>FCFF!H8</f>
        <v>39440</v>
      </c>
      <c r="J5" s="3"/>
      <c r="K5" s="3"/>
      <c r="L5" s="3"/>
    </row>
    <row r="6" spans="1:12" ht="15" thickBot="1" x14ac:dyDescent="0.35">
      <c r="A6" s="3"/>
      <c r="B6" s="112" t="str">
        <f>FCFF!C11</f>
        <v xml:space="preserve">Kosmati donos iz poslovanja    </v>
      </c>
      <c r="C6" s="102">
        <f>FCFF!D11</f>
        <v>1248877</v>
      </c>
      <c r="D6" s="102">
        <f>FCFF!E11</f>
        <v>1263369</v>
      </c>
      <c r="E6" s="102">
        <f>FCFF!F11</f>
        <v>1270265</v>
      </c>
      <c r="F6" s="102">
        <f>FCFF!G11</f>
        <v>1285195</v>
      </c>
      <c r="G6" s="102">
        <f>FCFF!H11</f>
        <v>1334255</v>
      </c>
      <c r="J6" s="3"/>
      <c r="K6" s="3"/>
      <c r="L6" s="3"/>
    </row>
    <row r="7" spans="1:12" x14ac:dyDescent="0.3">
      <c r="A7" s="3"/>
      <c r="B7" s="113" t="str">
        <f>FCFF!C14</f>
        <v xml:space="preserve">Stroški blaga, materiala in storitev   </v>
      </c>
      <c r="C7" s="72">
        <f>FCFF!D14</f>
        <v>-910516</v>
      </c>
      <c r="D7" s="72">
        <f>FCFF!E14</f>
        <v>-927686</v>
      </c>
      <c r="E7" s="72">
        <f>FCFF!F14</f>
        <v>-937245</v>
      </c>
      <c r="F7" s="72">
        <f>FCFF!G14</f>
        <v>-942154</v>
      </c>
      <c r="G7" s="72">
        <f>FCFF!H14</f>
        <v>-981413</v>
      </c>
      <c r="I7" s="1"/>
      <c r="J7" s="2"/>
      <c r="K7" s="2"/>
      <c r="L7" s="2"/>
    </row>
    <row r="8" spans="1:12" x14ac:dyDescent="0.3">
      <c r="A8" s="3"/>
      <c r="B8" s="113" t="str">
        <f>FCFF!C15</f>
        <v xml:space="preserve">Stroški dela      </v>
      </c>
      <c r="C8" s="72">
        <f>FCFF!D15</f>
        <v>-237914</v>
      </c>
      <c r="D8" s="72">
        <f>FCFF!E15</f>
        <v>-228479</v>
      </c>
      <c r="E8" s="72">
        <f>FCFF!F15</f>
        <v>-231362</v>
      </c>
      <c r="F8" s="72">
        <f>FCFF!G15</f>
        <v>-235325</v>
      </c>
      <c r="G8" s="72">
        <f>FCFF!H15</f>
        <v>-249012</v>
      </c>
      <c r="J8" s="3"/>
      <c r="K8" s="3"/>
      <c r="L8" s="3"/>
    </row>
    <row r="9" spans="1:12" x14ac:dyDescent="0.3">
      <c r="A9" s="3"/>
      <c r="B9" s="113" t="str">
        <f>FCFF!C17</f>
        <v xml:space="preserve">Amortizacija       </v>
      </c>
      <c r="C9" s="72">
        <f>FCFF!D17</f>
        <v>-41875</v>
      </c>
      <c r="D9" s="72">
        <f>FCFF!E17</f>
        <v>-43019</v>
      </c>
      <c r="E9" s="72">
        <f>FCFF!F17</f>
        <v>-45644</v>
      </c>
      <c r="F9" s="72">
        <f>FCFF!G17</f>
        <v>-47055</v>
      </c>
      <c r="G9" s="72">
        <f>FCFF!H17</f>
        <v>-54676</v>
      </c>
      <c r="J9" s="3"/>
      <c r="K9" s="3"/>
      <c r="L9" s="3"/>
    </row>
    <row r="10" spans="1:12" ht="15" thickBot="1" x14ac:dyDescent="0.35">
      <c r="A10" s="3"/>
      <c r="B10" s="113" t="str">
        <f>FCFF!C18</f>
        <v xml:space="preserve">Drugi poslovni odhodki     </v>
      </c>
      <c r="C10" s="72">
        <f>FCFF!D18</f>
        <v>-22242</v>
      </c>
      <c r="D10" s="72">
        <f>FCFF!E18</f>
        <v>-21650</v>
      </c>
      <c r="E10" s="72">
        <f>FCFF!F18</f>
        <v>-21570</v>
      </c>
      <c r="F10" s="72">
        <f>FCFF!G18</f>
        <v>-20470</v>
      </c>
      <c r="G10" s="72">
        <f>FCFF!H18</f>
        <v>-27459</v>
      </c>
      <c r="J10" s="3"/>
      <c r="K10" s="3"/>
      <c r="L10" s="3"/>
    </row>
    <row r="11" spans="1:12" ht="15" thickBot="1" x14ac:dyDescent="0.35">
      <c r="A11" s="3"/>
      <c r="B11" s="101" t="str">
        <f>FCFF!C30</f>
        <v>EBIT</v>
      </c>
      <c r="C11" s="102">
        <f>FCFF!D30</f>
        <v>36330</v>
      </c>
      <c r="D11" s="102">
        <f>FCFF!E30</f>
        <v>42535</v>
      </c>
      <c r="E11" s="102">
        <f>FCFF!F30</f>
        <v>34444</v>
      </c>
      <c r="F11" s="102">
        <f>FCFF!G30</f>
        <v>40191</v>
      </c>
      <c r="G11" s="102">
        <f>FCFF!H30</f>
        <v>21695</v>
      </c>
      <c r="J11" s="3"/>
      <c r="K11" s="3"/>
      <c r="L11" s="3"/>
    </row>
    <row r="12" spans="1:12" x14ac:dyDescent="0.3">
      <c r="A12" s="3"/>
      <c r="B12" s="105" t="str">
        <f>FCFF!C31</f>
        <v xml:space="preserve">Finančni prihodki      </v>
      </c>
      <c r="C12" s="72">
        <f>FCFF!D31</f>
        <v>7547</v>
      </c>
      <c r="D12" s="72">
        <f>FCFF!E31</f>
        <v>8685</v>
      </c>
      <c r="E12" s="72">
        <f>FCFF!F31</f>
        <v>7396</v>
      </c>
      <c r="F12" s="72">
        <f>FCFF!G31</f>
        <v>6157</v>
      </c>
      <c r="G12" s="72">
        <f>FCFF!H31</f>
        <v>4139</v>
      </c>
      <c r="I12" s="1"/>
      <c r="J12" s="2"/>
      <c r="K12" s="2"/>
      <c r="L12" s="2"/>
    </row>
    <row r="13" spans="1:12" x14ac:dyDescent="0.3">
      <c r="A13" s="3"/>
      <c r="B13" s="105" t="str">
        <f>FCFF!C32</f>
        <v xml:space="preserve">Finančni odhodki      </v>
      </c>
      <c r="C13" s="72">
        <f>FCFF!D32</f>
        <v>-61929</v>
      </c>
      <c r="D13" s="72">
        <f>FCFF!E32</f>
        <v>-47422</v>
      </c>
      <c r="E13" s="72">
        <f>FCFF!F32</f>
        <v>-46188</v>
      </c>
      <c r="F13" s="72">
        <f>FCFF!G32</f>
        <v>-33192</v>
      </c>
      <c r="G13" s="72">
        <f>FCFF!H32</f>
        <v>-21499</v>
      </c>
      <c r="J13" s="3"/>
      <c r="K13" s="3"/>
      <c r="L13" s="3"/>
    </row>
    <row r="14" spans="1:12" x14ac:dyDescent="0.3">
      <c r="A14" s="3"/>
      <c r="B14" s="104" t="str">
        <f>FCFF!C33</f>
        <v>Neto finančni odhodki</v>
      </c>
      <c r="C14" s="2">
        <f>FCFF!D33</f>
        <v>-54382</v>
      </c>
      <c r="D14" s="2">
        <f>FCFF!E33</f>
        <v>-38737</v>
      </c>
      <c r="E14" s="2">
        <f>FCFF!F33</f>
        <v>-38792</v>
      </c>
      <c r="F14" s="2">
        <f>FCFF!G33</f>
        <v>-27035</v>
      </c>
      <c r="G14" s="2">
        <f>FCFF!H33</f>
        <v>-17360</v>
      </c>
      <c r="J14" s="3"/>
      <c r="K14" s="3"/>
      <c r="L14" s="3"/>
    </row>
    <row r="15" spans="1:12" ht="15" thickBot="1" x14ac:dyDescent="0.35">
      <c r="A15" s="3"/>
      <c r="B15" s="105" t="str">
        <f>FCFF!C34</f>
        <v xml:space="preserve">Delež v dobičkih (izgubah) pridruženih družb  </v>
      </c>
      <c r="C15">
        <f>FCFF!D34</f>
        <v>-592</v>
      </c>
      <c r="D15" s="72">
        <f>FCFF!E34</f>
        <v>65</v>
      </c>
      <c r="E15" s="72">
        <f>FCFF!F34</f>
        <v>360</v>
      </c>
      <c r="F15" s="72">
        <f>FCFF!G34</f>
        <v>84</v>
      </c>
      <c r="G15" s="72">
        <f>FCFF!H34</f>
        <v>152</v>
      </c>
      <c r="I15" s="1"/>
      <c r="J15" s="2"/>
      <c r="K15" s="2"/>
      <c r="L15" s="2"/>
    </row>
    <row r="16" spans="1:12" ht="15" thickBot="1" x14ac:dyDescent="0.35">
      <c r="B16" s="101" t="str">
        <f>FCFF!C35</f>
        <v xml:space="preserve">Poslovni izid pred davki </v>
      </c>
      <c r="C16" s="102">
        <f>FCFF!D35</f>
        <v>-18644</v>
      </c>
      <c r="D16" s="102">
        <f>FCFF!E35</f>
        <v>3863</v>
      </c>
      <c r="E16" s="102">
        <f>FCFF!F35</f>
        <v>-3988</v>
      </c>
      <c r="F16" s="102">
        <f>FCFF!G35</f>
        <v>13240</v>
      </c>
      <c r="G16" s="102">
        <f>FCFF!H35</f>
        <v>4487</v>
      </c>
      <c r="J16" s="3"/>
      <c r="K16" s="3"/>
      <c r="L16" s="3"/>
    </row>
    <row r="17" spans="1:12" ht="15" thickBot="1" x14ac:dyDescent="0.35">
      <c r="A17" s="3"/>
      <c r="B17" s="105" t="str">
        <f>FCFF!C37</f>
        <v xml:space="preserve">Davek iz dobička     </v>
      </c>
      <c r="C17" s="72">
        <f>FCFF!D37</f>
        <v>-6355</v>
      </c>
      <c r="D17" s="72">
        <f>FCFF!E37</f>
        <v>-2624</v>
      </c>
      <c r="E17" s="72">
        <f>FCFF!F37</f>
        <v>-4000</v>
      </c>
      <c r="F17" s="72">
        <f>FCFF!G37</f>
        <v>-4810</v>
      </c>
      <c r="G17" s="72">
        <f>FCFF!H37</f>
        <v>-3146</v>
      </c>
      <c r="I17" s="1"/>
      <c r="J17" s="2"/>
      <c r="K17" s="2"/>
      <c r="L17" s="2"/>
    </row>
    <row r="18" spans="1:12" ht="15" thickBot="1" x14ac:dyDescent="0.35">
      <c r="A18" s="3"/>
      <c r="B18" s="101" t="str">
        <f>FCFF!C39</f>
        <v>Poslovni izid poslovnega  leta   (čisti dobiček)</v>
      </c>
      <c r="C18" s="102">
        <f>FCFF!D39</f>
        <v>-24999</v>
      </c>
      <c r="D18" s="102">
        <f>FCFF!E39</f>
        <v>1239</v>
      </c>
      <c r="E18" s="102">
        <f>FCFF!F39</f>
        <v>-7988</v>
      </c>
      <c r="F18" s="102">
        <f>FCFF!G39</f>
        <v>8430</v>
      </c>
      <c r="G18" s="102">
        <f>FCFF!H39</f>
        <v>1341</v>
      </c>
      <c r="J18" s="3"/>
      <c r="K18" s="3"/>
      <c r="L18" s="3"/>
    </row>
    <row r="19" spans="1:12" x14ac:dyDescent="0.3">
      <c r="A19" s="3"/>
      <c r="B19" s="4" t="s">
        <v>17</v>
      </c>
      <c r="C19">
        <v>225</v>
      </c>
      <c r="D19" s="72">
        <v>220</v>
      </c>
      <c r="E19" s="72">
        <v>215</v>
      </c>
      <c r="F19" s="72">
        <v>436</v>
      </c>
      <c r="G19" s="72">
        <v>372</v>
      </c>
      <c r="I19" s="1"/>
      <c r="J19" s="2"/>
      <c r="K19" s="2"/>
      <c r="L19" s="2"/>
    </row>
    <row r="20" spans="1:12" x14ac:dyDescent="0.3">
      <c r="B20" s="4" t="s">
        <v>18</v>
      </c>
      <c r="C20" s="72">
        <v>-25224</v>
      </c>
      <c r="D20" s="72">
        <v>1019</v>
      </c>
      <c r="E20" s="72">
        <v>-8203</v>
      </c>
      <c r="F20" s="72">
        <v>7994</v>
      </c>
      <c r="G20" s="72">
        <v>969</v>
      </c>
      <c r="J20" s="3"/>
      <c r="K20" s="3"/>
      <c r="L20" s="3"/>
    </row>
    <row r="21" spans="1:12" x14ac:dyDescent="0.3">
      <c r="A21" s="3"/>
      <c r="B21" t="s">
        <v>19</v>
      </c>
      <c r="C21">
        <v>-1.51</v>
      </c>
      <c r="D21" s="5">
        <v>0.04</v>
      </c>
      <c r="E21" s="5">
        <v>-0.34</v>
      </c>
      <c r="F21" s="5">
        <v>0.33</v>
      </c>
      <c r="G21" s="5">
        <v>0.04</v>
      </c>
      <c r="J21" s="3"/>
      <c r="K21" s="3"/>
      <c r="L21" s="3"/>
    </row>
    <row r="22" spans="1:12" x14ac:dyDescent="0.3">
      <c r="J22" s="6"/>
      <c r="K22" s="6"/>
      <c r="L22" s="6"/>
    </row>
    <row r="23" spans="1:12" x14ac:dyDescent="0.3">
      <c r="A23" s="29"/>
    </row>
    <row r="24" spans="1:12" x14ac:dyDescent="0.3">
      <c r="C24">
        <v>2013</v>
      </c>
      <c r="D24">
        <v>2014</v>
      </c>
      <c r="E24">
        <v>2015</v>
      </c>
      <c r="F24">
        <v>2016</v>
      </c>
      <c r="G24">
        <v>2017</v>
      </c>
      <c r="H24" t="s">
        <v>0</v>
      </c>
    </row>
    <row r="25" spans="1:12" x14ac:dyDescent="0.3">
      <c r="B25" s="1" t="s">
        <v>1</v>
      </c>
      <c r="C25" s="2">
        <v>1240482</v>
      </c>
      <c r="D25" s="2">
        <v>1253717</v>
      </c>
      <c r="E25" s="2">
        <v>1225029</v>
      </c>
      <c r="F25" s="2">
        <v>1258124</v>
      </c>
      <c r="G25" s="2">
        <v>1309932</v>
      </c>
      <c r="H25" s="2"/>
    </row>
    <row r="26" spans="1:12" x14ac:dyDescent="0.3">
      <c r="B26" t="s">
        <v>2</v>
      </c>
      <c r="C26" s="3">
        <v>-26122</v>
      </c>
      <c r="D26" s="3">
        <v>-12042</v>
      </c>
      <c r="E26" s="3">
        <v>13370</v>
      </c>
      <c r="F26" s="3">
        <v>5200</v>
      </c>
      <c r="G26" s="3">
        <v>-15117</v>
      </c>
      <c r="H26" s="3"/>
    </row>
    <row r="27" spans="1:12" x14ac:dyDescent="0.3">
      <c r="B27" t="s">
        <v>3</v>
      </c>
      <c r="C27" s="3">
        <v>34517</v>
      </c>
      <c r="D27" s="3">
        <v>21694</v>
      </c>
      <c r="E27" s="3">
        <v>31866</v>
      </c>
      <c r="F27" s="3">
        <v>21871</v>
      </c>
      <c r="G27" s="3">
        <v>39440</v>
      </c>
      <c r="H27" s="3"/>
    </row>
    <row r="28" spans="1:12" x14ac:dyDescent="0.3">
      <c r="B28" s="1" t="s">
        <v>4</v>
      </c>
      <c r="C28" s="2">
        <v>1248877</v>
      </c>
      <c r="D28" s="2">
        <v>1263369</v>
      </c>
      <c r="E28" s="2">
        <v>1270265</v>
      </c>
      <c r="F28" s="2">
        <v>1285195</v>
      </c>
      <c r="G28" s="2">
        <v>1334255</v>
      </c>
      <c r="H28" s="2">
        <f>SUM(G25:G27)</f>
        <v>1334255</v>
      </c>
    </row>
    <row r="29" spans="1:12" x14ac:dyDescent="0.3">
      <c r="B29" t="s">
        <v>5</v>
      </c>
      <c r="C29" s="3">
        <v>-910516</v>
      </c>
      <c r="D29" s="3">
        <v>-927686</v>
      </c>
      <c r="E29" s="3">
        <v>-937245</v>
      </c>
      <c r="F29" s="3">
        <v>-942154</v>
      </c>
      <c r="G29" s="3">
        <v>-981413</v>
      </c>
      <c r="H29" s="3"/>
    </row>
    <row r="30" spans="1:12" x14ac:dyDescent="0.3">
      <c r="B30" t="s">
        <v>6</v>
      </c>
      <c r="C30" s="3">
        <v>-237914</v>
      </c>
      <c r="D30" s="3">
        <v>-228479</v>
      </c>
      <c r="E30" s="3">
        <v>-231362</v>
      </c>
      <c r="F30" s="3">
        <v>-235325</v>
      </c>
      <c r="G30" s="3">
        <v>-249012</v>
      </c>
      <c r="H30" s="3"/>
    </row>
    <row r="31" spans="1:12" x14ac:dyDescent="0.3">
      <c r="B31" t="s">
        <v>7</v>
      </c>
      <c r="C31" s="3">
        <v>-41875</v>
      </c>
      <c r="D31" s="3">
        <v>-43019</v>
      </c>
      <c r="E31" s="3">
        <v>-45644</v>
      </c>
      <c r="F31" s="3">
        <v>-47055</v>
      </c>
      <c r="G31" s="3">
        <v>-54676</v>
      </c>
      <c r="H31" s="3"/>
    </row>
    <row r="32" spans="1:12" x14ac:dyDescent="0.3">
      <c r="B32" t="s">
        <v>8</v>
      </c>
      <c r="C32" s="3">
        <v>-22242</v>
      </c>
      <c r="D32" s="3">
        <v>-21650</v>
      </c>
      <c r="E32" s="3">
        <v>-21570</v>
      </c>
      <c r="F32" s="3">
        <v>-20470</v>
      </c>
      <c r="G32" s="3">
        <v>-27459</v>
      </c>
      <c r="H32" s="3"/>
    </row>
    <row r="33" spans="2:8" x14ac:dyDescent="0.3">
      <c r="B33" s="1" t="s">
        <v>9</v>
      </c>
      <c r="C33" s="2">
        <v>36330</v>
      </c>
      <c r="D33" s="2">
        <v>42535</v>
      </c>
      <c r="E33" s="2">
        <v>34444</v>
      </c>
      <c r="F33" s="2">
        <v>40191</v>
      </c>
      <c r="G33" s="2">
        <v>21695</v>
      </c>
      <c r="H33" s="2">
        <f>SUM(G28:G32)</f>
        <v>21695</v>
      </c>
    </row>
    <row r="34" spans="2:8" x14ac:dyDescent="0.3">
      <c r="B34" t="s">
        <v>10</v>
      </c>
      <c r="C34" s="3">
        <v>7547</v>
      </c>
      <c r="D34" s="3">
        <v>8685</v>
      </c>
      <c r="E34" s="3">
        <v>7396</v>
      </c>
      <c r="F34" s="3">
        <v>6157</v>
      </c>
      <c r="G34" s="3">
        <v>4139</v>
      </c>
      <c r="H34" s="3"/>
    </row>
    <row r="35" spans="2:8" x14ac:dyDescent="0.3">
      <c r="B35" t="s">
        <v>11</v>
      </c>
      <c r="C35" s="3">
        <v>-61929</v>
      </c>
      <c r="D35" s="3">
        <v>-47422</v>
      </c>
      <c r="E35" s="3">
        <v>-46188</v>
      </c>
      <c r="F35" s="3">
        <v>-33192</v>
      </c>
      <c r="G35" s="3">
        <v>-21499</v>
      </c>
      <c r="H35" s="3"/>
    </row>
    <row r="36" spans="2:8" x14ac:dyDescent="0.3">
      <c r="B36" s="1" t="s">
        <v>12</v>
      </c>
      <c r="C36" s="2">
        <v>-54382</v>
      </c>
      <c r="D36" s="2">
        <v>-38737</v>
      </c>
      <c r="E36" s="2">
        <v>-38792</v>
      </c>
      <c r="F36" s="2">
        <v>-27035</v>
      </c>
      <c r="G36" s="2">
        <v>-17360</v>
      </c>
      <c r="H36" s="2">
        <f>SUM(G34:G35)</f>
        <v>-17360</v>
      </c>
    </row>
    <row r="37" spans="2:8" x14ac:dyDescent="0.3">
      <c r="B37" t="s">
        <v>13</v>
      </c>
      <c r="C37">
        <v>-592</v>
      </c>
      <c r="D37" s="3">
        <v>65</v>
      </c>
      <c r="E37" s="3">
        <v>360</v>
      </c>
      <c r="F37" s="3">
        <v>84</v>
      </c>
      <c r="G37" s="3">
        <v>152</v>
      </c>
      <c r="H37" s="3">
        <f>G37</f>
        <v>152</v>
      </c>
    </row>
    <row r="38" spans="2:8" x14ac:dyDescent="0.3">
      <c r="B38" s="1" t="s">
        <v>14</v>
      </c>
      <c r="C38" s="2">
        <v>-18644</v>
      </c>
      <c r="D38" s="2">
        <v>3863</v>
      </c>
      <c r="E38" s="2">
        <v>-3988</v>
      </c>
      <c r="F38" s="2">
        <v>13240</v>
      </c>
      <c r="G38" s="2">
        <v>4487</v>
      </c>
      <c r="H38" s="2">
        <f>SUM(H33:H37)</f>
        <v>4487</v>
      </c>
    </row>
    <row r="39" spans="2:8" x14ac:dyDescent="0.3">
      <c r="B39" t="s">
        <v>15</v>
      </c>
      <c r="C39" s="3">
        <v>4219</v>
      </c>
      <c r="D39" s="3">
        <v>-2624</v>
      </c>
      <c r="E39" s="3">
        <v>-4000</v>
      </c>
      <c r="F39" s="3">
        <v>-4810</v>
      </c>
      <c r="G39" s="3">
        <v>-3146</v>
      </c>
      <c r="H39" s="3">
        <f>G39</f>
        <v>-3146</v>
      </c>
    </row>
    <row r="40" spans="2:8" x14ac:dyDescent="0.3">
      <c r="B40" s="1" t="s">
        <v>16</v>
      </c>
      <c r="C40" s="2">
        <v>-24999</v>
      </c>
      <c r="D40" s="2">
        <v>1239</v>
      </c>
      <c r="E40" s="2">
        <v>-7988</v>
      </c>
      <c r="F40" s="2">
        <v>8430</v>
      </c>
      <c r="G40" s="2">
        <v>1341</v>
      </c>
      <c r="H40" s="2">
        <f>SUM(H38:H39)</f>
        <v>1341</v>
      </c>
    </row>
    <row r="41" spans="2:8" x14ac:dyDescent="0.3">
      <c r="B41" s="4" t="s">
        <v>17</v>
      </c>
      <c r="C41">
        <v>225</v>
      </c>
      <c r="D41" s="3">
        <v>220</v>
      </c>
      <c r="E41" s="3">
        <v>215</v>
      </c>
      <c r="F41" s="3">
        <v>436</v>
      </c>
      <c r="G41" s="3">
        <v>372</v>
      </c>
      <c r="H41" s="3"/>
    </row>
    <row r="42" spans="2:8" x14ac:dyDescent="0.3">
      <c r="B42" s="4" t="s">
        <v>18</v>
      </c>
      <c r="C42" s="3">
        <v>-25224</v>
      </c>
      <c r="D42" s="3">
        <v>1019</v>
      </c>
      <c r="E42" s="3">
        <v>-8203</v>
      </c>
      <c r="F42" s="3">
        <v>7994</v>
      </c>
      <c r="G42" s="3">
        <v>969</v>
      </c>
      <c r="H42" s="3"/>
    </row>
    <row r="43" spans="2:8" x14ac:dyDescent="0.3">
      <c r="B43" t="s">
        <v>19</v>
      </c>
      <c r="C43">
        <v>-1.51</v>
      </c>
      <c r="D43" s="5">
        <v>0.04</v>
      </c>
      <c r="E43" s="5">
        <v>-0.34</v>
      </c>
      <c r="F43" s="5">
        <v>0.33</v>
      </c>
      <c r="G43" s="5">
        <v>0.04</v>
      </c>
      <c r="H4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4"/>
  <dimension ref="A1:Z162"/>
  <sheetViews>
    <sheetView topLeftCell="D1" zoomScale="70" zoomScaleNormal="70" workbookViewId="0">
      <selection activeCell="M5" sqref="M5"/>
    </sheetView>
  </sheetViews>
  <sheetFormatPr defaultRowHeight="14.4" x14ac:dyDescent="0.3"/>
  <cols>
    <col min="1" max="1" width="48.33203125" bestFit="1" customWidth="1"/>
    <col min="2" max="2" width="75.6640625" bestFit="1" customWidth="1"/>
    <col min="6" max="7" width="10.109375" bestFit="1" customWidth="1"/>
    <col min="11" max="11" width="44.109375" bestFit="1" customWidth="1"/>
    <col min="12" max="16" width="13.33203125" bestFit="1" customWidth="1"/>
  </cols>
  <sheetData>
    <row r="1" spans="2:20" x14ac:dyDescent="0.3">
      <c r="K1" s="20"/>
      <c r="L1" s="265" t="s">
        <v>148</v>
      </c>
      <c r="M1" s="266"/>
      <c r="N1" s="266"/>
    </row>
    <row r="2" spans="2:20" x14ac:dyDescent="0.3">
      <c r="C2">
        <v>2013</v>
      </c>
      <c r="D2">
        <v>2014</v>
      </c>
      <c r="E2">
        <v>2015</v>
      </c>
      <c r="F2">
        <v>2016</v>
      </c>
      <c r="G2">
        <v>2017</v>
      </c>
      <c r="K2" s="20"/>
      <c r="L2" s="21">
        <v>2013</v>
      </c>
      <c r="M2" s="21">
        <v>2014</v>
      </c>
      <c r="N2" s="21">
        <v>2015</v>
      </c>
      <c r="O2" s="21">
        <v>2016</v>
      </c>
      <c r="P2" s="21">
        <v>2017</v>
      </c>
    </row>
    <row r="3" spans="2:20" x14ac:dyDescent="0.3">
      <c r="B3" s="1" t="s">
        <v>20</v>
      </c>
      <c r="C3" s="2">
        <v>885588</v>
      </c>
      <c r="D3" s="2">
        <v>1102398</v>
      </c>
      <c r="E3" s="2">
        <v>1101274</v>
      </c>
      <c r="F3" s="2">
        <v>1123914</v>
      </c>
      <c r="G3" s="2">
        <v>1143116</v>
      </c>
      <c r="H3" s="2">
        <f>SUM(H4,H13)</f>
        <v>1143116</v>
      </c>
      <c r="K3" s="20" t="s">
        <v>149</v>
      </c>
      <c r="L3" s="3">
        <v>-24999</v>
      </c>
      <c r="M3" s="3">
        <v>1239</v>
      </c>
      <c r="N3" s="3">
        <v>-7988</v>
      </c>
      <c r="O3" s="3">
        <v>8430</v>
      </c>
      <c r="P3" s="3">
        <v>1341</v>
      </c>
    </row>
    <row r="4" spans="2:20" x14ac:dyDescent="0.3">
      <c r="B4" s="1" t="s">
        <v>21</v>
      </c>
      <c r="C4" s="2">
        <v>472935</v>
      </c>
      <c r="D4" s="2">
        <v>594578</v>
      </c>
      <c r="E4" s="2">
        <v>614125</v>
      </c>
      <c r="F4" s="2">
        <v>629266</v>
      </c>
      <c r="G4" s="2">
        <v>647977</v>
      </c>
      <c r="H4" s="2">
        <f>SUM(G5:G12)</f>
        <v>647977</v>
      </c>
      <c r="K4" s="20" t="s">
        <v>150</v>
      </c>
      <c r="L4" s="3">
        <v>347907</v>
      </c>
      <c r="M4" s="3">
        <v>380267</v>
      </c>
      <c r="N4" s="3">
        <v>368062</v>
      </c>
      <c r="O4" s="3">
        <v>366541</v>
      </c>
      <c r="P4" s="3">
        <v>368344</v>
      </c>
    </row>
    <row r="5" spans="2:20" x14ac:dyDescent="0.3">
      <c r="B5" t="s">
        <v>22</v>
      </c>
      <c r="C5" s="3">
        <v>21651</v>
      </c>
      <c r="D5" s="3">
        <v>181600</v>
      </c>
      <c r="E5" s="3">
        <v>196032</v>
      </c>
      <c r="F5" s="3">
        <v>208872</v>
      </c>
      <c r="G5" s="3">
        <v>223575</v>
      </c>
      <c r="H5" s="3"/>
      <c r="K5" s="20" t="s">
        <v>151</v>
      </c>
      <c r="L5" s="3">
        <v>1251931</v>
      </c>
      <c r="M5" s="3">
        <v>1253717</v>
      </c>
      <c r="N5" s="3">
        <v>1225029</v>
      </c>
      <c r="O5" s="3">
        <v>1258124</v>
      </c>
      <c r="P5" s="3">
        <v>1309932</v>
      </c>
    </row>
    <row r="6" spans="2:20" x14ac:dyDescent="0.3">
      <c r="B6" t="s">
        <v>23</v>
      </c>
      <c r="C6" s="3">
        <v>170668</v>
      </c>
      <c r="D6" s="3">
        <v>356089</v>
      </c>
      <c r="E6" s="3">
        <v>366210</v>
      </c>
      <c r="F6" s="3">
        <v>366212</v>
      </c>
      <c r="G6" s="3">
        <v>371835</v>
      </c>
      <c r="H6" s="3"/>
      <c r="K6" s="20" t="s">
        <v>152</v>
      </c>
      <c r="L6" s="3">
        <f>C47+C48</f>
        <v>10181</v>
      </c>
      <c r="M6" s="3">
        <f>D47+D48</f>
        <v>9652</v>
      </c>
      <c r="N6" s="3">
        <f>E47+E48</f>
        <v>45236</v>
      </c>
      <c r="O6" s="3">
        <f>F47+F48</f>
        <v>27071</v>
      </c>
      <c r="P6" s="3">
        <f>G47+G48</f>
        <v>24323</v>
      </c>
    </row>
    <row r="7" spans="2:20" x14ac:dyDescent="0.3">
      <c r="B7" t="s">
        <v>24</v>
      </c>
      <c r="C7" s="3">
        <v>25361</v>
      </c>
      <c r="D7" s="3">
        <v>18931</v>
      </c>
      <c r="E7" s="3">
        <v>17148</v>
      </c>
      <c r="F7" s="3">
        <v>14957</v>
      </c>
      <c r="G7" s="3">
        <v>9849</v>
      </c>
      <c r="H7" s="3"/>
      <c r="K7" s="20" t="s">
        <v>153</v>
      </c>
      <c r="L7" s="3">
        <f>L5+L6</f>
        <v>1262112</v>
      </c>
      <c r="M7" s="3">
        <f>M5+M6</f>
        <v>1263369</v>
      </c>
      <c r="N7" s="3">
        <f>N5+N6</f>
        <v>1270265</v>
      </c>
      <c r="O7" s="3">
        <f>O5+O6</f>
        <v>1285195</v>
      </c>
      <c r="P7" s="3">
        <f>P5+P6</f>
        <v>1334255</v>
      </c>
      <c r="Q7" s="3"/>
      <c r="R7" s="3"/>
      <c r="S7" s="3"/>
      <c r="T7" s="3"/>
    </row>
    <row r="8" spans="2:20" x14ac:dyDescent="0.3">
      <c r="B8" t="s">
        <v>25</v>
      </c>
      <c r="C8" s="3">
        <v>236245</v>
      </c>
      <c r="D8" s="3"/>
      <c r="E8" s="3">
        <v>0</v>
      </c>
      <c r="F8" s="3">
        <v>0</v>
      </c>
      <c r="G8" s="3">
        <v>0</v>
      </c>
      <c r="H8" s="3"/>
      <c r="K8" s="20" t="s">
        <v>154</v>
      </c>
      <c r="L8" s="3">
        <v>885588</v>
      </c>
      <c r="M8" s="3">
        <v>1102398</v>
      </c>
      <c r="N8" s="3">
        <v>1101274</v>
      </c>
      <c r="O8" s="3">
        <v>1123914</v>
      </c>
      <c r="P8" s="3">
        <v>1143116</v>
      </c>
    </row>
    <row r="9" spans="2:20" x14ac:dyDescent="0.3">
      <c r="B9" t="s">
        <v>26</v>
      </c>
      <c r="C9" s="3">
        <v>976</v>
      </c>
      <c r="D9" s="3">
        <v>1122</v>
      </c>
      <c r="E9" s="3">
        <v>1570</v>
      </c>
      <c r="F9" s="3">
        <v>2945</v>
      </c>
      <c r="G9" s="3">
        <v>4309</v>
      </c>
      <c r="H9" s="3"/>
      <c r="K9" s="20" t="s">
        <v>155</v>
      </c>
      <c r="L9" s="3">
        <v>95811</v>
      </c>
      <c r="M9" s="3">
        <v>219799</v>
      </c>
      <c r="N9" s="3">
        <v>225906</v>
      </c>
      <c r="O9" s="3">
        <v>225954</v>
      </c>
      <c r="P9" s="3">
        <v>220619</v>
      </c>
    </row>
    <row r="10" spans="2:20" x14ac:dyDescent="0.3">
      <c r="B10" s="4" t="s">
        <v>27</v>
      </c>
      <c r="C10" s="3">
        <v>690</v>
      </c>
      <c r="D10" s="3">
        <v>5125</v>
      </c>
      <c r="E10" s="3">
        <v>2942</v>
      </c>
      <c r="F10" s="3">
        <v>6563</v>
      </c>
      <c r="G10" s="3">
        <v>3483</v>
      </c>
      <c r="H10" s="3"/>
      <c r="K10" s="20" t="s">
        <v>156</v>
      </c>
      <c r="L10" s="3">
        <v>-922864</v>
      </c>
      <c r="M10" s="3">
        <v>-927686</v>
      </c>
      <c r="N10" s="3">
        <v>-937245</v>
      </c>
      <c r="O10" s="3">
        <v>-942154</v>
      </c>
      <c r="P10" s="3">
        <v>-981413</v>
      </c>
    </row>
    <row r="11" spans="2:20" x14ac:dyDescent="0.3">
      <c r="B11" t="s">
        <v>28</v>
      </c>
      <c r="C11" s="3"/>
      <c r="D11" s="3">
        <v>6988</v>
      </c>
      <c r="E11" s="3">
        <v>5743</v>
      </c>
      <c r="F11" s="3">
        <v>2481</v>
      </c>
      <c r="G11" s="3">
        <v>7375</v>
      </c>
      <c r="H11" s="3"/>
      <c r="K11" s="20" t="s">
        <v>157</v>
      </c>
      <c r="L11" s="3">
        <v>-29218</v>
      </c>
      <c r="M11" s="3">
        <v>3863</v>
      </c>
      <c r="N11" s="3">
        <v>-3988</v>
      </c>
      <c r="O11" s="3">
        <v>13240</v>
      </c>
      <c r="P11" s="3">
        <v>4487</v>
      </c>
    </row>
    <row r="12" spans="2:20" x14ac:dyDescent="0.3">
      <c r="B12" t="s">
        <v>29</v>
      </c>
      <c r="C12" s="3">
        <v>17344</v>
      </c>
      <c r="D12" s="3">
        <v>24723</v>
      </c>
      <c r="E12" s="3">
        <v>24480</v>
      </c>
      <c r="F12" s="3">
        <v>27236</v>
      </c>
      <c r="G12" s="3">
        <v>27551</v>
      </c>
      <c r="H12" s="3"/>
      <c r="K12" s="20" t="s">
        <v>158</v>
      </c>
      <c r="L12" s="3">
        <f>C11+C17</f>
        <v>195935</v>
      </c>
      <c r="M12" s="3">
        <f>D11+D17</f>
        <v>189577</v>
      </c>
      <c r="N12" s="3">
        <f>E11+E17</f>
        <v>166763</v>
      </c>
      <c r="O12" s="3">
        <f>F11+F17</f>
        <v>168267</v>
      </c>
      <c r="P12" s="3">
        <f>G11+G17</f>
        <v>187892</v>
      </c>
    </row>
    <row r="13" spans="2:20" x14ac:dyDescent="0.3">
      <c r="B13" s="1" t="s">
        <v>30</v>
      </c>
      <c r="C13" s="2">
        <v>412653</v>
      </c>
      <c r="D13" s="2">
        <v>507820</v>
      </c>
      <c r="E13" s="2">
        <v>487149</v>
      </c>
      <c r="F13" s="2">
        <v>494648</v>
      </c>
      <c r="G13" s="2">
        <v>495139</v>
      </c>
      <c r="H13" s="2">
        <f>SUM(G14:G20)</f>
        <v>495139</v>
      </c>
      <c r="K13" s="20" t="s">
        <v>159</v>
      </c>
      <c r="L13" s="3">
        <v>344080</v>
      </c>
      <c r="M13" s="3">
        <v>373741</v>
      </c>
      <c r="N13" s="3">
        <v>387914</v>
      </c>
      <c r="O13" s="3">
        <v>406904</v>
      </c>
      <c r="P13" s="3">
        <v>409494</v>
      </c>
    </row>
    <row r="14" spans="2:20" x14ac:dyDescent="0.3">
      <c r="B14" t="s">
        <v>31</v>
      </c>
      <c r="C14" s="3"/>
      <c r="D14" s="3">
        <v>1648</v>
      </c>
      <c r="E14" s="3">
        <v>309</v>
      </c>
      <c r="F14" s="3">
        <v>314</v>
      </c>
      <c r="G14" s="3">
        <v>305</v>
      </c>
      <c r="H14" s="3"/>
      <c r="K14" s="20" t="s">
        <v>160</v>
      </c>
      <c r="L14" s="3">
        <v>193601</v>
      </c>
      <c r="M14" s="3">
        <v>348390</v>
      </c>
      <c r="N14" s="3">
        <v>345298</v>
      </c>
      <c r="O14" s="3">
        <v>350469</v>
      </c>
      <c r="P14" s="3">
        <v>365278</v>
      </c>
    </row>
    <row r="15" spans="2:20" x14ac:dyDescent="0.3">
      <c r="B15" t="s">
        <v>32</v>
      </c>
      <c r="C15" s="3">
        <v>95811</v>
      </c>
      <c r="D15" s="3">
        <v>219799</v>
      </c>
      <c r="E15" s="3">
        <v>225906</v>
      </c>
      <c r="F15" s="3">
        <v>225954</v>
      </c>
      <c r="G15" s="3">
        <v>220619</v>
      </c>
      <c r="H15" s="3"/>
      <c r="K15" s="20" t="s">
        <v>161</v>
      </c>
      <c r="L15" s="3">
        <v>885588</v>
      </c>
      <c r="M15" s="3">
        <v>1102398</v>
      </c>
      <c r="N15" s="3">
        <v>1101274</v>
      </c>
      <c r="O15" s="3">
        <v>1123914</v>
      </c>
      <c r="P15" s="3">
        <v>1143116</v>
      </c>
    </row>
    <row r="16" spans="2:20" x14ac:dyDescent="0.3">
      <c r="B16" t="s">
        <v>33</v>
      </c>
      <c r="C16" s="3">
        <v>90626</v>
      </c>
      <c r="D16" s="3">
        <v>20481</v>
      </c>
      <c r="E16" s="3">
        <v>16370</v>
      </c>
      <c r="F16" s="3">
        <v>8821</v>
      </c>
      <c r="G16" s="3">
        <v>8059</v>
      </c>
      <c r="H16" s="3"/>
      <c r="K16" s="20" t="s">
        <v>162</v>
      </c>
      <c r="L16" s="3">
        <v>170416</v>
      </c>
      <c r="M16" s="3">
        <v>270070</v>
      </c>
      <c r="N16" s="3">
        <v>270986</v>
      </c>
      <c r="O16" s="3">
        <v>275616</v>
      </c>
      <c r="P16" s="3">
        <v>293020</v>
      </c>
    </row>
    <row r="17" spans="2:16" x14ac:dyDescent="0.3">
      <c r="B17" t="s">
        <v>34</v>
      </c>
      <c r="C17" s="3">
        <v>195935</v>
      </c>
      <c r="D17" s="3">
        <v>182589</v>
      </c>
      <c r="E17" s="3">
        <v>161020</v>
      </c>
      <c r="F17" s="3">
        <v>165786</v>
      </c>
      <c r="G17" s="3">
        <v>180517</v>
      </c>
      <c r="H17" s="3"/>
      <c r="K17" s="20" t="s">
        <v>163</v>
      </c>
      <c r="L17" s="3">
        <v>157461</v>
      </c>
      <c r="M17" s="3">
        <v>97536</v>
      </c>
      <c r="N17" s="3">
        <v>91038</v>
      </c>
      <c r="O17" s="3">
        <v>101226</v>
      </c>
      <c r="P17" s="3">
        <v>90731</v>
      </c>
    </row>
    <row r="18" spans="2:16" x14ac:dyDescent="0.3">
      <c r="B18" t="s">
        <v>35</v>
      </c>
      <c r="C18" s="3">
        <v>15377</v>
      </c>
      <c r="D18" s="3">
        <v>44207</v>
      </c>
      <c r="E18" s="3">
        <v>49017</v>
      </c>
      <c r="F18" s="3">
        <v>55258</v>
      </c>
      <c r="G18" s="3">
        <v>57866</v>
      </c>
      <c r="H18" s="3"/>
      <c r="K18" s="20" t="s">
        <v>164</v>
      </c>
      <c r="L18" s="3">
        <v>169476</v>
      </c>
      <c r="M18" s="3">
        <v>202615</v>
      </c>
      <c r="N18" s="3">
        <v>221027</v>
      </c>
      <c r="O18" s="3">
        <v>223725</v>
      </c>
      <c r="P18" s="3">
        <v>229402</v>
      </c>
    </row>
    <row r="19" spans="2:16" x14ac:dyDescent="0.3">
      <c r="B19" t="s">
        <v>36</v>
      </c>
      <c r="C19" s="3"/>
      <c r="D19" s="3">
        <v>3034</v>
      </c>
      <c r="E19" s="3">
        <v>2917</v>
      </c>
      <c r="F19" s="3">
        <v>3273</v>
      </c>
      <c r="G19" s="3">
        <v>2736</v>
      </c>
      <c r="H19" s="3"/>
      <c r="K19" s="20" t="s">
        <v>165</v>
      </c>
      <c r="L19" s="3">
        <v>-922864</v>
      </c>
      <c r="M19" s="3">
        <v>-927686</v>
      </c>
      <c r="N19" s="3">
        <v>-937245</v>
      </c>
      <c r="O19" s="3">
        <v>-942154</v>
      </c>
      <c r="P19" s="3">
        <v>-981413</v>
      </c>
    </row>
    <row r="20" spans="2:16" x14ac:dyDescent="0.3">
      <c r="B20" t="s">
        <v>37</v>
      </c>
      <c r="C20" s="3">
        <v>14904</v>
      </c>
      <c r="D20" s="3">
        <v>36062</v>
      </c>
      <c r="E20" s="3">
        <v>31610</v>
      </c>
      <c r="F20" s="3">
        <v>35242</v>
      </c>
      <c r="G20" s="3">
        <v>25037</v>
      </c>
      <c r="H20" s="3"/>
      <c r="K20" s="20" t="s">
        <v>166</v>
      </c>
      <c r="L20" s="3">
        <v>412653</v>
      </c>
      <c r="M20" s="3">
        <v>507820</v>
      </c>
      <c r="N20" s="3">
        <v>487149</v>
      </c>
      <c r="O20" s="3">
        <v>494648</v>
      </c>
      <c r="P20" s="3">
        <v>495139</v>
      </c>
    </row>
    <row r="21" spans="2:16" x14ac:dyDescent="0.3">
      <c r="B21" s="1" t="s">
        <v>38</v>
      </c>
      <c r="C21" s="2">
        <v>885588</v>
      </c>
      <c r="D21" s="2">
        <v>1102398</v>
      </c>
      <c r="E21" s="2">
        <v>1101274</v>
      </c>
      <c r="F21" s="2">
        <v>1123914</v>
      </c>
      <c r="G21" s="2">
        <v>1143116</v>
      </c>
      <c r="H21" s="2">
        <f>SUM(H22,H33,H39)</f>
        <v>1143116</v>
      </c>
      <c r="K21" s="21" t="s">
        <v>167</v>
      </c>
      <c r="L21" s="3">
        <f>C90+C84</f>
        <v>-11622</v>
      </c>
      <c r="M21" s="3">
        <f>D90+D84</f>
        <v>-19733</v>
      </c>
      <c r="N21" s="3">
        <f>E90+E84</f>
        <v>-16991</v>
      </c>
      <c r="O21" s="3">
        <f>F90+F84</f>
        <v>-14120</v>
      </c>
      <c r="P21" s="3">
        <f>G90+G84</f>
        <v>-11806</v>
      </c>
    </row>
    <row r="22" spans="2:16" x14ac:dyDescent="0.3">
      <c r="B22" s="1" t="s">
        <v>39</v>
      </c>
      <c r="C22" s="2">
        <v>347907</v>
      </c>
      <c r="D22" s="2">
        <v>380267</v>
      </c>
      <c r="E22" s="2">
        <v>368062</v>
      </c>
      <c r="F22" s="2">
        <v>366541</v>
      </c>
      <c r="G22" s="2">
        <v>368344</v>
      </c>
      <c r="H22" s="2">
        <f>SUM(H31,H32)</f>
        <v>368344</v>
      </c>
      <c r="K22" s="21"/>
      <c r="L22" s="22"/>
      <c r="M22" s="22"/>
      <c r="N22" s="22"/>
    </row>
    <row r="23" spans="2:16" x14ac:dyDescent="0.3">
      <c r="B23" t="s">
        <v>40</v>
      </c>
      <c r="C23" s="3">
        <v>92240</v>
      </c>
      <c r="D23" s="3">
        <v>101922</v>
      </c>
      <c r="E23" s="3">
        <v>101922</v>
      </c>
      <c r="F23" s="3">
        <v>101922</v>
      </c>
      <c r="G23" s="3">
        <v>101922</v>
      </c>
      <c r="H23" s="3"/>
      <c r="K23" s="20"/>
      <c r="L23" s="21"/>
      <c r="M23" s="21"/>
      <c r="N23" s="20"/>
    </row>
    <row r="24" spans="2:16" x14ac:dyDescent="0.3">
      <c r="B24" t="s">
        <v>41</v>
      </c>
      <c r="C24" s="3">
        <v>157705</v>
      </c>
      <c r="D24" s="3">
        <v>175698</v>
      </c>
      <c r="E24" s="3">
        <v>174502</v>
      </c>
      <c r="F24" s="3">
        <v>174502</v>
      </c>
      <c r="G24" s="3">
        <v>174502</v>
      </c>
      <c r="H24" s="3"/>
      <c r="K24" s="20"/>
      <c r="L24" s="20"/>
      <c r="M24" s="20"/>
      <c r="N24" s="20"/>
    </row>
    <row r="25" spans="2:16" x14ac:dyDescent="0.3">
      <c r="B25" t="s">
        <v>42</v>
      </c>
      <c r="C25" s="3">
        <v>95818</v>
      </c>
      <c r="D25" s="3">
        <v>99301</v>
      </c>
      <c r="E25" s="3">
        <v>99301</v>
      </c>
      <c r="F25" s="3">
        <v>46015</v>
      </c>
      <c r="G25" s="3">
        <v>33131</v>
      </c>
      <c r="H25" s="3"/>
      <c r="K25" s="20"/>
      <c r="L25" s="20"/>
      <c r="M25" s="20"/>
      <c r="N25" s="20"/>
    </row>
    <row r="26" spans="2:16" x14ac:dyDescent="0.3">
      <c r="B26" t="s">
        <v>43</v>
      </c>
      <c r="C26" s="3">
        <v>-3170</v>
      </c>
      <c r="D26" s="3">
        <v>-3170</v>
      </c>
      <c r="E26" s="3">
        <v>-3170</v>
      </c>
      <c r="F26" s="3">
        <v>-3170</v>
      </c>
      <c r="G26" s="3">
        <v>-3170</v>
      </c>
      <c r="H26" s="3"/>
      <c r="L26" s="20">
        <v>2013</v>
      </c>
      <c r="M26" s="20">
        <v>2014</v>
      </c>
      <c r="N26" s="20">
        <v>2015</v>
      </c>
      <c r="O26" s="20">
        <v>2016</v>
      </c>
      <c r="P26" s="20">
        <v>2017</v>
      </c>
    </row>
    <row r="27" spans="2:16" x14ac:dyDescent="0.3">
      <c r="B27" t="s">
        <v>44</v>
      </c>
      <c r="C27" s="3"/>
      <c r="D27" s="3">
        <v>-2464</v>
      </c>
      <c r="E27" s="3">
        <v>-4202</v>
      </c>
      <c r="F27" s="3">
        <v>7560</v>
      </c>
      <c r="G27" s="3">
        <v>922</v>
      </c>
      <c r="H27" s="3"/>
      <c r="K27" s="20" t="s">
        <v>168</v>
      </c>
      <c r="L27" s="20">
        <f>L3/L4</f>
        <v>-7.1855409635333586E-2</v>
      </c>
      <c r="M27" s="20">
        <f>M3/M4</f>
        <v>3.2582369755987241E-3</v>
      </c>
      <c r="N27" s="20">
        <f>N3/N4</f>
        <v>-2.1702865278132488E-2</v>
      </c>
      <c r="O27" s="20">
        <f>O3/O4</f>
        <v>2.2998791403962996E-2</v>
      </c>
      <c r="P27" s="20">
        <f>P3/P4</f>
        <v>3.6406185522229219E-3</v>
      </c>
    </row>
    <row r="28" spans="2:16" x14ac:dyDescent="0.3">
      <c r="B28" t="s">
        <v>45</v>
      </c>
      <c r="C28" s="3"/>
      <c r="D28" s="3">
        <v>12829</v>
      </c>
      <c r="E28" s="3">
        <v>6145</v>
      </c>
      <c r="F28" s="3">
        <v>55592</v>
      </c>
      <c r="G28" s="3">
        <v>73597</v>
      </c>
      <c r="H28" s="3"/>
      <c r="K28" s="20"/>
      <c r="L28" s="20"/>
      <c r="M28" s="20"/>
      <c r="N28" s="20"/>
      <c r="O28" s="20"/>
      <c r="P28" s="20"/>
    </row>
    <row r="29" spans="2:16" x14ac:dyDescent="0.3">
      <c r="B29" t="s">
        <v>46</v>
      </c>
      <c r="C29" s="3">
        <v>1369</v>
      </c>
      <c r="D29" s="3">
        <v>-17600</v>
      </c>
      <c r="E29" s="3">
        <v>-19049</v>
      </c>
      <c r="F29" s="3">
        <v>-17311</v>
      </c>
      <c r="G29" s="3">
        <v>-13723</v>
      </c>
      <c r="H29" s="3"/>
      <c r="K29" s="20"/>
      <c r="L29" s="20"/>
      <c r="M29" s="20"/>
      <c r="N29" s="20"/>
      <c r="O29" s="20"/>
      <c r="P29" s="20"/>
    </row>
    <row r="30" spans="2:16" x14ac:dyDescent="0.3">
      <c r="B30" t="s">
        <v>47</v>
      </c>
      <c r="C30" s="3">
        <v>3945</v>
      </c>
      <c r="D30" s="3">
        <v>10912</v>
      </c>
      <c r="E30" s="3">
        <v>9485</v>
      </c>
      <c r="F30" s="3">
        <v>-733</v>
      </c>
      <c r="G30" s="3">
        <v>-454</v>
      </c>
      <c r="H30" s="3"/>
      <c r="K30" s="20"/>
      <c r="L30" s="20"/>
      <c r="M30" s="20"/>
      <c r="N30" s="20"/>
      <c r="O30" s="20"/>
      <c r="P30" s="20"/>
    </row>
    <row r="31" spans="2:16" x14ac:dyDescent="0.3">
      <c r="B31" s="1" t="s">
        <v>48</v>
      </c>
      <c r="C31" s="2"/>
      <c r="D31" s="2">
        <v>377428</v>
      </c>
      <c r="E31" s="2">
        <v>364934</v>
      </c>
      <c r="F31" s="2">
        <v>364377</v>
      </c>
      <c r="G31" s="2">
        <v>366727</v>
      </c>
      <c r="H31" s="2">
        <f>SUM(G23:G30)</f>
        <v>366727</v>
      </c>
      <c r="L31" s="20">
        <v>2013</v>
      </c>
      <c r="M31" s="20">
        <v>2014</v>
      </c>
      <c r="N31" s="20">
        <v>2015</v>
      </c>
      <c r="O31" s="20">
        <v>2016</v>
      </c>
      <c r="P31" s="20">
        <v>2017</v>
      </c>
    </row>
    <row r="32" spans="2:16" x14ac:dyDescent="0.3">
      <c r="B32" s="4" t="s">
        <v>49</v>
      </c>
      <c r="C32" s="7"/>
      <c r="D32" s="7">
        <v>2839</v>
      </c>
      <c r="E32" s="7">
        <v>3128</v>
      </c>
      <c r="F32" s="7">
        <v>2164</v>
      </c>
      <c r="G32" s="7">
        <v>1617</v>
      </c>
      <c r="H32" s="7">
        <f>G32</f>
        <v>1617</v>
      </c>
      <c r="K32" s="135" t="s">
        <v>169</v>
      </c>
      <c r="L32" s="23">
        <f>L3/L8</f>
        <v>-2.8228702285938833E-2</v>
      </c>
      <c r="M32" s="23">
        <f>M3/M8</f>
        <v>1.1239135049229045E-3</v>
      </c>
      <c r="N32" s="23">
        <f>N3/N8</f>
        <v>-7.2534174056592638E-3</v>
      </c>
      <c r="O32" s="23">
        <f>O3/O8</f>
        <v>7.5005738873258985E-3</v>
      </c>
      <c r="P32" s="23">
        <f>P3/P8</f>
        <v>1.1731092907456462E-3</v>
      </c>
    </row>
    <row r="33" spans="2:26" x14ac:dyDescent="0.3">
      <c r="B33" s="1" t="s">
        <v>50</v>
      </c>
      <c r="C33" s="2">
        <v>193601</v>
      </c>
      <c r="D33" s="2">
        <v>348390</v>
      </c>
      <c r="E33" s="2">
        <v>345298</v>
      </c>
      <c r="F33" s="2">
        <v>350469</v>
      </c>
      <c r="G33" s="2">
        <v>365278</v>
      </c>
      <c r="H33" s="2">
        <f>SUM(G34:G38)</f>
        <v>365278</v>
      </c>
      <c r="K33" s="23"/>
      <c r="L33" s="23"/>
      <c r="M33" s="23"/>
      <c r="N33" s="23"/>
      <c r="O33" s="23"/>
      <c r="P33" s="23"/>
    </row>
    <row r="34" spans="2:26" x14ac:dyDescent="0.3">
      <c r="B34" t="s">
        <v>51</v>
      </c>
      <c r="C34" s="3">
        <v>23185</v>
      </c>
      <c r="D34" s="3">
        <v>64125</v>
      </c>
      <c r="E34" s="3">
        <v>62269</v>
      </c>
      <c r="F34" s="3">
        <v>64143</v>
      </c>
      <c r="G34" s="3">
        <v>59886</v>
      </c>
      <c r="H34" s="3"/>
      <c r="K34" s="23"/>
      <c r="L34" s="23"/>
      <c r="M34" s="23"/>
      <c r="N34" s="23"/>
      <c r="O34" s="23"/>
      <c r="P34" s="23"/>
    </row>
    <row r="35" spans="2:26" x14ac:dyDescent="0.3">
      <c r="B35" t="s">
        <v>52</v>
      </c>
      <c r="C35" s="3"/>
      <c r="D35" s="3">
        <v>5270</v>
      </c>
      <c r="E35" s="3">
        <v>5350</v>
      </c>
      <c r="F35" s="3">
        <v>5037</v>
      </c>
      <c r="G35" s="3">
        <v>7563</v>
      </c>
      <c r="H35" s="3"/>
      <c r="K35" s="20"/>
      <c r="L35" s="20"/>
      <c r="M35" s="20"/>
      <c r="N35" s="20"/>
      <c r="O35" s="20"/>
      <c r="P35" s="20"/>
    </row>
    <row r="36" spans="2:26" x14ac:dyDescent="0.3">
      <c r="B36" t="s">
        <v>53</v>
      </c>
      <c r="C36" s="3"/>
      <c r="D36" s="3">
        <v>5937</v>
      </c>
      <c r="E36" s="3">
        <v>4178</v>
      </c>
      <c r="F36" s="3">
        <v>3672</v>
      </c>
      <c r="G36" s="3">
        <v>2807</v>
      </c>
      <c r="H36" s="3"/>
      <c r="L36" s="20">
        <v>2013</v>
      </c>
      <c r="M36" s="20">
        <v>2014</v>
      </c>
      <c r="N36" s="20">
        <v>2015</v>
      </c>
      <c r="O36" s="20">
        <v>2016</v>
      </c>
      <c r="P36" s="20">
        <v>2017</v>
      </c>
    </row>
    <row r="37" spans="2:26" x14ac:dyDescent="0.3">
      <c r="B37" t="s">
        <v>54</v>
      </c>
      <c r="C37" s="3"/>
      <c r="D37" s="3">
        <v>2988</v>
      </c>
      <c r="E37" s="3">
        <v>2515</v>
      </c>
      <c r="F37" s="3">
        <v>2001</v>
      </c>
      <c r="G37" s="3">
        <v>2002</v>
      </c>
      <c r="H37" s="3"/>
      <c r="K37" s="23" t="s">
        <v>170</v>
      </c>
      <c r="L37" s="23">
        <f>L3/L7</f>
        <v>-1.9807275424051113E-2</v>
      </c>
      <c r="M37" s="23">
        <f>M3/M7</f>
        <v>9.8071109865763674E-4</v>
      </c>
      <c r="N37" s="23">
        <f>N3/N7</f>
        <v>-6.2884516222992837E-3</v>
      </c>
      <c r="O37" s="23">
        <f>O3/O7</f>
        <v>6.5593159014779856E-3</v>
      </c>
      <c r="P37" s="23">
        <f>P3/P7</f>
        <v>1.0050552555545978E-3</v>
      </c>
    </row>
    <row r="38" spans="2:26" x14ac:dyDescent="0.3">
      <c r="B38" t="s">
        <v>55</v>
      </c>
      <c r="C38" s="3">
        <v>170416</v>
      </c>
      <c r="D38" s="3">
        <v>270070</v>
      </c>
      <c r="E38" s="3">
        <v>270986</v>
      </c>
      <c r="F38" s="3">
        <v>275616</v>
      </c>
      <c r="G38" s="3">
        <v>293020</v>
      </c>
      <c r="H38" s="3"/>
      <c r="K38" s="23"/>
      <c r="L38" s="23"/>
      <c r="M38" s="23"/>
      <c r="N38" s="23"/>
      <c r="O38" s="23"/>
      <c r="P38" s="23"/>
    </row>
    <row r="39" spans="2:26" x14ac:dyDescent="0.3">
      <c r="B39" s="1" t="s">
        <v>56</v>
      </c>
      <c r="C39" s="2">
        <v>344080</v>
      </c>
      <c r="D39" s="2">
        <v>373741</v>
      </c>
      <c r="E39" s="2">
        <v>387914</v>
      </c>
      <c r="F39" s="2">
        <v>406904</v>
      </c>
      <c r="G39" s="2">
        <v>409494</v>
      </c>
      <c r="H39" s="2">
        <f>SUM(G40:G43)</f>
        <v>409494</v>
      </c>
      <c r="K39" s="23"/>
      <c r="L39" s="23"/>
      <c r="M39" s="23"/>
      <c r="N39" s="23"/>
      <c r="O39" s="23"/>
      <c r="P39" s="23"/>
    </row>
    <row r="40" spans="2:26" x14ac:dyDescent="0.3">
      <c r="B40" t="s">
        <v>57</v>
      </c>
      <c r="C40" s="3">
        <v>157461</v>
      </c>
      <c r="D40" s="3">
        <v>97536</v>
      </c>
      <c r="E40" s="3">
        <v>91038</v>
      </c>
      <c r="F40" s="3">
        <v>101226</v>
      </c>
      <c r="G40" s="3">
        <v>90731</v>
      </c>
      <c r="H40" s="3"/>
      <c r="K40" s="20"/>
      <c r="L40" s="20"/>
      <c r="M40" s="20"/>
      <c r="N40" s="20"/>
      <c r="O40" s="20"/>
      <c r="P40" s="20"/>
    </row>
    <row r="41" spans="2:26" x14ac:dyDescent="0.3">
      <c r="B41" t="s">
        <v>58</v>
      </c>
      <c r="C41" s="3">
        <v>169476</v>
      </c>
      <c r="D41" s="3">
        <v>202615</v>
      </c>
      <c r="E41" s="3">
        <v>221027</v>
      </c>
      <c r="F41" s="3">
        <v>223725</v>
      </c>
      <c r="G41" s="3">
        <v>229402</v>
      </c>
      <c r="H41" s="3"/>
      <c r="L41" s="20">
        <v>2013</v>
      </c>
      <c r="M41" s="20">
        <v>2014</v>
      </c>
      <c r="N41" s="20">
        <v>2015</v>
      </c>
      <c r="O41" s="20">
        <v>2016</v>
      </c>
      <c r="P41" s="20">
        <v>2017</v>
      </c>
    </row>
    <row r="42" spans="2:26" x14ac:dyDescent="0.3">
      <c r="B42" t="s">
        <v>59</v>
      </c>
      <c r="C42" s="3">
        <v>17143</v>
      </c>
      <c r="D42" s="3">
        <v>71901</v>
      </c>
      <c r="E42" s="3">
        <v>73807</v>
      </c>
      <c r="F42" s="3">
        <v>79563</v>
      </c>
      <c r="G42" s="3">
        <v>87752</v>
      </c>
      <c r="H42" s="3"/>
      <c r="K42" s="20" t="s">
        <v>171</v>
      </c>
      <c r="L42" s="20">
        <f>L7/L8</f>
        <v>1.4251683627149418</v>
      </c>
      <c r="M42" s="20">
        <f>M7/M8</f>
        <v>1.146018951413192</v>
      </c>
      <c r="N42" s="20">
        <f>N7/N8</f>
        <v>1.1534504582874017</v>
      </c>
      <c r="O42" s="20">
        <f>O7/O8</f>
        <v>1.1434994136562051</v>
      </c>
      <c r="P42" s="20">
        <f>P7/P8</f>
        <v>1.1672087522176227</v>
      </c>
    </row>
    <row r="43" spans="2:26" x14ac:dyDescent="0.3">
      <c r="B43" t="s">
        <v>60</v>
      </c>
      <c r="C43" s="3"/>
      <c r="D43" s="3">
        <v>1689</v>
      </c>
      <c r="E43" s="3">
        <v>2042</v>
      </c>
      <c r="F43" s="3">
        <v>2390</v>
      </c>
      <c r="G43" s="3">
        <v>1609</v>
      </c>
      <c r="H43" s="3"/>
      <c r="K43" s="20"/>
      <c r="L43" s="20"/>
      <c r="M43" s="20"/>
      <c r="N43" s="20"/>
      <c r="O43" s="20"/>
      <c r="P43" s="20"/>
    </row>
    <row r="44" spans="2:26" x14ac:dyDescent="0.3">
      <c r="K44" s="20"/>
      <c r="L44" s="20"/>
      <c r="M44" s="20"/>
      <c r="N44" s="20"/>
      <c r="O44" s="20"/>
      <c r="P44" s="20"/>
    </row>
    <row r="45" spans="2:26" x14ac:dyDescent="0.3">
      <c r="C45">
        <v>2013</v>
      </c>
      <c r="D45">
        <v>2014</v>
      </c>
      <c r="E45">
        <v>2015</v>
      </c>
      <c r="F45">
        <v>2016</v>
      </c>
      <c r="G45">
        <v>2017</v>
      </c>
      <c r="H45" t="s">
        <v>0</v>
      </c>
      <c r="K45" s="20"/>
      <c r="L45" s="20"/>
      <c r="M45" s="20"/>
      <c r="N45" s="20"/>
      <c r="O45" s="20"/>
      <c r="P45" s="20"/>
    </row>
    <row r="46" spans="2:26" x14ac:dyDescent="0.3">
      <c r="B46" s="1" t="s">
        <v>1</v>
      </c>
      <c r="C46" s="2">
        <v>1251931</v>
      </c>
      <c r="D46" s="2">
        <v>1253717</v>
      </c>
      <c r="E46" s="2">
        <v>1225029</v>
      </c>
      <c r="F46" s="2">
        <v>1258124</v>
      </c>
      <c r="G46" s="2">
        <v>1309932</v>
      </c>
      <c r="H46" s="2"/>
      <c r="L46" s="20">
        <v>2013</v>
      </c>
      <c r="M46" s="20">
        <v>2014</v>
      </c>
      <c r="N46" s="20">
        <v>2015</v>
      </c>
      <c r="O46" s="20">
        <v>2016</v>
      </c>
      <c r="P46" s="20">
        <v>2017</v>
      </c>
    </row>
    <row r="47" spans="2:26" x14ac:dyDescent="0.3">
      <c r="B47" t="s">
        <v>2</v>
      </c>
      <c r="C47" s="3">
        <v>-25785</v>
      </c>
      <c r="D47" s="3">
        <v>-12042</v>
      </c>
      <c r="E47" s="3">
        <v>13370</v>
      </c>
      <c r="F47" s="3">
        <v>5200</v>
      </c>
      <c r="G47" s="3">
        <v>-15117</v>
      </c>
      <c r="H47" s="3"/>
      <c r="K47" s="20" t="s">
        <v>172</v>
      </c>
      <c r="L47" s="20">
        <f>L5/L9</f>
        <v>13.066672928995628</v>
      </c>
      <c r="M47" s="20">
        <f>M5/M9</f>
        <v>5.7039249496130555</v>
      </c>
      <c r="N47" s="20">
        <f>N5/N9</f>
        <v>5.4227377758890869</v>
      </c>
      <c r="O47" s="20">
        <f>O5/O9</f>
        <v>5.5680536746417415</v>
      </c>
      <c r="P47" s="20">
        <f>P5/P9</f>
        <v>5.9375303124390921</v>
      </c>
    </row>
    <row r="48" spans="2:26" x14ac:dyDescent="0.3">
      <c r="B48" t="s">
        <v>3</v>
      </c>
      <c r="C48" s="3">
        <v>35966</v>
      </c>
      <c r="D48" s="3">
        <v>21694</v>
      </c>
      <c r="E48" s="3">
        <v>31866</v>
      </c>
      <c r="F48" s="3">
        <v>21871</v>
      </c>
      <c r="G48" s="3">
        <v>39440</v>
      </c>
      <c r="H48" s="3"/>
      <c r="K48" s="20"/>
      <c r="L48" s="20"/>
      <c r="M48" s="20"/>
      <c r="N48" s="20"/>
      <c r="O48" s="20"/>
      <c r="P48" s="20"/>
      <c r="Z48" s="1"/>
    </row>
    <row r="49" spans="2:16" x14ac:dyDescent="0.3">
      <c r="B49" s="1" t="s">
        <v>4</v>
      </c>
      <c r="C49" s="2">
        <v>1262112</v>
      </c>
      <c r="D49" s="2">
        <v>1263369</v>
      </c>
      <c r="E49" s="2">
        <v>1270265</v>
      </c>
      <c r="F49" s="2">
        <v>1285195</v>
      </c>
      <c r="G49" s="2">
        <v>1334255</v>
      </c>
      <c r="H49" s="2">
        <f>SUM(G46:G48)</f>
        <v>1334255</v>
      </c>
      <c r="K49" s="20"/>
      <c r="L49" s="20"/>
      <c r="M49" s="20"/>
      <c r="N49" s="20"/>
      <c r="O49" s="20"/>
      <c r="P49" s="20"/>
    </row>
    <row r="50" spans="2:16" x14ac:dyDescent="0.3">
      <c r="B50" t="s">
        <v>5</v>
      </c>
      <c r="C50" s="3">
        <v>-922864</v>
      </c>
      <c r="D50" s="3">
        <v>-927686</v>
      </c>
      <c r="E50" s="3">
        <v>-937245</v>
      </c>
      <c r="F50" s="3">
        <v>-942154</v>
      </c>
      <c r="G50" s="3">
        <v>-981413</v>
      </c>
      <c r="H50" s="3"/>
      <c r="K50" s="20"/>
      <c r="L50" s="20"/>
      <c r="M50" s="20"/>
      <c r="N50" s="20"/>
      <c r="O50" s="20"/>
      <c r="P50" s="20"/>
    </row>
    <row r="51" spans="2:16" x14ac:dyDescent="0.3">
      <c r="B51" t="s">
        <v>6</v>
      </c>
      <c r="C51" s="3">
        <v>-241828</v>
      </c>
      <c r="D51" s="3">
        <v>-228479</v>
      </c>
      <c r="E51" s="3">
        <v>-231362</v>
      </c>
      <c r="F51" s="3">
        <v>-235325</v>
      </c>
      <c r="G51" s="3">
        <v>-249012</v>
      </c>
      <c r="H51" s="3"/>
      <c r="L51" s="20">
        <v>2013</v>
      </c>
      <c r="M51" s="20">
        <v>2014</v>
      </c>
      <c r="N51" s="20">
        <v>2015</v>
      </c>
      <c r="O51" s="20">
        <v>2016</v>
      </c>
      <c r="P51" s="20">
        <v>2017</v>
      </c>
    </row>
    <row r="52" spans="2:16" x14ac:dyDescent="0.3">
      <c r="B52" t="s">
        <v>7</v>
      </c>
      <c r="C52" s="3">
        <v>-42141</v>
      </c>
      <c r="D52" s="3">
        <v>-43019</v>
      </c>
      <c r="E52" s="3">
        <v>-45644</v>
      </c>
      <c r="F52" s="3">
        <v>-47055</v>
      </c>
      <c r="G52" s="3">
        <v>-54676</v>
      </c>
      <c r="H52" s="3"/>
      <c r="K52" s="20" t="s">
        <v>173</v>
      </c>
      <c r="L52" s="20">
        <f>L5/L12</f>
        <v>6.3895220353688726</v>
      </c>
      <c r="M52" s="20">
        <f>M5/M12</f>
        <v>6.6132336728611589</v>
      </c>
      <c r="N52" s="20">
        <f>N5/N12</f>
        <v>7.3459280535850278</v>
      </c>
      <c r="O52" s="20">
        <f>O5/O12</f>
        <v>7.4769503229985679</v>
      </c>
      <c r="P52" s="20">
        <f>P5/P12</f>
        <v>6.9717284397419794</v>
      </c>
    </row>
    <row r="53" spans="2:16" x14ac:dyDescent="0.3">
      <c r="B53" t="s">
        <v>8</v>
      </c>
      <c r="C53" s="3">
        <v>-23235</v>
      </c>
      <c r="D53" s="3">
        <v>-21650</v>
      </c>
      <c r="E53" s="3">
        <v>-21570</v>
      </c>
      <c r="F53" s="3">
        <v>-20470</v>
      </c>
      <c r="G53" s="3">
        <v>-27459</v>
      </c>
      <c r="H53" s="3"/>
      <c r="K53" s="20"/>
      <c r="L53" s="20"/>
      <c r="M53" s="20"/>
      <c r="N53" s="20"/>
      <c r="O53" s="20"/>
      <c r="P53" s="20"/>
    </row>
    <row r="54" spans="2:16" x14ac:dyDescent="0.3">
      <c r="B54" s="1" t="s">
        <v>9</v>
      </c>
      <c r="C54" s="2">
        <v>32044</v>
      </c>
      <c r="D54" s="2">
        <v>42535</v>
      </c>
      <c r="E54" s="2">
        <v>34444</v>
      </c>
      <c r="F54" s="2">
        <v>40191</v>
      </c>
      <c r="G54" s="2">
        <v>21695</v>
      </c>
      <c r="H54" s="2">
        <f>SUM(G49:G53)</f>
        <v>21695</v>
      </c>
      <c r="K54" s="20"/>
      <c r="L54" s="20"/>
      <c r="M54" s="20"/>
      <c r="N54" s="20"/>
      <c r="O54" s="20"/>
      <c r="P54" s="20"/>
    </row>
    <row r="55" spans="2:16" x14ac:dyDescent="0.3">
      <c r="B55" t="s">
        <v>10</v>
      </c>
      <c r="C55" s="3">
        <v>7571</v>
      </c>
      <c r="D55" s="3">
        <v>8685</v>
      </c>
      <c r="E55" s="3">
        <v>7396</v>
      </c>
      <c r="F55" s="3">
        <v>6157</v>
      </c>
      <c r="G55" s="3">
        <v>4139</v>
      </c>
      <c r="H55" s="3"/>
      <c r="K55" s="20"/>
      <c r="L55" s="20"/>
      <c r="M55" s="20"/>
      <c r="N55" s="20"/>
      <c r="O55" s="20"/>
      <c r="P55" s="20"/>
    </row>
    <row r="56" spans="2:16" x14ac:dyDescent="0.3">
      <c r="B56" t="s">
        <v>11</v>
      </c>
      <c r="C56" s="3">
        <v>-68241</v>
      </c>
      <c r="D56" s="3">
        <v>-47422</v>
      </c>
      <c r="E56" s="3">
        <v>-46188</v>
      </c>
      <c r="F56" s="3">
        <v>-33192</v>
      </c>
      <c r="G56" s="3">
        <v>-21499</v>
      </c>
      <c r="H56" s="3"/>
      <c r="K56" s="20"/>
      <c r="L56" s="20">
        <v>2013</v>
      </c>
      <c r="M56" s="20">
        <v>2014</v>
      </c>
      <c r="N56" s="20">
        <v>2015</v>
      </c>
      <c r="O56" s="20">
        <v>2016</v>
      </c>
      <c r="P56" s="20">
        <v>2017</v>
      </c>
    </row>
    <row r="57" spans="2:16" x14ac:dyDescent="0.3">
      <c r="B57" s="1" t="s">
        <v>12</v>
      </c>
      <c r="C57" s="2">
        <v>-60670</v>
      </c>
      <c r="D57" s="2">
        <v>-38737</v>
      </c>
      <c r="E57" s="2">
        <v>-38792</v>
      </c>
      <c r="F57" s="2">
        <v>-27035</v>
      </c>
      <c r="G57" s="2">
        <v>-17360</v>
      </c>
      <c r="H57" s="2">
        <f>SUM(G55:G56)</f>
        <v>-17360</v>
      </c>
      <c r="K57" s="20" t="s">
        <v>174</v>
      </c>
      <c r="L57" s="20">
        <f>365/L47</f>
        <v>27.933660081905472</v>
      </c>
      <c r="M57" s="20">
        <f>365/M47</f>
        <v>63.991024290170749</v>
      </c>
      <c r="N57" s="20">
        <f>365/N47</f>
        <v>67.309173905270811</v>
      </c>
      <c r="O57" s="20">
        <f>365/O47</f>
        <v>65.552529003500453</v>
      </c>
      <c r="P57" s="20">
        <f>365/P47</f>
        <v>61.473370373423961</v>
      </c>
    </row>
    <row r="58" spans="2:16" x14ac:dyDescent="0.3">
      <c r="B58" t="s">
        <v>13</v>
      </c>
      <c r="C58" s="3">
        <v>-592</v>
      </c>
      <c r="D58" s="3">
        <v>65</v>
      </c>
      <c r="E58" s="3">
        <v>360</v>
      </c>
      <c r="F58" s="3">
        <v>84</v>
      </c>
      <c r="G58" s="3">
        <v>152</v>
      </c>
      <c r="H58" s="3">
        <f>G58</f>
        <v>152</v>
      </c>
      <c r="K58" s="20"/>
      <c r="L58" s="20"/>
      <c r="M58" s="20"/>
      <c r="N58" s="20"/>
      <c r="O58" s="20"/>
      <c r="P58" s="20"/>
    </row>
    <row r="59" spans="2:16" x14ac:dyDescent="0.3">
      <c r="B59" s="1" t="s">
        <v>14</v>
      </c>
      <c r="C59" s="2">
        <v>-29218</v>
      </c>
      <c r="D59" s="2">
        <v>3863</v>
      </c>
      <c r="E59" s="2">
        <v>-3988</v>
      </c>
      <c r="F59" s="2">
        <v>13240</v>
      </c>
      <c r="G59" s="2">
        <v>4487</v>
      </c>
      <c r="H59" s="2">
        <f>SUM(H54:H58)</f>
        <v>4487</v>
      </c>
      <c r="K59" s="20"/>
      <c r="L59" s="20"/>
      <c r="M59" s="20"/>
      <c r="N59" s="20"/>
      <c r="O59" s="20"/>
      <c r="P59" s="20"/>
    </row>
    <row r="60" spans="2:16" x14ac:dyDescent="0.3">
      <c r="B60" t="s">
        <v>15</v>
      </c>
      <c r="C60" s="3">
        <v>4219</v>
      </c>
      <c r="D60" s="3">
        <v>-2624</v>
      </c>
      <c r="E60" s="3">
        <v>-4000</v>
      </c>
      <c r="F60" s="3">
        <v>-4810</v>
      </c>
      <c r="G60" s="3">
        <v>-3146</v>
      </c>
      <c r="H60" s="3">
        <f>G60</f>
        <v>-3146</v>
      </c>
      <c r="K60" s="20"/>
      <c r="L60" s="20"/>
      <c r="M60" s="20"/>
      <c r="N60" s="20"/>
      <c r="O60" s="20"/>
      <c r="P60" s="20"/>
    </row>
    <row r="61" spans="2:16" x14ac:dyDescent="0.3">
      <c r="B61" s="1" t="s">
        <v>16</v>
      </c>
      <c r="C61" s="2">
        <v>-24999</v>
      </c>
      <c r="D61" s="2">
        <v>1239</v>
      </c>
      <c r="E61" s="2">
        <v>-7988</v>
      </c>
      <c r="F61" s="2">
        <v>8430</v>
      </c>
      <c r="G61" s="2">
        <v>1341</v>
      </c>
      <c r="H61" s="2">
        <f>SUM(H59:H60)</f>
        <v>1341</v>
      </c>
      <c r="K61" s="20"/>
      <c r="L61" s="20">
        <v>2013</v>
      </c>
      <c r="M61" s="20">
        <v>2014</v>
      </c>
      <c r="N61" s="20">
        <v>2015</v>
      </c>
      <c r="O61" s="20">
        <v>2016</v>
      </c>
      <c r="P61" s="20">
        <v>2017</v>
      </c>
    </row>
    <row r="62" spans="2:16" x14ac:dyDescent="0.3">
      <c r="B62" s="4" t="s">
        <v>17</v>
      </c>
      <c r="C62" s="3">
        <v>225</v>
      </c>
      <c r="D62" s="3">
        <v>220</v>
      </c>
      <c r="E62" s="3">
        <v>215</v>
      </c>
      <c r="F62" s="3">
        <v>436</v>
      </c>
      <c r="G62" s="3">
        <v>372</v>
      </c>
      <c r="H62" s="3"/>
      <c r="K62" s="20" t="s">
        <v>175</v>
      </c>
      <c r="L62" s="20">
        <f>365/L52</f>
        <v>57.12477364966599</v>
      </c>
      <c r="M62" s="20">
        <f>365/M52</f>
        <v>55.192363986449898</v>
      </c>
      <c r="N62" s="20">
        <f>365/N52</f>
        <v>49.68739107400723</v>
      </c>
      <c r="O62" s="20">
        <f>365/O52</f>
        <v>48.816694538853085</v>
      </c>
      <c r="P62" s="20">
        <f>365/P52</f>
        <v>52.354305414326852</v>
      </c>
    </row>
    <row r="63" spans="2:16" x14ac:dyDescent="0.3">
      <c r="B63" s="4" t="s">
        <v>18</v>
      </c>
      <c r="C63" s="3">
        <v>-25224</v>
      </c>
      <c r="D63" s="3">
        <v>1019</v>
      </c>
      <c r="E63" s="3">
        <v>-8203</v>
      </c>
      <c r="F63" s="3">
        <v>7994</v>
      </c>
      <c r="G63" s="3">
        <v>969</v>
      </c>
      <c r="H63" s="3"/>
      <c r="K63" s="20"/>
      <c r="L63" s="20"/>
      <c r="M63" s="20"/>
      <c r="N63" s="20"/>
      <c r="O63" s="20"/>
      <c r="P63" s="20"/>
    </row>
    <row r="64" spans="2:16" x14ac:dyDescent="0.3">
      <c r="B64" t="s">
        <v>19</v>
      </c>
      <c r="C64" s="5">
        <v>-1.51</v>
      </c>
      <c r="D64" s="5">
        <v>0.04</v>
      </c>
      <c r="E64" s="5">
        <v>-0.34</v>
      </c>
      <c r="F64" s="5">
        <v>0.33</v>
      </c>
      <c r="G64" s="5">
        <v>0.04</v>
      </c>
      <c r="H64" s="5"/>
      <c r="K64" s="20"/>
      <c r="L64" s="20"/>
      <c r="M64" s="20"/>
      <c r="N64" s="20"/>
      <c r="O64" s="20"/>
      <c r="P64" s="20"/>
    </row>
    <row r="65" spans="2:16" x14ac:dyDescent="0.3">
      <c r="K65" s="20"/>
      <c r="L65" s="20"/>
      <c r="M65" s="20"/>
      <c r="N65" s="20"/>
      <c r="O65" s="20"/>
      <c r="P65" s="20"/>
    </row>
    <row r="66" spans="2:16" x14ac:dyDescent="0.3">
      <c r="B66" s="8"/>
      <c r="C66">
        <v>2013</v>
      </c>
      <c r="D66" s="1">
        <v>2014</v>
      </c>
      <c r="E66">
        <v>2015</v>
      </c>
      <c r="F66" s="1">
        <v>2016</v>
      </c>
      <c r="G66" s="1">
        <v>2017</v>
      </c>
      <c r="H66" t="s">
        <v>61</v>
      </c>
      <c r="K66" s="20"/>
      <c r="L66" s="20">
        <v>2013</v>
      </c>
      <c r="M66" s="20">
        <v>2014</v>
      </c>
      <c r="N66" s="20">
        <v>2015</v>
      </c>
      <c r="O66" s="20">
        <v>2016</v>
      </c>
      <c r="P66" s="20">
        <v>2017</v>
      </c>
    </row>
    <row r="67" spans="2:16" x14ac:dyDescent="0.3">
      <c r="B67" s="10" t="s">
        <v>62</v>
      </c>
      <c r="C67" s="3"/>
      <c r="D67" s="3"/>
      <c r="E67" s="3"/>
      <c r="F67" s="3"/>
      <c r="G67" s="3"/>
      <c r="H67" s="3"/>
      <c r="K67" s="20" t="s">
        <v>176</v>
      </c>
      <c r="L67" s="20">
        <f>L4/L15</f>
        <v>0.39285423921733359</v>
      </c>
      <c r="M67" s="20">
        <f>M4/M15</f>
        <v>0.34494529199073293</v>
      </c>
      <c r="N67" s="20">
        <f>N4/N15</f>
        <v>0.33421473675034552</v>
      </c>
      <c r="O67" s="20">
        <f>O4/O15</f>
        <v>0.3261290454607737</v>
      </c>
      <c r="P67" s="20">
        <f>P4/P15</f>
        <v>0.32222801535452222</v>
      </c>
    </row>
    <row r="68" spans="2:16" x14ac:dyDescent="0.3">
      <c r="B68" s="8" t="s">
        <v>63</v>
      </c>
      <c r="C68" s="7">
        <v>2705</v>
      </c>
      <c r="D68" s="7">
        <v>1239</v>
      </c>
      <c r="E68" s="7">
        <v>-7988</v>
      </c>
      <c r="F68" s="7">
        <v>8430</v>
      </c>
      <c r="G68" s="7">
        <v>1341</v>
      </c>
      <c r="H68" s="7"/>
      <c r="K68" s="20"/>
      <c r="L68" s="20"/>
      <c r="M68" s="20"/>
      <c r="N68" s="20"/>
      <c r="O68" s="20"/>
      <c r="P68" s="20"/>
    </row>
    <row r="69" spans="2:16" x14ac:dyDescent="0.3">
      <c r="B69" s="8" t="s">
        <v>64</v>
      </c>
      <c r="C69" s="3"/>
      <c r="D69" s="3"/>
      <c r="E69" s="3"/>
      <c r="F69" s="3"/>
      <c r="G69" s="3"/>
      <c r="H69" s="3"/>
      <c r="K69" s="20"/>
      <c r="L69" s="20"/>
      <c r="M69" s="20"/>
      <c r="N69" s="20"/>
      <c r="O69" s="20"/>
      <c r="P69" s="20"/>
    </row>
    <row r="70" spans="2:16" x14ac:dyDescent="0.3">
      <c r="B70" s="8" t="s">
        <v>65</v>
      </c>
      <c r="C70" s="3">
        <v>15411</v>
      </c>
      <c r="D70" s="3">
        <v>35950</v>
      </c>
      <c r="E70" s="3">
        <v>36776</v>
      </c>
      <c r="F70" s="3">
        <v>37724</v>
      </c>
      <c r="G70" s="3">
        <v>43274</v>
      </c>
      <c r="H70" s="3"/>
      <c r="K70" s="20"/>
      <c r="L70" s="20"/>
      <c r="M70" s="20"/>
      <c r="N70" s="20"/>
      <c r="O70" s="20"/>
      <c r="P70" s="20"/>
    </row>
    <row r="71" spans="2:16" x14ac:dyDescent="0.3">
      <c r="B71" s="8" t="s">
        <v>66</v>
      </c>
      <c r="C71" s="3">
        <v>2924</v>
      </c>
      <c r="D71" s="3">
        <v>7069</v>
      </c>
      <c r="E71" s="3">
        <v>8868</v>
      </c>
      <c r="F71" s="3">
        <v>9331</v>
      </c>
      <c r="G71" s="3">
        <v>11402</v>
      </c>
      <c r="H71" s="3"/>
      <c r="K71" s="20"/>
      <c r="L71" s="20">
        <v>2013</v>
      </c>
      <c r="M71" s="20">
        <v>2014</v>
      </c>
      <c r="N71" s="20">
        <v>2015</v>
      </c>
      <c r="O71" s="20">
        <v>2016</v>
      </c>
      <c r="P71" s="20">
        <v>2017</v>
      </c>
    </row>
    <row r="72" spans="2:16" x14ac:dyDescent="0.3">
      <c r="B72" s="8" t="s">
        <v>67</v>
      </c>
      <c r="C72" s="3">
        <v>-18290</v>
      </c>
      <c r="D72" s="3">
        <v>-8750</v>
      </c>
      <c r="E72" s="3">
        <v>-7396</v>
      </c>
      <c r="F72" s="3">
        <v>-515</v>
      </c>
      <c r="G72" s="3">
        <v>-805</v>
      </c>
      <c r="H72" s="3"/>
      <c r="K72" s="20" t="s">
        <v>177</v>
      </c>
      <c r="L72" s="20">
        <f>(L16+L17)/L15</f>
        <v>0.37023649823620014</v>
      </c>
      <c r="M72" s="20">
        <f>(M16+M17)/M15</f>
        <v>0.33346032920959578</v>
      </c>
      <c r="N72" s="20">
        <f>(N16+N17)/N15</f>
        <v>0.3287319958520768</v>
      </c>
      <c r="O72" s="20">
        <f>(O16+O17)/O15</f>
        <v>0.33529433746710158</v>
      </c>
      <c r="P72" s="20">
        <f>(P16+P17)/P15</f>
        <v>0.33570608757116516</v>
      </c>
    </row>
    <row r="73" spans="2:16" x14ac:dyDescent="0.3">
      <c r="B73" s="8" t="s">
        <v>68</v>
      </c>
      <c r="C73" s="3">
        <v>38657</v>
      </c>
      <c r="D73" s="3">
        <v>47422</v>
      </c>
      <c r="E73" s="3">
        <v>46188</v>
      </c>
      <c r="F73" s="3">
        <v>15033</v>
      </c>
      <c r="G73" s="3">
        <v>12741</v>
      </c>
      <c r="H73" s="3"/>
      <c r="K73" s="20"/>
      <c r="L73" s="20"/>
      <c r="M73" s="20"/>
      <c r="N73" s="20"/>
      <c r="O73" s="20"/>
      <c r="P73" s="20"/>
    </row>
    <row r="74" spans="2:16" x14ac:dyDescent="0.3">
      <c r="B74" s="8" t="s">
        <v>69</v>
      </c>
      <c r="C74" s="3">
        <v>-506</v>
      </c>
      <c r="D74" s="3">
        <v>-288</v>
      </c>
      <c r="E74" s="3">
        <v>-2671</v>
      </c>
      <c r="F74" s="3">
        <v>-254</v>
      </c>
      <c r="G74" s="3">
        <v>-531</v>
      </c>
      <c r="H74" s="3"/>
      <c r="K74" s="20"/>
      <c r="L74" s="21"/>
      <c r="M74" s="21"/>
      <c r="N74" s="21"/>
      <c r="O74" s="21"/>
      <c r="P74" s="21"/>
    </row>
    <row r="75" spans="2:16" x14ac:dyDescent="0.3">
      <c r="B75" s="9" t="s">
        <v>70</v>
      </c>
      <c r="C75" s="3">
        <v>-2416</v>
      </c>
      <c r="D75" s="3"/>
      <c r="E75" s="3"/>
      <c r="F75" s="3">
        <v>0</v>
      </c>
      <c r="G75" s="3">
        <v>65</v>
      </c>
      <c r="H75" s="3"/>
      <c r="K75" s="20"/>
      <c r="L75" s="20"/>
      <c r="M75" s="20"/>
      <c r="N75" s="20"/>
      <c r="O75" s="20"/>
      <c r="P75" s="20"/>
    </row>
    <row r="76" spans="2:16" x14ac:dyDescent="0.3">
      <c r="B76" s="8" t="s">
        <v>71</v>
      </c>
      <c r="C76" s="3">
        <v>0</v>
      </c>
      <c r="D76" s="3">
        <v>-83</v>
      </c>
      <c r="E76" s="3"/>
      <c r="F76" s="3"/>
      <c r="G76" s="3"/>
      <c r="H76" s="3"/>
      <c r="K76" s="20"/>
      <c r="L76" s="20">
        <v>2013</v>
      </c>
      <c r="M76" s="20">
        <v>2014</v>
      </c>
      <c r="N76" s="20">
        <v>2015</v>
      </c>
      <c r="O76" s="20">
        <v>2016</v>
      </c>
      <c r="P76" s="20">
        <v>2017</v>
      </c>
    </row>
    <row r="77" spans="2:16" x14ac:dyDescent="0.3">
      <c r="B77" s="8" t="s">
        <v>72</v>
      </c>
      <c r="C77" s="3">
        <v>-8026</v>
      </c>
      <c r="D77" s="3">
        <v>2624</v>
      </c>
      <c r="E77" s="3">
        <v>4000</v>
      </c>
      <c r="F77" s="3">
        <v>4810</v>
      </c>
      <c r="G77" s="3">
        <v>3146</v>
      </c>
      <c r="H77" s="3"/>
      <c r="K77" s="20" t="s">
        <v>178</v>
      </c>
      <c r="L77" s="20">
        <f>365 * (L18/L19)</f>
        <v>-67.029096378231245</v>
      </c>
      <c r="M77" s="20">
        <f>365 * (M18/M19)</f>
        <v>-79.719296184269254</v>
      </c>
      <c r="N77" s="20">
        <f>365 * (N18/N19)</f>
        <v>-86.076591499554553</v>
      </c>
      <c r="O77" s="20">
        <f>365 * (O18/O19)</f>
        <v>-86.673330474635776</v>
      </c>
      <c r="P77" s="20">
        <f>365 * (P18/P19)</f>
        <v>-85.317526871969292</v>
      </c>
    </row>
    <row r="78" spans="2:16" x14ac:dyDescent="0.3">
      <c r="B78" s="10" t="s">
        <v>73</v>
      </c>
      <c r="C78" s="2">
        <v>30459</v>
      </c>
      <c r="D78" s="2">
        <v>85183</v>
      </c>
      <c r="E78" s="2">
        <v>77777</v>
      </c>
      <c r="F78" s="2">
        <v>74559</v>
      </c>
      <c r="G78" s="2">
        <v>70633</v>
      </c>
      <c r="H78" s="2">
        <f>SUM(G68:G77)</f>
        <v>70633</v>
      </c>
      <c r="K78" s="20"/>
      <c r="L78" s="20"/>
      <c r="M78" s="20"/>
      <c r="N78" s="20"/>
      <c r="O78" s="20"/>
      <c r="P78" s="20"/>
    </row>
    <row r="79" spans="2:16" x14ac:dyDescent="0.3">
      <c r="B79" s="8" t="s">
        <v>74</v>
      </c>
      <c r="C79" s="3">
        <v>-2273</v>
      </c>
      <c r="D79" s="3">
        <v>20196</v>
      </c>
      <c r="E79" s="3">
        <v>12493</v>
      </c>
      <c r="F79" s="3">
        <v>-10669</v>
      </c>
      <c r="G79" s="3">
        <v>-22693</v>
      </c>
      <c r="H79" s="3"/>
      <c r="K79" s="20"/>
      <c r="L79" s="20"/>
      <c r="M79" s="20"/>
      <c r="N79" s="20"/>
      <c r="O79" s="20"/>
      <c r="P79" s="20"/>
    </row>
    <row r="80" spans="2:16" x14ac:dyDescent="0.3">
      <c r="B80" s="8" t="s">
        <v>75</v>
      </c>
      <c r="C80" s="3">
        <v>-11594</v>
      </c>
      <c r="D80" s="3">
        <v>16552</v>
      </c>
      <c r="E80" s="3">
        <v>-6107</v>
      </c>
      <c r="F80" s="3">
        <v>-54</v>
      </c>
      <c r="G80" s="3">
        <v>5317</v>
      </c>
      <c r="H80" s="3"/>
      <c r="K80" s="20"/>
      <c r="L80" s="20"/>
      <c r="M80" s="20"/>
      <c r="N80" s="20"/>
      <c r="O80" s="20"/>
      <c r="P80" s="20"/>
    </row>
    <row r="81" spans="2:16" x14ac:dyDescent="0.3">
      <c r="B81" s="8" t="s">
        <v>76</v>
      </c>
      <c r="C81" s="3">
        <v>1553</v>
      </c>
      <c r="D81" s="3">
        <v>-4452</v>
      </c>
      <c r="E81" s="3">
        <v>-1776</v>
      </c>
      <c r="F81" s="3">
        <v>1719</v>
      </c>
      <c r="G81" s="3">
        <v>-1612</v>
      </c>
      <c r="H81" s="3"/>
      <c r="K81" s="20"/>
      <c r="L81" s="20">
        <v>2013</v>
      </c>
      <c r="M81" s="20">
        <v>2014</v>
      </c>
      <c r="N81" s="20">
        <v>2015</v>
      </c>
      <c r="O81" s="20">
        <v>2016</v>
      </c>
      <c r="P81" s="20">
        <v>2017</v>
      </c>
    </row>
    <row r="82" spans="2:16" x14ac:dyDescent="0.3">
      <c r="B82" s="8" t="s">
        <v>77</v>
      </c>
      <c r="C82" s="3">
        <v>12467</v>
      </c>
      <c r="D82" s="3">
        <v>-19483</v>
      </c>
      <c r="E82" s="3">
        <v>5588</v>
      </c>
      <c r="F82" s="3">
        <v>17505</v>
      </c>
      <c r="G82" s="3">
        <v>17304</v>
      </c>
      <c r="H82" s="3"/>
      <c r="K82" s="20" t="s">
        <v>179</v>
      </c>
      <c r="L82" s="20">
        <f>L8/L4</f>
        <v>2.5454733592598022</v>
      </c>
      <c r="M82" s="20">
        <f>M8/M4</f>
        <v>2.8990104321437307</v>
      </c>
      <c r="N82" s="20">
        <f>N8/N4</f>
        <v>2.992088289472969</v>
      </c>
      <c r="O82" s="20">
        <f>O8/O4</f>
        <v>3.0662708946611703</v>
      </c>
      <c r="P82" s="20">
        <f>P8/P4</f>
        <v>3.1033924809417286</v>
      </c>
    </row>
    <row r="83" spans="2:16" x14ac:dyDescent="0.3">
      <c r="B83" s="10" t="s">
        <v>78</v>
      </c>
      <c r="C83" s="2">
        <v>153</v>
      </c>
      <c r="D83" s="2">
        <v>12813</v>
      </c>
      <c r="E83" s="2">
        <v>10198</v>
      </c>
      <c r="F83" s="2">
        <v>8501</v>
      </c>
      <c r="G83" s="2">
        <v>-1684</v>
      </c>
      <c r="H83" s="2">
        <f>SUM(G79:G82)</f>
        <v>-1684</v>
      </c>
      <c r="K83" s="20"/>
      <c r="L83" s="20"/>
      <c r="M83" s="20"/>
      <c r="N83" s="20"/>
      <c r="O83" s="20"/>
      <c r="P83" s="20"/>
    </row>
    <row r="84" spans="2:16" x14ac:dyDescent="0.3">
      <c r="B84" s="8" t="s">
        <v>79</v>
      </c>
      <c r="C84" s="3">
        <v>-17656</v>
      </c>
      <c r="D84" s="3">
        <v>-21526</v>
      </c>
      <c r="E84" s="3">
        <v>-18868</v>
      </c>
      <c r="F84" s="3">
        <v>-15033</v>
      </c>
      <c r="G84" s="3">
        <v>-12741</v>
      </c>
      <c r="H84" s="3">
        <f>G84</f>
        <v>-12741</v>
      </c>
      <c r="K84" s="20"/>
      <c r="L84" s="20"/>
      <c r="M84" s="20"/>
      <c r="N84" s="20"/>
      <c r="O84" s="20"/>
      <c r="P84" s="20"/>
    </row>
    <row r="85" spans="2:16" x14ac:dyDescent="0.3">
      <c r="B85" s="8" t="s">
        <v>80</v>
      </c>
      <c r="C85" s="3"/>
      <c r="D85" s="3">
        <v>-4048</v>
      </c>
      <c r="E85" s="3">
        <v>-5137</v>
      </c>
      <c r="F85" s="3">
        <v>-5223</v>
      </c>
      <c r="G85" s="3">
        <v>-3689</v>
      </c>
      <c r="H85" s="3">
        <f>G85</f>
        <v>-3689</v>
      </c>
      <c r="K85" s="20"/>
      <c r="L85" s="20"/>
      <c r="M85" s="20"/>
      <c r="N85" s="20"/>
      <c r="O85" s="20"/>
      <c r="P85" s="20"/>
    </row>
    <row r="86" spans="2:16" x14ac:dyDescent="0.3">
      <c r="B86" s="10" t="s">
        <v>81</v>
      </c>
      <c r="C86" s="2">
        <v>12956</v>
      </c>
      <c r="D86" s="2">
        <v>72422</v>
      </c>
      <c r="E86" s="2">
        <v>63970</v>
      </c>
      <c r="F86" s="2">
        <v>62804</v>
      </c>
      <c r="G86" s="2">
        <v>52519</v>
      </c>
      <c r="H86" s="2">
        <f>SUM(H77:H85)</f>
        <v>52519</v>
      </c>
      <c r="K86" s="20"/>
      <c r="L86" s="20">
        <v>2013</v>
      </c>
      <c r="M86" s="20">
        <v>2014</v>
      </c>
      <c r="N86" s="20">
        <v>2015</v>
      </c>
      <c r="O86" s="20">
        <v>2016</v>
      </c>
      <c r="P86" s="20">
        <v>2017</v>
      </c>
    </row>
    <row r="87" spans="2:16" x14ac:dyDescent="0.3">
      <c r="B87" s="10" t="s">
        <v>82</v>
      </c>
      <c r="C87" s="3"/>
      <c r="D87" s="3"/>
      <c r="E87" s="3"/>
      <c r="F87" s="3"/>
      <c r="G87" s="3"/>
      <c r="H87" s="3"/>
      <c r="K87" s="20" t="s">
        <v>180</v>
      </c>
      <c r="L87" s="20">
        <f>(L20-L9)/L13</f>
        <v>0.92083817716810046</v>
      </c>
      <c r="M87" s="20">
        <f>(M20-M9)/M13</f>
        <v>0.77064330646089141</v>
      </c>
      <c r="N87" s="20">
        <f>(N20-N9)/N13</f>
        <v>0.67345597220002373</v>
      </c>
      <c r="O87" s="20">
        <f>(O20-O9)/O13</f>
        <v>0.66033757348170574</v>
      </c>
      <c r="P87" s="20">
        <f>(P20-P9)/P13</f>
        <v>0.67038833291818678</v>
      </c>
    </row>
    <row r="88" spans="2:16" x14ac:dyDescent="0.3">
      <c r="B88" s="8" t="s">
        <v>83</v>
      </c>
      <c r="C88" s="3">
        <v>7418</v>
      </c>
      <c r="D88" s="3">
        <v>5477</v>
      </c>
      <c r="E88" s="3">
        <v>10131</v>
      </c>
      <c r="F88" s="3">
        <v>2510</v>
      </c>
      <c r="G88" s="3">
        <v>5582</v>
      </c>
      <c r="H88" s="3"/>
      <c r="K88" s="20"/>
      <c r="L88" s="20"/>
      <c r="M88" s="20"/>
      <c r="N88" s="20"/>
      <c r="O88" s="20"/>
      <c r="P88" s="20"/>
    </row>
    <row r="89" spans="2:16" x14ac:dyDescent="0.3">
      <c r="B89" s="8" t="s">
        <v>84</v>
      </c>
      <c r="C89" s="3">
        <v>453</v>
      </c>
      <c r="D89" s="3">
        <v>3274</v>
      </c>
      <c r="E89" s="3">
        <v>1448</v>
      </c>
      <c r="F89" s="3">
        <v>2253</v>
      </c>
      <c r="G89" s="3">
        <v>250</v>
      </c>
      <c r="H89" s="3"/>
      <c r="K89" s="20"/>
      <c r="L89" s="20"/>
      <c r="M89" s="20"/>
      <c r="N89" s="20"/>
      <c r="O89" s="20"/>
      <c r="P89" s="20"/>
    </row>
    <row r="90" spans="2:16" x14ac:dyDescent="0.3">
      <c r="B90" s="8" t="s">
        <v>85</v>
      </c>
      <c r="C90" s="3">
        <v>6034</v>
      </c>
      <c r="D90" s="3">
        <v>1793</v>
      </c>
      <c r="E90" s="3">
        <v>1877</v>
      </c>
      <c r="F90" s="3">
        <v>913</v>
      </c>
      <c r="G90" s="3">
        <v>935</v>
      </c>
      <c r="H90" s="3"/>
      <c r="K90" s="20"/>
      <c r="L90" s="20"/>
      <c r="M90" s="20"/>
      <c r="N90" s="20"/>
      <c r="O90" s="20"/>
      <c r="P90" s="20"/>
    </row>
    <row r="91" spans="2:16" x14ac:dyDescent="0.3">
      <c r="B91" s="8" t="s">
        <v>86</v>
      </c>
      <c r="C91" s="3">
        <v>9837</v>
      </c>
      <c r="D91" s="3">
        <v>120</v>
      </c>
      <c r="E91" s="3">
        <v>52</v>
      </c>
      <c r="F91" s="3">
        <v>136</v>
      </c>
      <c r="G91" s="3">
        <v>215</v>
      </c>
      <c r="H91" s="3"/>
      <c r="K91" s="20"/>
      <c r="L91" s="20">
        <v>2013</v>
      </c>
      <c r="M91" s="20">
        <v>2014</v>
      </c>
      <c r="N91" s="20">
        <v>2015</v>
      </c>
      <c r="O91" s="20">
        <v>2016</v>
      </c>
      <c r="P91" s="20">
        <v>2017</v>
      </c>
    </row>
    <row r="92" spans="2:16" x14ac:dyDescent="0.3">
      <c r="B92" s="8" t="s">
        <v>87</v>
      </c>
      <c r="C92" s="3">
        <v>0</v>
      </c>
      <c r="D92" s="3">
        <v>10</v>
      </c>
      <c r="E92" s="3">
        <v>0</v>
      </c>
      <c r="F92" s="3">
        <v>454</v>
      </c>
      <c r="G92" s="3">
        <v>434</v>
      </c>
      <c r="H92" s="3"/>
      <c r="K92" s="20" t="s">
        <v>181</v>
      </c>
      <c r="L92" s="20">
        <f>L20/L13</f>
        <v>1.1992937688909555</v>
      </c>
      <c r="M92" s="20">
        <f>M20/M13</f>
        <v>1.358748438089479</v>
      </c>
      <c r="N92" s="20">
        <f>N20/N13</f>
        <v>1.2558170109869713</v>
      </c>
      <c r="O92" s="20">
        <f>O20/O13</f>
        <v>1.2156380866248551</v>
      </c>
      <c r="P92" s="20">
        <f>P20/P13</f>
        <v>1.209148363590187</v>
      </c>
    </row>
    <row r="93" spans="2:16" x14ac:dyDescent="0.3">
      <c r="B93" s="8" t="s">
        <v>88</v>
      </c>
      <c r="C93" s="3">
        <v>-40731</v>
      </c>
      <c r="D93" s="3">
        <v>-40371</v>
      </c>
      <c r="E93" s="3">
        <v>-52375</v>
      </c>
      <c r="F93" s="3">
        <v>-59412</v>
      </c>
      <c r="G93" s="3">
        <v>-49672</v>
      </c>
      <c r="H93" s="3"/>
      <c r="K93" s="20"/>
      <c r="L93" s="20"/>
      <c r="M93" s="20"/>
      <c r="N93" s="20"/>
      <c r="O93" s="20"/>
      <c r="P93" s="20"/>
    </row>
    <row r="94" spans="2:16" x14ac:dyDescent="0.3">
      <c r="B94" s="8" t="s">
        <v>89</v>
      </c>
      <c r="C94" s="3">
        <v>-7304</v>
      </c>
      <c r="D94" s="3">
        <v>-9</v>
      </c>
      <c r="E94" s="3">
        <v>-37</v>
      </c>
      <c r="F94" s="3">
        <v>0</v>
      </c>
      <c r="G94" s="3">
        <v>-371</v>
      </c>
      <c r="H94" s="3"/>
      <c r="K94" s="20"/>
      <c r="L94" s="20"/>
      <c r="M94" s="20"/>
      <c r="N94" s="20"/>
      <c r="O94" s="20"/>
      <c r="P94" s="20"/>
    </row>
    <row r="95" spans="2:16" x14ac:dyDescent="0.3">
      <c r="B95" s="8" t="s">
        <v>90</v>
      </c>
      <c r="C95" s="3">
        <v>-6600</v>
      </c>
      <c r="D95" s="3"/>
      <c r="E95" s="3">
        <v>0</v>
      </c>
      <c r="F95" s="3">
        <v>-710</v>
      </c>
      <c r="G95" s="3">
        <v>0</v>
      </c>
      <c r="H95" s="3"/>
      <c r="K95" s="20"/>
      <c r="L95" s="21"/>
      <c r="M95" s="21"/>
      <c r="N95" s="21"/>
      <c r="O95" s="21"/>
      <c r="P95" s="21"/>
    </row>
    <row r="96" spans="2:16" x14ac:dyDescent="0.3">
      <c r="B96" s="8" t="s">
        <v>91</v>
      </c>
      <c r="C96" s="3"/>
      <c r="D96" s="3"/>
      <c r="E96" s="3">
        <v>0</v>
      </c>
      <c r="F96" s="3">
        <v>-1530</v>
      </c>
      <c r="G96" s="3">
        <v>-1200</v>
      </c>
      <c r="H96" s="3"/>
      <c r="K96" s="21"/>
      <c r="L96" s="20">
        <v>2013</v>
      </c>
      <c r="M96" s="20">
        <v>2014</v>
      </c>
      <c r="N96" s="20">
        <v>2015</v>
      </c>
      <c r="O96" s="20">
        <v>2016</v>
      </c>
      <c r="P96" s="20">
        <v>2017</v>
      </c>
    </row>
    <row r="97" spans="2:16" x14ac:dyDescent="0.3">
      <c r="B97" s="8" t="s">
        <v>92</v>
      </c>
      <c r="C97" s="3">
        <v>-79950</v>
      </c>
      <c r="D97" s="3"/>
      <c r="E97" s="3"/>
      <c r="F97" s="3">
        <v>3498</v>
      </c>
      <c r="G97" s="3">
        <v>128</v>
      </c>
      <c r="H97" s="3"/>
      <c r="K97" s="23" t="s">
        <v>182</v>
      </c>
      <c r="L97" s="23">
        <f>L57+L62-L77</f>
        <v>152.08753010980269</v>
      </c>
      <c r="M97" s="23">
        <f>M57+M62-M77</f>
        <v>198.9026844608899</v>
      </c>
      <c r="N97" s="23">
        <f>N57+N62-N77</f>
        <v>203.0731564788326</v>
      </c>
      <c r="O97" s="23">
        <f>O57+O62-O77</f>
        <v>201.0425540169893</v>
      </c>
      <c r="P97" s="23">
        <f>P57+P62-P77</f>
        <v>199.1452026597201</v>
      </c>
    </row>
    <row r="98" spans="2:16" x14ac:dyDescent="0.3">
      <c r="B98" s="8" t="s">
        <v>93</v>
      </c>
      <c r="C98" s="3">
        <v>83959</v>
      </c>
      <c r="D98" s="3"/>
      <c r="E98" s="3"/>
      <c r="F98" s="3"/>
      <c r="G98" s="3"/>
      <c r="H98" s="3"/>
      <c r="K98" s="23"/>
      <c r="L98" s="23"/>
      <c r="M98" s="23"/>
      <c r="N98" s="23"/>
      <c r="O98" s="23"/>
      <c r="P98" s="23"/>
    </row>
    <row r="99" spans="2:16" x14ac:dyDescent="0.3">
      <c r="B99" s="8" t="s">
        <v>94</v>
      </c>
      <c r="C99" s="3">
        <v>-143</v>
      </c>
      <c r="D99" s="3">
        <v>-3258</v>
      </c>
      <c r="E99" s="3">
        <v>1885</v>
      </c>
      <c r="F99" s="3">
        <v>-1349</v>
      </c>
      <c r="G99" s="3">
        <v>2341</v>
      </c>
      <c r="H99" s="3"/>
      <c r="K99" s="23"/>
      <c r="L99" s="23"/>
      <c r="M99" s="23"/>
      <c r="N99" s="23"/>
      <c r="O99" s="23"/>
      <c r="P99" s="23"/>
    </row>
    <row r="100" spans="2:16" x14ac:dyDescent="0.3">
      <c r="B100" s="8" t="s">
        <v>95</v>
      </c>
      <c r="C100" s="3">
        <v>-10903</v>
      </c>
      <c r="D100" s="3">
        <v>-21264</v>
      </c>
      <c r="E100" s="3">
        <v>-23084</v>
      </c>
      <c r="F100" s="3">
        <v>-23819</v>
      </c>
      <c r="G100" s="3">
        <v>-25656</v>
      </c>
      <c r="H100" s="3"/>
      <c r="K100" s="23"/>
      <c r="L100" s="20"/>
      <c r="M100" s="20"/>
      <c r="N100" s="20"/>
      <c r="O100" s="20"/>
      <c r="P100" s="20"/>
    </row>
    <row r="101" spans="2:16" x14ac:dyDescent="0.3">
      <c r="B101" s="10" t="s">
        <v>96</v>
      </c>
      <c r="C101" s="2">
        <v>-37930</v>
      </c>
      <c r="D101" s="2">
        <v>-54228</v>
      </c>
      <c r="E101" s="2">
        <v>-60103</v>
      </c>
      <c r="F101" s="2">
        <v>-77056</v>
      </c>
      <c r="G101" s="2">
        <v>-67014</v>
      </c>
      <c r="H101" s="2">
        <f>SUM(G88:G100)</f>
        <v>-67014</v>
      </c>
      <c r="K101" s="20"/>
      <c r="L101" s="20">
        <v>2013</v>
      </c>
      <c r="M101" s="20">
        <v>2014</v>
      </c>
      <c r="N101" s="20">
        <v>2015</v>
      </c>
      <c r="O101" s="20">
        <v>2016</v>
      </c>
      <c r="P101" s="20">
        <v>2017</v>
      </c>
    </row>
    <row r="102" spans="2:16" x14ac:dyDescent="0.3">
      <c r="B102" s="10" t="s">
        <v>97</v>
      </c>
      <c r="C102" s="3"/>
      <c r="D102" s="3"/>
      <c r="E102" s="3"/>
      <c r="F102" s="3"/>
      <c r="G102" s="3"/>
      <c r="H102" s="3"/>
      <c r="K102" s="20" t="s">
        <v>186</v>
      </c>
      <c r="L102" s="21">
        <f>L11/L5</f>
        <v>-2.3338346921675395E-2</v>
      </c>
      <c r="M102" s="21">
        <f>M11/M5</f>
        <v>3.0812376317781447E-3</v>
      </c>
      <c r="N102" s="21">
        <f>N11/N5</f>
        <v>-3.2554331366849276E-3</v>
      </c>
      <c r="O102" s="21">
        <f>O11/O5</f>
        <v>1.0523604986471922E-2</v>
      </c>
      <c r="P102" s="21">
        <f>P11/P5</f>
        <v>3.4253686450899743E-3</v>
      </c>
    </row>
    <row r="103" spans="2:16" x14ac:dyDescent="0.3">
      <c r="B103" s="8" t="s">
        <v>98</v>
      </c>
      <c r="C103" s="3">
        <v>25856</v>
      </c>
      <c r="D103" s="3">
        <v>9812</v>
      </c>
      <c r="E103" s="3"/>
      <c r="F103" s="3"/>
      <c r="G103" s="3"/>
      <c r="H103" s="3"/>
      <c r="K103" s="20"/>
      <c r="L103" s="21"/>
      <c r="M103" s="21"/>
      <c r="N103" s="21"/>
      <c r="O103" s="21"/>
      <c r="P103" s="21"/>
    </row>
    <row r="104" spans="2:16" x14ac:dyDescent="0.3">
      <c r="B104" s="8" t="s">
        <v>99</v>
      </c>
      <c r="C104" s="3">
        <v>117336</v>
      </c>
      <c r="D104" s="3">
        <v>168496</v>
      </c>
      <c r="E104" s="3">
        <v>196402</v>
      </c>
      <c r="F104" s="3">
        <v>120778</v>
      </c>
      <c r="G104" s="3">
        <v>115673</v>
      </c>
      <c r="H104" s="3"/>
      <c r="K104" s="20"/>
      <c r="L104" s="21"/>
      <c r="M104" s="21"/>
      <c r="N104" s="21"/>
      <c r="O104" s="21"/>
      <c r="P104" s="21"/>
    </row>
    <row r="105" spans="2:16" x14ac:dyDescent="0.3">
      <c r="B105" s="8" t="s">
        <v>100</v>
      </c>
      <c r="C105" s="3">
        <v>-122286</v>
      </c>
      <c r="D105" s="3">
        <v>-272940</v>
      </c>
      <c r="E105" s="3">
        <v>-188663</v>
      </c>
      <c r="F105" s="3">
        <v>-88110</v>
      </c>
      <c r="G105" s="3">
        <v>-113695</v>
      </c>
      <c r="H105" s="3"/>
      <c r="K105" s="20"/>
      <c r="L105" s="20"/>
      <c r="M105" s="20"/>
      <c r="N105" s="20"/>
      <c r="O105" s="20"/>
      <c r="P105" s="20"/>
    </row>
    <row r="106" spans="2:16" x14ac:dyDescent="0.3">
      <c r="B106" s="8" t="s">
        <v>101</v>
      </c>
      <c r="C106" s="3">
        <v>0</v>
      </c>
      <c r="D106" s="3">
        <v>73000</v>
      </c>
      <c r="E106" s="3">
        <v>-14600</v>
      </c>
      <c r="F106" s="3">
        <v>0</v>
      </c>
      <c r="G106" s="3">
        <v>19531</v>
      </c>
      <c r="H106" s="3"/>
      <c r="K106" s="20"/>
      <c r="L106" s="20">
        <v>2013</v>
      </c>
      <c r="M106" s="20">
        <v>2014</v>
      </c>
      <c r="N106" s="20">
        <v>2015</v>
      </c>
      <c r="O106" s="20">
        <v>2016</v>
      </c>
      <c r="P106" s="20">
        <v>2017</v>
      </c>
    </row>
    <row r="107" spans="2:16" x14ac:dyDescent="0.3">
      <c r="B107" s="8" t="s">
        <v>102</v>
      </c>
      <c r="C107" s="3"/>
      <c r="D107" s="3"/>
      <c r="E107" s="3"/>
      <c r="F107" s="3">
        <v>-14600</v>
      </c>
      <c r="G107" s="3">
        <v>-14600</v>
      </c>
      <c r="H107" s="3"/>
      <c r="K107" s="20" t="s">
        <v>183</v>
      </c>
      <c r="L107" s="20">
        <f>L3/L7</f>
        <v>-1.9807275424051113E-2</v>
      </c>
      <c r="M107" s="20">
        <f>M3/M7</f>
        <v>9.8071109865763674E-4</v>
      </c>
      <c r="N107" s="20">
        <f>N3/N7</f>
        <v>-6.2884516222992837E-3</v>
      </c>
      <c r="O107" s="20">
        <f>O3/O7</f>
        <v>6.5593159014779856E-3</v>
      </c>
      <c r="P107" s="20">
        <f>P3/P7</f>
        <v>1.0050552555545978E-3</v>
      </c>
    </row>
    <row r="108" spans="2:16" x14ac:dyDescent="0.3">
      <c r="B108" s="8" t="s">
        <v>103</v>
      </c>
      <c r="C108" s="3"/>
      <c r="D108" s="3">
        <v>0</v>
      </c>
      <c r="E108" s="3">
        <v>-1458</v>
      </c>
      <c r="F108" s="3">
        <v>0</v>
      </c>
      <c r="G108" s="3">
        <v>-2430</v>
      </c>
      <c r="H108" s="3"/>
      <c r="K108" s="20"/>
      <c r="L108" s="20"/>
      <c r="M108" s="20"/>
      <c r="N108" s="20"/>
      <c r="O108" s="20"/>
      <c r="P108" s="20"/>
    </row>
    <row r="109" spans="2:16" x14ac:dyDescent="0.3">
      <c r="B109" s="10" t="s">
        <v>104</v>
      </c>
      <c r="C109" s="2">
        <v>20906</v>
      </c>
      <c r="D109" s="2">
        <v>-21632</v>
      </c>
      <c r="E109" s="2">
        <v>-8319</v>
      </c>
      <c r="F109" s="2">
        <v>18068</v>
      </c>
      <c r="G109" s="2">
        <v>4479</v>
      </c>
      <c r="H109" s="2">
        <f>SUM(G103:G108)</f>
        <v>4479</v>
      </c>
      <c r="K109" s="20"/>
      <c r="L109" s="20"/>
      <c r="M109" s="20"/>
      <c r="N109" s="20"/>
      <c r="O109" s="20"/>
      <c r="P109" s="20"/>
    </row>
    <row r="110" spans="2:16" x14ac:dyDescent="0.3">
      <c r="B110" s="10" t="s">
        <v>105</v>
      </c>
      <c r="C110" s="2">
        <v>-4068</v>
      </c>
      <c r="D110" s="2">
        <v>-3438</v>
      </c>
      <c r="E110" s="2">
        <v>-4452</v>
      </c>
      <c r="F110" s="2">
        <v>3816</v>
      </c>
      <c r="G110" s="2">
        <v>-10016</v>
      </c>
      <c r="H110" s="2">
        <f>H86+H101+H109</f>
        <v>-10016</v>
      </c>
      <c r="K110" s="20"/>
      <c r="L110" s="20"/>
      <c r="M110" s="20"/>
      <c r="N110" s="20"/>
      <c r="O110" s="20"/>
      <c r="P110" s="20"/>
    </row>
    <row r="111" spans="2:16" x14ac:dyDescent="0.3">
      <c r="B111" s="8" t="s">
        <v>106</v>
      </c>
      <c r="C111" s="3">
        <v>18972</v>
      </c>
      <c r="D111" s="11">
        <v>39500</v>
      </c>
      <c r="E111" s="3">
        <v>36062</v>
      </c>
      <c r="F111" s="3">
        <v>31426</v>
      </c>
      <c r="G111" s="3">
        <v>35053</v>
      </c>
      <c r="H111" s="3">
        <f>G111</f>
        <v>35053</v>
      </c>
      <c r="K111" s="20"/>
      <c r="L111" s="20">
        <v>2013</v>
      </c>
      <c r="M111" s="20">
        <v>2014</v>
      </c>
      <c r="N111" s="20">
        <v>2015</v>
      </c>
      <c r="O111" s="20">
        <v>2016</v>
      </c>
      <c r="P111" s="20">
        <v>2017</v>
      </c>
    </row>
    <row r="112" spans="2:16" x14ac:dyDescent="0.3">
      <c r="B112" s="8" t="s">
        <v>107</v>
      </c>
      <c r="C112" s="3">
        <v>14904</v>
      </c>
      <c r="D112" s="3">
        <v>36062</v>
      </c>
      <c r="E112" s="3">
        <v>31610</v>
      </c>
      <c r="F112" s="3">
        <v>35242</v>
      </c>
      <c r="G112" s="3">
        <v>25037</v>
      </c>
      <c r="H112" s="3">
        <f>H110+H111</f>
        <v>25037</v>
      </c>
      <c r="K112" s="21" t="s">
        <v>184</v>
      </c>
      <c r="L112" s="20">
        <f>L11/L21</f>
        <v>2.5140251247633798</v>
      </c>
      <c r="M112" s="20">
        <f>M11/M21</f>
        <v>-0.19576344195003295</v>
      </c>
      <c r="N112" s="20">
        <f>N11/N21</f>
        <v>0.23471249485021481</v>
      </c>
      <c r="O112" s="20">
        <f>O11/O21</f>
        <v>-0.93767705382436262</v>
      </c>
      <c r="P112" s="20">
        <f>P11/P21</f>
        <v>-0.38006098593935289</v>
      </c>
    </row>
    <row r="113" spans="1:16" x14ac:dyDescent="0.3">
      <c r="K113" s="21"/>
      <c r="L113" s="20"/>
      <c r="M113" s="20"/>
      <c r="N113" s="20"/>
      <c r="O113" s="20"/>
      <c r="P113" s="20"/>
    </row>
    <row r="114" spans="1:16" x14ac:dyDescent="0.3">
      <c r="K114" s="21"/>
      <c r="L114" s="20"/>
      <c r="M114" s="20"/>
      <c r="N114" s="20"/>
      <c r="O114" s="20"/>
      <c r="P114" s="20"/>
    </row>
    <row r="115" spans="1:16" x14ac:dyDescent="0.3">
      <c r="A115" s="12" t="s">
        <v>108</v>
      </c>
      <c r="B115" s="13" t="s">
        <v>109</v>
      </c>
      <c r="K115" s="21"/>
      <c r="L115" s="20"/>
      <c r="M115" s="20"/>
      <c r="N115" s="20"/>
      <c r="O115" s="20"/>
      <c r="P115" s="20"/>
    </row>
    <row r="116" spans="1:16" x14ac:dyDescent="0.3">
      <c r="A116" s="14"/>
      <c r="B116" s="15"/>
      <c r="E116" s="20"/>
      <c r="K116" s="20"/>
      <c r="L116" s="20">
        <v>2013</v>
      </c>
      <c r="M116" s="20">
        <v>2014</v>
      </c>
      <c r="N116" s="20">
        <v>2015</v>
      </c>
      <c r="O116" s="20">
        <v>2016</v>
      </c>
      <c r="P116" s="20">
        <v>2017</v>
      </c>
    </row>
    <row r="117" spans="1:16" x14ac:dyDescent="0.3">
      <c r="A117" s="14" t="s">
        <v>110</v>
      </c>
      <c r="B117" s="15" t="s">
        <v>111</v>
      </c>
      <c r="C117">
        <v>1</v>
      </c>
      <c r="D117" s="20"/>
      <c r="E117" s="20"/>
      <c r="K117" s="20" t="s">
        <v>185</v>
      </c>
      <c r="L117" s="20">
        <f>L19/L18</f>
        <v>-5.445396398310085</v>
      </c>
      <c r="M117" s="20">
        <f>M19/M18</f>
        <v>-4.5785652592354955</v>
      </c>
      <c r="N117" s="20">
        <f>N19/N18</f>
        <v>-4.2404095427255495</v>
      </c>
      <c r="O117" s="20">
        <f>O19/O18</f>
        <v>-4.211214660855962</v>
      </c>
      <c r="P117" s="20">
        <f>P19/P18</f>
        <v>-4.2781361975920005</v>
      </c>
    </row>
    <row r="118" spans="1:16" x14ac:dyDescent="0.3">
      <c r="A118" s="14" t="s">
        <v>112</v>
      </c>
      <c r="B118" s="15" t="s">
        <v>113</v>
      </c>
      <c r="C118">
        <v>2</v>
      </c>
      <c r="D118" s="20"/>
      <c r="E118" s="20"/>
      <c r="K118" s="20"/>
      <c r="L118" s="20"/>
      <c r="M118" s="20"/>
      <c r="N118" s="20"/>
    </row>
    <row r="119" spans="1:16" x14ac:dyDescent="0.3">
      <c r="A119" s="14" t="s">
        <v>114</v>
      </c>
      <c r="B119" s="15" t="s">
        <v>115</v>
      </c>
      <c r="C119">
        <v>3</v>
      </c>
      <c r="D119" s="20"/>
      <c r="E119" s="20"/>
      <c r="K119" s="21"/>
      <c r="L119" s="20"/>
      <c r="M119" s="20"/>
      <c r="N119" s="20"/>
    </row>
    <row r="120" spans="1:16" x14ac:dyDescent="0.3">
      <c r="A120" s="14" t="s">
        <v>116</v>
      </c>
      <c r="B120" s="15" t="s">
        <v>117</v>
      </c>
      <c r="C120">
        <v>4</v>
      </c>
      <c r="D120" s="20"/>
      <c r="E120" s="20"/>
    </row>
    <row r="121" spans="1:16" x14ac:dyDescent="0.3">
      <c r="A121" s="14" t="s">
        <v>118</v>
      </c>
      <c r="B121" s="15" t="s">
        <v>119</v>
      </c>
      <c r="C121">
        <v>5</v>
      </c>
      <c r="E121" s="20"/>
    </row>
    <row r="122" spans="1:16" x14ac:dyDescent="0.3">
      <c r="A122" s="14" t="s">
        <v>120</v>
      </c>
      <c r="B122" s="15" t="s">
        <v>121</v>
      </c>
      <c r="C122">
        <v>6</v>
      </c>
      <c r="D122" s="23"/>
      <c r="E122" s="20"/>
    </row>
    <row r="123" spans="1:16" x14ac:dyDescent="0.3">
      <c r="A123" s="14" t="s">
        <v>122</v>
      </c>
      <c r="B123" s="15" t="s">
        <v>123</v>
      </c>
      <c r="C123">
        <v>7</v>
      </c>
      <c r="D123" s="23"/>
      <c r="E123" s="20"/>
    </row>
    <row r="124" spans="1:16" x14ac:dyDescent="0.3">
      <c r="A124" s="14" t="s">
        <v>124</v>
      </c>
      <c r="B124" s="15" t="s">
        <v>125</v>
      </c>
      <c r="C124">
        <v>8</v>
      </c>
      <c r="D124" s="23"/>
      <c r="E124" s="20"/>
    </row>
    <row r="125" spans="1:16" x14ac:dyDescent="0.3">
      <c r="A125" s="14" t="s">
        <v>126</v>
      </c>
      <c r="B125" s="15" t="s">
        <v>127</v>
      </c>
      <c r="C125">
        <v>9</v>
      </c>
      <c r="D125" s="20"/>
      <c r="E125" s="20"/>
    </row>
    <row r="126" spans="1:16" x14ac:dyDescent="0.3">
      <c r="A126" s="14" t="s">
        <v>128</v>
      </c>
      <c r="B126" s="15" t="s">
        <v>129</v>
      </c>
      <c r="C126">
        <v>10</v>
      </c>
      <c r="E126" s="20"/>
    </row>
    <row r="127" spans="1:16" x14ac:dyDescent="0.3">
      <c r="A127" s="14" t="s">
        <v>130</v>
      </c>
      <c r="B127" s="15" t="s">
        <v>131</v>
      </c>
      <c r="C127">
        <v>11</v>
      </c>
      <c r="D127" s="23"/>
      <c r="E127" s="20"/>
    </row>
    <row r="128" spans="1:16" x14ac:dyDescent="0.3">
      <c r="A128" s="14" t="s">
        <v>132</v>
      </c>
      <c r="B128" s="15" t="s">
        <v>133</v>
      </c>
      <c r="C128">
        <v>12</v>
      </c>
      <c r="D128" s="23"/>
      <c r="E128" s="20"/>
    </row>
    <row r="129" spans="1:5" x14ac:dyDescent="0.3">
      <c r="A129" s="14" t="s">
        <v>134</v>
      </c>
      <c r="B129" s="15" t="s">
        <v>135</v>
      </c>
      <c r="C129">
        <v>13</v>
      </c>
      <c r="D129" s="23"/>
      <c r="E129" s="20"/>
    </row>
    <row r="130" spans="1:5" x14ac:dyDescent="0.3">
      <c r="A130" s="14" t="s">
        <v>136</v>
      </c>
      <c r="B130" s="15" t="s">
        <v>137</v>
      </c>
      <c r="C130">
        <v>14</v>
      </c>
      <c r="D130" s="20"/>
      <c r="E130" s="20"/>
    </row>
    <row r="131" spans="1:5" x14ac:dyDescent="0.3">
      <c r="A131" s="14" t="s">
        <v>138</v>
      </c>
      <c r="B131" s="15" t="s">
        <v>139</v>
      </c>
      <c r="C131">
        <v>15</v>
      </c>
      <c r="E131" s="20"/>
    </row>
    <row r="132" spans="1:5" x14ac:dyDescent="0.3">
      <c r="A132" s="16" t="s">
        <v>140</v>
      </c>
      <c r="B132" s="17" t="s">
        <v>141</v>
      </c>
      <c r="C132">
        <v>16</v>
      </c>
      <c r="D132" s="20"/>
      <c r="E132" s="20"/>
    </row>
    <row r="133" spans="1:5" x14ac:dyDescent="0.3">
      <c r="A133" s="14" t="s">
        <v>142</v>
      </c>
      <c r="B133" s="15" t="s">
        <v>115</v>
      </c>
      <c r="C133">
        <v>17</v>
      </c>
      <c r="D133" s="20"/>
      <c r="E133" s="20"/>
    </row>
    <row r="134" spans="1:5" x14ac:dyDescent="0.3">
      <c r="A134" s="14" t="s">
        <v>143</v>
      </c>
      <c r="B134" s="15" t="s">
        <v>144</v>
      </c>
      <c r="C134">
        <v>18</v>
      </c>
      <c r="D134" s="20"/>
      <c r="E134" s="20"/>
    </row>
    <row r="135" spans="1:5" x14ac:dyDescent="0.3">
      <c r="A135" s="14" t="s">
        <v>128</v>
      </c>
      <c r="B135" s="15" t="s">
        <v>145</v>
      </c>
      <c r="C135">
        <v>19</v>
      </c>
      <c r="D135" s="20"/>
      <c r="E135" s="20"/>
    </row>
    <row r="136" spans="1:5" x14ac:dyDescent="0.3">
      <c r="A136" s="18" t="s">
        <v>146</v>
      </c>
      <c r="B136" s="19" t="s">
        <v>147</v>
      </c>
      <c r="C136">
        <v>20</v>
      </c>
      <c r="E136" s="20"/>
    </row>
    <row r="137" spans="1:5" x14ac:dyDescent="0.3">
      <c r="D137" s="20"/>
      <c r="E137" s="20"/>
    </row>
    <row r="138" spans="1:5" x14ac:dyDescent="0.3">
      <c r="D138" s="20"/>
      <c r="E138" s="20"/>
    </row>
    <row r="139" spans="1:5" x14ac:dyDescent="0.3">
      <c r="D139" s="20"/>
      <c r="E139" s="20"/>
    </row>
    <row r="140" spans="1:5" x14ac:dyDescent="0.3">
      <c r="D140" s="20"/>
      <c r="E140" s="20"/>
    </row>
    <row r="141" spans="1:5" x14ac:dyDescent="0.3">
      <c r="E141" s="21"/>
    </row>
    <row r="142" spans="1:5" x14ac:dyDescent="0.3">
      <c r="D142" s="20"/>
      <c r="E142" s="23"/>
    </row>
    <row r="143" spans="1:5" x14ac:dyDescent="0.3">
      <c r="D143" s="20"/>
      <c r="E143" s="23"/>
    </row>
    <row r="144" spans="1:5" x14ac:dyDescent="0.3">
      <c r="D144" s="20"/>
      <c r="E144" s="23"/>
    </row>
    <row r="145" spans="4:5" x14ac:dyDescent="0.3">
      <c r="D145" s="20"/>
      <c r="E145" s="23"/>
    </row>
    <row r="146" spans="4:5" x14ac:dyDescent="0.3">
      <c r="D146" s="20"/>
      <c r="E146" s="20"/>
    </row>
    <row r="147" spans="4:5" x14ac:dyDescent="0.3">
      <c r="D147" s="20"/>
      <c r="E147" s="20"/>
    </row>
    <row r="148" spans="4:5" x14ac:dyDescent="0.3">
      <c r="D148" s="20"/>
      <c r="E148" s="20"/>
    </row>
    <row r="149" spans="4:5" x14ac:dyDescent="0.3">
      <c r="D149" s="20"/>
      <c r="E149" s="20"/>
    </row>
    <row r="150" spans="4:5" x14ac:dyDescent="0.3">
      <c r="D150" s="20"/>
      <c r="E150" s="20"/>
    </row>
    <row r="151" spans="4:5" x14ac:dyDescent="0.3">
      <c r="D151" s="20"/>
      <c r="E151" s="20"/>
    </row>
    <row r="152" spans="4:5" x14ac:dyDescent="0.3">
      <c r="D152" s="20"/>
      <c r="E152" s="20"/>
    </row>
    <row r="153" spans="4:5" x14ac:dyDescent="0.3">
      <c r="D153" s="20"/>
      <c r="E153" s="20"/>
    </row>
    <row r="154" spans="4:5" x14ac:dyDescent="0.3">
      <c r="D154" s="20"/>
      <c r="E154" s="20"/>
    </row>
    <row r="155" spans="4:5" x14ac:dyDescent="0.3">
      <c r="D155" s="20"/>
      <c r="E155" s="20"/>
    </row>
    <row r="156" spans="4:5" x14ac:dyDescent="0.3">
      <c r="D156" s="20"/>
      <c r="E156" s="20"/>
    </row>
    <row r="157" spans="4:5" x14ac:dyDescent="0.3">
      <c r="D157" s="20"/>
      <c r="E157" s="21"/>
    </row>
    <row r="158" spans="4:5" x14ac:dyDescent="0.3">
      <c r="D158" s="20"/>
      <c r="E158" s="21"/>
    </row>
    <row r="159" spans="4:5" x14ac:dyDescent="0.3">
      <c r="D159" s="20"/>
      <c r="E159" s="21"/>
    </row>
    <row r="160" spans="4:5" x14ac:dyDescent="0.3">
      <c r="D160" s="20"/>
      <c r="E160" s="21"/>
    </row>
    <row r="161" spans="5:5" x14ac:dyDescent="0.3">
      <c r="E161" s="20"/>
    </row>
    <row r="162" spans="5:5" x14ac:dyDescent="0.3">
      <c r="E162" s="20"/>
    </row>
  </sheetData>
  <mergeCells count="1">
    <mergeCell ref="L1:N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abSelected="1" topLeftCell="D2" zoomScale="72" zoomScaleNormal="115" workbookViewId="0">
      <selection activeCell="Y7" sqref="Y7"/>
    </sheetView>
  </sheetViews>
  <sheetFormatPr defaultRowHeight="14.4" x14ac:dyDescent="0.3"/>
  <cols>
    <col min="1" max="1" width="10.109375" bestFit="1" customWidth="1"/>
    <col min="2" max="2" width="9.5546875" customWidth="1"/>
    <col min="3" max="3" width="40.6640625" bestFit="1" customWidth="1"/>
    <col min="4" max="4" width="14.88671875" bestFit="1" customWidth="1"/>
    <col min="5" max="5" width="9.77734375" bestFit="1" customWidth="1"/>
    <col min="6" max="7" width="10.88671875" bestFit="1" customWidth="1"/>
    <col min="8" max="13" width="9.77734375" bestFit="1" customWidth="1"/>
  </cols>
  <sheetData>
    <row r="1" spans="1:17" x14ac:dyDescent="0.3">
      <c r="C1" s="80" t="s">
        <v>270</v>
      </c>
    </row>
    <row r="2" spans="1:17" ht="15" thickBot="1" x14ac:dyDescent="0.35">
      <c r="C2" s="44" t="str">
        <f>FCFF!C3</f>
        <v>v 1000 EUR</v>
      </c>
      <c r="D2" s="44">
        <v>2013</v>
      </c>
      <c r="E2" s="44">
        <v>2014</v>
      </c>
      <c r="F2" s="44">
        <f>FCFF!F3</f>
        <v>2015</v>
      </c>
      <c r="G2" s="44">
        <f>FCFF!G3</f>
        <v>2016</v>
      </c>
      <c r="H2" s="45">
        <f>FCFF!H3</f>
        <v>2017</v>
      </c>
      <c r="I2" s="44">
        <f>FCFF!I3</f>
        <v>2018</v>
      </c>
      <c r="J2" s="44">
        <f>FCFF!J3</f>
        <v>2019</v>
      </c>
      <c r="K2" s="44">
        <f>FCFF!K3</f>
        <v>2020</v>
      </c>
      <c r="L2" s="44">
        <f>FCFF!L3</f>
        <v>2021</v>
      </c>
      <c r="M2" s="44">
        <f>FCFF!M3</f>
        <v>2022</v>
      </c>
    </row>
    <row r="3" spans="1:17" x14ac:dyDescent="0.3">
      <c r="A3" s="78">
        <f>AVERAGE(D3:H3)</f>
        <v>1257456.8</v>
      </c>
      <c r="B3" s="78">
        <f>AVERAGE(I3:M3)</f>
        <v>1358621.7142989538</v>
      </c>
      <c r="C3" s="1" t="str">
        <f>FCFF!C4</f>
        <v xml:space="preserve">Prihodki od prodaje     </v>
      </c>
      <c r="D3" s="72">
        <f>FCFF!D4</f>
        <v>1240482</v>
      </c>
      <c r="E3" s="72">
        <f>FCFF!E4</f>
        <v>1253717</v>
      </c>
      <c r="F3" s="72">
        <f>FCFF!F4</f>
        <v>1225029</v>
      </c>
      <c r="G3" s="72">
        <f>FCFF!G4</f>
        <v>1258124</v>
      </c>
      <c r="H3" s="38">
        <f>FCFF!H4</f>
        <v>1309932</v>
      </c>
      <c r="I3" s="72">
        <f>FCFF!I4</f>
        <v>1328271.048</v>
      </c>
      <c r="J3" s="72">
        <f>FCFF!J4</f>
        <v>1344210.300576</v>
      </c>
      <c r="K3" s="72">
        <f>FCFF!K4</f>
        <v>1358996.6138823358</v>
      </c>
      <c r="L3" s="72">
        <f>FCFF!L4</f>
        <v>1373945.5766350415</v>
      </c>
      <c r="M3" s="72">
        <f>FCFF!M4</f>
        <v>1387685.032401392</v>
      </c>
    </row>
    <row r="4" spans="1:17" x14ac:dyDescent="0.3">
      <c r="A4" s="78">
        <f t="shared" ref="A4:A22" si="0">AVERAGE(D4:H4)</f>
        <v>1280392.2</v>
      </c>
      <c r="B4" s="78">
        <f t="shared" ref="B4:B22" si="1">AVERAGE(I4:M4)</f>
        <v>1397543.0512514787</v>
      </c>
      <c r="C4" s="1" t="str">
        <f>FCFF!C11</f>
        <v xml:space="preserve">Kosmati donos iz poslovanja    </v>
      </c>
      <c r="D4" s="11">
        <f>FCFF!D11</f>
        <v>1248877</v>
      </c>
      <c r="E4" s="11">
        <f>FCFF!E11</f>
        <v>1263369</v>
      </c>
      <c r="F4" s="11">
        <f>FCFF!F11</f>
        <v>1270265</v>
      </c>
      <c r="G4" s="11">
        <f>FCFF!G11</f>
        <v>1285195</v>
      </c>
      <c r="H4" s="204">
        <f>FCFF!H11</f>
        <v>1334255</v>
      </c>
      <c r="I4" s="11">
        <f>FCFF!I11</f>
        <v>1367560.048</v>
      </c>
      <c r="J4" s="11">
        <f>FCFF!J11</f>
        <v>1364614.9493760001</v>
      </c>
      <c r="K4" s="11">
        <f>FCFF!K11</f>
        <v>1401188.1696453758</v>
      </c>
      <c r="L4" s="11">
        <f>FCFF!L11</f>
        <v>1420601.5709403995</v>
      </c>
      <c r="M4" s="11">
        <f>FCFF!M11</f>
        <v>1433750.5182956178</v>
      </c>
    </row>
    <row r="5" spans="1:17" x14ac:dyDescent="0.3">
      <c r="A5" s="76"/>
      <c r="B5" s="76" t="e">
        <f t="shared" si="1"/>
        <v>#DIV/0!</v>
      </c>
      <c r="D5" s="11"/>
      <c r="E5" s="11"/>
      <c r="F5" s="11"/>
      <c r="G5" s="11"/>
      <c r="H5" s="11"/>
      <c r="I5" s="215"/>
      <c r="J5" s="215"/>
      <c r="K5" s="215"/>
      <c r="L5" s="215"/>
      <c r="M5" s="215"/>
      <c r="Q5" s="30"/>
    </row>
    <row r="6" spans="1:17" x14ac:dyDescent="0.3">
      <c r="A6" s="78">
        <f t="shared" si="0"/>
        <v>236418.4</v>
      </c>
      <c r="B6" s="78">
        <f t="shared" si="1"/>
        <v>254861.20312310071</v>
      </c>
      <c r="C6" t="str">
        <f>FCFF!C15</f>
        <v xml:space="preserve">Stroški dela      </v>
      </c>
      <c r="D6" s="11">
        <v>237914</v>
      </c>
      <c r="E6" s="11">
        <v>228479</v>
      </c>
      <c r="F6" s="11">
        <v>231362</v>
      </c>
      <c r="G6" s="11">
        <v>235325</v>
      </c>
      <c r="H6" s="204">
        <v>249012</v>
      </c>
      <c r="I6" s="11">
        <f>I7*I8</f>
        <v>251513.00539480138</v>
      </c>
      <c r="J6" s="11">
        <f t="shared" ref="J6:L6" si="2">J7*J8</f>
        <v>248737.69115487349</v>
      </c>
      <c r="K6" s="11">
        <f t="shared" si="2"/>
        <v>254657.67060384582</v>
      </c>
      <c r="L6" s="11">
        <f t="shared" si="2"/>
        <v>258396.53370286225</v>
      </c>
      <c r="M6" s="11">
        <f>M7*M8</f>
        <v>261001.11475912062</v>
      </c>
      <c r="P6" s="72"/>
      <c r="Q6" s="72"/>
    </row>
    <row r="7" spans="1:17" x14ac:dyDescent="0.3">
      <c r="A7" s="243">
        <f t="shared" si="0"/>
        <v>22.029851091764449</v>
      </c>
      <c r="B7" s="243">
        <f t="shared" si="1"/>
        <v>22.36</v>
      </c>
      <c r="C7" s="113" t="s">
        <v>342</v>
      </c>
      <c r="D7" s="215">
        <f>D6/D8</f>
        <v>22.362440078954791</v>
      </c>
      <c r="E7" s="215">
        <f>E6/E8</f>
        <v>21.82642338555598</v>
      </c>
      <c r="F7" s="215">
        <f>F6/F8</f>
        <v>21.791654893095977</v>
      </c>
      <c r="G7" s="215">
        <f>G6/G8</f>
        <v>21.611259068785014</v>
      </c>
      <c r="H7" s="216">
        <f>H6/H8</f>
        <v>22.557478032430474</v>
      </c>
      <c r="I7" s="215">
        <v>22.5</v>
      </c>
      <c r="J7" s="215">
        <v>22.4</v>
      </c>
      <c r="K7" s="215">
        <v>22.3</v>
      </c>
      <c r="L7" s="215">
        <v>22.3</v>
      </c>
      <c r="M7" s="215">
        <v>22.3</v>
      </c>
      <c r="Q7" s="30"/>
    </row>
    <row r="8" spans="1:17" x14ac:dyDescent="0.3">
      <c r="A8" s="78">
        <f t="shared" si="0"/>
        <v>10730.4</v>
      </c>
      <c r="B8" s="78">
        <f t="shared" si="1"/>
        <v>11398.743572513107</v>
      </c>
      <c r="C8" t="str">
        <f>FCFF!C16</f>
        <v>Število zaposlenih</v>
      </c>
      <c r="D8" s="11">
        <v>10639</v>
      </c>
      <c r="E8" s="11">
        <v>10468</v>
      </c>
      <c r="F8" s="11">
        <v>10617</v>
      </c>
      <c r="G8" s="11">
        <v>10889</v>
      </c>
      <c r="H8" s="204">
        <v>11039</v>
      </c>
      <c r="I8" s="11">
        <f>I4/I9</f>
        <v>11178.355795324505</v>
      </c>
      <c r="J8" s="11">
        <f t="shared" ref="J8:L8" si="3">J4/J9</f>
        <v>11104.361212271138</v>
      </c>
      <c r="K8" s="11">
        <f t="shared" si="3"/>
        <v>11419.62648447739</v>
      </c>
      <c r="L8" s="11">
        <f t="shared" si="3"/>
        <v>11587.288506854809</v>
      </c>
      <c r="M8" s="11">
        <f>M4/M9</f>
        <v>11704.085863637696</v>
      </c>
      <c r="N8" s="75"/>
    </row>
    <row r="9" spans="1:17" x14ac:dyDescent="0.3">
      <c r="A9" s="96">
        <f t="shared" si="0"/>
        <v>119.3228172114048</v>
      </c>
      <c r="B9" s="96">
        <f t="shared" si="1"/>
        <v>122.60599999999999</v>
      </c>
      <c r="C9" s="113" t="s">
        <v>272</v>
      </c>
      <c r="D9" s="215">
        <v>117.38669047842842</v>
      </c>
      <c r="E9" s="215">
        <v>120.68867023309133</v>
      </c>
      <c r="F9" s="215">
        <v>119.64443816520675</v>
      </c>
      <c r="G9" s="215">
        <v>118.02690788869501</v>
      </c>
      <c r="H9" s="216">
        <v>120.8673792916025</v>
      </c>
      <c r="I9" s="215">
        <v>122.34</v>
      </c>
      <c r="J9" s="215">
        <v>122.89</v>
      </c>
      <c r="K9" s="215">
        <v>122.7</v>
      </c>
      <c r="L9" s="215">
        <v>122.6</v>
      </c>
      <c r="M9" s="215">
        <v>122.5</v>
      </c>
    </row>
    <row r="10" spans="1:17" x14ac:dyDescent="0.3">
      <c r="A10" s="97">
        <f t="shared" si="0"/>
        <v>1.2063039493130062E-2</v>
      </c>
      <c r="B10" s="96">
        <f t="shared" si="1"/>
        <v>9.5142059648007475E-3</v>
      </c>
      <c r="C10" t="s">
        <v>339</v>
      </c>
      <c r="D10" s="8"/>
      <c r="E10" s="193">
        <f>E6/D6 -1</f>
        <v>-3.9657187050783027E-2</v>
      </c>
      <c r="F10" s="193">
        <f t="shared" ref="F10:I10" si="4">F6/E6 -1</f>
        <v>1.2618227495743595E-2</v>
      </c>
      <c r="G10" s="193">
        <f t="shared" si="4"/>
        <v>1.7129001305313807E-2</v>
      </c>
      <c r="H10" s="203">
        <f t="shared" si="4"/>
        <v>5.8162116222245874E-2</v>
      </c>
      <c r="I10" s="193">
        <f t="shared" si="4"/>
        <v>1.0043714338270338E-2</v>
      </c>
      <c r="J10" s="193">
        <f t="shared" ref="J10" si="5">J6/I6 -1</f>
        <v>-1.1034476072406152E-2</v>
      </c>
      <c r="K10" s="193">
        <f t="shared" ref="K10" si="6">K6/J6 -1</f>
        <v>2.3800090052642275E-2</v>
      </c>
      <c r="L10" s="193">
        <f t="shared" ref="L10" si="7">L6/K6 -1</f>
        <v>1.4681918240086134E-2</v>
      </c>
      <c r="M10" s="193">
        <f t="shared" ref="M10" si="8">M6/L6 -1</f>
        <v>1.0079783265411146E-2</v>
      </c>
    </row>
    <row r="11" spans="1:17" x14ac:dyDescent="0.3">
      <c r="A11" s="97"/>
      <c r="B11" s="96"/>
      <c r="C11" s="113" t="s">
        <v>340</v>
      </c>
      <c r="D11" s="8"/>
      <c r="E11" s="193">
        <f>E8/D8-1</f>
        <v>-1.6072939186013713E-2</v>
      </c>
      <c r="F11" s="193">
        <f t="shared" ref="F11:I11" si="9">F8/E8-1</f>
        <v>1.4233855559801389E-2</v>
      </c>
      <c r="G11" s="193">
        <f t="shared" si="9"/>
        <v>2.5619289818216151E-2</v>
      </c>
      <c r="H11" s="203">
        <f t="shared" si="9"/>
        <v>1.3775369639085211E-2</v>
      </c>
      <c r="I11" s="193">
        <f t="shared" si="9"/>
        <v>1.2623951021333957E-2</v>
      </c>
      <c r="J11" s="193">
        <f t="shared" ref="J11" si="10">J8/I8-1</f>
        <v>-6.6194514120150316E-3</v>
      </c>
      <c r="K11" s="193">
        <f t="shared" ref="K11" si="11">K8/J8-1</f>
        <v>2.8391121846600198E-2</v>
      </c>
      <c r="L11" s="193">
        <f t="shared" ref="L11" si="12">L8/K8-1</f>
        <v>1.4681918240086134E-2</v>
      </c>
      <c r="M11" s="193">
        <f t="shared" ref="M11" si="13">M8/L8-1</f>
        <v>1.0079783265411146E-2</v>
      </c>
    </row>
    <row r="12" spans="1:17" x14ac:dyDescent="0.3">
      <c r="A12" s="97"/>
      <c r="B12" s="96"/>
      <c r="C12" t="s">
        <v>341</v>
      </c>
      <c r="D12" s="193">
        <f>D6/D4</f>
        <v>0.19050234730882223</v>
      </c>
      <c r="E12" s="193">
        <f t="shared" ref="E12:M12" si="14">E6/E4</f>
        <v>0.1808489839468912</v>
      </c>
      <c r="F12" s="193">
        <f t="shared" si="14"/>
        <v>0.18213679822714157</v>
      </c>
      <c r="G12" s="193">
        <f t="shared" si="14"/>
        <v>0.18310450943242076</v>
      </c>
      <c r="H12" s="203">
        <f t="shared" si="14"/>
        <v>0.18662999201801755</v>
      </c>
      <c r="I12" s="193">
        <f t="shared" si="14"/>
        <v>0.18391368317802845</v>
      </c>
      <c r="J12" s="193">
        <f t="shared" si="14"/>
        <v>0.18227683294002767</v>
      </c>
      <c r="K12" s="193">
        <f t="shared" si="14"/>
        <v>0.18174409127954361</v>
      </c>
      <c r="L12" s="193">
        <f t="shared" si="14"/>
        <v>0.18189233278955955</v>
      </c>
      <c r="M12" s="193">
        <f t="shared" si="14"/>
        <v>0.1820408163265306</v>
      </c>
    </row>
    <row r="13" spans="1:17" ht="15" thickBot="1" x14ac:dyDescent="0.35">
      <c r="B13" s="76"/>
      <c r="C13" s="80" t="s">
        <v>338</v>
      </c>
      <c r="D13" s="197">
        <v>2013</v>
      </c>
      <c r="E13" s="197">
        <v>2014</v>
      </c>
      <c r="F13" s="197">
        <v>2015</v>
      </c>
      <c r="G13" s="197">
        <v>2016</v>
      </c>
      <c r="H13" s="198">
        <v>2017</v>
      </c>
      <c r="I13" s="197">
        <v>2018</v>
      </c>
      <c r="J13" s="197">
        <v>2019</v>
      </c>
      <c r="K13" s="197">
        <v>2020</v>
      </c>
      <c r="L13" s="197">
        <v>2021</v>
      </c>
      <c r="M13" s="197">
        <v>2022</v>
      </c>
    </row>
    <row r="14" spans="1:17" x14ac:dyDescent="0.3">
      <c r="A14" s="78">
        <f>AVERAGE(D14:H14)</f>
        <v>239144.4</v>
      </c>
      <c r="B14" s="78">
        <f>AVERAGE(I14:M14)</f>
        <v>271458.68865019077</v>
      </c>
      <c r="C14" t="s">
        <v>273</v>
      </c>
      <c r="D14" s="11">
        <v>215851</v>
      </c>
      <c r="E14" s="11">
        <v>228938</v>
      </c>
      <c r="F14" s="11">
        <v>238939</v>
      </c>
      <c r="G14" s="11">
        <v>250392</v>
      </c>
      <c r="H14" s="204">
        <v>261602</v>
      </c>
      <c r="I14" s="11">
        <f>I$3*I18</f>
        <v>264325.93855199998</v>
      </c>
      <c r="J14" s="11">
        <f t="shared" ref="J14:M14" si="15">J$3*J18</f>
        <v>268842.0601152</v>
      </c>
      <c r="K14" s="11">
        <f t="shared" si="15"/>
        <v>271799.32277646719</v>
      </c>
      <c r="L14" s="11">
        <f t="shared" si="15"/>
        <v>274789.1153270083</v>
      </c>
      <c r="M14" s="11">
        <f t="shared" si="15"/>
        <v>277537.00648027839</v>
      </c>
    </row>
    <row r="15" spans="1:17" x14ac:dyDescent="0.3">
      <c r="A15" s="78">
        <f>AVERAGE(D15:H15)</f>
        <v>484622.2</v>
      </c>
      <c r="B15" s="78">
        <f>AVERAGE(I15:M15)</f>
        <v>507870.5516771244</v>
      </c>
      <c r="C15" t="s">
        <v>274</v>
      </c>
      <c r="D15" s="11">
        <v>477833</v>
      </c>
      <c r="E15" s="11">
        <v>491470</v>
      </c>
      <c r="F15" s="11">
        <v>488899</v>
      </c>
      <c r="G15" s="11">
        <v>475798</v>
      </c>
      <c r="H15" s="204">
        <v>489111</v>
      </c>
      <c r="I15" s="11">
        <f>I$3*I19</f>
        <v>495445.10090399999</v>
      </c>
      <c r="J15" s="11">
        <f t="shared" ref="J15:M15" si="16">J$3*J19</f>
        <v>501390.442114848</v>
      </c>
      <c r="K15" s="11">
        <f t="shared" si="16"/>
        <v>506905.73697811126</v>
      </c>
      <c r="L15" s="11">
        <f t="shared" si="16"/>
        <v>515229.59123814059</v>
      </c>
      <c r="M15" s="11">
        <f t="shared" si="16"/>
        <v>520381.88715052197</v>
      </c>
    </row>
    <row r="16" spans="1:17" ht="15" thickBot="1" x14ac:dyDescent="0.35">
      <c r="A16" s="78">
        <f>AVERAGE(D16:H16)</f>
        <v>216036.2</v>
      </c>
      <c r="B16" s="78">
        <f>AVERAGE(I16:M16)</f>
        <v>233136.45110707061</v>
      </c>
      <c r="C16" s="43" t="s">
        <v>275</v>
      </c>
      <c r="D16" s="208">
        <v>216832</v>
      </c>
      <c r="E16" s="208">
        <v>207278</v>
      </c>
      <c r="F16" s="208">
        <v>209407</v>
      </c>
      <c r="G16" s="208">
        <v>215964</v>
      </c>
      <c r="H16" s="209">
        <v>230700</v>
      </c>
      <c r="I16" s="208">
        <f>I$3*I20</f>
        <v>228462.62025599997</v>
      </c>
      <c r="J16" s="208">
        <f t="shared" ref="J16:M16" si="17">J$3*J20</f>
        <v>230532.06654878403</v>
      </c>
      <c r="K16" s="208">
        <f t="shared" si="17"/>
        <v>233067.91928082061</v>
      </c>
      <c r="L16" s="208">
        <f t="shared" si="17"/>
        <v>235631.66639290962</v>
      </c>
      <c r="M16" s="208">
        <f t="shared" si="17"/>
        <v>237987.98305683874</v>
      </c>
      <c r="N16" s="39"/>
      <c r="O16" s="36"/>
    </row>
    <row r="17" spans="1:19" ht="15" thickBot="1" x14ac:dyDescent="0.35">
      <c r="A17" s="77">
        <f t="shared" si="0"/>
        <v>-939802.8</v>
      </c>
      <c r="B17" s="76">
        <f t="shared" si="1"/>
        <v>-1012465.6914343856</v>
      </c>
      <c r="C17" s="81" t="s">
        <v>276</v>
      </c>
      <c r="D17" s="200">
        <f t="shared" ref="D17:I17" si="18">-SUM(D14:D16)</f>
        <v>-910516</v>
      </c>
      <c r="E17" s="200">
        <f t="shared" si="18"/>
        <v>-927686</v>
      </c>
      <c r="F17" s="200">
        <f t="shared" si="18"/>
        <v>-937245</v>
      </c>
      <c r="G17" s="200">
        <f t="shared" si="18"/>
        <v>-942154</v>
      </c>
      <c r="H17" s="201">
        <f t="shared" si="18"/>
        <v>-981413</v>
      </c>
      <c r="I17" s="200">
        <f t="shared" si="18"/>
        <v>-988233.65971199994</v>
      </c>
      <c r="J17" s="200">
        <f t="shared" ref="J17:M17" si="19">-SUM(J14:J16)</f>
        <v>-1000764.568778832</v>
      </c>
      <c r="K17" s="200">
        <f t="shared" si="19"/>
        <v>-1011772.979035399</v>
      </c>
      <c r="L17" s="200">
        <f t="shared" si="19"/>
        <v>-1025650.3729580585</v>
      </c>
      <c r="M17" s="200">
        <f t="shared" si="19"/>
        <v>-1035906.876687639</v>
      </c>
      <c r="N17" s="36"/>
      <c r="O17" s="36"/>
    </row>
    <row r="18" spans="1:19" x14ac:dyDescent="0.3">
      <c r="A18" s="79">
        <f>AVERAGE(D18:H18)</f>
        <v>0.19007749069919466</v>
      </c>
      <c r="B18" s="79">
        <f>AVERAGE(I18:M18)</f>
        <v>0.19979999999999998</v>
      </c>
      <c r="C18" s="113" t="s">
        <v>377</v>
      </c>
      <c r="D18" s="193">
        <f>D14/D$3</f>
        <v>0.17400574937806434</v>
      </c>
      <c r="E18" s="193">
        <f t="shared" ref="E18:H18" si="20">E14/E$3</f>
        <v>0.18260739863940587</v>
      </c>
      <c r="F18" s="193">
        <f t="shared" si="20"/>
        <v>0.19504762744392173</v>
      </c>
      <c r="G18" s="193">
        <f t="shared" si="20"/>
        <v>0.19902012838162217</v>
      </c>
      <c r="H18" s="203">
        <f t="shared" si="20"/>
        <v>0.19970654965295909</v>
      </c>
      <c r="I18" s="193">
        <v>0.19900000000000001</v>
      </c>
      <c r="J18" s="193">
        <v>0.2</v>
      </c>
      <c r="K18" s="193">
        <v>0.2</v>
      </c>
      <c r="L18" s="193">
        <v>0.2</v>
      </c>
      <c r="M18" s="193">
        <v>0.2</v>
      </c>
    </row>
    <row r="19" spans="1:19" x14ac:dyDescent="0.3">
      <c r="A19" s="79">
        <f>AVERAGE(D19:H19)</f>
        <v>0.38557372881714919</v>
      </c>
      <c r="B19" s="79">
        <f>AVERAGE(I19:M19)</f>
        <v>0.37380000000000002</v>
      </c>
      <c r="C19" s="113" t="s">
        <v>378</v>
      </c>
      <c r="D19" s="193">
        <f>D15/D$3</f>
        <v>0.3851994627894641</v>
      </c>
      <c r="E19" s="193">
        <f>E15/E$3</f>
        <v>0.39201031811804421</v>
      </c>
      <c r="F19" s="193">
        <f t="shared" ref="F19:H19" si="21">F15/F$3</f>
        <v>0.39909177660283962</v>
      </c>
      <c r="G19" s="193">
        <f t="shared" si="21"/>
        <v>0.37818052910523925</v>
      </c>
      <c r="H19" s="203">
        <f t="shared" si="21"/>
        <v>0.37338655747015875</v>
      </c>
      <c r="I19" s="193">
        <v>0.373</v>
      </c>
      <c r="J19" s="193">
        <v>0.373</v>
      </c>
      <c r="K19" s="193">
        <v>0.373</v>
      </c>
      <c r="L19" s="193">
        <v>0.375</v>
      </c>
      <c r="M19" s="193">
        <v>0.375</v>
      </c>
    </row>
    <row r="20" spans="1:19" x14ac:dyDescent="0.3">
      <c r="A20" s="79">
        <f>AVERAGE(D20:H20)</f>
        <v>0.17176787493536699</v>
      </c>
      <c r="B20" s="79">
        <f>AVERAGE(I20:M20)</f>
        <v>0.1716</v>
      </c>
      <c r="C20" s="113" t="s">
        <v>379</v>
      </c>
      <c r="D20" s="193">
        <f>D16/D$3</f>
        <v>0.17479657101030083</v>
      </c>
      <c r="E20" s="193">
        <f t="shared" ref="E20:H20" si="22">E16/E$3</f>
        <v>0.16533077241514632</v>
      </c>
      <c r="F20" s="193">
        <f t="shared" si="22"/>
        <v>0.17094044304257286</v>
      </c>
      <c r="G20" s="193">
        <f t="shared" si="22"/>
        <v>0.17165557607994125</v>
      </c>
      <c r="H20" s="203">
        <f t="shared" si="22"/>
        <v>0.17611601212887387</v>
      </c>
      <c r="I20" s="193">
        <v>0.17199999999999999</v>
      </c>
      <c r="J20" s="193">
        <v>0.17150000000000001</v>
      </c>
      <c r="K20" s="193">
        <v>0.17150000000000001</v>
      </c>
      <c r="L20" s="193">
        <v>0.17150000000000001</v>
      </c>
      <c r="M20" s="193">
        <v>0.17150000000000001</v>
      </c>
    </row>
    <row r="21" spans="1:19" x14ac:dyDescent="0.3">
      <c r="A21" s="79">
        <f t="shared" si="0"/>
        <v>-0.74741909445171095</v>
      </c>
      <c r="B21" s="79">
        <f t="shared" si="1"/>
        <v>-0.74519999999999997</v>
      </c>
      <c r="C21" s="113" t="s">
        <v>277</v>
      </c>
      <c r="D21" s="193">
        <f>D17/D3</f>
        <v>-0.73400178317782927</v>
      </c>
      <c r="E21" s="193">
        <f t="shared" ref="E21:I21" si="23">E17/E3</f>
        <v>-0.73994848917259637</v>
      </c>
      <c r="F21" s="193">
        <f t="shared" si="23"/>
        <v>-0.76507984708933419</v>
      </c>
      <c r="G21" s="193">
        <f t="shared" si="23"/>
        <v>-0.74885623356680264</v>
      </c>
      <c r="H21" s="203">
        <f t="shared" si="23"/>
        <v>-0.74920911925199174</v>
      </c>
      <c r="I21" s="193">
        <f t="shared" si="23"/>
        <v>-0.74399999999999999</v>
      </c>
      <c r="J21" s="193">
        <f t="shared" ref="J21:M21" si="24">J17/J3</f>
        <v>-0.74449999999999994</v>
      </c>
      <c r="K21" s="193">
        <f t="shared" si="24"/>
        <v>-0.74450000000000005</v>
      </c>
      <c r="L21" s="193">
        <f t="shared" si="24"/>
        <v>-0.74650000000000005</v>
      </c>
      <c r="M21" s="193">
        <f t="shared" si="24"/>
        <v>-0.74649999999999994</v>
      </c>
      <c r="N21" s="29"/>
    </row>
    <row r="22" spans="1:19" x14ac:dyDescent="0.3">
      <c r="A22" s="79">
        <f t="shared" si="0"/>
        <v>4.9254159871977177E-2</v>
      </c>
      <c r="B22" s="79">
        <f t="shared" si="1"/>
        <v>1.1899591334582826E-2</v>
      </c>
      <c r="C22" s="113" t="s">
        <v>278</v>
      </c>
      <c r="D22" s="8"/>
      <c r="E22" s="241">
        <f t="shared" ref="E22:I22" si="25">E14/D14-1</f>
        <v>6.0629786287763388E-2</v>
      </c>
      <c r="F22" s="241">
        <f t="shared" si="25"/>
        <v>4.3684316277769586E-2</v>
      </c>
      <c r="G22" s="241">
        <f t="shared" si="25"/>
        <v>4.7932735970268592E-2</v>
      </c>
      <c r="H22" s="242">
        <f t="shared" si="25"/>
        <v>4.4769800952107142E-2</v>
      </c>
      <c r="I22" s="241">
        <f t="shared" si="25"/>
        <v>1.0412529537235926E-2</v>
      </c>
      <c r="J22" s="241">
        <f t="shared" ref="J22:J25" si="26">J14/I14-1</f>
        <v>1.7085427135678399E-2</v>
      </c>
      <c r="K22" s="241">
        <f t="shared" ref="K22:K25" si="27">K14/J14-1</f>
        <v>1.0999999999999899E-2</v>
      </c>
      <c r="L22" s="241">
        <f t="shared" ref="L22:L25" si="28">L14/K14-1</f>
        <v>1.0999999999999899E-2</v>
      </c>
      <c r="M22" s="241">
        <f t="shared" ref="M22:M25" si="29">M14/L14-1</f>
        <v>1.0000000000000009E-2</v>
      </c>
    </row>
    <row r="23" spans="1:19" x14ac:dyDescent="0.3">
      <c r="C23" s="113" t="s">
        <v>279</v>
      </c>
      <c r="D23" s="8"/>
      <c r="E23" s="241">
        <f t="shared" ref="E23:I23" si="30">E15/D15-1</f>
        <v>2.8539259532095906E-2</v>
      </c>
      <c r="F23" s="241">
        <f t="shared" si="30"/>
        <v>-5.2312450403890765E-3</v>
      </c>
      <c r="G23" s="241">
        <f t="shared" si="30"/>
        <v>-2.6796945790439342E-2</v>
      </c>
      <c r="H23" s="242">
        <f t="shared" si="30"/>
        <v>2.7980361413877386E-2</v>
      </c>
      <c r="I23" s="241">
        <f t="shared" si="30"/>
        <v>1.2950231959616421E-2</v>
      </c>
      <c r="J23" s="241">
        <f t="shared" si="26"/>
        <v>1.2000000000000011E-2</v>
      </c>
      <c r="K23" s="241">
        <f t="shared" si="27"/>
        <v>1.0999999999999899E-2</v>
      </c>
      <c r="L23" s="241">
        <f t="shared" si="28"/>
        <v>1.6420911528150173E-2</v>
      </c>
      <c r="M23" s="241">
        <f t="shared" si="29"/>
        <v>1.0000000000000009E-2</v>
      </c>
    </row>
    <row r="24" spans="1:19" x14ac:dyDescent="0.3">
      <c r="C24" s="113" t="s">
        <v>280</v>
      </c>
      <c r="D24" s="8"/>
      <c r="E24" s="241">
        <f t="shared" ref="E24:I24" si="31">E16/D16-1</f>
        <v>-4.4061762101534785E-2</v>
      </c>
      <c r="F24" s="241">
        <f t="shared" si="31"/>
        <v>1.0271229942396154E-2</v>
      </c>
      <c r="G24" s="241">
        <f t="shared" si="31"/>
        <v>3.1312229295104688E-2</v>
      </c>
      <c r="H24" s="242">
        <f>H16/G16-1</f>
        <v>6.8233594487970173E-2</v>
      </c>
      <c r="I24" s="241">
        <f t="shared" si="31"/>
        <v>-9.6982216905072693E-3</v>
      </c>
      <c r="J24" s="241">
        <f t="shared" si="26"/>
        <v>9.0581395348841021E-3</v>
      </c>
      <c r="K24" s="241">
        <f t="shared" si="27"/>
        <v>1.0999999999999899E-2</v>
      </c>
      <c r="L24" s="241">
        <f t="shared" si="28"/>
        <v>1.0999999999999899E-2</v>
      </c>
      <c r="M24" s="241">
        <f t="shared" si="29"/>
        <v>1.0000000000000009E-2</v>
      </c>
    </row>
    <row r="25" spans="1:19" x14ac:dyDescent="0.3">
      <c r="C25" s="113" t="s">
        <v>281</v>
      </c>
      <c r="E25" s="24">
        <f t="shared" ref="E25:I25" si="32">E17/D17-1</f>
        <v>1.8857439078500571E-2</v>
      </c>
      <c r="F25" s="24">
        <f t="shared" si="32"/>
        <v>1.0304133079511724E-2</v>
      </c>
      <c r="G25" s="24">
        <f t="shared" si="32"/>
        <v>5.2376913187053287E-3</v>
      </c>
      <c r="H25" s="32">
        <f t="shared" si="32"/>
        <v>4.1669408610481851E-2</v>
      </c>
      <c r="I25" s="24">
        <f t="shared" si="32"/>
        <v>6.9498363196736079E-3</v>
      </c>
      <c r="J25" s="24">
        <f t="shared" si="26"/>
        <v>1.2680107526881867E-2</v>
      </c>
      <c r="K25" s="24">
        <f t="shared" si="27"/>
        <v>1.0999999999999899E-2</v>
      </c>
      <c r="L25" s="24">
        <f t="shared" si="28"/>
        <v>1.3715916722632615E-2</v>
      </c>
      <c r="M25" s="24">
        <f t="shared" si="29"/>
        <v>1.0000000000000009E-2</v>
      </c>
    </row>
    <row r="26" spans="1:19" x14ac:dyDescent="0.3">
      <c r="D26" s="72"/>
      <c r="E26" s="72"/>
      <c r="F26" s="72"/>
      <c r="G26" s="72"/>
      <c r="H26" s="30"/>
      <c r="I26" s="72"/>
      <c r="J26" s="72"/>
      <c r="K26" s="72"/>
      <c r="L26" s="72"/>
      <c r="M26" s="72"/>
    </row>
    <row r="27" spans="1:19" x14ac:dyDescent="0.3"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19" x14ac:dyDescent="0.3">
      <c r="C28" s="113" t="s">
        <v>204</v>
      </c>
      <c r="D28" s="11">
        <f>-D17+D6</f>
        <v>1148430</v>
      </c>
      <c r="E28" s="11">
        <f t="shared" ref="E28:M28" si="33">-E17+E6</f>
        <v>1156165</v>
      </c>
      <c r="F28" s="11">
        <f t="shared" si="33"/>
        <v>1168607</v>
      </c>
      <c r="G28" s="11">
        <f t="shared" si="33"/>
        <v>1177479</v>
      </c>
      <c r="H28" s="11">
        <f t="shared" si="33"/>
        <v>1230425</v>
      </c>
      <c r="I28" s="11">
        <f t="shared" si="33"/>
        <v>1239746.6651068013</v>
      </c>
      <c r="J28" s="11">
        <f t="shared" si="33"/>
        <v>1249502.2599337054</v>
      </c>
      <c r="K28" s="11">
        <f t="shared" si="33"/>
        <v>1266430.6496392449</v>
      </c>
      <c r="L28" s="11">
        <f t="shared" si="33"/>
        <v>1284046.9066609207</v>
      </c>
      <c r="M28" s="11">
        <f t="shared" si="33"/>
        <v>1296907.9914467596</v>
      </c>
    </row>
    <row r="31" spans="1:19" x14ac:dyDescent="0.3">
      <c r="D31" s="72"/>
      <c r="S31" t="s">
        <v>268</v>
      </c>
    </row>
    <row r="32" spans="1:19" x14ac:dyDescent="0.3">
      <c r="D32" s="7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23"/>
  <sheetViews>
    <sheetView zoomScale="85" zoomScaleNormal="85" workbookViewId="0">
      <selection activeCell="L8" sqref="L8"/>
    </sheetView>
  </sheetViews>
  <sheetFormatPr defaultRowHeight="14.4" x14ac:dyDescent="0.3"/>
  <cols>
    <col min="2" max="3" width="8.88671875" style="56"/>
    <col min="4" max="4" width="41.6640625" bestFit="1" customWidth="1"/>
    <col min="5" max="5" width="13.44140625" bestFit="1" customWidth="1"/>
    <col min="6" max="6" width="11.88671875" bestFit="1" customWidth="1"/>
  </cols>
  <sheetData>
    <row r="1" spans="2:25" x14ac:dyDescent="0.3">
      <c r="S1" s="36"/>
      <c r="T1" s="36"/>
      <c r="U1" s="36"/>
      <c r="V1" s="36"/>
      <c r="W1" s="36"/>
    </row>
    <row r="2" spans="2:25" ht="15" thickBot="1" x14ac:dyDescent="0.35">
      <c r="B2" s="57"/>
      <c r="C2" s="57"/>
      <c r="D2" s="44" t="s">
        <v>228</v>
      </c>
      <c r="E2" s="44">
        <v>2013</v>
      </c>
      <c r="F2" s="44">
        <v>2014</v>
      </c>
      <c r="G2" s="44">
        <v>2015</v>
      </c>
      <c r="H2" s="44">
        <v>2016</v>
      </c>
      <c r="I2" s="45">
        <v>2017</v>
      </c>
      <c r="J2" s="44">
        <v>2018</v>
      </c>
      <c r="K2" s="44">
        <v>2019</v>
      </c>
      <c r="L2" s="44">
        <v>2020</v>
      </c>
      <c r="M2" s="44">
        <v>2021</v>
      </c>
      <c r="N2" s="44">
        <v>2022</v>
      </c>
      <c r="O2" s="1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2:25" x14ac:dyDescent="0.3">
      <c r="B3" s="54">
        <f>AVERAGE(E3:I3)</f>
        <v>195592.2</v>
      </c>
      <c r="C3" s="54">
        <f>AVERAGE(J3:N3)</f>
        <v>220036.01638383264</v>
      </c>
      <c r="D3" t="s">
        <v>22</v>
      </c>
      <c r="E3" s="3">
        <f>Bilanca!C6</f>
        <v>167882</v>
      </c>
      <c r="F3" s="3">
        <f>Bilanca!D6</f>
        <v>181600</v>
      </c>
      <c r="G3" s="3">
        <f>Bilanca!E6</f>
        <v>196032</v>
      </c>
      <c r="H3" s="3">
        <f>Bilanca!F6</f>
        <v>208872</v>
      </c>
      <c r="I3" s="38">
        <f>Bilanca!G6</f>
        <v>223575</v>
      </c>
      <c r="J3" s="3">
        <f>Bilanca!H6</f>
        <v>225806.07816</v>
      </c>
      <c r="K3" s="3">
        <f>Bilanca!I6</f>
        <v>215073.64809216</v>
      </c>
      <c r="L3" s="3">
        <f>Bilanca!J6</f>
        <v>217439.45822117373</v>
      </c>
      <c r="M3" s="3">
        <f>Bilanca!K6</f>
        <v>219831.29226160664</v>
      </c>
      <c r="N3" s="3">
        <f>Bilanca!L6</f>
        <v>222029.60518422272</v>
      </c>
      <c r="O3" s="2"/>
      <c r="P3" s="72"/>
      <c r="Q3" s="72"/>
      <c r="R3" s="72"/>
      <c r="S3" s="39"/>
      <c r="T3" s="39"/>
      <c r="U3" s="39"/>
      <c r="V3" s="39"/>
      <c r="W3" s="39"/>
      <c r="X3" s="72"/>
      <c r="Y3" s="72"/>
    </row>
    <row r="4" spans="2:25" x14ac:dyDescent="0.3">
      <c r="B4" s="54">
        <f t="shared" ref="B4:B11" si="0">AVERAGE(E4:I4)</f>
        <v>363379.6</v>
      </c>
      <c r="C4" s="54">
        <f t="shared" ref="C4:C11" si="1">AVERAGE(J4:N4)</f>
        <v>387207.18857520178</v>
      </c>
      <c r="D4" t="s">
        <v>23</v>
      </c>
      <c r="E4" s="3">
        <f>Bilanca!C7</f>
        <v>356552</v>
      </c>
      <c r="F4" s="3">
        <f>Bilanca!D7</f>
        <v>356089</v>
      </c>
      <c r="G4" s="3">
        <f>Bilanca!E7</f>
        <v>366210</v>
      </c>
      <c r="H4" s="3">
        <f>Bilanca!F7</f>
        <v>366212</v>
      </c>
      <c r="I4" s="38">
        <f>Bilanca!G7</f>
        <v>371835</v>
      </c>
      <c r="J4" s="3">
        <f>Bilanca!H7</f>
        <v>378557.24867999996</v>
      </c>
      <c r="K4" s="3">
        <f>Bilanca!I7</f>
        <v>383099.93566415994</v>
      </c>
      <c r="L4" s="3">
        <f>Bilanca!J7</f>
        <v>387314.03495646571</v>
      </c>
      <c r="M4" s="3">
        <f>Bilanca!K7</f>
        <v>391574.48934098682</v>
      </c>
      <c r="N4" s="3">
        <f>Bilanca!L7</f>
        <v>395490.23423439666</v>
      </c>
      <c r="O4" s="2"/>
      <c r="P4" s="72"/>
      <c r="Q4" s="2"/>
      <c r="R4" s="72"/>
      <c r="S4" s="39"/>
      <c r="T4" s="39"/>
      <c r="U4" s="39"/>
      <c r="V4" s="39"/>
      <c r="W4" s="39"/>
      <c r="X4" s="72"/>
      <c r="Y4" s="72"/>
    </row>
    <row r="5" spans="2:25" x14ac:dyDescent="0.3">
      <c r="B5" s="54">
        <f>AVERAGE(E5:I5)</f>
        <v>17802.8</v>
      </c>
      <c r="C5" s="54">
        <f>AVERAGE(J5:N5)</f>
        <v>9771.6587365101386</v>
      </c>
      <c r="D5" s="64" t="s">
        <v>24</v>
      </c>
      <c r="E5" s="65">
        <f>Bilanca!C8</f>
        <v>28129</v>
      </c>
      <c r="F5" s="65">
        <f>Bilanca!D8</f>
        <v>18931</v>
      </c>
      <c r="G5" s="65">
        <f>Bilanca!E8</f>
        <v>17148</v>
      </c>
      <c r="H5" s="65">
        <f>Bilanca!F8</f>
        <v>14957</v>
      </c>
      <c r="I5" s="67">
        <f>Bilanca!G8</f>
        <v>9849</v>
      </c>
      <c r="J5" s="65">
        <f>Bilanca!H8</f>
        <v>10626.168384000001</v>
      </c>
      <c r="K5" s="65">
        <f>Bilanca!I8</f>
        <v>10081.57725432</v>
      </c>
      <c r="L5" s="65">
        <f>Bilanca!J8</f>
        <v>9512.9762971763503</v>
      </c>
      <c r="M5" s="65">
        <f>Bilanca!K8</f>
        <v>9617.6190364452905</v>
      </c>
      <c r="N5" s="65">
        <f>Bilanca!L8</f>
        <v>9019.9527106090482</v>
      </c>
      <c r="O5" s="2"/>
      <c r="P5" s="72"/>
      <c r="Q5" s="72"/>
      <c r="R5" s="72"/>
      <c r="S5" s="39"/>
      <c r="T5" s="39"/>
      <c r="U5" s="39"/>
      <c r="V5" s="39"/>
      <c r="W5" s="39"/>
      <c r="X5" s="72"/>
      <c r="Y5" s="72"/>
    </row>
    <row r="6" spans="2:25" x14ac:dyDescent="0.3">
      <c r="B6" s="54">
        <f t="shared" si="0"/>
        <v>8669.6</v>
      </c>
      <c r="C6" s="54">
        <f t="shared" si="1"/>
        <v>10432.822894788627</v>
      </c>
      <c r="D6" t="s">
        <v>227</v>
      </c>
      <c r="E6" s="3">
        <v>6678</v>
      </c>
      <c r="F6" s="3">
        <v>7069</v>
      </c>
      <c r="G6" s="3">
        <v>8868</v>
      </c>
      <c r="H6" s="3">
        <v>9331</v>
      </c>
      <c r="I6" s="38">
        <v>11402</v>
      </c>
      <c r="J6" s="73">
        <f>J3*J8</f>
        <v>11741.916064319999</v>
      </c>
      <c r="K6" s="73">
        <f t="shared" ref="K6:N6" si="2">K3*K8</f>
        <v>10753.682404608</v>
      </c>
      <c r="L6" s="73">
        <f t="shared" si="2"/>
        <v>9784.7756199528176</v>
      </c>
      <c r="M6" s="73">
        <f t="shared" si="2"/>
        <v>9892.4081517722989</v>
      </c>
      <c r="N6" s="73">
        <f t="shared" si="2"/>
        <v>9991.3322332900225</v>
      </c>
      <c r="O6" s="2"/>
      <c r="P6" s="72"/>
      <c r="Q6" s="72"/>
      <c r="R6" s="72"/>
      <c r="S6" s="39"/>
      <c r="T6" s="39"/>
      <c r="U6" s="39"/>
      <c r="V6" s="39"/>
      <c r="W6" s="39"/>
      <c r="X6" s="72"/>
      <c r="Y6" s="72"/>
    </row>
    <row r="7" spans="2:25" x14ac:dyDescent="0.3">
      <c r="B7" s="54">
        <f t="shared" si="0"/>
        <v>37784.199999999997</v>
      </c>
      <c r="C7" s="54">
        <f t="shared" si="1"/>
        <v>42465.143897712231</v>
      </c>
      <c r="D7" t="s">
        <v>229</v>
      </c>
      <c r="E7" s="3">
        <v>35197</v>
      </c>
      <c r="F7" s="3">
        <v>35950</v>
      </c>
      <c r="G7" s="3">
        <v>36776</v>
      </c>
      <c r="H7" s="3">
        <v>37724</v>
      </c>
      <c r="I7" s="38">
        <v>43274</v>
      </c>
      <c r="J7" s="73">
        <f>J9*(J4+J5)</f>
        <v>42810.175877039997</v>
      </c>
      <c r="K7" s="73">
        <f t="shared" ref="K7:N7" si="3">K9*(K4+K5)</f>
        <v>43249.966421032797</v>
      </c>
      <c r="L7" s="73">
        <f t="shared" si="3"/>
        <v>41666.83618163241</v>
      </c>
      <c r="M7" s="73">
        <f t="shared" si="3"/>
        <v>42125.171379630367</v>
      </c>
      <c r="N7" s="73">
        <f t="shared" si="3"/>
        <v>42473.569629225603</v>
      </c>
      <c r="O7" s="2"/>
      <c r="P7" s="72"/>
      <c r="Q7" s="72"/>
      <c r="R7" s="72"/>
      <c r="S7" s="39"/>
      <c r="T7" s="39"/>
      <c r="U7" s="39"/>
      <c r="V7" s="39"/>
      <c r="W7" s="39"/>
      <c r="X7" s="72"/>
      <c r="Y7" s="72"/>
    </row>
    <row r="8" spans="2:25" x14ac:dyDescent="0.3">
      <c r="B8" s="53">
        <f t="shared" si="0"/>
        <v>4.3922700409383134E-2</v>
      </c>
      <c r="C8" s="53">
        <f t="shared" si="1"/>
        <v>4.7399999999999998E-2</v>
      </c>
      <c r="D8" s="113" t="s">
        <v>310</v>
      </c>
      <c r="E8" s="30">
        <f>E6/E3</f>
        <v>3.9777939266866014E-2</v>
      </c>
      <c r="F8" s="30">
        <f t="shared" ref="F8:I8" si="4">F6/F3</f>
        <v>3.8926211453744496E-2</v>
      </c>
      <c r="G8" s="30">
        <f t="shared" si="4"/>
        <v>4.5237512242899118E-2</v>
      </c>
      <c r="H8" s="30">
        <f t="shared" si="4"/>
        <v>4.4673292734306175E-2</v>
      </c>
      <c r="I8" s="37">
        <f t="shared" si="4"/>
        <v>5.0998546349099852E-2</v>
      </c>
      <c r="J8" s="185">
        <v>5.1999999999999998E-2</v>
      </c>
      <c r="K8" s="185">
        <v>0.05</v>
      </c>
      <c r="L8" s="185">
        <v>4.4999999999999998E-2</v>
      </c>
      <c r="M8" s="185">
        <v>4.4999999999999998E-2</v>
      </c>
      <c r="N8" s="185">
        <v>4.4999999999999998E-2</v>
      </c>
      <c r="O8" s="2"/>
      <c r="P8" s="72"/>
      <c r="Q8" s="72"/>
      <c r="R8" s="72"/>
      <c r="S8" s="39"/>
      <c r="T8" s="39"/>
      <c r="U8" s="39"/>
      <c r="V8" s="39"/>
      <c r="W8" s="39"/>
      <c r="X8" s="72"/>
      <c r="Y8" s="72"/>
    </row>
    <row r="9" spans="2:25" ht="15" thickBot="1" x14ac:dyDescent="0.35">
      <c r="B9" s="53">
        <f t="shared" si="0"/>
        <v>9.9127019421608911E-2</v>
      </c>
      <c r="C9" s="53">
        <f t="shared" si="1"/>
        <v>0.10700000000000001</v>
      </c>
      <c r="D9" s="126" t="s">
        <v>311</v>
      </c>
      <c r="E9" s="82">
        <f>E7/(E4+E5)</f>
        <v>9.1496590681629714E-2</v>
      </c>
      <c r="F9" s="82">
        <f t="shared" ref="F9:I9" si="5">F7/(F4+F5)</f>
        <v>9.5861554050450645E-2</v>
      </c>
      <c r="G9" s="82">
        <f t="shared" si="5"/>
        <v>9.5931218338993846E-2</v>
      </c>
      <c r="H9" s="82">
        <f t="shared" si="5"/>
        <v>9.896922362521611E-2</v>
      </c>
      <c r="I9" s="83">
        <f t="shared" si="5"/>
        <v>0.11337651041175423</v>
      </c>
      <c r="J9" s="188">
        <v>0.11</v>
      </c>
      <c r="K9" s="188">
        <v>0.11</v>
      </c>
      <c r="L9" s="188">
        <v>0.105</v>
      </c>
      <c r="M9" s="188">
        <v>0.105</v>
      </c>
      <c r="N9" s="188">
        <v>0.105</v>
      </c>
      <c r="O9" s="2"/>
      <c r="S9" s="36"/>
      <c r="T9" s="36"/>
      <c r="U9" s="36"/>
      <c r="V9" s="36"/>
      <c r="W9" s="36"/>
    </row>
    <row r="10" spans="2:25" ht="15" thickBot="1" x14ac:dyDescent="0.35">
      <c r="B10" s="54">
        <f t="shared" si="0"/>
        <v>46453.8</v>
      </c>
      <c r="C10" s="54">
        <f t="shared" si="1"/>
        <v>52897.966792500854</v>
      </c>
      <c r="D10" s="44" t="s">
        <v>7</v>
      </c>
      <c r="E10" s="84">
        <f t="shared" ref="E10:N10" si="6">E6+E7</f>
        <v>41875</v>
      </c>
      <c r="F10" s="84">
        <f t="shared" ref="F10:I10" si="7">F6+F7</f>
        <v>43019</v>
      </c>
      <c r="G10" s="84">
        <f t="shared" si="7"/>
        <v>45644</v>
      </c>
      <c r="H10" s="84">
        <f t="shared" si="7"/>
        <v>47055</v>
      </c>
      <c r="I10" s="85">
        <f t="shared" si="7"/>
        <v>54676</v>
      </c>
      <c r="J10" s="244">
        <f t="shared" si="6"/>
        <v>54552.091941359999</v>
      </c>
      <c r="K10" s="244">
        <f t="shared" si="6"/>
        <v>54003.648825640797</v>
      </c>
      <c r="L10" s="244">
        <f t="shared" si="6"/>
        <v>51451.611801585226</v>
      </c>
      <c r="M10" s="244">
        <f t="shared" si="6"/>
        <v>52017.579531402662</v>
      </c>
      <c r="N10" s="244">
        <f t="shared" si="6"/>
        <v>52464.901862515624</v>
      </c>
      <c r="O10" s="2"/>
      <c r="P10" s="2"/>
      <c r="S10" s="36"/>
      <c r="T10" s="36"/>
      <c r="U10" s="36"/>
      <c r="V10" s="36"/>
      <c r="W10" s="36"/>
    </row>
    <row r="11" spans="2:25" x14ac:dyDescent="0.3">
      <c r="B11" s="53">
        <f t="shared" si="0"/>
        <v>8.0386463288347643E-2</v>
      </c>
      <c r="C11" s="53">
        <f t="shared" si="1"/>
        <v>8.5749659896098215E-2</v>
      </c>
      <c r="D11" s="113" t="s">
        <v>312</v>
      </c>
      <c r="E11" s="30">
        <f>E10/(E3+E4+E5)</f>
        <v>7.5783213859777071E-2</v>
      </c>
      <c r="F11" s="30">
        <f t="shared" ref="F11:M11" si="8">F10/(F3+F4+F5)</f>
        <v>7.7286119794473793E-2</v>
      </c>
      <c r="G11" s="30">
        <f t="shared" si="8"/>
        <v>7.8779405926923146E-2</v>
      </c>
      <c r="H11" s="30">
        <f t="shared" si="8"/>
        <v>7.9748695429639638E-2</v>
      </c>
      <c r="I11" s="37">
        <f t="shared" si="8"/>
        <v>9.0334881430924607E-2</v>
      </c>
      <c r="J11" s="30">
        <f t="shared" si="8"/>
        <v>8.8704103671706266E-2</v>
      </c>
      <c r="K11" s="30">
        <f t="shared" si="8"/>
        <v>8.8784530386740335E-2</v>
      </c>
      <c r="L11" s="30">
        <f t="shared" si="8"/>
        <v>8.3761061946902651E-2</v>
      </c>
      <c r="M11" s="30">
        <f t="shared" si="8"/>
        <v>8.3761061946902637E-2</v>
      </c>
      <c r="N11" s="30">
        <f>N10/(N3+N4+N5)</f>
        <v>8.3737541528239201E-2</v>
      </c>
      <c r="O11" s="2"/>
    </row>
    <row r="12" spans="2:25" x14ac:dyDescent="0.3">
      <c r="D12" s="113"/>
      <c r="E12" s="24"/>
      <c r="F12" s="72"/>
      <c r="G12" s="72"/>
      <c r="H12" s="72"/>
      <c r="I12" s="72"/>
      <c r="J12" s="72"/>
      <c r="K12" s="72"/>
      <c r="L12" s="72"/>
      <c r="M12" s="72"/>
      <c r="N12" s="72"/>
    </row>
    <row r="13" spans="2:25" x14ac:dyDescent="0.3">
      <c r="B13" s="59"/>
      <c r="C13" s="59"/>
      <c r="D13" s="58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2:25" x14ac:dyDescent="0.3">
      <c r="B14" s="60"/>
      <c r="C14" s="60"/>
      <c r="D14" s="245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2:25" x14ac:dyDescent="0.3">
      <c r="B15" s="30"/>
      <c r="C15" s="30"/>
      <c r="D15" s="36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30"/>
      <c r="P15" s="30"/>
    </row>
    <row r="16" spans="2:25" x14ac:dyDescent="0.3">
      <c r="O16" s="30"/>
      <c r="P16" s="30"/>
    </row>
    <row r="17" spans="2:16" x14ac:dyDescent="0.3">
      <c r="B17" s="30"/>
      <c r="C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2:16" x14ac:dyDescent="0.3">
      <c r="B18" s="30"/>
      <c r="C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2:16" x14ac:dyDescent="0.3">
      <c r="B19" s="30"/>
      <c r="C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2:16" x14ac:dyDescent="0.3">
      <c r="B20" s="30"/>
      <c r="C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2:16" x14ac:dyDescent="0.3">
      <c r="B21" s="30"/>
      <c r="C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2:16" x14ac:dyDescent="0.3">
      <c r="B22" s="30"/>
      <c r="C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2:16" x14ac:dyDescent="0.3">
      <c r="B23" s="30"/>
      <c r="C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2CE0-7BD9-4484-A4AB-430241AF4683}">
  <dimension ref="A1:N39"/>
  <sheetViews>
    <sheetView topLeftCell="C1" zoomScale="85" zoomScaleNormal="85" workbookViewId="0">
      <selection activeCell="F3" sqref="F3"/>
    </sheetView>
  </sheetViews>
  <sheetFormatPr defaultRowHeight="14.4" x14ac:dyDescent="0.3"/>
  <cols>
    <col min="1" max="1" width="23.5546875" bestFit="1" customWidth="1"/>
    <col min="2" max="2" width="26.6640625" customWidth="1"/>
    <col min="3" max="3" width="14.33203125" bestFit="1" customWidth="1"/>
    <col min="5" max="5" width="31.33203125" customWidth="1"/>
    <col min="6" max="6" width="12.88671875" bestFit="1" customWidth="1"/>
    <col min="11" max="11" width="18" bestFit="1" customWidth="1"/>
    <col min="12" max="12" width="17" bestFit="1" customWidth="1"/>
    <col min="13" max="13" width="16.44140625" bestFit="1" customWidth="1"/>
  </cols>
  <sheetData>
    <row r="1" spans="1:13" x14ac:dyDescent="0.3">
      <c r="A1" t="s">
        <v>283</v>
      </c>
    </row>
    <row r="2" spans="1:13" x14ac:dyDescent="0.3">
      <c r="F2" s="72">
        <f>'Denarni tok'!G21</f>
        <v>-12741</v>
      </c>
    </row>
    <row r="3" spans="1:13" x14ac:dyDescent="0.3">
      <c r="A3" t="s">
        <v>284</v>
      </c>
      <c r="B3" t="s">
        <v>285</v>
      </c>
      <c r="F3" s="72">
        <f>(Bilanca!G39+Bilanca!G41)</f>
        <v>383751</v>
      </c>
      <c r="K3" t="s">
        <v>297</v>
      </c>
      <c r="L3" s="72">
        <v>24424613</v>
      </c>
    </row>
    <row r="4" spans="1:13" ht="15" thickBot="1" x14ac:dyDescent="0.35">
      <c r="B4" s="118" t="s">
        <v>286</v>
      </c>
      <c r="C4" s="118" t="s">
        <v>282</v>
      </c>
      <c r="K4" t="s">
        <v>298</v>
      </c>
      <c r="L4" s="95">
        <v>5.0999999999999996</v>
      </c>
    </row>
    <row r="5" spans="1:13" x14ac:dyDescent="0.3">
      <c r="B5" s="88">
        <v>43007</v>
      </c>
      <c r="C5" s="30">
        <v>1.67E-2</v>
      </c>
      <c r="E5" s="27" t="s">
        <v>291</v>
      </c>
      <c r="F5" s="246">
        <f>ABS('Denarni tok'!G21/(Bilanca!G39+Bilanca!G41))</f>
        <v>3.3201216413768303E-2</v>
      </c>
    </row>
    <row r="6" spans="1:13" ht="15" thickBot="1" x14ac:dyDescent="0.35">
      <c r="B6" s="88">
        <v>42978</v>
      </c>
      <c r="C6" s="30">
        <v>1.66E-2</v>
      </c>
      <c r="E6" s="181" t="s">
        <v>194</v>
      </c>
      <c r="F6" s="247">
        <v>0.19</v>
      </c>
      <c r="K6" t="s">
        <v>296</v>
      </c>
      <c r="L6" s="95">
        <f>L3*L4</f>
        <v>124565526.3</v>
      </c>
      <c r="M6" s="99"/>
    </row>
    <row r="7" spans="1:13" ht="15" thickBot="1" x14ac:dyDescent="0.35">
      <c r="B7" s="88">
        <v>42947</v>
      </c>
      <c r="C7" s="30">
        <v>1.8800000000000001E-2</v>
      </c>
      <c r="E7" s="180" t="s">
        <v>292</v>
      </c>
      <c r="F7" s="248">
        <f>F5*(1-F6)</f>
        <v>2.6892985295152327E-2</v>
      </c>
    </row>
    <row r="8" spans="1:13" x14ac:dyDescent="0.3">
      <c r="B8" s="88">
        <v>42916</v>
      </c>
      <c r="C8" s="30">
        <v>1.9099999999999999E-2</v>
      </c>
      <c r="E8" s="27" t="s">
        <v>288</v>
      </c>
      <c r="F8" s="249">
        <v>0.72</v>
      </c>
      <c r="G8" s="30"/>
    </row>
    <row r="9" spans="1:13" x14ac:dyDescent="0.3">
      <c r="B9" s="88">
        <v>42886</v>
      </c>
      <c r="C9" s="30">
        <v>0.02</v>
      </c>
      <c r="E9" s="98" t="s">
        <v>289</v>
      </c>
      <c r="F9" s="250">
        <f>F8*(1+(1-F6)*F11/F10)</f>
        <v>1.3962735849056604</v>
      </c>
    </row>
    <row r="10" spans="1:13" ht="15" thickBot="1" x14ac:dyDescent="0.35">
      <c r="B10" s="116">
        <v>42853</v>
      </c>
      <c r="C10" s="82">
        <v>1.9E-2</v>
      </c>
      <c r="E10" s="27" t="s">
        <v>352</v>
      </c>
      <c r="F10" s="251">
        <f>Bilanca!L23/(Bilanca!L23+Bilanca!L39+Bilanca!L41)</f>
        <v>0.46305060065526027</v>
      </c>
    </row>
    <row r="11" spans="1:13" ht="15" thickBot="1" x14ac:dyDescent="0.35">
      <c r="B11" s="81" t="s">
        <v>355</v>
      </c>
      <c r="C11" s="117">
        <v>3.5000000000000003E-2</v>
      </c>
      <c r="D11" s="30">
        <f>AVERAGE(C5:C10)</f>
        <v>1.8366666666666667E-2</v>
      </c>
      <c r="E11" s="27" t="s">
        <v>353</v>
      </c>
      <c r="F11" s="33">
        <f>(Bilanca!L39+Bilanca!L41)/(Bilanca!L23+Bilanca!L39+Bilanca!L41)</f>
        <v>0.53694939934473973</v>
      </c>
    </row>
    <row r="12" spans="1:13" x14ac:dyDescent="0.3">
      <c r="B12" s="80"/>
      <c r="C12" s="93"/>
      <c r="E12" s="27" t="s">
        <v>293</v>
      </c>
      <c r="F12" s="28">
        <v>3.6700000000000003E-2</v>
      </c>
      <c r="G12" t="s">
        <v>299</v>
      </c>
    </row>
    <row r="13" spans="1:13" ht="15" thickBot="1" x14ac:dyDescent="0.35">
      <c r="B13" s="118" t="s">
        <v>313</v>
      </c>
      <c r="C13" s="118" t="s">
        <v>287</v>
      </c>
      <c r="E13" s="27" t="s">
        <v>295</v>
      </c>
      <c r="F13" s="28">
        <v>2.2200000000000001E-2</v>
      </c>
    </row>
    <row r="14" spans="1:13" x14ac:dyDescent="0.3">
      <c r="B14" s="94">
        <v>42736</v>
      </c>
      <c r="C14" s="30">
        <v>5.6899999999999999E-2</v>
      </c>
      <c r="E14" s="183" t="str">
        <f>B11</f>
        <v xml:space="preserve">Netvegana stopnja donosa </v>
      </c>
      <c r="F14" s="184">
        <f>C11</f>
        <v>3.5000000000000003E-2</v>
      </c>
    </row>
    <row r="15" spans="1:13" x14ac:dyDescent="0.3">
      <c r="B15" s="94">
        <v>42767</v>
      </c>
      <c r="C15" s="30">
        <v>5.5899999999999998E-2</v>
      </c>
      <c r="E15" s="183" t="str">
        <f>B26</f>
        <v>Tržna premija za tveganje</v>
      </c>
      <c r="F15" s="184">
        <f>C26</f>
        <v>5.1900000000000002E-2</v>
      </c>
    </row>
    <row r="16" spans="1:13" ht="15" thickBot="1" x14ac:dyDescent="0.35">
      <c r="B16" s="94">
        <v>42795</v>
      </c>
      <c r="C16" s="30">
        <v>5.3900000000000003E-2</v>
      </c>
      <c r="E16" s="182" t="s">
        <v>294</v>
      </c>
      <c r="F16" s="28">
        <v>0</v>
      </c>
    </row>
    <row r="17" spans="2:14" ht="15" thickBot="1" x14ac:dyDescent="0.35">
      <c r="B17" s="94">
        <v>42826</v>
      </c>
      <c r="C17" s="30">
        <v>5.3800000000000001E-2</v>
      </c>
      <c r="E17" s="127" t="s">
        <v>354</v>
      </c>
      <c r="F17" s="128">
        <f>F14+F15*F9+F12+F13</f>
        <v>0.16636659905660378</v>
      </c>
    </row>
    <row r="18" spans="2:14" ht="15" thickBot="1" x14ac:dyDescent="0.35">
      <c r="B18" s="94">
        <v>42856</v>
      </c>
      <c r="C18" s="30">
        <v>5.3400000000000003E-2</v>
      </c>
      <c r="E18" s="178" t="s">
        <v>290</v>
      </c>
      <c r="F18" s="179">
        <f>F17*F10+F7*F11*(1-F6)</f>
        <v>8.8732693185796602E-2</v>
      </c>
    </row>
    <row r="19" spans="2:14" x14ac:dyDescent="0.3">
      <c r="B19" s="94">
        <v>42887</v>
      </c>
      <c r="C19" s="30">
        <v>5.2900000000000003E-2</v>
      </c>
    </row>
    <row r="20" spans="2:14" x14ac:dyDescent="0.3">
      <c r="B20" s="94">
        <v>42917</v>
      </c>
      <c r="C20" s="30">
        <v>5.1299999999999998E-2</v>
      </c>
      <c r="E20">
        <v>2013</v>
      </c>
      <c r="F20">
        <v>2014</v>
      </c>
      <c r="G20">
        <v>2015</v>
      </c>
      <c r="H20">
        <v>2016</v>
      </c>
      <c r="I20">
        <v>2017</v>
      </c>
      <c r="J20">
        <v>2018</v>
      </c>
      <c r="K20">
        <v>2019</v>
      </c>
      <c r="L20">
        <v>2020</v>
      </c>
      <c r="M20">
        <v>2021</v>
      </c>
      <c r="N20">
        <v>2022</v>
      </c>
    </row>
    <row r="21" spans="2:14" x14ac:dyDescent="0.3">
      <c r="B21" s="94">
        <v>42948</v>
      </c>
      <c r="C21" s="30">
        <v>5.0299999999999997E-2</v>
      </c>
      <c r="E21" s="251">
        <f>Bilanca!C23/(Bilanca!C23+Bilanca!C39+Bilanca!C41)</f>
        <v>0.48924086504910147</v>
      </c>
      <c r="F21" s="251">
        <f>Bilanca!D23/(Bilanca!D23+Bilanca!D39+Bilanca!D41)</f>
        <v>0.50846467247781379</v>
      </c>
      <c r="G21" s="251">
        <f>Bilanca!E23/(Bilanca!E23+Bilanca!E39+Bilanca!E41)</f>
        <v>0.50413512928613891</v>
      </c>
      <c r="H21" s="251">
        <f>Bilanca!F23/(Bilanca!F23+Bilanca!F39+Bilanca!F41)</f>
        <v>0.49307153916621715</v>
      </c>
      <c r="I21" s="251">
        <f>Bilanca!G23/(Bilanca!G23+Bilanca!G39+Bilanca!G41)</f>
        <v>0.48975727800344371</v>
      </c>
      <c r="J21" s="251">
        <f>Bilanca!H23/(Bilanca!H23+Bilanca!H39+Bilanca!H41)</f>
        <v>0.46305060065526038</v>
      </c>
      <c r="K21" s="251">
        <f>Bilanca!I23/(Bilanca!I23+Bilanca!I39+Bilanca!I41)</f>
        <v>0.46305060065526032</v>
      </c>
      <c r="L21" s="251">
        <f>Bilanca!J23/(Bilanca!J23+Bilanca!J39+Bilanca!J41)</f>
        <v>0.46305060065526027</v>
      </c>
      <c r="M21" s="251">
        <f>Bilanca!K23/(Bilanca!K23+Bilanca!K39+Bilanca!K41)</f>
        <v>0.46305060065526027</v>
      </c>
      <c r="N21" s="251">
        <f>Bilanca!L23/(Bilanca!L23+Bilanca!L39+Bilanca!L41)</f>
        <v>0.46305060065526027</v>
      </c>
    </row>
    <row r="22" spans="2:14" x14ac:dyDescent="0.3">
      <c r="B22" s="94">
        <v>42979</v>
      </c>
      <c r="C22" s="30">
        <v>5.04E-2</v>
      </c>
      <c r="E22" s="251">
        <f>(Bilanca!C39+Bilanca!C41)/(Bilanca!C23+Bilanca!C39+Bilanca!C41)</f>
        <v>0.51075913495089853</v>
      </c>
      <c r="F22" s="251">
        <f>(Bilanca!D39+Bilanca!D41)/(Bilanca!D23+Bilanca!D39+Bilanca!D41)</f>
        <v>0.49153532752218626</v>
      </c>
      <c r="G22" s="251">
        <f>(Bilanca!E39+Bilanca!E41)/(Bilanca!E23+Bilanca!E39+Bilanca!E41)</f>
        <v>0.49586487071386109</v>
      </c>
      <c r="H22" s="251">
        <f>(Bilanca!F39+Bilanca!F41)/(Bilanca!F23+Bilanca!F39+Bilanca!F41)</f>
        <v>0.50692846083378285</v>
      </c>
      <c r="I22" s="251">
        <f>(Bilanca!G39+Bilanca!G41)/(Bilanca!G23+Bilanca!G39+Bilanca!G41)</f>
        <v>0.51024272199655629</v>
      </c>
      <c r="J22" s="251">
        <f>(Bilanca!H39+Bilanca!H41)/(Bilanca!H23+Bilanca!H39+Bilanca!H41)</f>
        <v>0.53694939934473973</v>
      </c>
      <c r="K22" s="251">
        <f>(Bilanca!I39+Bilanca!I41)/(Bilanca!I23+Bilanca!I39+Bilanca!I41)</f>
        <v>0.53694939934473973</v>
      </c>
      <c r="L22" s="251">
        <f>(Bilanca!J39+Bilanca!J41)/(Bilanca!J23+Bilanca!J39+Bilanca!J41)</f>
        <v>0.53694939934473962</v>
      </c>
      <c r="M22" s="251">
        <f>(Bilanca!K39+Bilanca!K41)/(Bilanca!K23+Bilanca!K39+Bilanca!K41)</f>
        <v>0.53694939934473973</v>
      </c>
      <c r="N22" s="251">
        <f>(Bilanca!L39+Bilanca!L41)/(Bilanca!L23+Bilanca!L39+Bilanca!L41)</f>
        <v>0.53694939934473973</v>
      </c>
    </row>
    <row r="23" spans="2:14" x14ac:dyDescent="0.3">
      <c r="B23" s="94">
        <v>43009</v>
      </c>
      <c r="C23" s="30">
        <v>4.9200000000000001E-2</v>
      </c>
      <c r="E23" s="30">
        <f>AVERAGE(E21:I21)</f>
        <v>0.49693389679654298</v>
      </c>
    </row>
    <row r="24" spans="2:14" x14ac:dyDescent="0.3">
      <c r="B24" s="94">
        <v>43040</v>
      </c>
      <c r="C24" s="30">
        <v>4.8099999999999997E-2</v>
      </c>
      <c r="E24" s="30">
        <f>AVERAGE(E22:I22)</f>
        <v>0.50306610320345702</v>
      </c>
    </row>
    <row r="25" spans="2:14" ht="15" thickBot="1" x14ac:dyDescent="0.35">
      <c r="B25" s="120">
        <v>43070</v>
      </c>
      <c r="C25" s="82">
        <v>4.6800000000000001E-2</v>
      </c>
    </row>
    <row r="26" spans="2:14" ht="15" thickBot="1" x14ac:dyDescent="0.35">
      <c r="B26" s="118" t="s">
        <v>356</v>
      </c>
      <c r="C26" s="119">
        <v>5.1900000000000002E-2</v>
      </c>
      <c r="D26" s="30">
        <f>AVERAGE(C14:C25)</f>
        <v>5.1908333333333334E-2</v>
      </c>
    </row>
    <row r="27" spans="2:14" x14ac:dyDescent="0.3">
      <c r="C27" s="30"/>
    </row>
    <row r="39" spans="4:4" x14ac:dyDescent="0.3">
      <c r="D39" s="30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AE97-15D8-4B8A-954C-2972CA6C1339}">
  <dimension ref="B1:AB62"/>
  <sheetViews>
    <sheetView topLeftCell="A19" zoomScale="85" zoomScaleNormal="85" workbookViewId="0">
      <selection activeCell="E28" sqref="E28"/>
    </sheetView>
  </sheetViews>
  <sheetFormatPr defaultRowHeight="15.6" x14ac:dyDescent="0.3"/>
  <cols>
    <col min="1" max="1" width="8.88671875" style="137"/>
    <col min="2" max="2" width="37" style="137" bestFit="1" customWidth="1"/>
    <col min="3" max="3" width="12.77734375" style="137" bestFit="1" customWidth="1"/>
    <col min="4" max="7" width="9.5546875" style="137" customWidth="1"/>
    <col min="8" max="8" width="8.88671875" style="137"/>
    <col min="9" max="9" width="35" style="137" bestFit="1" customWidth="1"/>
    <col min="10" max="14" width="10.44140625" style="137" bestFit="1" customWidth="1"/>
    <col min="15" max="15" width="8.88671875" style="137"/>
    <col min="16" max="16" width="58.33203125" style="137" bestFit="1" customWidth="1"/>
    <col min="17" max="21" width="10.44140625" style="137" bestFit="1" customWidth="1"/>
    <col min="22" max="22" width="9.44140625" style="137" bestFit="1" customWidth="1"/>
    <col min="23" max="23" width="62.44140625" style="137" bestFit="1" customWidth="1"/>
    <col min="24" max="25" width="13.44140625" style="137" bestFit="1" customWidth="1"/>
    <col min="26" max="28" width="14" style="137" bestFit="1" customWidth="1"/>
    <col min="29" max="16384" width="8.88671875" style="137"/>
  </cols>
  <sheetData>
    <row r="1" spans="2:28" x14ac:dyDescent="0.3">
      <c r="B1" s="136" t="s">
        <v>219</v>
      </c>
      <c r="H1" s="138"/>
      <c r="O1" s="138"/>
      <c r="P1" s="137" t="s">
        <v>301</v>
      </c>
      <c r="W1" s="137" t="s">
        <v>305</v>
      </c>
    </row>
    <row r="2" spans="2:28" ht="16.2" thickBot="1" x14ac:dyDescent="0.35">
      <c r="B2" s="139" t="s">
        <v>222</v>
      </c>
      <c r="C2" s="139">
        <f>FCFF!D76</f>
        <v>2013</v>
      </c>
      <c r="D2" s="139">
        <f>FCFF!E76</f>
        <v>2014</v>
      </c>
      <c r="E2" s="139">
        <f>FCFF!F76</f>
        <v>2015</v>
      </c>
      <c r="F2" s="139">
        <f>FCFF!G76</f>
        <v>2016</v>
      </c>
      <c r="G2" s="139">
        <f>FCFF!H76</f>
        <v>2017</v>
      </c>
      <c r="H2" s="138"/>
      <c r="I2" s="140" t="s">
        <v>222</v>
      </c>
      <c r="J2" s="139">
        <f>Bilanca!C3</f>
        <v>2013</v>
      </c>
      <c r="K2" s="139">
        <f>Bilanca!D3</f>
        <v>2014</v>
      </c>
      <c r="L2" s="139">
        <f>Bilanca!E3</f>
        <v>2015</v>
      </c>
      <c r="M2" s="139">
        <f>Bilanca!F3</f>
        <v>2016</v>
      </c>
      <c r="N2" s="139">
        <f>Bilanca!G3</f>
        <v>2017</v>
      </c>
      <c r="O2" s="138"/>
      <c r="P2" s="140" t="s">
        <v>222</v>
      </c>
      <c r="Q2" s="139">
        <f>'Izkaz poslovnega izida'!C2</f>
        <v>2013</v>
      </c>
      <c r="R2" s="139">
        <f>'Izkaz poslovnega izida'!D2</f>
        <v>2014</v>
      </c>
      <c r="S2" s="139">
        <f>'Izkaz poslovnega izida'!E2</f>
        <v>2015</v>
      </c>
      <c r="T2" s="139">
        <f>'Izkaz poslovnega izida'!F2</f>
        <v>2016</v>
      </c>
      <c r="U2" s="139">
        <f>'Izkaz poslovnega izida'!G2</f>
        <v>2017</v>
      </c>
      <c r="W2" s="139" t="str">
        <f>FCFF!C3</f>
        <v>v 1000 EUR</v>
      </c>
      <c r="X2" s="139">
        <f>FCFF!I3</f>
        <v>2018</v>
      </c>
      <c r="Y2" s="139">
        <f>FCFF!J3</f>
        <v>2019</v>
      </c>
      <c r="Z2" s="139">
        <f>FCFF!K3</f>
        <v>2020</v>
      </c>
      <c r="AA2" s="139">
        <f>FCFF!L3</f>
        <v>2021</v>
      </c>
      <c r="AB2" s="139">
        <f>FCFF!M3</f>
        <v>2022</v>
      </c>
    </row>
    <row r="3" spans="2:28" ht="16.2" thickBot="1" x14ac:dyDescent="0.35">
      <c r="B3" s="137" t="str">
        <f>FCFF!C77</f>
        <v>EBIT * (1-T)</v>
      </c>
      <c r="C3" s="141">
        <f>FCFF!D77</f>
        <v>23946.544196524352</v>
      </c>
      <c r="D3" s="141">
        <f>FCFF!E77</f>
        <v>13642.470877556305</v>
      </c>
      <c r="E3" s="141">
        <f>FCFF!F77</f>
        <v>-103.64292878635024</v>
      </c>
      <c r="F3" s="142">
        <f>FCFF!G77</f>
        <v>25589.888972809669</v>
      </c>
      <c r="G3" s="142">
        <f>FCFF!H77</f>
        <v>6483.8410965010025</v>
      </c>
      <c r="H3" s="138"/>
      <c r="I3" s="143" t="str">
        <f>Bilanca!B4</f>
        <v xml:space="preserve">SREDSTVA    </v>
      </c>
      <c r="J3" s="144">
        <f>Bilanca!C4</f>
        <v>1148065</v>
      </c>
      <c r="K3" s="144">
        <f>Bilanca!D4</f>
        <v>1102398</v>
      </c>
      <c r="L3" s="144">
        <f>Bilanca!E4</f>
        <v>1101274</v>
      </c>
      <c r="M3" s="144">
        <f>Bilanca!F4</f>
        <v>1123914</v>
      </c>
      <c r="N3" s="144">
        <f>Bilanca!G4</f>
        <v>1143116</v>
      </c>
      <c r="O3" s="138"/>
      <c r="P3" s="143" t="str">
        <f>'Izkaz poslovnega izida'!B25</f>
        <v xml:space="preserve">Prihodki od prodaje     </v>
      </c>
      <c r="Q3" s="144">
        <f>'Izkaz poslovnega izida'!C3</f>
        <v>1240482</v>
      </c>
      <c r="R3" s="144">
        <f>'Izkaz poslovnega izida'!D3</f>
        <v>1253717</v>
      </c>
      <c r="S3" s="144">
        <f>'Izkaz poslovnega izida'!E3</f>
        <v>1225029</v>
      </c>
      <c r="T3" s="144">
        <f>'Izkaz poslovnega izida'!F3</f>
        <v>1258124</v>
      </c>
      <c r="U3" s="144">
        <f>'Izkaz poslovnega izida'!G3</f>
        <v>1309932</v>
      </c>
      <c r="V3" s="146"/>
      <c r="W3" s="145" t="str">
        <f>FCFF!C4</f>
        <v xml:space="preserve">Prihodki od prodaje     </v>
      </c>
      <c r="X3" s="144">
        <f>FCFF!I4</f>
        <v>1328271.048</v>
      </c>
      <c r="Y3" s="144">
        <f>FCFF!J4</f>
        <v>1344210.300576</v>
      </c>
      <c r="Z3" s="144">
        <f>FCFF!K4</f>
        <v>1358996.6138823358</v>
      </c>
      <c r="AA3" s="144">
        <f>FCFF!L4</f>
        <v>1373945.5766350415</v>
      </c>
      <c r="AB3" s="144">
        <f>FCFF!M4</f>
        <v>1387685.032401392</v>
      </c>
    </row>
    <row r="4" spans="2:28" x14ac:dyDescent="0.3">
      <c r="B4" s="147" t="str">
        <f>FCFF!C78</f>
        <v>+amortizacija</v>
      </c>
      <c r="C4" s="141">
        <f>FCFF!D78</f>
        <v>41875</v>
      </c>
      <c r="D4" s="141">
        <f>FCFF!E78</f>
        <v>43019</v>
      </c>
      <c r="E4" s="141">
        <f>FCFF!F78</f>
        <v>45644</v>
      </c>
      <c r="F4" s="142">
        <f>FCFF!G78</f>
        <v>47055</v>
      </c>
      <c r="G4" s="142">
        <f>FCFF!H78</f>
        <v>54676</v>
      </c>
      <c r="H4" s="138"/>
      <c r="I4" s="148" t="str">
        <f xml:space="preserve">   Bilanca!B5</f>
        <v xml:space="preserve">Dolgoročna sredstva   </v>
      </c>
      <c r="J4" s="149">
        <f>Bilanca!C5</f>
        <v>593890</v>
      </c>
      <c r="K4" s="149">
        <f>Bilanca!D5</f>
        <v>594578</v>
      </c>
      <c r="L4" s="149">
        <f>Bilanca!E5</f>
        <v>614125</v>
      </c>
      <c r="M4" s="149">
        <f>Bilanca!F5</f>
        <v>629266</v>
      </c>
      <c r="N4" s="149">
        <f>Bilanca!G5</f>
        <v>647977</v>
      </c>
      <c r="O4" s="142"/>
      <c r="P4" s="148" t="str">
        <f>'Izkaz poslovnega izida'!B26</f>
        <v xml:space="preserve">Sprememba vrednosti zalog proizvodov in nedokončane proizvodnje </v>
      </c>
      <c r="Q4" s="149">
        <f>'Izkaz poslovnega izida'!C4</f>
        <v>-26122</v>
      </c>
      <c r="R4" s="149">
        <f>'Izkaz poslovnega izida'!D4</f>
        <v>-12042</v>
      </c>
      <c r="S4" s="149">
        <f>'Izkaz poslovnega izida'!E4</f>
        <v>13370</v>
      </c>
      <c r="T4" s="149">
        <f>'Izkaz poslovnega izida'!F4</f>
        <v>5200</v>
      </c>
      <c r="U4" s="149">
        <f>'Izkaz poslovnega izida'!G4</f>
        <v>-15117</v>
      </c>
      <c r="V4" s="141"/>
      <c r="W4" s="151" t="str">
        <f>FCFF!C5</f>
        <v>Rast v %</v>
      </c>
      <c r="X4" s="152">
        <f>FCFF!I5</f>
        <v>1.4000000000000012E-2</v>
      </c>
      <c r="Y4" s="152">
        <f>FCFF!J5</f>
        <v>1.2E-2</v>
      </c>
      <c r="Z4" s="152">
        <f>FCFF!K5</f>
        <v>1.0999999999999999E-2</v>
      </c>
      <c r="AA4" s="152">
        <f>FCFF!L5</f>
        <v>1.0999999999999999E-2</v>
      </c>
      <c r="AB4" s="152">
        <f>FCFF!M5</f>
        <v>0.01</v>
      </c>
    </row>
    <row r="5" spans="2:28" x14ac:dyDescent="0.3">
      <c r="B5" s="153" t="str">
        <f>FCFF!C79</f>
        <v>-naložbe v osn. sredstva</v>
      </c>
      <c r="C5" s="142">
        <f>FCFF!D79</f>
        <v>83910</v>
      </c>
      <c r="D5" s="142">
        <f>FCFF!E79</f>
        <v>61644</v>
      </c>
      <c r="E5" s="142">
        <f>FCFF!F79</f>
        <v>75496</v>
      </c>
      <c r="F5" s="142">
        <f>FCFF!G79</f>
        <v>83231</v>
      </c>
      <c r="G5" s="142">
        <f>FCFF!H79</f>
        <v>75699</v>
      </c>
      <c r="H5" s="138"/>
      <c r="I5" s="154" t="str">
        <f>Bilanca!B6</f>
        <v xml:space="preserve">Neopredmetena sredstva   </v>
      </c>
      <c r="J5" s="141">
        <f>Bilanca!C6</f>
        <v>167882</v>
      </c>
      <c r="K5" s="141">
        <f>Bilanca!D6</f>
        <v>181600</v>
      </c>
      <c r="L5" s="141">
        <f>Bilanca!E6</f>
        <v>196032</v>
      </c>
      <c r="M5" s="141">
        <f>Bilanca!F6</f>
        <v>208872</v>
      </c>
      <c r="N5" s="142">
        <f>Bilanca!G6</f>
        <v>223575</v>
      </c>
      <c r="O5" s="138"/>
      <c r="P5" s="154" t="str">
        <f>'Izkaz poslovnega izida'!B27</f>
        <v xml:space="preserve">Drugi poslovni prihodki     </v>
      </c>
      <c r="Q5" s="141">
        <f>'Izkaz poslovnega izida'!C5</f>
        <v>34517</v>
      </c>
      <c r="R5" s="141">
        <f>'Izkaz poslovnega izida'!D5</f>
        <v>21694</v>
      </c>
      <c r="S5" s="141">
        <f>'Izkaz poslovnega izida'!E5</f>
        <v>31866</v>
      </c>
      <c r="T5" s="141">
        <f>'Izkaz poslovnega izida'!F5</f>
        <v>21871</v>
      </c>
      <c r="U5" s="142">
        <f>'Izkaz poslovnega izida'!G5</f>
        <v>39440</v>
      </c>
      <c r="V5" s="141"/>
      <c r="W5" s="137" t="str">
        <f>FCFF!C6</f>
        <v xml:space="preserve">Sprememba vrednosti zalog proizvodov in nedokončane proizvodnje </v>
      </c>
      <c r="X5" s="155">
        <f>FCFF!I6</f>
        <v>13653</v>
      </c>
      <c r="Y5" s="155">
        <f>FCFF!J6</f>
        <v>-8200</v>
      </c>
      <c r="Z5" s="155">
        <f>FCFF!K6</f>
        <v>13421</v>
      </c>
      <c r="AA5" s="155">
        <f>FCFF!L6</f>
        <v>19721</v>
      </c>
      <c r="AB5" s="155">
        <f>FCFF!M6</f>
        <v>12456</v>
      </c>
    </row>
    <row r="6" spans="2:28" ht="16.2" thickBot="1" x14ac:dyDescent="0.35">
      <c r="B6" s="156" t="str">
        <f>FCFF!C80</f>
        <v>-naložbe v obratni kapital</v>
      </c>
      <c r="C6" s="157">
        <f>FCFF!D80</f>
        <v>-35237.859056708956</v>
      </c>
      <c r="D6" s="157">
        <f>FCFF!E80</f>
        <v>-33009</v>
      </c>
      <c r="E6" s="157">
        <f>FCFF!F80</f>
        <v>-37231</v>
      </c>
      <c r="F6" s="157">
        <f>FCFF!G80</f>
        <v>6246</v>
      </c>
      <c r="G6" s="157">
        <f>FCFF!H80</f>
        <v>-11832</v>
      </c>
      <c r="H6" s="138"/>
      <c r="I6" s="154" t="str">
        <f>Bilanca!B7</f>
        <v xml:space="preserve">Nepremičnine, naprave in oprema </v>
      </c>
      <c r="J6" s="141">
        <f>Bilanca!C7</f>
        <v>356552</v>
      </c>
      <c r="K6" s="141">
        <f>Bilanca!D7</f>
        <v>356089</v>
      </c>
      <c r="L6" s="141">
        <f>Bilanca!E7</f>
        <v>366210</v>
      </c>
      <c r="M6" s="141">
        <f>Bilanca!F7</f>
        <v>366212</v>
      </c>
      <c r="N6" s="142">
        <f>Bilanca!G7</f>
        <v>371835</v>
      </c>
      <c r="O6" s="138"/>
      <c r="P6" s="154" t="str">
        <f>'Izkaz poslovnega izida'!B28</f>
        <v xml:space="preserve">Kosmati donos iz poslovanja    </v>
      </c>
      <c r="Q6" s="141">
        <f>'Izkaz poslovnega izida'!C6</f>
        <v>1248877</v>
      </c>
      <c r="R6" s="141">
        <f>'Izkaz poslovnega izida'!D6</f>
        <v>1263369</v>
      </c>
      <c r="S6" s="141">
        <f>'Izkaz poslovnega izida'!E6</f>
        <v>1270265</v>
      </c>
      <c r="T6" s="141">
        <f>'Izkaz poslovnega izida'!F6</f>
        <v>1285195</v>
      </c>
      <c r="U6" s="142">
        <f>'Izkaz poslovnega izida'!G6</f>
        <v>1334255</v>
      </c>
      <c r="V6" s="146"/>
      <c r="W6" s="137" t="str">
        <f>FCFF!C8</f>
        <v xml:space="preserve">Drugi poslovni prihodki     </v>
      </c>
      <c r="X6" s="142">
        <f>FCFF!I8</f>
        <v>25636</v>
      </c>
      <c r="Y6" s="142">
        <f>FCFF!J8</f>
        <v>28604.648799999999</v>
      </c>
      <c r="Z6" s="141">
        <f>FCFF!K8</f>
        <v>28770.55576304</v>
      </c>
      <c r="AA6" s="141">
        <f>FCFF!L8</f>
        <v>26934.99430535805</v>
      </c>
      <c r="AB6" s="141">
        <f>FCFF!M8</f>
        <v>33609.485894225778</v>
      </c>
    </row>
    <row r="7" spans="2:28" ht="16.2" thickBot="1" x14ac:dyDescent="0.35">
      <c r="B7" s="139" t="str">
        <f>FCFF!C81</f>
        <v>FCFF</v>
      </c>
      <c r="C7" s="158">
        <f>FCFF!D81</f>
        <v>17149.403253233308</v>
      </c>
      <c r="D7" s="158">
        <f>FCFF!E81</f>
        <v>28026.470877556305</v>
      </c>
      <c r="E7" s="158">
        <f>FCFF!F81</f>
        <v>7275.3570712136498</v>
      </c>
      <c r="F7" s="158">
        <f>FCFF!G81</f>
        <v>-16832.111027190331</v>
      </c>
      <c r="G7" s="158">
        <f>FCFF!H81</f>
        <v>-2707.1589034989956</v>
      </c>
      <c r="H7" s="138"/>
      <c r="I7" s="154" t="str">
        <f>Bilanca!B8</f>
        <v xml:space="preserve">Naložbene nepremičnine   </v>
      </c>
      <c r="J7" s="141">
        <f>Bilanca!C8</f>
        <v>28129</v>
      </c>
      <c r="K7" s="141">
        <f>Bilanca!D8</f>
        <v>18931</v>
      </c>
      <c r="L7" s="141">
        <f>Bilanca!E8</f>
        <v>17148</v>
      </c>
      <c r="M7" s="141">
        <f>Bilanca!F8</f>
        <v>14957</v>
      </c>
      <c r="N7" s="142">
        <f>Bilanca!G8</f>
        <v>9849</v>
      </c>
      <c r="O7" s="138"/>
      <c r="P7" s="154" t="str">
        <f>'Izkaz poslovnega izida'!B29</f>
        <v xml:space="preserve">Stroški blaga, materiala in storitev   </v>
      </c>
      <c r="Q7" s="141">
        <f>'Izkaz poslovnega izida'!C7</f>
        <v>-910516</v>
      </c>
      <c r="R7" s="141">
        <f>'Izkaz poslovnega izida'!D7</f>
        <v>-927686</v>
      </c>
      <c r="S7" s="141">
        <f>'Izkaz poslovnega izida'!E7</f>
        <v>-937245</v>
      </c>
      <c r="T7" s="141">
        <f>'Izkaz poslovnega izida'!F7</f>
        <v>-942154</v>
      </c>
      <c r="U7" s="142">
        <f>'Izkaz poslovnega izida'!G7</f>
        <v>-981413</v>
      </c>
      <c r="V7" s="141"/>
      <c r="W7" s="151" t="str">
        <f>FCFF!C9</f>
        <v>Rast v %</v>
      </c>
      <c r="X7" s="159">
        <f>FCFF!I9</f>
        <v>-0.35</v>
      </c>
      <c r="Y7" s="159">
        <f>FCFF!J9</f>
        <v>0.1158</v>
      </c>
      <c r="Z7" s="159">
        <f>FCFF!K9</f>
        <v>5.7999999999999996E-3</v>
      </c>
      <c r="AA7" s="159">
        <f>FCFF!L9</f>
        <v>-6.3799999999999996E-2</v>
      </c>
      <c r="AB7" s="159">
        <f>FCFF!M9</f>
        <v>0.24779999999999999</v>
      </c>
    </row>
    <row r="8" spans="2:28" ht="16.2" thickBot="1" x14ac:dyDescent="0.35">
      <c r="H8" s="138"/>
      <c r="I8" s="154" t="str">
        <f>Bilanca!B10</f>
        <v xml:space="preserve">Naložbe družbe v pridružene </v>
      </c>
      <c r="J8" s="141">
        <f>Bilanca!C10</f>
        <v>711</v>
      </c>
      <c r="K8" s="141">
        <f>Bilanca!D10</f>
        <v>1122</v>
      </c>
      <c r="L8" s="141">
        <f>Bilanca!E10</f>
        <v>1570</v>
      </c>
      <c r="M8" s="141">
        <f>Bilanca!F10</f>
        <v>2945</v>
      </c>
      <c r="N8" s="142">
        <f>Bilanca!G10</f>
        <v>4309</v>
      </c>
      <c r="O8" s="138"/>
      <c r="P8" s="154" t="str">
        <f>'Izkaz poslovnega izida'!B30</f>
        <v xml:space="preserve">Stroški dela      </v>
      </c>
      <c r="Q8" s="141">
        <f>'Izkaz poslovnega izida'!C8</f>
        <v>-237914</v>
      </c>
      <c r="R8" s="141">
        <f>'Izkaz poslovnega izida'!D8</f>
        <v>-228479</v>
      </c>
      <c r="S8" s="141">
        <f>'Izkaz poslovnega izida'!E8</f>
        <v>-231362</v>
      </c>
      <c r="T8" s="141">
        <f>'Izkaz poslovnega izida'!F8</f>
        <v>-235325</v>
      </c>
      <c r="U8" s="142">
        <f>'Izkaz poslovnega izida'!G8</f>
        <v>-249012</v>
      </c>
      <c r="V8" s="141"/>
      <c r="W8" s="144" t="str">
        <f>FCFF!C11</f>
        <v xml:space="preserve">Kosmati donos iz poslovanja    </v>
      </c>
      <c r="X8" s="144">
        <f>FCFF!I11</f>
        <v>1367560.048</v>
      </c>
      <c r="Y8" s="144">
        <f>FCFF!J11</f>
        <v>1364614.9493760001</v>
      </c>
      <c r="Z8" s="144">
        <f>FCFF!K11</f>
        <v>1401188.1696453758</v>
      </c>
      <c r="AA8" s="144">
        <f>FCFF!L11</f>
        <v>1420601.5709403995</v>
      </c>
      <c r="AB8" s="144">
        <f>FCFF!M11</f>
        <v>1433750.5182956178</v>
      </c>
    </row>
    <row r="9" spans="2:28" ht="16.2" thickBot="1" x14ac:dyDescent="0.35">
      <c r="B9" s="139" t="s">
        <v>222</v>
      </c>
      <c r="C9" s="139">
        <f>FCFF!I76</f>
        <v>2018</v>
      </c>
      <c r="D9" s="139">
        <f>FCFF!J76</f>
        <v>2019</v>
      </c>
      <c r="E9" s="139">
        <f>FCFF!K76</f>
        <v>2020</v>
      </c>
      <c r="F9" s="139">
        <f>FCFF!L76</f>
        <v>2021</v>
      </c>
      <c r="G9" s="139">
        <f>FCFF!M76</f>
        <v>2022</v>
      </c>
      <c r="I9" s="154" t="str">
        <f>Bilanca!B11</f>
        <v xml:space="preserve">Druge dolgoročne finančne naložbe </v>
      </c>
      <c r="J9" s="141">
        <f>Bilanca!C11</f>
        <v>5527</v>
      </c>
      <c r="K9" s="141">
        <f>Bilanca!D11</f>
        <v>5125</v>
      </c>
      <c r="L9" s="141">
        <f>Bilanca!E11</f>
        <v>2942</v>
      </c>
      <c r="M9" s="141">
        <f>Bilanca!F11</f>
        <v>6563</v>
      </c>
      <c r="N9" s="142">
        <f>Bilanca!G11</f>
        <v>3483</v>
      </c>
      <c r="O9" s="138"/>
      <c r="P9" s="154" t="str">
        <f>'Izkaz poslovnega izida'!B31</f>
        <v xml:space="preserve">Amortizacija       </v>
      </c>
      <c r="Q9" s="141">
        <f>'Izkaz poslovnega izida'!C9</f>
        <v>-41875</v>
      </c>
      <c r="R9" s="141">
        <f>'Izkaz poslovnega izida'!D9</f>
        <v>-43019</v>
      </c>
      <c r="S9" s="141">
        <f>'Izkaz poslovnega izida'!E9</f>
        <v>-45644</v>
      </c>
      <c r="T9" s="141">
        <f>'Izkaz poslovnega izida'!F9</f>
        <v>-47055</v>
      </c>
      <c r="U9" s="142">
        <f>'Izkaz poslovnega izida'!G9</f>
        <v>-54676</v>
      </c>
      <c r="V9" s="141"/>
      <c r="W9" s="137" t="str">
        <f>FCFF!C14</f>
        <v xml:space="preserve">Stroški blaga, materiala in storitev   </v>
      </c>
      <c r="X9" s="141">
        <f>FCFF!I14</f>
        <v>-988233.65971199994</v>
      </c>
      <c r="Y9" s="141">
        <f>FCFF!J14</f>
        <v>-1000764.568778832</v>
      </c>
      <c r="Z9" s="141">
        <f>FCFF!K14</f>
        <v>-1011772.979035399</v>
      </c>
      <c r="AA9" s="141">
        <f>FCFF!L14</f>
        <v>-1025650.3729580585</v>
      </c>
      <c r="AB9" s="141">
        <f>FCFF!M14</f>
        <v>-1035906.876687639</v>
      </c>
    </row>
    <row r="10" spans="2:28" x14ac:dyDescent="0.3">
      <c r="B10" s="137" t="str">
        <f>FCFF!C77</f>
        <v>EBIT * (1-T)</v>
      </c>
      <c r="C10" s="141">
        <f>FCFF!I77</f>
        <v>39402.620171149443</v>
      </c>
      <c r="D10" s="141">
        <f>FCFF!J77</f>
        <v>29602.236937587561</v>
      </c>
      <c r="E10" s="141">
        <f>FCFF!K77</f>
        <v>47048.462132252425</v>
      </c>
      <c r="F10" s="142">
        <f>FCFF!L77</f>
        <v>47762.667741630816</v>
      </c>
      <c r="G10" s="142">
        <f>FCFF!M77</f>
        <v>47441.793682187432</v>
      </c>
      <c r="I10" s="154" t="str">
        <f>Bilanca!B12</f>
        <v xml:space="preserve">Dolgoročne poslovne terjatve  </v>
      </c>
      <c r="J10" s="141">
        <f>Bilanca!C12</f>
        <v>10559</v>
      </c>
      <c r="K10" s="141">
        <f>Bilanca!D12</f>
        <v>6988</v>
      </c>
      <c r="L10" s="141">
        <f>Bilanca!E12</f>
        <v>5743</v>
      </c>
      <c r="M10" s="141">
        <f>Bilanca!F12</f>
        <v>2481</v>
      </c>
      <c r="N10" s="142">
        <f>Bilanca!G12</f>
        <v>7375</v>
      </c>
      <c r="O10" s="138"/>
      <c r="P10" s="154" t="str">
        <f>'Izkaz poslovnega izida'!B32</f>
        <v xml:space="preserve">Drugi poslovni odhodki     </v>
      </c>
      <c r="Q10" s="141">
        <f>'Izkaz poslovnega izida'!C10</f>
        <v>-22242</v>
      </c>
      <c r="R10" s="141">
        <f>'Izkaz poslovnega izida'!D10</f>
        <v>-21650</v>
      </c>
      <c r="S10" s="141">
        <f>'Izkaz poslovnega izida'!E10</f>
        <v>-21570</v>
      </c>
      <c r="T10" s="141">
        <f>'Izkaz poslovnega izida'!F10</f>
        <v>-20470</v>
      </c>
      <c r="U10" s="142">
        <f>'Izkaz poslovnega izida'!G10</f>
        <v>-27459</v>
      </c>
      <c r="V10" s="141"/>
      <c r="W10" s="151" t="s">
        <v>303</v>
      </c>
      <c r="X10" s="160">
        <f>FCFF!I22</f>
        <v>-0.74399999999999999</v>
      </c>
      <c r="Y10" s="160">
        <f>FCFF!J22</f>
        <v>-0.74449999999999994</v>
      </c>
      <c r="Z10" s="160">
        <f>FCFF!K22</f>
        <v>-0.74450000000000005</v>
      </c>
      <c r="AA10" s="160">
        <f>FCFF!L22</f>
        <v>-0.74650000000000005</v>
      </c>
      <c r="AB10" s="160">
        <f>FCFF!M22</f>
        <v>-0.74649999999999994</v>
      </c>
    </row>
    <row r="11" spans="2:28" x14ac:dyDescent="0.3">
      <c r="B11" s="147" t="str">
        <f>FCFF!C78</f>
        <v>+amortizacija</v>
      </c>
      <c r="C11" s="141">
        <f>FCFF!I78</f>
        <v>54552.091941359999</v>
      </c>
      <c r="D11" s="141">
        <f>FCFF!J78</f>
        <v>54003.648825640797</v>
      </c>
      <c r="E11" s="141">
        <f>FCFF!K78</f>
        <v>51451.611801585226</v>
      </c>
      <c r="F11" s="142">
        <f>FCFF!L78</f>
        <v>52017.579531402662</v>
      </c>
      <c r="G11" s="142">
        <f>FCFF!M78</f>
        <v>52464.901862515624</v>
      </c>
      <c r="H11" s="138"/>
      <c r="I11" s="154" t="str">
        <f>Bilanca!B13</f>
        <v xml:space="preserve">Odložene terjatve za davke </v>
      </c>
      <c r="J11" s="141">
        <f>Bilanca!C13</f>
        <v>24530</v>
      </c>
      <c r="K11" s="141">
        <f>Bilanca!D13</f>
        <v>24723</v>
      </c>
      <c r="L11" s="141">
        <f>Bilanca!E13</f>
        <v>24480</v>
      </c>
      <c r="M11" s="141">
        <f>Bilanca!F13</f>
        <v>27236</v>
      </c>
      <c r="N11" s="142">
        <f>Bilanca!G13</f>
        <v>27551</v>
      </c>
      <c r="O11" s="138"/>
      <c r="P11" s="154" t="str">
        <f>'Izkaz poslovnega izida'!B33</f>
        <v xml:space="preserve">Poslovni izid iz poslovanja    </v>
      </c>
      <c r="Q11" s="141">
        <f>'Izkaz poslovnega izida'!C11</f>
        <v>36330</v>
      </c>
      <c r="R11" s="141">
        <f>'Izkaz poslovnega izida'!D11</f>
        <v>42535</v>
      </c>
      <c r="S11" s="141">
        <f>'Izkaz poslovnega izida'!E11</f>
        <v>34444</v>
      </c>
      <c r="T11" s="141">
        <f>'Izkaz poslovnega izida'!F11</f>
        <v>40191</v>
      </c>
      <c r="U11" s="142">
        <f>'Izkaz poslovnega izida'!G11</f>
        <v>21695</v>
      </c>
      <c r="V11" s="146"/>
      <c r="W11" s="137" t="str">
        <f>FCFF!C15</f>
        <v xml:space="preserve">Stroški dela      </v>
      </c>
      <c r="X11" s="141">
        <f>FCFF!I15</f>
        <v>-251513.00539480138</v>
      </c>
      <c r="Y11" s="141">
        <f>FCFF!J15</f>
        <v>-248737.69115487349</v>
      </c>
      <c r="Z11" s="141">
        <f>FCFF!K15</f>
        <v>-254657.67060384582</v>
      </c>
      <c r="AA11" s="141">
        <f>FCFF!L15</f>
        <v>-258396.53370286225</v>
      </c>
      <c r="AB11" s="141">
        <f>FCFF!M15</f>
        <v>-261001.11475912062</v>
      </c>
    </row>
    <row r="12" spans="2:28" x14ac:dyDescent="0.3">
      <c r="B12" s="153" t="str">
        <f>FCFF!C79</f>
        <v>-naložbe v osn. sredstva</v>
      </c>
      <c r="C12" s="142">
        <f>FCFF!I79</f>
        <v>62223.982183999993</v>
      </c>
      <c r="D12" s="142">
        <f>FCFF!J79</f>
        <v>62772.287671296006</v>
      </c>
      <c r="E12" s="142">
        <f>FCFF!K79</f>
        <v>64454.655803687288</v>
      </c>
      <c r="F12" s="142">
        <f>FCFF!L79</f>
        <v>63927.070692317982</v>
      </c>
      <c r="G12" s="142">
        <f>FCFF!M79</f>
        <v>63085.022805007175</v>
      </c>
      <c r="H12" s="138"/>
      <c r="I12" s="148" t="str">
        <f>Bilanca!B14</f>
        <v xml:space="preserve">Kratkoročna sredstva   </v>
      </c>
      <c r="J12" s="149">
        <f>Bilanca!C14</f>
        <v>554175</v>
      </c>
      <c r="K12" s="149">
        <f>Bilanca!D14</f>
        <v>507820</v>
      </c>
      <c r="L12" s="149">
        <f>Bilanca!E14</f>
        <v>487149</v>
      </c>
      <c r="M12" s="149">
        <f>Bilanca!F14</f>
        <v>494648</v>
      </c>
      <c r="N12" s="149">
        <f>Bilanca!G14</f>
        <v>495139</v>
      </c>
      <c r="O12" s="138"/>
      <c r="P12" s="148" t="str">
        <f>'Izkaz poslovnega izida'!B34</f>
        <v xml:space="preserve">Finančni prihodki      </v>
      </c>
      <c r="Q12" s="149">
        <f>'Izkaz poslovnega izida'!C12</f>
        <v>7547</v>
      </c>
      <c r="R12" s="149">
        <f>'Izkaz poslovnega izida'!D12</f>
        <v>8685</v>
      </c>
      <c r="S12" s="149">
        <f>'Izkaz poslovnega izida'!E12</f>
        <v>7396</v>
      </c>
      <c r="T12" s="149">
        <f>'Izkaz poslovnega izida'!F12</f>
        <v>6157</v>
      </c>
      <c r="U12" s="149">
        <f>'Izkaz poslovnega izida'!G12</f>
        <v>4139</v>
      </c>
      <c r="V12" s="141"/>
      <c r="W12" s="138" t="str">
        <f>FCFF!C17</f>
        <v xml:space="preserve">Amortizacija       </v>
      </c>
      <c r="X12" s="142">
        <f>FCFF!I17</f>
        <v>-54552.091941359999</v>
      </c>
      <c r="Y12" s="142">
        <f>FCFF!J17</f>
        <v>-54003.648825640797</v>
      </c>
      <c r="Z12" s="142">
        <f>FCFF!K17</f>
        <v>-51451.611801585226</v>
      </c>
      <c r="AA12" s="142">
        <f>FCFF!L17</f>
        <v>-52017.579531402662</v>
      </c>
      <c r="AB12" s="142">
        <f>FCFF!M17</f>
        <v>-52464.901862515624</v>
      </c>
    </row>
    <row r="13" spans="2:28" ht="16.2" thickBot="1" x14ac:dyDescent="0.35">
      <c r="B13" s="156" t="str">
        <f>FCFF!C80</f>
        <v>-naložbe v obratni kapital</v>
      </c>
      <c r="C13" s="157">
        <f>FCFF!I80</f>
        <v>6730.6861439999484</v>
      </c>
      <c r="D13" s="157">
        <f>FCFF!J80</f>
        <v>-376.97262387190131</v>
      </c>
      <c r="E13" s="157">
        <f>FCFF!K80</f>
        <v>8884.9367034161696</v>
      </c>
      <c r="F13" s="157">
        <f>FCFF!L80</f>
        <v>1122.5539987077645</v>
      </c>
      <c r="G13" s="157">
        <f>FCFF!M80</f>
        <v>-4025.6389170041366</v>
      </c>
      <c r="H13" s="138"/>
      <c r="I13" s="154" t="str">
        <f>Bilanca!B15</f>
        <v xml:space="preserve">Nekratkoročna sredstva za prodajo </v>
      </c>
      <c r="J13" s="141">
        <f>Bilanca!C15</f>
        <v>1655</v>
      </c>
      <c r="K13" s="141">
        <f>Bilanca!D15</f>
        <v>1648</v>
      </c>
      <c r="L13" s="141">
        <f>Bilanca!E15</f>
        <v>309</v>
      </c>
      <c r="M13" s="141">
        <f>Bilanca!F15</f>
        <v>314</v>
      </c>
      <c r="N13" s="142">
        <f>Bilanca!G15</f>
        <v>305</v>
      </c>
      <c r="O13" s="142"/>
      <c r="P13" s="154" t="str">
        <f>'Izkaz poslovnega izida'!B35</f>
        <v xml:space="preserve">Finančni odhodki      </v>
      </c>
      <c r="Q13" s="141">
        <f>'Izkaz poslovnega izida'!C13</f>
        <v>-61929</v>
      </c>
      <c r="R13" s="141">
        <f>'Izkaz poslovnega izida'!D13</f>
        <v>-47422</v>
      </c>
      <c r="S13" s="141">
        <f>'Izkaz poslovnega izida'!E13</f>
        <v>-46188</v>
      </c>
      <c r="T13" s="141">
        <f>'Izkaz poslovnega izida'!F13</f>
        <v>-33192</v>
      </c>
      <c r="U13" s="142">
        <f>'Izkaz poslovnega izida'!G13</f>
        <v>-21499</v>
      </c>
      <c r="V13" s="141"/>
      <c r="W13" s="138" t="str">
        <f>FCFF!C18</f>
        <v xml:space="preserve">Drugi poslovni odhodki     </v>
      </c>
      <c r="X13" s="142">
        <f>FCFF!I18</f>
        <v>-24616.080863999996</v>
      </c>
      <c r="Y13" s="142">
        <f>FCFF!J18</f>
        <v>-24563.069088767999</v>
      </c>
      <c r="Z13" s="142">
        <f>FCFF!K18</f>
        <v>-25221.387053616763</v>
      </c>
      <c r="AA13" s="142">
        <f>FCFF!L18</f>
        <v>-25570.82827692719</v>
      </c>
      <c r="AB13" s="142">
        <f>FCFF!M18</f>
        <v>-25807.509329321118</v>
      </c>
    </row>
    <row r="14" spans="2:28" ht="16.2" thickBot="1" x14ac:dyDescent="0.35">
      <c r="B14" s="139" t="str">
        <f>FCFF!C81</f>
        <v>FCFF</v>
      </c>
      <c r="C14" s="158">
        <f>FCFF!I81</f>
        <v>25000.0437845095</v>
      </c>
      <c r="D14" s="158">
        <f>FCFF!J81</f>
        <v>21210.570715804257</v>
      </c>
      <c r="E14" s="158">
        <f>FCFF!K81</f>
        <v>25160.481426734186</v>
      </c>
      <c r="F14" s="158">
        <f>FCFF!L81</f>
        <v>34730.622582007738</v>
      </c>
      <c r="G14" s="158">
        <f>FCFF!M81</f>
        <v>40847.311656700011</v>
      </c>
      <c r="H14" s="138"/>
      <c r="I14" s="154" t="str">
        <f>Bilanca!B16</f>
        <v xml:space="preserve">Zaloge    </v>
      </c>
      <c r="J14" s="141">
        <f>Bilanca!C16</f>
        <v>235767</v>
      </c>
      <c r="K14" s="141">
        <f>Bilanca!D16</f>
        <v>219799</v>
      </c>
      <c r="L14" s="141">
        <f>Bilanca!E16</f>
        <v>225906</v>
      </c>
      <c r="M14" s="141">
        <f>Bilanca!F16</f>
        <v>225954</v>
      </c>
      <c r="N14" s="142">
        <f>Bilanca!G16</f>
        <v>220619</v>
      </c>
      <c r="O14" s="138"/>
      <c r="P14" s="154" t="str">
        <f>'Izkaz poslovnega izida'!B36</f>
        <v xml:space="preserve">Neto finančni odhodki/prihodki     </v>
      </c>
      <c r="Q14" s="141">
        <f>'Izkaz poslovnega izida'!C14</f>
        <v>-54382</v>
      </c>
      <c r="R14" s="141">
        <f>'Izkaz poslovnega izida'!D14</f>
        <v>-38737</v>
      </c>
      <c r="S14" s="141">
        <f>'Izkaz poslovnega izida'!E14</f>
        <v>-38792</v>
      </c>
      <c r="T14" s="141">
        <f>'Izkaz poslovnega izida'!F14</f>
        <v>-27035</v>
      </c>
      <c r="U14" s="142">
        <f>'Izkaz poslovnega izida'!G14</f>
        <v>-17360</v>
      </c>
      <c r="V14" s="146"/>
      <c r="W14" s="162" t="s">
        <v>303</v>
      </c>
      <c r="X14" s="160">
        <f>FCFF!I25</f>
        <v>-1.7999999999999999E-2</v>
      </c>
      <c r="Y14" s="160">
        <f>FCFF!J25</f>
        <v>-1.7999999999999999E-2</v>
      </c>
      <c r="Z14" s="160">
        <f>FCFF!K25</f>
        <v>-1.7999999999999999E-2</v>
      </c>
      <c r="AA14" s="160">
        <f>FCFF!L25</f>
        <v>-1.7999999999999999E-2</v>
      </c>
      <c r="AB14" s="160">
        <f>FCFF!M25</f>
        <v>-1.7999999999999999E-2</v>
      </c>
    </row>
    <row r="15" spans="2:28" x14ac:dyDescent="0.3">
      <c r="B15" s="137" t="s">
        <v>314</v>
      </c>
      <c r="C15" s="163">
        <f>1/(1+C17)^C16</f>
        <v>0.91849910107305466</v>
      </c>
      <c r="D15" s="163">
        <f>1/(1+D17)^D16</f>
        <v>0.84364059867200958</v>
      </c>
      <c r="E15" s="163">
        <f>1/(1+E17)^E16</f>
        <v>0.77488313150897448</v>
      </c>
      <c r="F15" s="163">
        <f>1/(1+F17)^F16</f>
        <v>0.71172945972766666</v>
      </c>
      <c r="G15" s="163">
        <f>1/(1+G17)^G16</f>
        <v>0.65372286896707277</v>
      </c>
      <c r="I15" s="154" t="str">
        <f>Bilanca!B17</f>
        <v xml:space="preserve">Kratkoročne finančne naložbe  </v>
      </c>
      <c r="J15" s="141">
        <f>Bilanca!C17</f>
        <v>17202</v>
      </c>
      <c r="K15" s="141">
        <f>Bilanca!D17</f>
        <v>20481</v>
      </c>
      <c r="L15" s="141">
        <f>Bilanca!E17</f>
        <v>16370</v>
      </c>
      <c r="M15" s="141">
        <f>Bilanca!F17</f>
        <v>8821</v>
      </c>
      <c r="N15" s="142">
        <f>Bilanca!G17</f>
        <v>8059</v>
      </c>
      <c r="O15" s="138"/>
      <c r="P15" s="154" t="str">
        <f>'Izkaz poslovnega izida'!B37</f>
        <v xml:space="preserve">Delež v dobičkih (izgubah) pridruženih družb  </v>
      </c>
      <c r="Q15" s="141">
        <f>'Izkaz poslovnega izida'!C15</f>
        <v>-592</v>
      </c>
      <c r="R15" s="141">
        <f>'Izkaz poslovnega izida'!D15</f>
        <v>65</v>
      </c>
      <c r="S15" s="141">
        <f>'Izkaz poslovnega izida'!E15</f>
        <v>360</v>
      </c>
      <c r="T15" s="141">
        <f>'Izkaz poslovnega izida'!F15</f>
        <v>84</v>
      </c>
      <c r="U15" s="142">
        <f>'Izkaz poslovnega izida'!G15</f>
        <v>152</v>
      </c>
      <c r="V15" s="141"/>
      <c r="W15" s="136" t="str">
        <f>FCFF!C19</f>
        <v>Stroški skupaj:</v>
      </c>
      <c r="X15" s="146">
        <f>FCFF!I19</f>
        <v>-1318914.8379121611</v>
      </c>
      <c r="Y15" s="146">
        <f>FCFF!J19</f>
        <v>-1328068.9778481142</v>
      </c>
      <c r="Z15" s="146">
        <f>FCFF!K19</f>
        <v>-1343103.6484944469</v>
      </c>
      <c r="AA15" s="146">
        <f>FCFF!L19</f>
        <v>-1361635.3144692504</v>
      </c>
      <c r="AB15" s="146">
        <f>FCFF!M19</f>
        <v>-1375180.4026385962</v>
      </c>
    </row>
    <row r="16" spans="2:28" x14ac:dyDescent="0.3">
      <c r="B16" s="137" t="s">
        <v>315</v>
      </c>
      <c r="C16" s="137">
        <v>1</v>
      </c>
      <c r="D16" s="137">
        <v>2</v>
      </c>
      <c r="E16" s="137">
        <v>3</v>
      </c>
      <c r="F16" s="137">
        <v>4</v>
      </c>
      <c r="G16" s="137">
        <v>5</v>
      </c>
      <c r="I16" s="154" t="str">
        <f>Bilanca!B18</f>
        <v xml:space="preserve">Terjatve do kupcev  </v>
      </c>
      <c r="J16" s="141">
        <f>Bilanca!C18</f>
        <v>205581</v>
      </c>
      <c r="K16" s="141">
        <f>Bilanca!D18</f>
        <v>182589</v>
      </c>
      <c r="L16" s="141">
        <f>Bilanca!E18</f>
        <v>161020</v>
      </c>
      <c r="M16" s="141">
        <f>Bilanca!F18</f>
        <v>165786</v>
      </c>
      <c r="N16" s="142">
        <f>Bilanca!G18</f>
        <v>180517</v>
      </c>
      <c r="O16" s="138"/>
      <c r="P16" s="154" t="str">
        <f>'Izkaz poslovnega izida'!B38</f>
        <v xml:space="preserve">Poslovni izid pred davki    </v>
      </c>
      <c r="Q16" s="141">
        <f>'Izkaz poslovnega izida'!C16</f>
        <v>-18644</v>
      </c>
      <c r="R16" s="141">
        <f>'Izkaz poslovnega izida'!D16</f>
        <v>3863</v>
      </c>
      <c r="S16" s="141">
        <f>'Izkaz poslovnega izida'!E16</f>
        <v>-3988</v>
      </c>
      <c r="T16" s="141">
        <f>'Izkaz poslovnega izida'!F16</f>
        <v>13240</v>
      </c>
      <c r="U16" s="142">
        <f>'Izkaz poslovnega izida'!G16</f>
        <v>4487</v>
      </c>
      <c r="V16" s="146"/>
      <c r="W16" s="151" t="s">
        <v>303</v>
      </c>
      <c r="X16" s="152">
        <f>FCFF!I20</f>
        <v>-0.99295609875565183</v>
      </c>
      <c r="Y16" s="152">
        <f>FCFF!J20</f>
        <v>-0.98799196619683005</v>
      </c>
      <c r="Z16" s="152">
        <f>FCFF!K20</f>
        <v>-0.98830536792693957</v>
      </c>
      <c r="AA16" s="152">
        <f>FCFF!L20</f>
        <v>-0.9910402112171427</v>
      </c>
      <c r="AB16" s="152">
        <f>FCFF!M20</f>
        <v>-0.99098885592132069</v>
      </c>
    </row>
    <row r="17" spans="2:28" ht="16.2" thickBot="1" x14ac:dyDescent="0.35">
      <c r="B17" s="167" t="s">
        <v>290</v>
      </c>
      <c r="C17" s="159">
        <f>WACC!$F$18</f>
        <v>8.8732693185796602E-2</v>
      </c>
      <c r="D17" s="159">
        <f>WACC!$F$18</f>
        <v>8.8732693185796602E-2</v>
      </c>
      <c r="E17" s="159">
        <f>WACC!$F$18</f>
        <v>8.8732693185796602E-2</v>
      </c>
      <c r="F17" s="159">
        <f>WACC!$F$18</f>
        <v>8.8732693185796602E-2</v>
      </c>
      <c r="G17" s="159">
        <f>WACC!$F$18</f>
        <v>8.8732693185796602E-2</v>
      </c>
      <c r="I17" s="154" t="str">
        <f>Bilanca!B19</f>
        <v xml:space="preserve">Druga kratkoročna sredstva  </v>
      </c>
      <c r="J17" s="141">
        <f>Bilanca!C19</f>
        <v>45859</v>
      </c>
      <c r="K17" s="141">
        <f>Bilanca!D19</f>
        <v>44207</v>
      </c>
      <c r="L17" s="141">
        <f>Bilanca!E19</f>
        <v>49017</v>
      </c>
      <c r="M17" s="141">
        <f>Bilanca!F19</f>
        <v>55258</v>
      </c>
      <c r="N17" s="142">
        <f>Bilanca!G19</f>
        <v>57866</v>
      </c>
      <c r="O17" s="138"/>
      <c r="P17" s="154" t="str">
        <f>'Izkaz poslovnega izida'!B39</f>
        <v xml:space="preserve">Davek iz dobička     </v>
      </c>
      <c r="Q17" s="141">
        <f>'Izkaz poslovnega izida'!C17</f>
        <v>-6355</v>
      </c>
      <c r="R17" s="141">
        <f>'Izkaz poslovnega izida'!D17</f>
        <v>-2624</v>
      </c>
      <c r="S17" s="141">
        <f>'Izkaz poslovnega izida'!E17</f>
        <v>-4000</v>
      </c>
      <c r="T17" s="141">
        <f>'Izkaz poslovnega izida'!F17</f>
        <v>-4810</v>
      </c>
      <c r="U17" s="142">
        <f>'Izkaz poslovnega izida'!G17</f>
        <v>-3146</v>
      </c>
      <c r="V17" s="141"/>
      <c r="W17" s="161" t="s">
        <v>9</v>
      </c>
      <c r="X17" s="146">
        <f>FCFF!I30</f>
        <v>48645.210087838816</v>
      </c>
      <c r="Y17" s="146">
        <f>FCFF!J30</f>
        <v>36545.971527885878</v>
      </c>
      <c r="Z17" s="146">
        <f>FCFF!K30</f>
        <v>58084.521150928922</v>
      </c>
      <c r="AA17" s="146">
        <f>FCFF!L30</f>
        <v>58966.256471149158</v>
      </c>
      <c r="AB17" s="146">
        <f>FCFF!M30</f>
        <v>58570.115657021524</v>
      </c>
    </row>
    <row r="18" spans="2:28" ht="16.2" thickBot="1" x14ac:dyDescent="0.35">
      <c r="B18" s="139" t="s">
        <v>316</v>
      </c>
      <c r="C18" s="158">
        <f>C14*C15</f>
        <v>22962.517742858985</v>
      </c>
      <c r="D18" s="158">
        <f>D14*D15</f>
        <v>17894.098576856097</v>
      </c>
      <c r="E18" s="158">
        <f>E14*E15</f>
        <v>19496.432638221177</v>
      </c>
      <c r="F18" s="158">
        <f>F14*F15</f>
        <v>24718.807246297867</v>
      </c>
      <c r="G18" s="158">
        <f>G14*G15</f>
        <v>26702.821765810084</v>
      </c>
      <c r="I18" s="154" t="str">
        <f>Bilanca!B20</f>
        <v>Terjatve za davek iz dobička</v>
      </c>
      <c r="J18" s="141">
        <f>Bilanca!C20</f>
        <v>2756</v>
      </c>
      <c r="K18" s="141">
        <f>Bilanca!D20</f>
        <v>3034</v>
      </c>
      <c r="L18" s="141">
        <f>Bilanca!E20</f>
        <v>2917</v>
      </c>
      <c r="M18" s="141">
        <f>Bilanca!F20</f>
        <v>3273</v>
      </c>
      <c r="N18" s="142">
        <f>Bilanca!G20</f>
        <v>2736</v>
      </c>
      <c r="O18" s="138"/>
      <c r="P18" s="154" t="str">
        <f>'Izkaz poslovnega izida'!B40</f>
        <v xml:space="preserve">Poslovni izid poslovnega  leta   </v>
      </c>
      <c r="Q18" s="141">
        <f>'Izkaz poslovnega izida'!C18</f>
        <v>-24999</v>
      </c>
      <c r="R18" s="141">
        <f>'Izkaz poslovnega izida'!D18</f>
        <v>1239</v>
      </c>
      <c r="S18" s="141">
        <f>'Izkaz poslovnega izida'!E18</f>
        <v>-7988</v>
      </c>
      <c r="T18" s="141">
        <f>'Izkaz poslovnega izida'!F18</f>
        <v>8430</v>
      </c>
      <c r="U18" s="142">
        <f>'Izkaz poslovnega izida'!G18</f>
        <v>1341</v>
      </c>
      <c r="V18" s="146"/>
      <c r="W18" s="137" t="str">
        <f>FCFF!C31</f>
        <v xml:space="preserve">Finančni prihodki      </v>
      </c>
      <c r="X18" s="141">
        <f>FCFF!I31</f>
        <v>4512.9481583999996</v>
      </c>
      <c r="Y18" s="141">
        <f>FCFF!J31</f>
        <v>5049.0753126912005</v>
      </c>
      <c r="Z18" s="141">
        <f>FCFF!K31</f>
        <v>5744.8714955460409</v>
      </c>
      <c r="AA18" s="141">
        <f>FCFF!L31</f>
        <v>5824.4664408556382</v>
      </c>
      <c r="AB18" s="141">
        <f>FCFF!M31</f>
        <v>5878.3771250120335</v>
      </c>
    </row>
    <row r="19" spans="2:28" ht="16.2" thickBot="1" x14ac:dyDescent="0.35">
      <c r="B19" s="137" t="s">
        <v>350</v>
      </c>
      <c r="C19" s="141">
        <f>C18+D18+E18+F18+G18</f>
        <v>111774.6779700442</v>
      </c>
      <c r="I19" s="164" t="str">
        <f>Bilanca!B21</f>
        <v xml:space="preserve">Denar in denarni ustrezniki </v>
      </c>
      <c r="J19" s="157">
        <f>Bilanca!C21</f>
        <v>38589</v>
      </c>
      <c r="K19" s="157">
        <f>Bilanca!D21</f>
        <v>36062</v>
      </c>
      <c r="L19" s="157">
        <f>Bilanca!E21</f>
        <v>31610</v>
      </c>
      <c r="M19" s="157">
        <f>Bilanca!F21</f>
        <v>35242</v>
      </c>
      <c r="N19" s="157">
        <f>Bilanca!G21</f>
        <v>25037</v>
      </c>
      <c r="O19" s="138"/>
      <c r="P19" s="150"/>
      <c r="R19" s="141"/>
      <c r="S19" s="141"/>
      <c r="T19" s="141"/>
      <c r="U19" s="141"/>
      <c r="V19" s="141"/>
      <c r="W19" s="137" t="str">
        <f>FCFF!C32</f>
        <v xml:space="preserve">Finančni odhodki      </v>
      </c>
      <c r="X19" s="141">
        <f>FCFF!I32</f>
        <v>-21197.180743999998</v>
      </c>
      <c r="Y19" s="141">
        <f>FCFF!J32</f>
        <v>-20469.22424064</v>
      </c>
      <c r="Z19" s="141">
        <f>FCFF!K32</f>
        <v>-21998.6542634324</v>
      </c>
      <c r="AA19" s="141">
        <f>FCFF!L32</f>
        <v>-22729.625135046394</v>
      </c>
      <c r="AB19" s="141">
        <f>FCFF!M32</f>
        <v>-22940.008292729886</v>
      </c>
    </row>
    <row r="20" spans="2:28" ht="16.2" thickBot="1" x14ac:dyDescent="0.35">
      <c r="B20" s="137" t="s">
        <v>324</v>
      </c>
      <c r="C20" s="159">
        <f>FCFF!D89</f>
        <v>1.6E-2</v>
      </c>
      <c r="I20" s="139" t="str">
        <f>Bilanca!B22</f>
        <v xml:space="preserve">KAPITAL IN OBVEZNOSTI  </v>
      </c>
      <c r="J20" s="158">
        <f>Bilanca!C22</f>
        <v>1148065</v>
      </c>
      <c r="K20" s="158">
        <f>Bilanca!D22</f>
        <v>1102398</v>
      </c>
      <c r="L20" s="158">
        <f>Bilanca!E22</f>
        <v>1101274</v>
      </c>
      <c r="M20" s="158">
        <f>Bilanca!F22</f>
        <v>1123914</v>
      </c>
      <c r="N20" s="158">
        <f>Bilanca!G22</f>
        <v>1143116</v>
      </c>
      <c r="O20" s="138"/>
      <c r="P20" s="150"/>
      <c r="Q20" s="141"/>
      <c r="R20" s="141"/>
      <c r="S20" s="141"/>
      <c r="T20" s="141"/>
      <c r="U20" s="141"/>
      <c r="V20" s="141"/>
      <c r="W20" s="137" t="str">
        <f>FCFF!C33</f>
        <v>Neto finančni odhodki</v>
      </c>
      <c r="X20" s="141">
        <f>FCFF!I33</f>
        <v>-16684.232585599999</v>
      </c>
      <c r="Y20" s="141">
        <f>FCFF!J33</f>
        <v>-15420.1489279488</v>
      </c>
      <c r="Z20" s="141">
        <f>FCFF!K33</f>
        <v>-16253.782767886358</v>
      </c>
      <c r="AA20" s="141">
        <f>FCFF!L33</f>
        <v>-16905.158694190755</v>
      </c>
      <c r="AB20" s="141">
        <f>FCFF!M33</f>
        <v>-17061.631167717853</v>
      </c>
    </row>
    <row r="21" spans="2:28" x14ac:dyDescent="0.3">
      <c r="B21" s="137" t="s">
        <v>317</v>
      </c>
      <c r="C21" s="141">
        <f>G14*(1+C20)/(C17-C20)</f>
        <v>570594.41669776628</v>
      </c>
      <c r="I21" s="148" t="str">
        <f>Bilanca!B23</f>
        <v xml:space="preserve">Kapital    </v>
      </c>
      <c r="J21" s="149">
        <f>Bilanca!C23</f>
        <v>380670</v>
      </c>
      <c r="K21" s="149">
        <f>Bilanca!D23</f>
        <v>380267</v>
      </c>
      <c r="L21" s="149">
        <f>Bilanca!E23</f>
        <v>368062</v>
      </c>
      <c r="M21" s="149">
        <f>Bilanca!F23</f>
        <v>366541</v>
      </c>
      <c r="N21" s="149">
        <f>Bilanca!G23</f>
        <v>368344</v>
      </c>
      <c r="O21" s="138"/>
      <c r="P21" s="150"/>
      <c r="R21" s="165"/>
      <c r="S21" s="165"/>
      <c r="T21" s="165"/>
      <c r="U21" s="165"/>
      <c r="V21" s="165"/>
      <c r="W21" s="136" t="str">
        <f>FCFF!C35</f>
        <v xml:space="preserve">Poslovni izid pred davki </v>
      </c>
      <c r="X21" s="146">
        <f>FCFF!I35</f>
        <v>31960.977502238817</v>
      </c>
      <c r="Y21" s="146">
        <f>FCFF!J35</f>
        <v>21125.822599937077</v>
      </c>
      <c r="Z21" s="146">
        <f>FCFF!K35</f>
        <v>41830.738383042568</v>
      </c>
      <c r="AA21" s="146">
        <f>FCFF!L35</f>
        <v>42061.097776958399</v>
      </c>
      <c r="AB21" s="146">
        <f>FCFF!M35</f>
        <v>41508.484489303672</v>
      </c>
    </row>
    <row r="22" spans="2:28" x14ac:dyDescent="0.3">
      <c r="B22" s="137" t="s">
        <v>358</v>
      </c>
      <c r="C22" s="141">
        <f>C21/(1+C17)^G16</f>
        <v>373010.61910025717</v>
      </c>
      <c r="I22" s="154" t="str">
        <f>Bilanca!B24</f>
        <v xml:space="preserve">Osnovni kapital   </v>
      </c>
      <c r="J22" s="141">
        <f>Bilanca!C24</f>
        <v>92240</v>
      </c>
      <c r="K22" s="141">
        <f>Bilanca!D24</f>
        <v>101922</v>
      </c>
      <c r="L22" s="141">
        <f>Bilanca!E24</f>
        <v>101922</v>
      </c>
      <c r="M22" s="141">
        <f>Bilanca!F24</f>
        <v>101922</v>
      </c>
      <c r="N22" s="142">
        <f>Bilanca!G24</f>
        <v>101922</v>
      </c>
      <c r="O22" s="142"/>
      <c r="W22" s="151" t="str">
        <f>FCFF!C36</f>
        <v>Rast v %</v>
      </c>
      <c r="X22" s="160">
        <f>FCFF!I36</f>
        <v>6.1230170497523551</v>
      </c>
      <c r="Y22" s="160">
        <f>FCFF!J36</f>
        <v>-0.33901199991592101</v>
      </c>
      <c r="Z22" s="160">
        <f>FCFF!K36</f>
        <v>0.98007619278063807</v>
      </c>
      <c r="AA22" s="160">
        <f>FCFF!L36</f>
        <v>5.5069406570460444E-3</v>
      </c>
      <c r="AB22" s="160">
        <f>FCFF!M36</f>
        <v>-1.3138346758925001E-2</v>
      </c>
    </row>
    <row r="23" spans="2:28" x14ac:dyDescent="0.3">
      <c r="B23" s="137" t="s">
        <v>319</v>
      </c>
      <c r="C23" s="141">
        <f>SUM(C18:G18)+C22</f>
        <v>484785.29707030137</v>
      </c>
      <c r="E23" s="141"/>
      <c r="I23" s="154" t="str">
        <f>Bilanca!B25</f>
        <v xml:space="preserve">Kapitalske rezerve   </v>
      </c>
      <c r="J23" s="141">
        <f>Bilanca!C25</f>
        <v>175568</v>
      </c>
      <c r="K23" s="141">
        <f>Bilanca!D25</f>
        <v>175698</v>
      </c>
      <c r="L23" s="141">
        <f>Bilanca!E25</f>
        <v>174502</v>
      </c>
      <c r="M23" s="141">
        <f>Bilanca!F25</f>
        <v>174502</v>
      </c>
      <c r="N23" s="142">
        <f>Bilanca!G25</f>
        <v>174502</v>
      </c>
      <c r="O23" s="142"/>
      <c r="W23" s="137" t="str">
        <f>FCFF!C37</f>
        <v xml:space="preserve">Davek iz dobička     </v>
      </c>
      <c r="X23" s="166">
        <f>FCFF!I37</f>
        <v>-6072.5857254253751</v>
      </c>
      <c r="Y23" s="166">
        <f>FCFF!J37</f>
        <v>-4013.9062939880446</v>
      </c>
      <c r="Z23" s="166">
        <f>FCFF!K37</f>
        <v>-7947.840292778088</v>
      </c>
      <c r="AA23" s="166">
        <f>FCFF!L37</f>
        <v>-7991.6085776220962</v>
      </c>
      <c r="AB23" s="166">
        <f>FCFF!M37</f>
        <v>-7886.6120529676973</v>
      </c>
    </row>
    <row r="24" spans="2:28" ht="16.2" thickBot="1" x14ac:dyDescent="0.35">
      <c r="B24" s="137" t="s">
        <v>321</v>
      </c>
      <c r="C24" s="141">
        <f>FCFF!D93</f>
        <v>350655</v>
      </c>
      <c r="E24" s="141"/>
      <c r="I24" s="154" t="str">
        <f>Bilanca!B26</f>
        <v xml:space="preserve">Rezerve iz dobička  </v>
      </c>
      <c r="J24" s="141">
        <f>Bilanca!C26</f>
        <v>95818</v>
      </c>
      <c r="K24" s="141">
        <f>Bilanca!D26</f>
        <v>99301</v>
      </c>
      <c r="L24" s="141">
        <f>Bilanca!E26</f>
        <v>99301</v>
      </c>
      <c r="M24" s="141">
        <f>Bilanca!F26</f>
        <v>46015</v>
      </c>
      <c r="N24" s="142">
        <f>Bilanca!G26</f>
        <v>33131</v>
      </c>
      <c r="O24" s="138"/>
      <c r="W24" s="167" t="str">
        <f>FCFF!C38</f>
        <v>Efektivna davčna stopnja</v>
      </c>
      <c r="X24" s="159">
        <f>FCFF!I38</f>
        <v>0.19</v>
      </c>
      <c r="Y24" s="159">
        <f>FCFF!J38</f>
        <v>0.19</v>
      </c>
      <c r="Z24" s="159">
        <f>FCFF!K38</f>
        <v>0.19</v>
      </c>
      <c r="AA24" s="159">
        <f>FCFF!L38</f>
        <v>0.19</v>
      </c>
      <c r="AB24" s="159">
        <f>FCFF!M38</f>
        <v>0.19</v>
      </c>
    </row>
    <row r="25" spans="2:28" ht="16.2" thickBot="1" x14ac:dyDescent="0.35">
      <c r="B25" s="137" t="s">
        <v>322</v>
      </c>
      <c r="C25" s="141">
        <f>C23*1000</f>
        <v>484785297.07030135</v>
      </c>
      <c r="I25" s="154" t="str">
        <f>Bilanca!B27</f>
        <v xml:space="preserve">Lastne delnice   </v>
      </c>
      <c r="J25" s="141">
        <f>Bilanca!C27</f>
        <v>-3170</v>
      </c>
      <c r="K25" s="141">
        <f>Bilanca!D27</f>
        <v>-3170</v>
      </c>
      <c r="L25" s="141">
        <f>Bilanca!E27</f>
        <v>-3170</v>
      </c>
      <c r="M25" s="141">
        <f>Bilanca!F27</f>
        <v>-3170</v>
      </c>
      <c r="N25" s="142">
        <f>Bilanca!G27</f>
        <v>-3170</v>
      </c>
      <c r="O25" s="138"/>
      <c r="R25" s="141"/>
      <c r="S25" s="141"/>
      <c r="T25" s="141"/>
      <c r="U25" s="141"/>
      <c r="V25" s="168"/>
      <c r="W25" s="139" t="s">
        <v>16</v>
      </c>
      <c r="X25" s="158">
        <f>FCFF!I39</f>
        <v>25888.391776813442</v>
      </c>
      <c r="Y25" s="158">
        <f>FCFF!J39</f>
        <v>17111.916305949031</v>
      </c>
      <c r="Z25" s="158">
        <f>FCFF!K39</f>
        <v>33882.898090264483</v>
      </c>
      <c r="AA25" s="158">
        <f>FCFF!L39</f>
        <v>34069.489199336305</v>
      </c>
      <c r="AB25" s="158">
        <f>FCFF!M39</f>
        <v>33621.872436335972</v>
      </c>
    </row>
    <row r="26" spans="2:28" x14ac:dyDescent="0.3">
      <c r="B26" s="137" t="s">
        <v>323</v>
      </c>
      <c r="C26" s="141">
        <f>1000*(C23-C24)</f>
        <v>134130297.07030137</v>
      </c>
      <c r="I26" s="154" t="str">
        <f>Bilanca!B28</f>
        <v xml:space="preserve">Poslovni izid poslovnega leta </v>
      </c>
      <c r="J26" s="141">
        <f>Bilanca!C28</f>
        <v>-26711</v>
      </c>
      <c r="K26" s="141">
        <f>Bilanca!D28</f>
        <v>-2464</v>
      </c>
      <c r="L26" s="141">
        <f>Bilanca!E28</f>
        <v>-4202</v>
      </c>
      <c r="M26" s="141">
        <f>Bilanca!F28</f>
        <v>7560</v>
      </c>
      <c r="N26" s="142">
        <f>Bilanca!G28</f>
        <v>922</v>
      </c>
      <c r="O26" s="138"/>
      <c r="R26" s="141"/>
      <c r="S26" s="141"/>
      <c r="T26" s="141"/>
      <c r="U26" s="141"/>
      <c r="V26" s="168"/>
      <c r="W26" s="151" t="str">
        <f>FCFF!C40</f>
        <v>Rast v %</v>
      </c>
      <c r="X26" s="152">
        <f>FCFF!I40</f>
        <v>18.305288424171096</v>
      </c>
      <c r="Y26" s="152">
        <f>FCFF!J40</f>
        <v>-0.33901199991592113</v>
      </c>
      <c r="Z26" s="152">
        <f>FCFF!K40</f>
        <v>0.98007619278063851</v>
      </c>
      <c r="AA26" s="152">
        <f>FCFF!L40</f>
        <v>5.5069406570460444E-3</v>
      </c>
      <c r="AB26" s="152">
        <f>FCFF!M40</f>
        <v>-1.3138346758925112E-2</v>
      </c>
    </row>
    <row r="27" spans="2:28" x14ac:dyDescent="0.3">
      <c r="B27" s="137" t="s">
        <v>318</v>
      </c>
      <c r="C27" s="141">
        <f>24424613</f>
        <v>24424613</v>
      </c>
      <c r="D27" s="141"/>
      <c r="I27" s="154" t="str">
        <f>Bilanca!B29</f>
        <v>Poslovni izid iz preteklih let</v>
      </c>
      <c r="J27" s="141">
        <f>Bilanca!C29</f>
        <v>39540</v>
      </c>
      <c r="K27" s="141">
        <f>Bilanca!D29</f>
        <v>12829</v>
      </c>
      <c r="L27" s="141">
        <f>Bilanca!E29</f>
        <v>6145</v>
      </c>
      <c r="M27" s="141">
        <f>Bilanca!F29</f>
        <v>55592</v>
      </c>
      <c r="N27" s="142">
        <f>Bilanca!G29</f>
        <v>73597</v>
      </c>
      <c r="O27" s="138"/>
      <c r="R27" s="141"/>
      <c r="S27" s="141"/>
      <c r="T27" s="141"/>
      <c r="U27" s="141"/>
      <c r="V27" s="168"/>
    </row>
    <row r="28" spans="2:28" ht="16.2" thickBot="1" x14ac:dyDescent="0.35">
      <c r="B28" s="158" t="s">
        <v>320</v>
      </c>
      <c r="C28" s="169">
        <f>C26/C27</f>
        <v>5.491603779773353</v>
      </c>
      <c r="D28" s="165"/>
      <c r="E28" s="170"/>
      <c r="I28" s="154" t="str">
        <f>Bilanca!B30</f>
        <v xml:space="preserve">Prevedbena rezerva   </v>
      </c>
      <c r="J28" s="141">
        <f>Bilanca!C30</f>
        <v>-4435</v>
      </c>
      <c r="K28" s="141">
        <f>Bilanca!D30</f>
        <v>-17600</v>
      </c>
      <c r="L28" s="141">
        <f>Bilanca!E30</f>
        <v>-19049</v>
      </c>
      <c r="M28" s="141">
        <f>Bilanca!F30</f>
        <v>-17311</v>
      </c>
      <c r="N28" s="142">
        <f>Bilanca!G30</f>
        <v>-13723</v>
      </c>
      <c r="O28" s="138"/>
      <c r="R28" s="141"/>
      <c r="S28" s="141"/>
      <c r="T28" s="141"/>
      <c r="U28" s="141"/>
      <c r="V28" s="168"/>
    </row>
    <row r="29" spans="2:28" x14ac:dyDescent="0.3">
      <c r="I29" s="171" t="str">
        <f>Bilanca!B31</f>
        <v xml:space="preserve">Rezerva za pošteno vrednost </v>
      </c>
      <c r="J29" s="142">
        <f>Bilanca!C31</f>
        <v>9007</v>
      </c>
      <c r="K29" s="142">
        <f>Bilanca!D31</f>
        <v>10912</v>
      </c>
      <c r="L29" s="142">
        <f>Bilanca!E31</f>
        <v>9485</v>
      </c>
      <c r="M29" s="142">
        <f>Bilanca!F31</f>
        <v>-733</v>
      </c>
      <c r="N29" s="142">
        <f>Bilanca!G31</f>
        <v>-454</v>
      </c>
      <c r="O29" s="138"/>
      <c r="R29" s="141"/>
      <c r="S29" s="141"/>
      <c r="T29" s="141"/>
      <c r="U29" s="141"/>
      <c r="V29" s="168"/>
    </row>
    <row r="30" spans="2:28" x14ac:dyDescent="0.3">
      <c r="B30" s="138"/>
      <c r="C30" s="252"/>
      <c r="D30" s="252"/>
      <c r="I30" s="172" t="str">
        <f>Bilanca!B33</f>
        <v xml:space="preserve">Kapital neobvladujočih deležev  </v>
      </c>
      <c r="J30" s="173">
        <f>Bilanca!C33</f>
        <v>2813</v>
      </c>
      <c r="K30" s="173">
        <f>Bilanca!D33</f>
        <v>2839</v>
      </c>
      <c r="L30" s="173">
        <f>Bilanca!E33</f>
        <v>3128</v>
      </c>
      <c r="M30" s="173">
        <f>Bilanca!F33</f>
        <v>2164</v>
      </c>
      <c r="N30" s="173">
        <f>Bilanca!G33</f>
        <v>1617</v>
      </c>
      <c r="O30" s="138"/>
      <c r="R30" s="141"/>
      <c r="S30" s="141"/>
      <c r="T30" s="141"/>
      <c r="U30" s="141"/>
      <c r="V30" s="168"/>
    </row>
    <row r="31" spans="2:28" x14ac:dyDescent="0.3">
      <c r="B31" s="27" t="str">
        <f>WACC!E5</f>
        <v>nominalna obrestna mera</v>
      </c>
      <c r="C31" s="253">
        <f>WACC!F5</f>
        <v>3.3201216413768303E-2</v>
      </c>
      <c r="D31" s="252"/>
      <c r="I31" s="148" t="str">
        <f>Bilanca!B34</f>
        <v xml:space="preserve">Dolgoročne obveznosti   </v>
      </c>
      <c r="J31" s="149">
        <f>Bilanca!C34</f>
        <v>278973</v>
      </c>
      <c r="K31" s="149">
        <f>Bilanca!D34</f>
        <v>348390</v>
      </c>
      <c r="L31" s="149">
        <f>Bilanca!E34</f>
        <v>345298</v>
      </c>
      <c r="M31" s="149">
        <f>Bilanca!F34</f>
        <v>350469</v>
      </c>
      <c r="N31" s="149">
        <f>Bilanca!G34</f>
        <v>365278</v>
      </c>
      <c r="O31" s="138"/>
      <c r="P31" s="136"/>
      <c r="Q31" s="136"/>
      <c r="R31" s="146"/>
      <c r="S31" s="146"/>
      <c r="T31" s="146"/>
      <c r="U31" s="146"/>
      <c r="V31" s="174"/>
    </row>
    <row r="32" spans="2:28" ht="16.2" thickBot="1" x14ac:dyDescent="0.35">
      <c r="B32" s="181" t="str">
        <f>WACC!E6</f>
        <v>efektivna davčna stopnja</v>
      </c>
      <c r="C32" s="254">
        <f>WACC!F6</f>
        <v>0.19</v>
      </c>
      <c r="D32" s="252"/>
      <c r="I32" s="154" t="str">
        <f>Bilanca!B35</f>
        <v xml:space="preserve">Rezervacije    </v>
      </c>
      <c r="J32" s="141">
        <f>Bilanca!C35</f>
        <v>66671</v>
      </c>
      <c r="K32" s="141">
        <f>Bilanca!D35</f>
        <v>64125</v>
      </c>
      <c r="L32" s="141">
        <f>Bilanca!E35</f>
        <v>62269</v>
      </c>
      <c r="M32" s="141">
        <f>Bilanca!F35</f>
        <v>64143</v>
      </c>
      <c r="N32" s="142">
        <f>Bilanca!G35</f>
        <v>59886</v>
      </c>
      <c r="O32" s="138"/>
      <c r="R32" s="141"/>
      <c r="S32" s="141"/>
      <c r="T32" s="141"/>
      <c r="U32" s="141"/>
      <c r="V32" s="168"/>
    </row>
    <row r="33" spans="2:28" ht="16.2" thickBot="1" x14ac:dyDescent="0.35">
      <c r="B33" s="180" t="str">
        <f>WACC!E7</f>
        <v>strošek dolžniškega kapitala</v>
      </c>
      <c r="C33" s="248">
        <f>WACC!F7</f>
        <v>2.6892985295152327E-2</v>
      </c>
      <c r="D33" s="252"/>
      <c r="I33" s="154" t="str">
        <f>Bilanca!B36</f>
        <v xml:space="preserve">Odloženi prihodki   </v>
      </c>
      <c r="J33" s="141">
        <f>Bilanca!C36</f>
        <v>5081</v>
      </c>
      <c r="K33" s="141">
        <f>Bilanca!D36</f>
        <v>5270</v>
      </c>
      <c r="L33" s="141">
        <f>Bilanca!E36</f>
        <v>5350</v>
      </c>
      <c r="M33" s="141">
        <f>Bilanca!F36</f>
        <v>5037</v>
      </c>
      <c r="N33" s="142">
        <f>Bilanca!G36</f>
        <v>7563</v>
      </c>
      <c r="O33" s="142"/>
      <c r="P33" s="136"/>
      <c r="Q33" s="136"/>
      <c r="R33" s="146"/>
      <c r="S33" s="146"/>
      <c r="T33" s="146"/>
      <c r="U33" s="146"/>
      <c r="V33" s="174"/>
    </row>
    <row r="34" spans="2:28" x14ac:dyDescent="0.3">
      <c r="B34" s="27" t="str">
        <f>WACC!E8</f>
        <v>unlevered beta</v>
      </c>
      <c r="C34" s="255">
        <f>WACC!F8</f>
        <v>0.72</v>
      </c>
      <c r="D34" s="252"/>
      <c r="I34" s="154" t="str">
        <f>Bilanca!B37</f>
        <v xml:space="preserve">Dolgoročne poslovne obveznosti  </v>
      </c>
      <c r="J34" s="141">
        <f>Bilanca!C37</f>
        <v>5773</v>
      </c>
      <c r="K34" s="141">
        <f>Bilanca!D37</f>
        <v>5937</v>
      </c>
      <c r="L34" s="141">
        <f>Bilanca!E37</f>
        <v>4178</v>
      </c>
      <c r="M34" s="141">
        <f>Bilanca!F37</f>
        <v>3672</v>
      </c>
      <c r="N34" s="142">
        <f>Bilanca!G37</f>
        <v>2807</v>
      </c>
      <c r="O34" s="138"/>
      <c r="R34" s="141"/>
      <c r="S34" s="141"/>
      <c r="T34" s="141"/>
      <c r="U34" s="141"/>
      <c r="V34" s="168"/>
    </row>
    <row r="35" spans="2:28" x14ac:dyDescent="0.3">
      <c r="B35" s="98" t="str">
        <f>WACC!E9</f>
        <v>β</v>
      </c>
      <c r="C35" s="256">
        <f>WACC!F9</f>
        <v>1.3962735849056604</v>
      </c>
      <c r="D35" s="252"/>
      <c r="I35" s="154" t="str">
        <f>Bilanca!B38</f>
        <v xml:space="preserve">Odložene obveznosti za davke </v>
      </c>
      <c r="J35" s="141">
        <f>Bilanca!C38</f>
        <v>2694</v>
      </c>
      <c r="K35" s="141">
        <f>Bilanca!D38</f>
        <v>2988</v>
      </c>
      <c r="L35" s="141">
        <f>Bilanca!E38</f>
        <v>2515</v>
      </c>
      <c r="M35" s="141">
        <f>Bilanca!F38</f>
        <v>2001</v>
      </c>
      <c r="N35" s="142">
        <f>Bilanca!G38</f>
        <v>2002</v>
      </c>
      <c r="O35" s="138"/>
      <c r="R35" s="141"/>
      <c r="S35" s="141"/>
      <c r="T35" s="141"/>
      <c r="U35" s="141"/>
      <c r="V35" s="168"/>
    </row>
    <row r="36" spans="2:28" x14ac:dyDescent="0.3">
      <c r="B36" s="27" t="str">
        <f>WACC!E10</f>
        <v>Delež lastniškega kapitala</v>
      </c>
      <c r="C36" s="33">
        <f>WACC!F10</f>
        <v>0.46305060065526027</v>
      </c>
      <c r="D36" s="138"/>
      <c r="I36" s="154" t="str">
        <f>Bilanca!B39</f>
        <v xml:space="preserve">Dolgoročne finančne obveznosti  </v>
      </c>
      <c r="J36" s="141">
        <f>Bilanca!C39</f>
        <v>198754</v>
      </c>
      <c r="K36" s="141">
        <f>Bilanca!D39</f>
        <v>270070</v>
      </c>
      <c r="L36" s="141">
        <f>Bilanca!E39</f>
        <v>270986</v>
      </c>
      <c r="M36" s="141">
        <f>Bilanca!F39</f>
        <v>275616</v>
      </c>
      <c r="N36" s="142">
        <f>Bilanca!G39</f>
        <v>293020</v>
      </c>
      <c r="O36" s="138"/>
      <c r="R36" s="141"/>
      <c r="S36" s="141"/>
      <c r="T36" s="141"/>
      <c r="U36" s="141"/>
      <c r="V36" s="168"/>
    </row>
    <row r="37" spans="2:28" x14ac:dyDescent="0.3">
      <c r="B37" s="27" t="str">
        <f>WACC!E11</f>
        <v>Delež dolžniškega kapitala</v>
      </c>
      <c r="C37" s="33">
        <f>WACC!F11</f>
        <v>0.53694939934473973</v>
      </c>
      <c r="D37" s="138"/>
      <c r="I37" s="148" t="str">
        <f>Bilanca!B40</f>
        <v xml:space="preserve">Kratkoročne obveznosti   </v>
      </c>
      <c r="J37" s="149">
        <f>Bilanca!C40</f>
        <v>488422</v>
      </c>
      <c r="K37" s="149">
        <f>Bilanca!D40</f>
        <v>373741</v>
      </c>
      <c r="L37" s="149">
        <f>Bilanca!E40</f>
        <v>387914</v>
      </c>
      <c r="M37" s="149">
        <f>Bilanca!F40</f>
        <v>406904</v>
      </c>
      <c r="N37" s="149">
        <f>Bilanca!G40</f>
        <v>409494</v>
      </c>
      <c r="O37" s="138"/>
      <c r="R37" s="141"/>
      <c r="S37" s="141"/>
      <c r="T37" s="141"/>
      <c r="U37" s="141"/>
      <c r="V37" s="168"/>
    </row>
    <row r="38" spans="2:28" x14ac:dyDescent="0.3">
      <c r="B38" s="27" t="str">
        <f>WACC!E12</f>
        <v>pribitek za majhnost podjetja</v>
      </c>
      <c r="C38" s="28">
        <f>WACC!F12</f>
        <v>3.6700000000000003E-2</v>
      </c>
      <c r="D38" s="138"/>
      <c r="I38" s="154" t="str">
        <f>Bilanca!B41</f>
        <v xml:space="preserve">Kratkoročne finančne obveznosti  </v>
      </c>
      <c r="J38" s="141">
        <f>Bilanca!C41</f>
        <v>198659</v>
      </c>
      <c r="K38" s="141">
        <f>Bilanca!D41</f>
        <v>97536</v>
      </c>
      <c r="L38" s="141">
        <f>Bilanca!E41</f>
        <v>91038</v>
      </c>
      <c r="M38" s="141">
        <f>Bilanca!F41</f>
        <v>101226</v>
      </c>
      <c r="N38" s="142">
        <f>Bilanca!G41</f>
        <v>90731</v>
      </c>
      <c r="O38" s="138"/>
      <c r="R38" s="141"/>
      <c r="S38" s="141"/>
      <c r="T38" s="141"/>
      <c r="U38" s="141"/>
      <c r="V38" s="168"/>
    </row>
    <row r="39" spans="2:28" x14ac:dyDescent="0.3">
      <c r="B39" s="27" t="str">
        <f>WACC!E13</f>
        <v>pribitek za deželno tveganje</v>
      </c>
      <c r="C39" s="28">
        <f>WACC!F13</f>
        <v>2.2200000000000001E-2</v>
      </c>
      <c r="D39" s="138"/>
      <c r="I39" s="154" t="str">
        <f>Bilanca!B42</f>
        <v xml:space="preserve">Obveznosti do dobaviteljev  </v>
      </c>
      <c r="J39" s="141">
        <f>Bilanca!C42</f>
        <v>213820</v>
      </c>
      <c r="K39" s="141">
        <f>Bilanca!D42</f>
        <v>202615</v>
      </c>
      <c r="L39" s="141">
        <f>Bilanca!E42</f>
        <v>221027</v>
      </c>
      <c r="M39" s="141">
        <f>Bilanca!F42</f>
        <v>223725</v>
      </c>
      <c r="N39" s="142">
        <f>Bilanca!G42</f>
        <v>229402</v>
      </c>
      <c r="O39" s="142"/>
      <c r="P39" s="136"/>
      <c r="Q39" s="136"/>
      <c r="R39" s="146"/>
      <c r="S39" s="146"/>
      <c r="T39" s="146"/>
      <c r="U39" s="146"/>
      <c r="V39" s="174"/>
    </row>
    <row r="40" spans="2:28" x14ac:dyDescent="0.3">
      <c r="B40" s="183" t="str">
        <f>WACC!E14</f>
        <v xml:space="preserve">Netvegana stopnja donosa </v>
      </c>
      <c r="C40" s="184">
        <f>WACC!F14</f>
        <v>3.5000000000000003E-2</v>
      </c>
      <c r="D40" s="138"/>
      <c r="I40" s="154" t="str">
        <f>Bilanca!B43</f>
        <v xml:space="preserve">Druge kratkoročne obveznosti  </v>
      </c>
      <c r="J40" s="141">
        <f>Bilanca!C43</f>
        <v>71001</v>
      </c>
      <c r="K40" s="141">
        <f>Bilanca!D43</f>
        <v>71901</v>
      </c>
      <c r="L40" s="141">
        <f>Bilanca!E43</f>
        <v>73807</v>
      </c>
      <c r="M40" s="141">
        <f>Bilanca!F43</f>
        <v>79563</v>
      </c>
      <c r="N40" s="142">
        <f>Bilanca!G43</f>
        <v>87752</v>
      </c>
      <c r="O40" s="138"/>
      <c r="R40" s="141"/>
      <c r="S40" s="141"/>
      <c r="T40" s="141"/>
      <c r="U40" s="141"/>
      <c r="V40" s="168"/>
      <c r="X40" s="152"/>
      <c r="Y40" s="152"/>
      <c r="Z40" s="152"/>
      <c r="AA40" s="152"/>
      <c r="AB40" s="152"/>
    </row>
    <row r="41" spans="2:28" x14ac:dyDescent="0.3">
      <c r="B41" s="183" t="str">
        <f>WACC!E15</f>
        <v>Tržna premija za tveganje</v>
      </c>
      <c r="C41" s="184">
        <f>WACC!F15</f>
        <v>5.1900000000000002E-2</v>
      </c>
      <c r="D41" s="138"/>
      <c r="I41" s="154" t="str">
        <f>Bilanca!B44</f>
        <v>Obveznosti za davek iz dobička</v>
      </c>
      <c r="J41" s="141">
        <f>Bilanca!C44</f>
        <v>1243</v>
      </c>
      <c r="K41" s="141">
        <f>Bilanca!D44</f>
        <v>1689</v>
      </c>
      <c r="L41" s="141">
        <f>Bilanca!E44</f>
        <v>2042</v>
      </c>
      <c r="M41" s="141">
        <f>Bilanca!F44</f>
        <v>2390</v>
      </c>
      <c r="N41" s="142">
        <f>Bilanca!G44</f>
        <v>1609</v>
      </c>
      <c r="O41" s="138"/>
      <c r="R41" s="141"/>
      <c r="S41" s="141"/>
      <c r="T41" s="141"/>
      <c r="U41" s="141"/>
      <c r="V41" s="168"/>
      <c r="X41" s="152"/>
      <c r="Y41" s="152"/>
      <c r="Z41" s="152"/>
      <c r="AA41" s="152"/>
      <c r="AB41" s="152"/>
    </row>
    <row r="42" spans="2:28" ht="16.2" thickBot="1" x14ac:dyDescent="0.35">
      <c r="B42" s="182" t="str">
        <f>WACC!E16</f>
        <v>posebna tveganja</v>
      </c>
      <c r="C42" s="28">
        <f>WACC!F16</f>
        <v>0</v>
      </c>
      <c r="O42" s="138"/>
      <c r="R42" s="141"/>
      <c r="S42" s="141"/>
      <c r="T42" s="141"/>
      <c r="U42" s="141"/>
      <c r="V42" s="168"/>
    </row>
    <row r="43" spans="2:28" ht="16.2" thickBot="1" x14ac:dyDescent="0.35">
      <c r="B43" s="127" t="str">
        <f>WACC!E17</f>
        <v>strošek lastniškega kapitala</v>
      </c>
      <c r="C43" s="128">
        <f>WACC!F17</f>
        <v>0.16636659905660378</v>
      </c>
      <c r="O43" s="138"/>
    </row>
    <row r="44" spans="2:28" ht="16.2" thickBot="1" x14ac:dyDescent="0.35">
      <c r="B44" s="178" t="str">
        <f>WACC!E18</f>
        <v>WACC</v>
      </c>
      <c r="C44" s="179">
        <f>WACC!F18</f>
        <v>8.8732693185796602E-2</v>
      </c>
      <c r="I44" s="175"/>
      <c r="J44" s="176"/>
      <c r="K44" s="176"/>
      <c r="L44" s="176"/>
      <c r="M44" s="176"/>
      <c r="N44" s="177"/>
      <c r="O44" s="138"/>
      <c r="P44" s="136"/>
      <c r="Q44" s="146"/>
      <c r="R44" s="146"/>
      <c r="S44" s="146"/>
      <c r="T44" s="146"/>
      <c r="U44" s="146"/>
      <c r="V44" s="146"/>
    </row>
    <row r="45" spans="2:28" x14ac:dyDescent="0.3">
      <c r="Q45" s="141"/>
      <c r="R45" s="141"/>
      <c r="S45" s="141"/>
      <c r="T45" s="141"/>
      <c r="U45" s="141"/>
      <c r="V45" s="141"/>
    </row>
    <row r="46" spans="2:28" x14ac:dyDescent="0.3">
      <c r="Q46" s="141"/>
      <c r="R46" s="141"/>
      <c r="S46" s="141"/>
      <c r="T46" s="141"/>
      <c r="U46" s="141"/>
      <c r="V46" s="141"/>
    </row>
    <row r="47" spans="2:28" x14ac:dyDescent="0.3">
      <c r="P47" s="136"/>
      <c r="Q47" s="146"/>
      <c r="R47" s="146"/>
      <c r="S47" s="146"/>
      <c r="T47" s="146"/>
      <c r="U47" s="146"/>
      <c r="V47" s="146"/>
    </row>
    <row r="48" spans="2:28" x14ac:dyDescent="0.3">
      <c r="Q48" s="141"/>
      <c r="R48" s="141"/>
      <c r="S48" s="141"/>
      <c r="T48" s="141"/>
      <c r="U48" s="141"/>
      <c r="V48" s="141"/>
    </row>
    <row r="49" spans="16:22" x14ac:dyDescent="0.3">
      <c r="Q49" s="141"/>
      <c r="R49" s="141"/>
      <c r="S49" s="141"/>
      <c r="T49" s="141"/>
      <c r="U49" s="141"/>
      <c r="V49" s="141"/>
    </row>
    <row r="50" spans="16:22" x14ac:dyDescent="0.3">
      <c r="Q50" s="141"/>
      <c r="R50" s="141"/>
      <c r="S50" s="141"/>
      <c r="T50" s="141"/>
      <c r="U50" s="141"/>
      <c r="V50" s="141"/>
    </row>
    <row r="51" spans="16:22" x14ac:dyDescent="0.3">
      <c r="Q51" s="141"/>
      <c r="R51" s="141"/>
      <c r="S51" s="141"/>
      <c r="T51" s="141"/>
      <c r="U51" s="141"/>
      <c r="V51" s="141"/>
    </row>
    <row r="52" spans="16:22" x14ac:dyDescent="0.3">
      <c r="P52" s="136"/>
      <c r="Q52" s="146"/>
      <c r="R52" s="146"/>
      <c r="S52" s="146"/>
      <c r="T52" s="146"/>
      <c r="U52" s="146"/>
      <c r="V52" s="146"/>
    </row>
    <row r="53" spans="16:22" x14ac:dyDescent="0.3">
      <c r="Q53" s="141"/>
      <c r="R53" s="141"/>
      <c r="S53" s="141"/>
      <c r="T53" s="141"/>
      <c r="U53" s="141"/>
      <c r="V53" s="141"/>
    </row>
    <row r="54" spans="16:22" x14ac:dyDescent="0.3">
      <c r="Q54" s="141"/>
      <c r="R54" s="141"/>
      <c r="S54" s="141"/>
      <c r="T54" s="141"/>
      <c r="U54" s="141"/>
      <c r="V54" s="141"/>
    </row>
    <row r="55" spans="16:22" x14ac:dyDescent="0.3">
      <c r="P55" s="136"/>
      <c r="Q55" s="146"/>
      <c r="R55" s="146"/>
      <c r="S55" s="146"/>
      <c r="T55" s="146"/>
      <c r="U55" s="146"/>
      <c r="V55" s="146"/>
    </row>
    <row r="56" spans="16:22" x14ac:dyDescent="0.3">
      <c r="R56" s="141"/>
      <c r="S56" s="141"/>
      <c r="T56" s="141"/>
      <c r="U56" s="141"/>
      <c r="V56" s="141"/>
    </row>
    <row r="57" spans="16:22" x14ac:dyDescent="0.3">
      <c r="P57" s="136"/>
      <c r="Q57" s="146"/>
      <c r="R57" s="146"/>
      <c r="S57" s="146"/>
      <c r="T57" s="146"/>
      <c r="U57" s="146"/>
      <c r="V57" s="146"/>
    </row>
    <row r="58" spans="16:22" x14ac:dyDescent="0.3">
      <c r="Q58" s="141"/>
      <c r="R58" s="141"/>
      <c r="S58" s="141"/>
      <c r="T58" s="141"/>
      <c r="U58" s="141"/>
      <c r="V58" s="141"/>
    </row>
    <row r="59" spans="16:22" x14ac:dyDescent="0.3">
      <c r="P59" s="136"/>
      <c r="Q59" s="146"/>
      <c r="R59" s="146"/>
      <c r="S59" s="146"/>
      <c r="T59" s="146"/>
      <c r="U59" s="146"/>
      <c r="V59" s="146"/>
    </row>
    <row r="60" spans="16:22" x14ac:dyDescent="0.3">
      <c r="R60" s="141"/>
      <c r="S60" s="141"/>
      <c r="T60" s="141"/>
      <c r="U60" s="141"/>
      <c r="V60" s="141"/>
    </row>
    <row r="61" spans="16:22" x14ac:dyDescent="0.3">
      <c r="Q61" s="141"/>
      <c r="R61" s="141"/>
      <c r="S61" s="141"/>
      <c r="T61" s="141"/>
      <c r="U61" s="141"/>
      <c r="V61" s="141"/>
    </row>
    <row r="62" spans="16:22" x14ac:dyDescent="0.3">
      <c r="R62" s="165"/>
      <c r="S62" s="165"/>
      <c r="T62" s="165"/>
      <c r="U62" s="165"/>
      <c r="V62" s="16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5"/>
  <dimension ref="B1:N53"/>
  <sheetViews>
    <sheetView workbookViewId="0">
      <selection activeCell="K16" sqref="K16"/>
    </sheetView>
  </sheetViews>
  <sheetFormatPr defaultRowHeight="14.4" x14ac:dyDescent="0.3"/>
  <cols>
    <col min="2" max="2" width="75.6640625" bestFit="1" customWidth="1"/>
    <col min="3" max="3" width="11.6640625" style="7" customWidth="1"/>
    <col min="4" max="7" width="11.6640625" customWidth="1"/>
    <col min="8" max="8" width="7.33203125" bestFit="1" customWidth="1"/>
  </cols>
  <sheetData>
    <row r="1" spans="2:8" x14ac:dyDescent="0.3">
      <c r="B1" s="257"/>
    </row>
    <row r="2" spans="2:8" x14ac:dyDescent="0.3">
      <c r="B2" s="257" t="str">
        <f>B5</f>
        <v xml:space="preserve">Poslovni izid poslovnega leta  </v>
      </c>
    </row>
    <row r="3" spans="2:8" x14ac:dyDescent="0.3">
      <c r="B3" s="257"/>
      <c r="C3">
        <v>2013</v>
      </c>
      <c r="D3">
        <v>2014</v>
      </c>
      <c r="E3">
        <v>2015</v>
      </c>
      <c r="F3">
        <v>2016</v>
      </c>
      <c r="G3">
        <v>2017</v>
      </c>
      <c r="H3" t="s">
        <v>61</v>
      </c>
    </row>
    <row r="4" spans="2:8" x14ac:dyDescent="0.3">
      <c r="B4" s="258" t="s">
        <v>62</v>
      </c>
      <c r="D4" s="3"/>
      <c r="E4" s="3"/>
      <c r="F4" s="3"/>
      <c r="G4" s="3"/>
      <c r="H4" s="3"/>
    </row>
    <row r="5" spans="2:8" x14ac:dyDescent="0.3">
      <c r="B5" s="257" t="s">
        <v>63</v>
      </c>
      <c r="C5" s="7">
        <v>-24998</v>
      </c>
      <c r="D5" s="7">
        <v>1239</v>
      </c>
      <c r="E5" s="7">
        <v>-7988</v>
      </c>
      <c r="F5" s="7">
        <v>8430</v>
      </c>
      <c r="G5" s="7">
        <v>1341</v>
      </c>
      <c r="H5" s="7"/>
    </row>
    <row r="6" spans="2:8" x14ac:dyDescent="0.3">
      <c r="B6" s="257" t="s">
        <v>64</v>
      </c>
      <c r="D6" s="3"/>
      <c r="E6" s="3"/>
      <c r="F6" s="3"/>
      <c r="G6" s="3"/>
      <c r="H6" s="3"/>
    </row>
    <row r="7" spans="2:8" x14ac:dyDescent="0.3">
      <c r="B7" s="257" t="s">
        <v>65</v>
      </c>
      <c r="C7" s="7">
        <v>35436</v>
      </c>
      <c r="D7" s="3">
        <v>35950</v>
      </c>
      <c r="E7" s="3">
        <v>36776</v>
      </c>
      <c r="F7" s="3">
        <v>37724</v>
      </c>
      <c r="G7" s="3">
        <v>43274</v>
      </c>
      <c r="H7" s="3"/>
    </row>
    <row r="8" spans="2:8" x14ac:dyDescent="0.3">
      <c r="B8" s="257" t="s">
        <v>66</v>
      </c>
      <c r="C8" s="7">
        <v>6705</v>
      </c>
      <c r="D8" s="3">
        <v>7069</v>
      </c>
      <c r="E8" s="3">
        <v>8868</v>
      </c>
      <c r="F8" s="3">
        <v>9331</v>
      </c>
      <c r="G8" s="3">
        <v>11402</v>
      </c>
      <c r="H8" s="3"/>
    </row>
    <row r="9" spans="2:8" x14ac:dyDescent="0.3">
      <c r="B9" s="257" t="s">
        <v>67</v>
      </c>
      <c r="C9" s="7">
        <v>-7571</v>
      </c>
      <c r="D9" s="3">
        <v>-8750</v>
      </c>
      <c r="E9" s="3">
        <v>-7396</v>
      </c>
      <c r="F9" s="3">
        <v>-515</v>
      </c>
      <c r="G9" s="3">
        <v>-805</v>
      </c>
      <c r="H9" s="3"/>
    </row>
    <row r="10" spans="2:8" x14ac:dyDescent="0.3">
      <c r="B10" s="257" t="s">
        <v>68</v>
      </c>
      <c r="C10" s="7">
        <v>68832</v>
      </c>
      <c r="D10" s="3">
        <v>47422</v>
      </c>
      <c r="E10" s="3">
        <v>46188</v>
      </c>
      <c r="F10" s="3">
        <v>15033</v>
      </c>
      <c r="G10" s="3">
        <v>12741</v>
      </c>
      <c r="H10" s="3"/>
    </row>
    <row r="11" spans="2:8" x14ac:dyDescent="0.3">
      <c r="B11" s="257" t="s">
        <v>69</v>
      </c>
      <c r="C11" s="7">
        <v>-4859</v>
      </c>
      <c r="D11" s="3">
        <v>-288</v>
      </c>
      <c r="E11" s="3">
        <v>-2671</v>
      </c>
      <c r="F11" s="3">
        <v>-254</v>
      </c>
      <c r="G11" s="3">
        <v>-531</v>
      </c>
      <c r="H11" s="3"/>
    </row>
    <row r="12" spans="2:8" x14ac:dyDescent="0.3">
      <c r="B12" s="259" t="s">
        <v>70</v>
      </c>
      <c r="C12" s="7">
        <v>-51</v>
      </c>
      <c r="D12" s="3"/>
      <c r="E12" s="3"/>
      <c r="F12" s="3">
        <v>0</v>
      </c>
      <c r="G12" s="3">
        <v>65</v>
      </c>
      <c r="H12" s="3"/>
    </row>
    <row r="13" spans="2:8" x14ac:dyDescent="0.3">
      <c r="B13" s="257" t="s">
        <v>71</v>
      </c>
      <c r="C13" s="7">
        <v>-6851</v>
      </c>
      <c r="D13" s="3">
        <v>-83</v>
      </c>
      <c r="E13" s="3"/>
      <c r="F13" s="3"/>
      <c r="G13" s="3"/>
      <c r="H13" s="3"/>
    </row>
    <row r="14" spans="2:8" x14ac:dyDescent="0.3">
      <c r="B14" s="257" t="s">
        <v>72</v>
      </c>
      <c r="C14" s="7">
        <v>-4219</v>
      </c>
      <c r="D14" s="3">
        <v>2624</v>
      </c>
      <c r="E14" s="3">
        <v>4000</v>
      </c>
      <c r="F14" s="3">
        <v>4810</v>
      </c>
      <c r="G14" s="3">
        <v>3146</v>
      </c>
      <c r="H14" s="3"/>
    </row>
    <row r="15" spans="2:8" x14ac:dyDescent="0.3">
      <c r="B15" s="260" t="s">
        <v>73</v>
      </c>
      <c r="C15" s="2">
        <v>62424</v>
      </c>
      <c r="D15" s="2">
        <v>85183</v>
      </c>
      <c r="E15" s="2">
        <v>77777</v>
      </c>
      <c r="F15" s="2">
        <v>74559</v>
      </c>
      <c r="G15" s="2">
        <v>70633</v>
      </c>
      <c r="H15" s="2">
        <f>SUM(G5:G14)</f>
        <v>70633</v>
      </c>
    </row>
    <row r="16" spans="2:8" x14ac:dyDescent="0.3">
      <c r="B16" s="257" t="s">
        <v>74</v>
      </c>
      <c r="C16" s="7">
        <v>5620</v>
      </c>
      <c r="D16" s="3">
        <v>20196</v>
      </c>
      <c r="E16" s="3">
        <v>12493</v>
      </c>
      <c r="F16" s="3">
        <v>-10669</v>
      </c>
      <c r="G16" s="3">
        <v>-22693</v>
      </c>
      <c r="H16" s="3"/>
    </row>
    <row r="17" spans="2:14" x14ac:dyDescent="0.3">
      <c r="B17" s="257" t="s">
        <v>75</v>
      </c>
      <c r="C17" s="7">
        <v>12642</v>
      </c>
      <c r="D17" s="3">
        <v>16552</v>
      </c>
      <c r="E17" s="3">
        <v>-6107</v>
      </c>
      <c r="F17" s="3">
        <v>-54</v>
      </c>
      <c r="G17" s="3">
        <v>5317</v>
      </c>
      <c r="H17" s="3"/>
    </row>
    <row r="18" spans="2:14" x14ac:dyDescent="0.3">
      <c r="B18" s="257" t="s">
        <v>76</v>
      </c>
      <c r="C18" s="7">
        <v>3786</v>
      </c>
      <c r="D18" s="3">
        <v>-4452</v>
      </c>
      <c r="E18" s="3">
        <v>-1776</v>
      </c>
      <c r="F18" s="3">
        <v>1719</v>
      </c>
      <c r="G18" s="3">
        <v>-1612</v>
      </c>
      <c r="H18" s="3"/>
    </row>
    <row r="19" spans="2:14" x14ac:dyDescent="0.3">
      <c r="B19" s="257" t="s">
        <v>77</v>
      </c>
      <c r="C19" s="7">
        <v>-8716</v>
      </c>
      <c r="D19" s="3">
        <v>-19483</v>
      </c>
      <c r="E19" s="3">
        <v>5588</v>
      </c>
      <c r="F19" s="3">
        <v>17505</v>
      </c>
      <c r="G19" s="3">
        <v>17304</v>
      </c>
      <c r="H19" s="3"/>
    </row>
    <row r="20" spans="2:14" x14ac:dyDescent="0.3">
      <c r="B20" s="258" t="s">
        <v>78</v>
      </c>
      <c r="C20" s="2">
        <v>13332</v>
      </c>
      <c r="D20" s="2">
        <v>12813</v>
      </c>
      <c r="E20" s="2">
        <v>10198</v>
      </c>
      <c r="F20" s="2">
        <v>8501</v>
      </c>
      <c r="G20" s="2">
        <v>-1684</v>
      </c>
      <c r="H20" s="2">
        <f>SUM(G16:G19)</f>
        <v>-1684</v>
      </c>
    </row>
    <row r="21" spans="2:14" x14ac:dyDescent="0.3">
      <c r="B21" s="257" t="s">
        <v>79</v>
      </c>
      <c r="C21" s="7">
        <v>-21526</v>
      </c>
      <c r="D21" s="3">
        <v>-21526</v>
      </c>
      <c r="E21" s="3">
        <v>-18868</v>
      </c>
      <c r="F21" s="3">
        <v>-15033</v>
      </c>
      <c r="G21" s="3">
        <v>-12741</v>
      </c>
      <c r="H21" s="3">
        <f>G21</f>
        <v>-12741</v>
      </c>
      <c r="I21" s="24">
        <f>C21/(Bilanca!C39+Bilanca!C41)</f>
        <v>-5.4165314169390535E-2</v>
      </c>
      <c r="J21" s="24">
        <f>D21/(Bilanca!D39+Bilanca!D41)</f>
        <v>-5.8557259674760477E-2</v>
      </c>
      <c r="K21" s="24">
        <f>E21/(Bilanca!E39+Bilanca!E41)</f>
        <v>-5.2118091618235253E-2</v>
      </c>
      <c r="L21" s="24">
        <f>F21/(Bilanca!F39+Bilanca!F41)</f>
        <v>-3.9892050249176046E-2</v>
      </c>
      <c r="M21" s="24">
        <f>G21/(Bilanca!G39+Bilanca!G41)</f>
        <v>-3.3201216413768303E-2</v>
      </c>
      <c r="N21" s="24"/>
    </row>
    <row r="22" spans="2:14" x14ac:dyDescent="0.3">
      <c r="B22" s="257" t="s">
        <v>80</v>
      </c>
      <c r="C22" s="7">
        <v>-3437</v>
      </c>
      <c r="D22" s="3">
        <v>-4048</v>
      </c>
      <c r="E22" s="3">
        <v>-5137</v>
      </c>
      <c r="F22" s="3">
        <v>-5223</v>
      </c>
      <c r="G22" s="3">
        <v>-3689</v>
      </c>
      <c r="H22" s="3">
        <f>G22</f>
        <v>-3689</v>
      </c>
      <c r="I22" s="24">
        <f>AVERAGE(I21:M21)</f>
        <v>-4.7586786425066127E-2</v>
      </c>
      <c r="J22" s="24"/>
      <c r="K22" s="24"/>
      <c r="L22" s="24"/>
      <c r="M22" s="24"/>
    </row>
    <row r="23" spans="2:14" x14ac:dyDescent="0.3">
      <c r="B23" s="258" t="s">
        <v>81</v>
      </c>
      <c r="C23" s="2">
        <v>50745</v>
      </c>
      <c r="D23" s="2">
        <v>72422</v>
      </c>
      <c r="E23" s="2">
        <v>63970</v>
      </c>
      <c r="F23" s="2">
        <v>62804</v>
      </c>
      <c r="G23" s="2">
        <v>52519</v>
      </c>
      <c r="H23" s="2">
        <f>SUM(H14:H22)</f>
        <v>52519</v>
      </c>
    </row>
    <row r="24" spans="2:14" x14ac:dyDescent="0.3">
      <c r="B24" s="258" t="s">
        <v>82</v>
      </c>
      <c r="D24" s="3"/>
      <c r="E24" s="3"/>
      <c r="F24" s="3"/>
      <c r="G24" s="3"/>
      <c r="H24" s="3"/>
    </row>
    <row r="25" spans="2:14" x14ac:dyDescent="0.3">
      <c r="B25" s="257" t="s">
        <v>83</v>
      </c>
      <c r="C25" s="7">
        <v>14482</v>
      </c>
      <c r="D25" s="3">
        <v>5477</v>
      </c>
      <c r="E25" s="3">
        <v>10131</v>
      </c>
      <c r="F25" s="3">
        <v>2510</v>
      </c>
      <c r="G25" s="3">
        <v>5582</v>
      </c>
      <c r="H25" s="3"/>
    </row>
    <row r="26" spans="2:14" x14ac:dyDescent="0.3">
      <c r="B26" s="257" t="s">
        <v>84</v>
      </c>
      <c r="C26" s="7">
        <v>9250</v>
      </c>
      <c r="D26" s="3">
        <v>3274</v>
      </c>
      <c r="E26" s="3">
        <v>1448</v>
      </c>
      <c r="F26" s="3">
        <v>2253</v>
      </c>
      <c r="G26" s="3">
        <v>250</v>
      </c>
      <c r="H26" s="3"/>
    </row>
    <row r="27" spans="2:14" x14ac:dyDescent="0.3">
      <c r="B27" s="257" t="s">
        <v>85</v>
      </c>
      <c r="C27" s="7">
        <v>2547</v>
      </c>
      <c r="D27" s="3">
        <v>1793</v>
      </c>
      <c r="E27" s="3">
        <v>1877</v>
      </c>
      <c r="F27" s="3">
        <v>913</v>
      </c>
      <c r="G27" s="3">
        <v>935</v>
      </c>
      <c r="H27" s="3"/>
    </row>
    <row r="28" spans="2:14" x14ac:dyDescent="0.3">
      <c r="B28" s="257" t="s">
        <v>86</v>
      </c>
      <c r="C28" s="7">
        <v>-495</v>
      </c>
      <c r="D28" s="3">
        <v>120</v>
      </c>
      <c r="E28" s="3">
        <v>52</v>
      </c>
      <c r="F28" s="3">
        <v>136</v>
      </c>
      <c r="G28" s="3">
        <v>215</v>
      </c>
      <c r="H28" s="3"/>
    </row>
    <row r="29" spans="2:14" x14ac:dyDescent="0.3">
      <c r="B29" s="257" t="s">
        <v>87</v>
      </c>
      <c r="C29" s="7">
        <v>0</v>
      </c>
      <c r="D29" s="3">
        <v>10</v>
      </c>
      <c r="E29" s="3">
        <v>0</v>
      </c>
      <c r="F29" s="3">
        <v>454</v>
      </c>
      <c r="G29" s="3">
        <v>434</v>
      </c>
      <c r="H29" s="3"/>
    </row>
    <row r="30" spans="2:14" x14ac:dyDescent="0.3">
      <c r="B30" s="257" t="s">
        <v>88</v>
      </c>
      <c r="C30" s="7">
        <v>-60928</v>
      </c>
      <c r="D30" s="3">
        <v>-40371</v>
      </c>
      <c r="E30" s="3">
        <v>-52375</v>
      </c>
      <c r="F30" s="3">
        <v>-59412</v>
      </c>
      <c r="G30" s="3">
        <v>-49672</v>
      </c>
      <c r="H30" s="3"/>
    </row>
    <row r="31" spans="2:14" x14ac:dyDescent="0.3">
      <c r="B31" s="257" t="s">
        <v>89</v>
      </c>
      <c r="C31" s="7">
        <v>-7304</v>
      </c>
      <c r="D31" s="3">
        <v>-9</v>
      </c>
      <c r="E31" s="3">
        <v>-37</v>
      </c>
      <c r="F31" s="3">
        <v>0</v>
      </c>
      <c r="G31" s="3">
        <v>-371</v>
      </c>
      <c r="H31" s="3"/>
    </row>
    <row r="32" spans="2:14" x14ac:dyDescent="0.3">
      <c r="B32" s="257" t="s">
        <v>90</v>
      </c>
      <c r="C32" s="7">
        <v>0</v>
      </c>
      <c r="D32" s="3"/>
      <c r="E32" s="3">
        <v>0</v>
      </c>
      <c r="F32" s="3">
        <v>-710</v>
      </c>
      <c r="G32" s="3">
        <v>0</v>
      </c>
      <c r="H32" s="3"/>
    </row>
    <row r="33" spans="2:11" x14ac:dyDescent="0.3">
      <c r="B33" s="257" t="s">
        <v>91</v>
      </c>
      <c r="C33" s="7">
        <v>0</v>
      </c>
      <c r="D33" s="3"/>
      <c r="E33" s="3">
        <v>0</v>
      </c>
      <c r="F33" s="3">
        <v>-1530</v>
      </c>
      <c r="G33" s="3">
        <v>-1200</v>
      </c>
      <c r="H33" s="3"/>
    </row>
    <row r="34" spans="2:11" x14ac:dyDescent="0.3">
      <c r="B34" s="257" t="s">
        <v>92</v>
      </c>
      <c r="C34" s="7">
        <v>0</v>
      </c>
      <c r="D34" s="3"/>
      <c r="E34" s="3"/>
      <c r="F34" s="3">
        <v>3498</v>
      </c>
      <c r="G34" s="3">
        <v>128</v>
      </c>
      <c r="H34" s="3"/>
    </row>
    <row r="35" spans="2:11" x14ac:dyDescent="0.3">
      <c r="B35" s="257" t="s">
        <v>93</v>
      </c>
      <c r="C35" s="7">
        <v>0</v>
      </c>
      <c r="D35" s="3"/>
      <c r="E35" s="3"/>
      <c r="F35" s="3"/>
      <c r="G35" s="3"/>
      <c r="H35" s="3"/>
    </row>
    <row r="36" spans="2:11" x14ac:dyDescent="0.3">
      <c r="B36" s="257" t="s">
        <v>94</v>
      </c>
      <c r="C36" s="7">
        <v>-432</v>
      </c>
      <c r="D36" s="3">
        <v>-3258</v>
      </c>
      <c r="E36" s="3">
        <v>1885</v>
      </c>
      <c r="F36" s="3">
        <v>-1349</v>
      </c>
      <c r="G36" s="3">
        <v>2341</v>
      </c>
      <c r="H36" s="3"/>
      <c r="K36" s="3"/>
    </row>
    <row r="37" spans="2:11" x14ac:dyDescent="0.3">
      <c r="B37" s="257" t="s">
        <v>95</v>
      </c>
      <c r="C37" s="7">
        <v>-15678</v>
      </c>
      <c r="D37" s="3">
        <v>-21264</v>
      </c>
      <c r="E37" s="3">
        <v>-23084</v>
      </c>
      <c r="F37" s="3">
        <v>-23819</v>
      </c>
      <c r="G37" s="3">
        <v>-25656</v>
      </c>
      <c r="H37" s="3"/>
      <c r="I37" s="3"/>
    </row>
    <row r="38" spans="2:11" x14ac:dyDescent="0.3">
      <c r="B38" s="257" t="s">
        <v>218</v>
      </c>
      <c r="C38" s="7">
        <v>0</v>
      </c>
      <c r="D38" s="3">
        <f>D37+D31+D30</f>
        <v>-61644</v>
      </c>
      <c r="E38" s="3">
        <f>E37+E31+E30</f>
        <v>-75496</v>
      </c>
      <c r="F38" s="3">
        <f>F37+F31+F30</f>
        <v>-83231</v>
      </c>
      <c r="G38" s="3">
        <f>G37+G31+G30</f>
        <v>-75699</v>
      </c>
      <c r="H38" s="3"/>
    </row>
    <row r="39" spans="2:11" x14ac:dyDescent="0.3">
      <c r="B39" s="258" t="s">
        <v>96</v>
      </c>
      <c r="C39" s="2">
        <v>-58558</v>
      </c>
      <c r="D39" s="2">
        <v>-54228</v>
      </c>
      <c r="E39" s="2">
        <v>-60103</v>
      </c>
      <c r="F39" s="2">
        <v>-77056</v>
      </c>
      <c r="G39" s="2">
        <v>-67014</v>
      </c>
      <c r="H39" s="2">
        <f>SUM(G25:G37)</f>
        <v>-67014</v>
      </c>
      <c r="I39" s="2"/>
    </row>
    <row r="40" spans="2:11" x14ac:dyDescent="0.3">
      <c r="B40" s="258" t="s">
        <v>97</v>
      </c>
      <c r="D40" s="3"/>
      <c r="E40" s="3"/>
      <c r="F40" s="3"/>
      <c r="G40" s="3"/>
      <c r="H40" s="3"/>
    </row>
    <row r="41" spans="2:11" x14ac:dyDescent="0.3">
      <c r="B41" s="257" t="s">
        <v>98</v>
      </c>
      <c r="C41" s="7">
        <v>25855</v>
      </c>
      <c r="D41" s="3">
        <v>9812</v>
      </c>
      <c r="E41" s="3"/>
      <c r="F41" s="3"/>
      <c r="G41" s="3"/>
      <c r="H41" s="3"/>
    </row>
    <row r="42" spans="2:11" x14ac:dyDescent="0.3">
      <c r="B42" s="257" t="s">
        <v>99</v>
      </c>
      <c r="C42" s="7">
        <v>90954</v>
      </c>
      <c r="D42" s="3">
        <v>168496</v>
      </c>
      <c r="E42" s="3">
        <v>196402</v>
      </c>
      <c r="F42" s="3">
        <v>120778</v>
      </c>
      <c r="G42" s="3">
        <v>115673</v>
      </c>
      <c r="H42" s="3"/>
    </row>
    <row r="43" spans="2:11" x14ac:dyDescent="0.3">
      <c r="B43" s="257" t="s">
        <v>100</v>
      </c>
      <c r="C43" s="7">
        <v>-124084</v>
      </c>
      <c r="D43" s="3">
        <v>-272940</v>
      </c>
      <c r="E43" s="3">
        <v>-188663</v>
      </c>
      <c r="F43" s="3">
        <v>-88110</v>
      </c>
      <c r="G43" s="3">
        <v>-113695</v>
      </c>
      <c r="H43" s="3"/>
    </row>
    <row r="44" spans="2:11" x14ac:dyDescent="0.3">
      <c r="B44" s="257" t="s">
        <v>101</v>
      </c>
      <c r="C44" s="7">
        <v>0</v>
      </c>
      <c r="D44" s="3">
        <v>73000</v>
      </c>
      <c r="E44" s="3">
        <v>-14600</v>
      </c>
      <c r="F44" s="3">
        <v>0</v>
      </c>
      <c r="G44" s="3">
        <v>19531</v>
      </c>
      <c r="H44" s="3"/>
    </row>
    <row r="45" spans="2:11" x14ac:dyDescent="0.3">
      <c r="B45" s="257" t="s">
        <v>102</v>
      </c>
      <c r="C45" s="7">
        <v>0</v>
      </c>
      <c r="D45" s="3"/>
      <c r="E45" s="3"/>
      <c r="F45" s="3">
        <v>-14600</v>
      </c>
      <c r="G45" s="3">
        <v>-14600</v>
      </c>
      <c r="H45" s="3"/>
    </row>
    <row r="46" spans="2:11" x14ac:dyDescent="0.3">
      <c r="B46" s="257" t="s">
        <v>103</v>
      </c>
      <c r="C46" s="7">
        <v>0</v>
      </c>
      <c r="D46" s="3">
        <v>0</v>
      </c>
      <c r="E46" s="3">
        <v>-1458</v>
      </c>
      <c r="F46" s="3">
        <v>0</v>
      </c>
      <c r="G46" s="3">
        <v>-2430</v>
      </c>
      <c r="H46" s="3"/>
    </row>
    <row r="47" spans="2:11" x14ac:dyDescent="0.3">
      <c r="B47" s="258" t="s">
        <v>104</v>
      </c>
      <c r="C47" s="2">
        <v>-7275</v>
      </c>
      <c r="D47" s="2">
        <v>-21632</v>
      </c>
      <c r="E47" s="2">
        <v>-8319</v>
      </c>
      <c r="F47" s="2">
        <v>18068</v>
      </c>
      <c r="G47" s="2">
        <v>4479</v>
      </c>
      <c r="H47" s="2">
        <f>SUM(G41:G46)</f>
        <v>4479</v>
      </c>
    </row>
    <row r="48" spans="2:11" x14ac:dyDescent="0.3">
      <c r="B48" s="258" t="s">
        <v>105</v>
      </c>
      <c r="C48" s="2">
        <v>-15088</v>
      </c>
      <c r="D48" s="2">
        <v>-3438</v>
      </c>
      <c r="E48" s="2">
        <v>-4452</v>
      </c>
      <c r="F48" s="2">
        <v>3816</v>
      </c>
      <c r="G48" s="2">
        <v>-10016</v>
      </c>
      <c r="H48" s="2">
        <f>H23+H39+H47</f>
        <v>-10016</v>
      </c>
    </row>
    <row r="49" spans="2:8" x14ac:dyDescent="0.3">
      <c r="B49" s="257" t="s">
        <v>106</v>
      </c>
      <c r="C49" s="7">
        <v>54588</v>
      </c>
      <c r="D49" s="11">
        <v>39500</v>
      </c>
      <c r="E49" s="3">
        <v>36062</v>
      </c>
      <c r="F49" s="3">
        <v>31426</v>
      </c>
      <c r="G49" s="3">
        <v>35053</v>
      </c>
      <c r="H49" s="3">
        <f>G49</f>
        <v>35053</v>
      </c>
    </row>
    <row r="50" spans="2:8" x14ac:dyDescent="0.3">
      <c r="B50" s="257" t="s">
        <v>107</v>
      </c>
      <c r="C50" s="7">
        <v>39500</v>
      </c>
      <c r="D50" s="3">
        <v>36062</v>
      </c>
      <c r="E50" s="3">
        <v>31610</v>
      </c>
      <c r="F50" s="3">
        <v>35242</v>
      </c>
      <c r="G50" s="3">
        <v>25037</v>
      </c>
      <c r="H50" s="3">
        <f>H48+H49</f>
        <v>25037</v>
      </c>
    </row>
    <row r="51" spans="2:8" x14ac:dyDescent="0.3">
      <c r="B51" s="257"/>
    </row>
    <row r="52" spans="2:8" x14ac:dyDescent="0.3">
      <c r="B52" s="257"/>
    </row>
    <row r="53" spans="2:8" x14ac:dyDescent="0.3">
      <c r="B53" s="257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/>
  <dimension ref="A1:X89"/>
  <sheetViews>
    <sheetView topLeftCell="B13" zoomScale="55" zoomScaleNormal="55" workbookViewId="0">
      <selection activeCell="G41" sqref="G41"/>
    </sheetView>
  </sheetViews>
  <sheetFormatPr defaultRowHeight="14.4" x14ac:dyDescent="0.3"/>
  <cols>
    <col min="2" max="2" width="33" bestFit="1" customWidth="1"/>
    <col min="3" max="3" width="11.6640625" style="3" customWidth="1"/>
    <col min="4" max="7" width="11.6640625" customWidth="1"/>
    <col min="8" max="12" width="10.33203125" bestFit="1" customWidth="1"/>
    <col min="14" max="15" width="9.109375" bestFit="1" customWidth="1"/>
  </cols>
  <sheetData>
    <row r="1" spans="2:24" x14ac:dyDescent="0.3">
      <c r="D1" s="72"/>
      <c r="E1" s="72"/>
      <c r="F1" s="72"/>
      <c r="G1" s="72"/>
      <c r="H1" s="72"/>
      <c r="I1" s="72"/>
      <c r="J1" s="72"/>
      <c r="K1" s="72"/>
      <c r="L1" s="72"/>
    </row>
    <row r="2" spans="2:24" x14ac:dyDescent="0.3">
      <c r="D2" s="72"/>
      <c r="E2" s="72"/>
      <c r="F2" s="72"/>
      <c r="G2" s="72"/>
      <c r="H2" s="72"/>
      <c r="I2" s="72"/>
      <c r="J2" s="72"/>
      <c r="K2" s="72"/>
      <c r="L2" s="72"/>
      <c r="N2" s="72"/>
      <c r="O2" s="72"/>
      <c r="P2" s="72"/>
      <c r="Q2" s="72"/>
      <c r="R2" s="72"/>
    </row>
    <row r="3" spans="2:24" ht="15" thickBot="1" x14ac:dyDescent="0.35">
      <c r="B3" s="44"/>
      <c r="C3" s="44">
        <v>2013</v>
      </c>
      <c r="D3" s="44">
        <v>2014</v>
      </c>
      <c r="E3" s="44">
        <v>2015</v>
      </c>
      <c r="F3" s="44">
        <v>2016</v>
      </c>
      <c r="G3" s="44">
        <v>2017</v>
      </c>
      <c r="H3" s="44">
        <v>2018</v>
      </c>
      <c r="I3" s="44">
        <v>2019</v>
      </c>
      <c r="J3" s="44">
        <v>2020</v>
      </c>
      <c r="K3" s="44">
        <v>2021</v>
      </c>
      <c r="L3" s="44">
        <v>2022</v>
      </c>
    </row>
    <row r="4" spans="2:24" ht="15" thickBot="1" x14ac:dyDescent="0.35">
      <c r="B4" s="101" t="s">
        <v>20</v>
      </c>
      <c r="C4" s="102">
        <v>1148065</v>
      </c>
      <c r="D4" s="102">
        <v>1102398</v>
      </c>
      <c r="E4" s="102">
        <v>1101274</v>
      </c>
      <c r="F4" s="102">
        <v>1123914</v>
      </c>
      <c r="G4" s="102">
        <v>1143116</v>
      </c>
      <c r="H4" s="102">
        <f>H5+H14</f>
        <v>1162502.8212096</v>
      </c>
      <c r="I4" s="102">
        <f>I5+I14</f>
        <v>1160994.436607491</v>
      </c>
      <c r="J4" s="102">
        <f>J5+J14</f>
        <v>1172406.3787962911</v>
      </c>
      <c r="K4" s="102">
        <f>K5+K14</f>
        <v>1185302.8489630504</v>
      </c>
      <c r="L4" s="102">
        <f>L5+L14</f>
        <v>1196462.0349364802</v>
      </c>
      <c r="N4" s="3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2:24" x14ac:dyDescent="0.3">
      <c r="B5" s="109" t="s">
        <v>21</v>
      </c>
      <c r="C5" s="100">
        <v>593890</v>
      </c>
      <c r="D5" s="100">
        <v>594578</v>
      </c>
      <c r="E5" s="100">
        <v>614125</v>
      </c>
      <c r="F5" s="100">
        <v>629266</v>
      </c>
      <c r="G5" s="100">
        <v>647977</v>
      </c>
      <c r="H5" s="100">
        <f>SUM(H6:H13)</f>
        <v>656165.89771199995</v>
      </c>
      <c r="I5" s="100">
        <f>SUM(I6:I13)</f>
        <v>648581.47002791986</v>
      </c>
      <c r="J5" s="100">
        <f>SUM(J6:J13)</f>
        <v>654356.86958434468</v>
      </c>
      <c r="K5" s="100">
        <f>SUM(K6:K13)</f>
        <v>661554.79514977254</v>
      </c>
      <c r="L5" s="100">
        <f>SUM(L6:L13)</f>
        <v>667476.50058506953</v>
      </c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2:24" x14ac:dyDescent="0.3">
      <c r="B6" s="105" t="s">
        <v>22</v>
      </c>
      <c r="C6" s="72">
        <v>167882</v>
      </c>
      <c r="D6" s="72">
        <v>181600</v>
      </c>
      <c r="E6" s="72">
        <v>196032</v>
      </c>
      <c r="F6" s="39">
        <v>208872</v>
      </c>
      <c r="G6" s="72">
        <v>223575</v>
      </c>
      <c r="H6" s="72">
        <f>FCFF!I$4*H50</f>
        <v>225806.07816</v>
      </c>
      <c r="I6" s="72">
        <f>FCFF!J$4*I50</f>
        <v>215073.64809216</v>
      </c>
      <c r="J6" s="72">
        <f>FCFF!K$4*J50</f>
        <v>217439.45822117373</v>
      </c>
      <c r="K6" s="72">
        <f>FCFF!L$4*K50</f>
        <v>219831.29226160664</v>
      </c>
      <c r="L6" s="39">
        <f>FCFF!M$4*L50</f>
        <v>222029.60518422272</v>
      </c>
      <c r="S6" s="72"/>
      <c r="T6" s="72"/>
      <c r="U6" s="72"/>
      <c r="V6" s="72"/>
      <c r="W6" s="72"/>
    </row>
    <row r="7" spans="2:24" x14ac:dyDescent="0.3">
      <c r="B7" s="105" t="s">
        <v>23</v>
      </c>
      <c r="C7" s="72">
        <v>356552</v>
      </c>
      <c r="D7" s="72">
        <v>356089</v>
      </c>
      <c r="E7" s="72">
        <v>366210</v>
      </c>
      <c r="F7" s="39">
        <v>366212</v>
      </c>
      <c r="G7" s="72">
        <v>371835</v>
      </c>
      <c r="H7" s="72">
        <f>FCFF!I$4*H51</f>
        <v>378557.24867999996</v>
      </c>
      <c r="I7" s="72">
        <f>FCFF!J$4*I51</f>
        <v>383099.93566415994</v>
      </c>
      <c r="J7" s="72">
        <f>FCFF!K$4*J51</f>
        <v>387314.03495646571</v>
      </c>
      <c r="K7" s="72">
        <f>FCFF!L$4*K51</f>
        <v>391574.48934098682</v>
      </c>
      <c r="L7" s="39">
        <f>FCFF!M$4*L51</f>
        <v>395490.23423439666</v>
      </c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2:24" x14ac:dyDescent="0.3">
      <c r="B8" s="105" t="s">
        <v>24</v>
      </c>
      <c r="C8" s="72">
        <v>28129</v>
      </c>
      <c r="D8" s="72">
        <v>18931</v>
      </c>
      <c r="E8" s="72">
        <v>17148</v>
      </c>
      <c r="F8" s="39">
        <v>14957</v>
      </c>
      <c r="G8" s="72">
        <v>9849</v>
      </c>
      <c r="H8" s="72">
        <f>FCFF!I$4*H52</f>
        <v>10626.168384000001</v>
      </c>
      <c r="I8" s="72">
        <f>FCFF!J$4*I52</f>
        <v>10081.57725432</v>
      </c>
      <c r="J8" s="72">
        <f>FCFF!K$4*J52</f>
        <v>9512.9762971763503</v>
      </c>
      <c r="K8" s="72">
        <f>FCFF!L$4*K52</f>
        <v>9617.6190364452905</v>
      </c>
      <c r="L8" s="39">
        <f>FCFF!M$4*L52</f>
        <v>9019.9527106090482</v>
      </c>
      <c r="O8" s="72"/>
      <c r="P8" s="72"/>
      <c r="Q8" s="72"/>
      <c r="R8" s="72"/>
      <c r="S8" s="72"/>
      <c r="T8" s="72"/>
      <c r="U8" s="72"/>
      <c r="V8" s="72"/>
      <c r="W8" s="72"/>
    </row>
    <row r="9" spans="2:24" x14ac:dyDescent="0.3">
      <c r="B9" s="105" t="s">
        <v>25</v>
      </c>
      <c r="C9" s="72">
        <v>0</v>
      </c>
      <c r="D9" s="72"/>
      <c r="E9" s="72">
        <v>0</v>
      </c>
      <c r="F9" s="39">
        <v>0</v>
      </c>
      <c r="G9" s="72">
        <v>0</v>
      </c>
      <c r="H9" s="72">
        <f>FCFF!I$4*H53</f>
        <v>0</v>
      </c>
      <c r="I9" s="72">
        <f>FCFF!J$4*I53</f>
        <v>0</v>
      </c>
      <c r="J9" s="72">
        <f>FCFF!K$4*J53</f>
        <v>0</v>
      </c>
      <c r="K9" s="72">
        <f>FCFF!L$4*K53</f>
        <v>0</v>
      </c>
      <c r="L9" s="39">
        <f>FCFF!M$4*L53</f>
        <v>0</v>
      </c>
      <c r="S9" s="72"/>
      <c r="T9" s="72"/>
      <c r="U9" s="72"/>
      <c r="V9" s="72"/>
      <c r="W9" s="72"/>
    </row>
    <row r="10" spans="2:24" x14ac:dyDescent="0.3">
      <c r="B10" s="105" t="s">
        <v>26</v>
      </c>
      <c r="C10" s="72">
        <v>711</v>
      </c>
      <c r="D10" s="72">
        <v>1122</v>
      </c>
      <c r="E10" s="72">
        <v>1570</v>
      </c>
      <c r="F10" s="39">
        <v>2945</v>
      </c>
      <c r="G10" s="72">
        <v>4309</v>
      </c>
      <c r="H10" s="72">
        <f>FCFF!I$4*H54</f>
        <v>3984.8131439999997</v>
      </c>
      <c r="I10" s="72">
        <f>FCFF!J$4*I54</f>
        <v>2688.420601152</v>
      </c>
      <c r="J10" s="72">
        <f>FCFF!K$4*J54</f>
        <v>2038.4949208235039</v>
      </c>
      <c r="K10" s="72">
        <f>FCFF!L$4*K54</f>
        <v>2060.9183649525621</v>
      </c>
      <c r="L10" s="39">
        <f>FCFF!M$4*L54</f>
        <v>2081.5275486020882</v>
      </c>
      <c r="N10" s="36"/>
      <c r="O10" s="36"/>
      <c r="S10" s="72"/>
      <c r="T10" s="72"/>
      <c r="U10" s="72"/>
      <c r="V10" s="72"/>
      <c r="W10" s="72"/>
    </row>
    <row r="11" spans="2:24" x14ac:dyDescent="0.3">
      <c r="B11" s="105" t="s">
        <v>27</v>
      </c>
      <c r="C11" s="72">
        <v>5527</v>
      </c>
      <c r="D11" s="72">
        <v>5125</v>
      </c>
      <c r="E11" s="72">
        <v>2942</v>
      </c>
      <c r="F11" s="39">
        <v>6563</v>
      </c>
      <c r="G11" s="72">
        <v>3483</v>
      </c>
      <c r="H11" s="72">
        <f>FCFF!I$4*H55</f>
        <v>3984.8131439999997</v>
      </c>
      <c r="I11" s="72">
        <f>FCFF!J$4*I55</f>
        <v>4032.630901728</v>
      </c>
      <c r="J11" s="72">
        <f>FCFF!K$4*J55</f>
        <v>4076.9898416470078</v>
      </c>
      <c r="K11" s="72">
        <f>FCFF!L$4*K55</f>
        <v>4121.8367299051242</v>
      </c>
      <c r="L11" s="39">
        <f>FCFF!M$4*L55</f>
        <v>4163.0550972041765</v>
      </c>
      <c r="N11" s="36"/>
      <c r="O11" s="36"/>
      <c r="S11" s="72"/>
      <c r="T11" s="72"/>
      <c r="U11" s="72"/>
      <c r="V11" s="72"/>
      <c r="W11" s="72"/>
    </row>
    <row r="12" spans="2:24" x14ac:dyDescent="0.3">
      <c r="B12" s="105" t="s">
        <v>28</v>
      </c>
      <c r="C12" s="72">
        <v>10559</v>
      </c>
      <c r="D12" s="72">
        <v>6988</v>
      </c>
      <c r="E12" s="72">
        <v>5743</v>
      </c>
      <c r="F12" s="39">
        <v>2481</v>
      </c>
      <c r="G12" s="72">
        <v>7375</v>
      </c>
      <c r="H12" s="72">
        <f>FCFF!I$4*H56</f>
        <v>6641.3552399999999</v>
      </c>
      <c r="I12" s="72">
        <f>FCFF!J$4*I56</f>
        <v>6721.05150288</v>
      </c>
      <c r="J12" s="72">
        <f>FCFF!K$4*J56</f>
        <v>6794.983069411679</v>
      </c>
      <c r="K12" s="72">
        <f>FCFF!L$4*K56</f>
        <v>6869.7278831752074</v>
      </c>
      <c r="L12" s="39">
        <f>FCFF!M$4*L56</f>
        <v>6938.4251620069599</v>
      </c>
      <c r="N12" s="36"/>
      <c r="O12" s="36"/>
      <c r="S12" s="72"/>
      <c r="T12" s="72"/>
      <c r="U12" s="72"/>
      <c r="V12" s="72"/>
      <c r="W12" s="72"/>
    </row>
    <row r="13" spans="2:24" x14ac:dyDescent="0.3">
      <c r="B13" s="105" t="s">
        <v>29</v>
      </c>
      <c r="C13" s="72">
        <v>24530</v>
      </c>
      <c r="D13" s="72">
        <v>24723</v>
      </c>
      <c r="E13" s="72">
        <v>24480</v>
      </c>
      <c r="F13" s="39">
        <v>27236</v>
      </c>
      <c r="G13" s="72">
        <v>27551</v>
      </c>
      <c r="H13" s="72">
        <f>FCFF!I$4*H57</f>
        <v>26565.420959999999</v>
      </c>
      <c r="I13" s="72">
        <f>FCFF!J$4*I57</f>
        <v>26884.20601152</v>
      </c>
      <c r="J13" s="72">
        <f>FCFF!K$4*J57</f>
        <v>27179.932277646716</v>
      </c>
      <c r="K13" s="72">
        <f>FCFF!L$4*K57</f>
        <v>27478.911532700829</v>
      </c>
      <c r="L13" s="39">
        <f>FCFF!M$4*L57</f>
        <v>27753.70064802784</v>
      </c>
      <c r="N13" s="36"/>
      <c r="O13" s="36"/>
      <c r="S13" s="72"/>
      <c r="T13" s="72"/>
      <c r="U13" s="72"/>
      <c r="V13" s="72"/>
      <c r="W13" s="72"/>
    </row>
    <row r="14" spans="2:24" x14ac:dyDescent="0.3">
      <c r="B14" s="109" t="s">
        <v>30</v>
      </c>
      <c r="C14" s="100">
        <v>554175</v>
      </c>
      <c r="D14" s="100">
        <v>507820</v>
      </c>
      <c r="E14" s="100">
        <v>487149</v>
      </c>
      <c r="F14" s="100">
        <v>494648</v>
      </c>
      <c r="G14" s="100">
        <v>495139</v>
      </c>
      <c r="H14" s="100">
        <f>SUM(H15:H21)</f>
        <v>506336.92349760002</v>
      </c>
      <c r="I14" s="100">
        <f>SUM(I15:I21)</f>
        <v>512412.96657957119</v>
      </c>
      <c r="J14" s="100">
        <f>SUM(J15:J21)</f>
        <v>518049.50921194645</v>
      </c>
      <c r="K14" s="100">
        <f>SUM(K15:K21)</f>
        <v>523748.05381327786</v>
      </c>
      <c r="L14" s="100">
        <f>SUM(L15:L21)</f>
        <v>528985.53435141069</v>
      </c>
      <c r="N14" s="41"/>
      <c r="O14" s="187"/>
      <c r="P14" s="73"/>
      <c r="Q14" s="73"/>
      <c r="R14" s="73"/>
      <c r="S14" s="72"/>
      <c r="T14" s="72"/>
      <c r="U14" s="72"/>
      <c r="V14" s="72"/>
      <c r="W14" s="72"/>
    </row>
    <row r="15" spans="2:24" x14ac:dyDescent="0.3">
      <c r="B15" s="105" t="s">
        <v>31</v>
      </c>
      <c r="C15" s="72">
        <v>1655</v>
      </c>
      <c r="D15" s="72">
        <v>1648</v>
      </c>
      <c r="E15" s="72">
        <v>309</v>
      </c>
      <c r="F15" s="39">
        <v>314</v>
      </c>
      <c r="G15" s="72">
        <v>305</v>
      </c>
      <c r="H15" s="72">
        <f>FCFF!I$4*H59</f>
        <v>265.6542096</v>
      </c>
      <c r="I15" s="72">
        <f>FCFF!J$4*I59</f>
        <v>268.84206011520001</v>
      </c>
      <c r="J15" s="72">
        <f>FCFF!K$4*J59</f>
        <v>271.79932277646719</v>
      </c>
      <c r="K15" s="72">
        <f>FCFF!L$4*K59</f>
        <v>274.78911532700829</v>
      </c>
      <c r="L15" s="39">
        <f>FCFF!M$4*L59</f>
        <v>277.53700648027842</v>
      </c>
      <c r="N15" s="36"/>
      <c r="O15" s="36"/>
      <c r="S15" s="72"/>
      <c r="T15" s="72"/>
      <c r="U15" s="72"/>
      <c r="V15" s="72"/>
      <c r="W15" s="72"/>
    </row>
    <row r="16" spans="2:24" x14ac:dyDescent="0.3">
      <c r="B16" s="105" t="s">
        <v>32</v>
      </c>
      <c r="C16" s="72">
        <v>235767</v>
      </c>
      <c r="D16" s="72">
        <v>219799</v>
      </c>
      <c r="E16" s="72">
        <v>225906</v>
      </c>
      <c r="F16" s="39">
        <v>225954</v>
      </c>
      <c r="G16" s="72">
        <v>220619</v>
      </c>
      <c r="H16" s="72">
        <f>FCFF!I$4*H60</f>
        <v>225806.07816</v>
      </c>
      <c r="I16" s="72">
        <f>FCFF!J$4*I60</f>
        <v>228515.75109792003</v>
      </c>
      <c r="J16" s="72">
        <f>FCFF!K$4*J60</f>
        <v>231029.42435999709</v>
      </c>
      <c r="K16" s="72">
        <f>FCFF!L$4*K60</f>
        <v>233570.74802795707</v>
      </c>
      <c r="L16" s="39">
        <f>FCFF!M$4*L60</f>
        <v>235906.45550823666</v>
      </c>
      <c r="N16" s="36"/>
      <c r="O16" s="36"/>
      <c r="S16" s="72"/>
      <c r="T16" s="72"/>
      <c r="U16" s="72"/>
      <c r="V16" s="72"/>
      <c r="W16" s="72"/>
    </row>
    <row r="17" spans="2:23" x14ac:dyDescent="0.3">
      <c r="B17" s="105" t="s">
        <v>33</v>
      </c>
      <c r="C17" s="72">
        <v>17202</v>
      </c>
      <c r="D17" s="72">
        <v>20481</v>
      </c>
      <c r="E17" s="72">
        <v>16370</v>
      </c>
      <c r="F17" s="39">
        <v>8821</v>
      </c>
      <c r="G17" s="72">
        <v>8059</v>
      </c>
      <c r="H17" s="72">
        <f>FCFF!I$4*H61</f>
        <v>11954.439431999999</v>
      </c>
      <c r="I17" s="72">
        <f>FCFF!J$4*I61</f>
        <v>12097.892705183998</v>
      </c>
      <c r="J17" s="72">
        <f>FCFF!K$4*J61</f>
        <v>12230.969524941022</v>
      </c>
      <c r="K17" s="72">
        <f>FCFF!L$4*K61</f>
        <v>12365.510189715373</v>
      </c>
      <c r="L17" s="39">
        <f>FCFF!M$4*L61</f>
        <v>12489.165291612528</v>
      </c>
      <c r="N17" s="36"/>
      <c r="O17" s="36"/>
      <c r="S17" s="72"/>
      <c r="T17" s="72"/>
      <c r="U17" s="72"/>
      <c r="V17" s="72"/>
      <c r="W17" s="72"/>
    </row>
    <row r="18" spans="2:23" x14ac:dyDescent="0.3">
      <c r="B18" s="105" t="s">
        <v>34</v>
      </c>
      <c r="C18" s="72">
        <v>205581</v>
      </c>
      <c r="D18" s="72">
        <v>182589</v>
      </c>
      <c r="E18" s="72">
        <v>161020</v>
      </c>
      <c r="F18" s="39">
        <v>165786</v>
      </c>
      <c r="G18" s="72">
        <v>180517</v>
      </c>
      <c r="H18" s="72">
        <f>FCFF!I$4*H62</f>
        <v>179316.59148</v>
      </c>
      <c r="I18" s="72">
        <f>FCFF!J$4*I62</f>
        <v>181468.39057776</v>
      </c>
      <c r="J18" s="72">
        <f>FCFF!K$4*J62</f>
        <v>183464.54287411534</v>
      </c>
      <c r="K18" s="72">
        <f>FCFF!L$4*K62</f>
        <v>185482.65284573063</v>
      </c>
      <c r="L18" s="39">
        <f>FCFF!M$4*L62</f>
        <v>187337.47937418794</v>
      </c>
      <c r="N18" s="36"/>
      <c r="O18" s="36"/>
      <c r="S18" s="72"/>
      <c r="T18" s="72"/>
      <c r="U18" s="72"/>
      <c r="V18" s="72"/>
      <c r="W18" s="72"/>
    </row>
    <row r="19" spans="2:23" x14ac:dyDescent="0.3">
      <c r="B19" s="105" t="s">
        <v>35</v>
      </c>
      <c r="C19" s="72">
        <v>45859</v>
      </c>
      <c r="D19" s="72">
        <v>44207</v>
      </c>
      <c r="E19" s="72">
        <v>49017</v>
      </c>
      <c r="F19" s="39">
        <v>55258</v>
      </c>
      <c r="G19" s="72">
        <v>57866</v>
      </c>
      <c r="H19" s="72">
        <f>FCFF!I$4*H63</f>
        <v>59772.197159999996</v>
      </c>
      <c r="I19" s="72">
        <f>FCFF!J$4*I63</f>
        <v>60489.46352592</v>
      </c>
      <c r="J19" s="72">
        <f>FCFF!K$4*J63</f>
        <v>61154.847624705108</v>
      </c>
      <c r="K19" s="72">
        <f>FCFF!L$4*K63</f>
        <v>61827.550948576863</v>
      </c>
      <c r="L19" s="39">
        <f>FCFF!M$4*L63</f>
        <v>62445.826458062635</v>
      </c>
      <c r="S19" s="72"/>
      <c r="T19" s="72"/>
      <c r="U19" s="72"/>
      <c r="V19" s="72"/>
      <c r="W19" s="72"/>
    </row>
    <row r="20" spans="2:23" x14ac:dyDescent="0.3">
      <c r="B20" s="105" t="s">
        <v>36</v>
      </c>
      <c r="C20" s="72">
        <v>2756</v>
      </c>
      <c r="D20" s="72">
        <v>3034</v>
      </c>
      <c r="E20" s="72">
        <v>2917</v>
      </c>
      <c r="F20" s="39">
        <v>3273</v>
      </c>
      <c r="G20" s="72">
        <v>2736</v>
      </c>
      <c r="H20" s="72">
        <f>FCFF!I$4*H64</f>
        <v>2656.5420960000001</v>
      </c>
      <c r="I20" s="72">
        <f>FCFF!J$4*I64</f>
        <v>2688.420601152</v>
      </c>
      <c r="J20" s="72">
        <f>FCFF!K$4*J64</f>
        <v>2717.9932277646717</v>
      </c>
      <c r="K20" s="72">
        <f>FCFF!L$4*K64</f>
        <v>2747.8911532700831</v>
      </c>
      <c r="L20" s="39">
        <f>FCFF!M$4*L64</f>
        <v>2775.3700648027839</v>
      </c>
      <c r="S20" s="72"/>
      <c r="T20" s="72"/>
      <c r="U20" s="72"/>
      <c r="V20" s="72"/>
      <c r="W20" s="72"/>
    </row>
    <row r="21" spans="2:23" ht="15" thickBot="1" x14ac:dyDescent="0.35">
      <c r="B21" s="106" t="s">
        <v>37</v>
      </c>
      <c r="C21" s="47">
        <v>38589</v>
      </c>
      <c r="D21" s="47">
        <v>36062</v>
      </c>
      <c r="E21" s="47">
        <v>31610</v>
      </c>
      <c r="F21" s="47">
        <v>35242</v>
      </c>
      <c r="G21" s="47">
        <v>25037</v>
      </c>
      <c r="H21" s="47">
        <f>FCFF!I$4*H65</f>
        <v>26565.420959999999</v>
      </c>
      <c r="I21" s="47">
        <f>FCFF!J$4*I65</f>
        <v>26884.20601152</v>
      </c>
      <c r="J21" s="47">
        <f>FCFF!K$4*J65</f>
        <v>27179.932277646716</v>
      </c>
      <c r="K21" s="47">
        <f>FCFF!L$4*K65</f>
        <v>27478.911532700829</v>
      </c>
      <c r="L21" s="47">
        <f>FCFF!M$4*L65</f>
        <v>27753.70064802784</v>
      </c>
      <c r="N21" s="72"/>
      <c r="O21" s="72"/>
      <c r="S21" s="72"/>
      <c r="T21" s="72"/>
      <c r="U21" s="72"/>
      <c r="V21" s="72"/>
      <c r="W21" s="72"/>
    </row>
    <row r="22" spans="2:23" ht="15" thickBot="1" x14ac:dyDescent="0.35">
      <c r="B22" s="44" t="s">
        <v>38</v>
      </c>
      <c r="C22" s="84">
        <v>1148065</v>
      </c>
      <c r="D22" s="84">
        <v>1102398</v>
      </c>
      <c r="E22" s="84">
        <v>1101274</v>
      </c>
      <c r="F22" s="84">
        <v>1123914</v>
      </c>
      <c r="G22" s="84">
        <v>1143116</v>
      </c>
      <c r="H22" s="84">
        <f>H23+H34+H40</f>
        <v>1121060.7645120001</v>
      </c>
      <c r="I22" s="84">
        <f>I23+I34+I40</f>
        <v>1134513.4936861438</v>
      </c>
      <c r="J22" s="84">
        <f>J23+J34+J40</f>
        <v>1146993.1421166915</v>
      </c>
      <c r="K22" s="84">
        <f>K23+K34+K40</f>
        <v>1159610.066679975</v>
      </c>
      <c r="L22" s="84">
        <f>L23+L34+L40</f>
        <v>1171206.1673467748</v>
      </c>
      <c r="N22" s="73"/>
      <c r="O22" s="73"/>
      <c r="P22" s="73"/>
      <c r="Q22" s="73"/>
      <c r="R22" s="73"/>
      <c r="S22" s="72"/>
      <c r="T22" s="72"/>
      <c r="U22" s="72"/>
      <c r="V22" s="72"/>
      <c r="W22" s="72"/>
    </row>
    <row r="23" spans="2:23" x14ac:dyDescent="0.3">
      <c r="B23" s="109" t="s">
        <v>39</v>
      </c>
      <c r="C23" s="100">
        <v>380670</v>
      </c>
      <c r="D23" s="100">
        <v>380267</v>
      </c>
      <c r="E23" s="100">
        <v>368062</v>
      </c>
      <c r="F23" s="100">
        <v>366541</v>
      </c>
      <c r="G23" s="100">
        <v>368344</v>
      </c>
      <c r="H23" s="100">
        <f>H32+H33</f>
        <v>337912.15461120009</v>
      </c>
      <c r="I23" s="100">
        <f>I32+I33</f>
        <v>341967.10046653438</v>
      </c>
      <c r="J23" s="100">
        <f>J32+J33</f>
        <v>345728.73857166624</v>
      </c>
      <c r="K23" s="100">
        <f>K32+K33</f>
        <v>349531.7546959545</v>
      </c>
      <c r="L23" s="100">
        <f>L32+L33</f>
        <v>353027.07224291412</v>
      </c>
      <c r="N23" s="73"/>
      <c r="O23" s="73"/>
      <c r="P23" s="73"/>
      <c r="Q23" s="73"/>
      <c r="R23" s="73"/>
      <c r="S23" s="72"/>
      <c r="T23" s="72"/>
      <c r="U23" s="72"/>
      <c r="V23" s="72"/>
      <c r="W23" s="72"/>
    </row>
    <row r="24" spans="2:23" x14ac:dyDescent="0.3">
      <c r="B24" s="105" t="s">
        <v>40</v>
      </c>
      <c r="C24" s="72">
        <v>92240</v>
      </c>
      <c r="D24" s="72">
        <v>101922</v>
      </c>
      <c r="E24" s="72">
        <v>101922</v>
      </c>
      <c r="F24" s="39">
        <v>101922</v>
      </c>
      <c r="G24" s="72">
        <v>101922</v>
      </c>
      <c r="H24" s="72">
        <f>FCFF!I$4*H68</f>
        <v>106261.68384</v>
      </c>
      <c r="I24" s="72">
        <f>FCFF!J$4*I68</f>
        <v>107536.82404608</v>
      </c>
      <c r="J24" s="72">
        <f>FCFF!K$4*J68</f>
        <v>108719.72911058686</v>
      </c>
      <c r="K24" s="72">
        <f>FCFF!L$4*K68</f>
        <v>109915.64613080332</v>
      </c>
      <c r="L24" s="39">
        <f>FCFF!M$4*L68</f>
        <v>111014.80259211136</v>
      </c>
      <c r="N24" s="72"/>
      <c r="O24" s="72"/>
      <c r="P24" s="72"/>
      <c r="Q24" s="72"/>
      <c r="R24" s="72"/>
      <c r="S24" s="72"/>
      <c r="T24" s="72"/>
      <c r="U24" s="72"/>
      <c r="V24" s="72"/>
      <c r="W24" s="72"/>
    </row>
    <row r="25" spans="2:23" x14ac:dyDescent="0.3">
      <c r="B25" s="105" t="s">
        <v>41</v>
      </c>
      <c r="C25" s="72">
        <v>175568</v>
      </c>
      <c r="D25" s="72">
        <v>175698</v>
      </c>
      <c r="E25" s="72">
        <v>174502</v>
      </c>
      <c r="F25" s="39">
        <v>174502</v>
      </c>
      <c r="G25" s="72">
        <v>174502</v>
      </c>
      <c r="H25" s="72">
        <f>FCFF!I$4*H69</f>
        <v>179316.59148</v>
      </c>
      <c r="I25" s="72">
        <f>FCFF!J$4*I69</f>
        <v>181468.39057776</v>
      </c>
      <c r="J25" s="72">
        <f>FCFF!K$4*J69</f>
        <v>183464.54287411534</v>
      </c>
      <c r="K25" s="72">
        <f>FCFF!L$4*K69</f>
        <v>185482.65284573063</v>
      </c>
      <c r="L25" s="39">
        <f>FCFF!M$4*L69</f>
        <v>187337.47937418794</v>
      </c>
      <c r="N25" s="24"/>
      <c r="O25" s="24"/>
      <c r="P25" s="24"/>
      <c r="Q25" s="24"/>
      <c r="R25" s="24"/>
      <c r="S25" s="24"/>
      <c r="T25" s="24"/>
      <c r="U25" s="72"/>
      <c r="V25" s="72"/>
      <c r="W25" s="72"/>
    </row>
    <row r="26" spans="2:23" x14ac:dyDescent="0.3">
      <c r="B26" s="105" t="s">
        <v>42</v>
      </c>
      <c r="C26" s="72">
        <v>95818</v>
      </c>
      <c r="D26" s="72">
        <v>99301</v>
      </c>
      <c r="E26" s="72">
        <v>99301</v>
      </c>
      <c r="F26" s="39">
        <v>46015</v>
      </c>
      <c r="G26" s="72">
        <v>33131</v>
      </c>
      <c r="H26" s="72">
        <f>FCFF!I$4*H70</f>
        <v>39848.131439999997</v>
      </c>
      <c r="I26" s="72">
        <f>FCFF!J$4*I70</f>
        <v>40326.30901728</v>
      </c>
      <c r="J26" s="72">
        <f>FCFF!K$4*J70</f>
        <v>40769.898416470074</v>
      </c>
      <c r="K26" s="72">
        <f>FCFF!L$4*K70</f>
        <v>41218.367299051242</v>
      </c>
      <c r="L26" s="39">
        <f>FCFF!M$4*L70</f>
        <v>41630.550972041761</v>
      </c>
      <c r="N26" s="24"/>
      <c r="O26" s="24"/>
      <c r="P26" s="24"/>
      <c r="Q26" s="24"/>
      <c r="R26" s="24"/>
      <c r="S26" s="24"/>
      <c r="T26" s="24"/>
      <c r="U26" s="72"/>
      <c r="V26" s="72"/>
      <c r="W26" s="72"/>
    </row>
    <row r="27" spans="2:23" x14ac:dyDescent="0.3">
      <c r="B27" s="105" t="s">
        <v>43</v>
      </c>
      <c r="C27" s="72">
        <v>-3170</v>
      </c>
      <c r="D27" s="72">
        <v>-3170</v>
      </c>
      <c r="E27" s="72">
        <v>-3170</v>
      </c>
      <c r="F27" s="39">
        <v>-3170</v>
      </c>
      <c r="G27" s="72">
        <v>-3170</v>
      </c>
      <c r="H27" s="72">
        <f>FCFF!I$4*H71</f>
        <v>-3320.6776199999999</v>
      </c>
      <c r="I27" s="72">
        <f>FCFF!J$4*I71</f>
        <v>-3360.52575144</v>
      </c>
      <c r="J27" s="72">
        <f>FCFF!K$4*J71</f>
        <v>-3397.4915347058395</v>
      </c>
      <c r="K27" s="72">
        <f>FCFF!L$4*K71</f>
        <v>-3434.8639415876037</v>
      </c>
      <c r="L27" s="39">
        <f>FCFF!M$4*L71</f>
        <v>-3469.21258100348</v>
      </c>
      <c r="M27">
        <f>C23/(C23+C39+C41)</f>
        <v>0.48924086504910147</v>
      </c>
      <c r="N27">
        <f t="shared" ref="N27:P27" si="0">D23/(D23+D39+D41)</f>
        <v>0.50846467247781379</v>
      </c>
      <c r="O27">
        <f t="shared" si="0"/>
        <v>0.50413512928613891</v>
      </c>
      <c r="P27">
        <f t="shared" si="0"/>
        <v>0.49307153916621715</v>
      </c>
      <c r="Q27" s="30"/>
      <c r="R27" s="30"/>
      <c r="S27" s="30"/>
      <c r="T27" s="30"/>
      <c r="U27" s="72"/>
      <c r="V27" s="72"/>
      <c r="W27" s="72"/>
    </row>
    <row r="28" spans="2:23" x14ac:dyDescent="0.3">
      <c r="B28" s="105" t="s">
        <v>44</v>
      </c>
      <c r="C28" s="72">
        <v>-26711</v>
      </c>
      <c r="D28" s="72">
        <v>-2464</v>
      </c>
      <c r="E28" s="72">
        <v>-4202</v>
      </c>
      <c r="F28" s="39">
        <v>7560</v>
      </c>
      <c r="G28" s="72">
        <v>922</v>
      </c>
      <c r="H28" s="72">
        <f>FCFF!I$4*H72</f>
        <v>664.13552400000003</v>
      </c>
      <c r="I28" s="72">
        <f>FCFF!J$4*I72</f>
        <v>672.105150288</v>
      </c>
      <c r="J28" s="72">
        <f>FCFF!K$4*J72</f>
        <v>679.49830694116793</v>
      </c>
      <c r="K28" s="72">
        <f>FCFF!L$4*K72</f>
        <v>686.97278831752078</v>
      </c>
      <c r="L28" s="39">
        <f>FCFF!M$4*L72</f>
        <v>693.84251620069597</v>
      </c>
      <c r="M28">
        <f>(C39+C41)/(C23+C39+C41)</f>
        <v>0.51075913495089853</v>
      </c>
      <c r="N28">
        <f t="shared" ref="N28:P28" si="1">(D39+D41)/(D23+D39+D41)</f>
        <v>0.49153532752218626</v>
      </c>
      <c r="O28">
        <f t="shared" si="1"/>
        <v>0.49586487071386109</v>
      </c>
      <c r="P28">
        <f t="shared" si="1"/>
        <v>0.50692846083378285</v>
      </c>
      <c r="S28" s="72"/>
      <c r="T28" s="72"/>
      <c r="U28" s="72"/>
      <c r="V28" s="72"/>
      <c r="W28" s="72"/>
    </row>
    <row r="29" spans="2:23" x14ac:dyDescent="0.3">
      <c r="B29" s="105" t="s">
        <v>45</v>
      </c>
      <c r="C29" s="72">
        <v>39540</v>
      </c>
      <c r="D29" s="72">
        <v>12829</v>
      </c>
      <c r="E29" s="72">
        <v>6145</v>
      </c>
      <c r="F29" s="39">
        <v>55592</v>
      </c>
      <c r="G29" s="72">
        <v>73597</v>
      </c>
      <c r="H29" s="72">
        <f>FCFF!I$4*H73</f>
        <v>26565.420959999999</v>
      </c>
      <c r="I29" s="72">
        <f>FCFF!J$4*I73</f>
        <v>26884.20601152</v>
      </c>
      <c r="J29" s="72">
        <f>FCFF!K$4*J73</f>
        <v>27179.932277646716</v>
      </c>
      <c r="K29" s="72">
        <f>FCFF!L$4*K73</f>
        <v>27478.911532700829</v>
      </c>
      <c r="L29" s="39">
        <f>FCFF!M$4*L73</f>
        <v>27753.70064802784</v>
      </c>
      <c r="M29" s="72">
        <f>C39+C41</f>
        <v>397413</v>
      </c>
      <c r="N29" s="72">
        <f t="shared" ref="N29:Q29" si="2">D39+D41</f>
        <v>367606</v>
      </c>
      <c r="O29" s="72">
        <f t="shared" si="2"/>
        <v>362024</v>
      </c>
      <c r="P29" s="72">
        <f t="shared" si="2"/>
        <v>376842</v>
      </c>
      <c r="Q29" s="72">
        <f t="shared" si="2"/>
        <v>383751</v>
      </c>
      <c r="S29" s="72"/>
      <c r="T29" s="72"/>
      <c r="U29" s="72"/>
      <c r="V29" s="72"/>
      <c r="W29" s="72"/>
    </row>
    <row r="30" spans="2:23" x14ac:dyDescent="0.3">
      <c r="B30" s="105" t="s">
        <v>46</v>
      </c>
      <c r="C30" s="72">
        <v>-4435</v>
      </c>
      <c r="D30" s="72">
        <v>-17600</v>
      </c>
      <c r="E30" s="72">
        <v>-19049</v>
      </c>
      <c r="F30" s="39">
        <v>-17311</v>
      </c>
      <c r="G30" s="72">
        <v>-13723</v>
      </c>
      <c r="H30" s="72">
        <f>FCFF!I$4*H74</f>
        <v>-13282.71048</v>
      </c>
      <c r="I30" s="72">
        <f>FCFF!J$4*I74</f>
        <v>-13442.10300576</v>
      </c>
      <c r="J30" s="72">
        <f>FCFF!K$4*J74</f>
        <v>-13589.966138823358</v>
      </c>
      <c r="K30" s="72">
        <f>FCFF!L$4*K74</f>
        <v>-13739.455766350415</v>
      </c>
      <c r="L30" s="39">
        <f>FCFF!M$4*L74</f>
        <v>-13876.85032401392</v>
      </c>
      <c r="S30" s="72"/>
      <c r="T30" s="72"/>
      <c r="U30" s="72"/>
      <c r="V30" s="72"/>
      <c r="W30" s="72"/>
    </row>
    <row r="31" spans="2:23" x14ac:dyDescent="0.3">
      <c r="B31" s="110" t="s">
        <v>47</v>
      </c>
      <c r="C31" s="86">
        <v>9007</v>
      </c>
      <c r="D31" s="86">
        <v>10912</v>
      </c>
      <c r="E31" s="86">
        <v>9485</v>
      </c>
      <c r="F31" s="86">
        <v>-733</v>
      </c>
      <c r="G31" s="86">
        <v>-454</v>
      </c>
      <c r="H31" s="86">
        <f>FCFF!I$4*H75</f>
        <v>-132.8271048</v>
      </c>
      <c r="I31" s="86">
        <f>FCFF!J$4*I75</f>
        <v>-134.42103005760001</v>
      </c>
      <c r="J31" s="86">
        <f>FCFF!K$4*J75</f>
        <v>-135.8996613882336</v>
      </c>
      <c r="K31" s="86">
        <f>FCFF!L$4*K75</f>
        <v>-137.39455766350414</v>
      </c>
      <c r="L31" s="86">
        <f>FCFF!M$4*L75</f>
        <v>-138.76850324013921</v>
      </c>
      <c r="S31" s="72"/>
      <c r="T31" s="72"/>
      <c r="U31" s="72"/>
      <c r="V31" s="72"/>
      <c r="W31" s="72"/>
    </row>
    <row r="32" spans="2:23" x14ac:dyDescent="0.3">
      <c r="B32" s="111" t="s">
        <v>48</v>
      </c>
      <c r="C32" s="86">
        <v>377857</v>
      </c>
      <c r="D32" s="86">
        <v>377428</v>
      </c>
      <c r="E32" s="86">
        <v>364934</v>
      </c>
      <c r="F32" s="86">
        <v>364377</v>
      </c>
      <c r="G32" s="86">
        <v>366727</v>
      </c>
      <c r="H32" s="86">
        <f>SUM(H24:H31)</f>
        <v>335919.74803920009</v>
      </c>
      <c r="I32" s="86">
        <f>SUM(I24:I31)</f>
        <v>339950.78501567035</v>
      </c>
      <c r="J32" s="86">
        <f>SUM(J24:J31)</f>
        <v>343690.24365084275</v>
      </c>
      <c r="K32" s="86">
        <f>SUM(K24:K31)</f>
        <v>347470.83633100195</v>
      </c>
      <c r="L32" s="86">
        <f>SUM(L24:L31)</f>
        <v>350945.54469431203</v>
      </c>
      <c r="M32" s="72"/>
      <c r="N32" s="73"/>
      <c r="O32" s="73"/>
      <c r="P32" s="73"/>
      <c r="Q32" s="73"/>
      <c r="R32" s="73"/>
      <c r="S32" s="72"/>
      <c r="T32" s="72"/>
      <c r="U32" s="72"/>
      <c r="V32" s="72"/>
      <c r="W32" s="72"/>
    </row>
    <row r="33" spans="1:23" x14ac:dyDescent="0.3">
      <c r="B33" s="108" t="s">
        <v>49</v>
      </c>
      <c r="C33" s="107">
        <v>2813</v>
      </c>
      <c r="D33" s="107">
        <v>2839</v>
      </c>
      <c r="E33" s="107">
        <v>3128</v>
      </c>
      <c r="F33" s="107">
        <v>2164</v>
      </c>
      <c r="G33" s="107">
        <v>1617</v>
      </c>
      <c r="H33" s="107">
        <f>FCFF!I$4*H77</f>
        <v>1992.4065719999999</v>
      </c>
      <c r="I33" s="107">
        <f>FCFF!J$4*I77</f>
        <v>2016.315450864</v>
      </c>
      <c r="J33" s="107">
        <f>FCFF!K$4*J77</f>
        <v>2038.4949208235039</v>
      </c>
      <c r="K33" s="107">
        <f>FCFF!L$4*K77</f>
        <v>2060.9183649525621</v>
      </c>
      <c r="L33" s="107">
        <f>FCFF!M$4*L77</f>
        <v>2081.5275486020882</v>
      </c>
      <c r="S33" s="72"/>
      <c r="T33" s="72"/>
      <c r="U33" s="72"/>
      <c r="V33" s="72"/>
      <c r="W33" s="72"/>
    </row>
    <row r="34" spans="1:23" x14ac:dyDescent="0.3">
      <c r="B34" s="109" t="s">
        <v>50</v>
      </c>
      <c r="C34" s="100">
        <v>278973</v>
      </c>
      <c r="D34" s="100">
        <v>348390</v>
      </c>
      <c r="E34" s="100">
        <v>345298</v>
      </c>
      <c r="F34" s="100">
        <v>350469</v>
      </c>
      <c r="G34" s="100">
        <v>365278</v>
      </c>
      <c r="H34" s="100">
        <f>SUM(H35:H39)</f>
        <v>366735.63635280001</v>
      </c>
      <c r="I34" s="100">
        <f>SUM(I35:I39)</f>
        <v>371136.4639890336</v>
      </c>
      <c r="J34" s="100">
        <f>SUM(J35:J39)</f>
        <v>375218.9650929129</v>
      </c>
      <c r="K34" s="100">
        <f>SUM(K35:K39)</f>
        <v>379346.37370893493</v>
      </c>
      <c r="L34" s="100">
        <f>SUM(L35:L39)</f>
        <v>383139.83744602435</v>
      </c>
      <c r="N34" s="73"/>
      <c r="O34" s="73"/>
      <c r="P34" s="73"/>
      <c r="Q34" s="73"/>
      <c r="R34" s="73"/>
      <c r="S34" s="72"/>
      <c r="T34" s="72"/>
      <c r="U34" s="72"/>
      <c r="V34" s="72"/>
      <c r="W34" s="72"/>
    </row>
    <row r="35" spans="1:23" x14ac:dyDescent="0.3">
      <c r="B35" s="105" t="s">
        <v>51</v>
      </c>
      <c r="C35" s="72">
        <v>66671</v>
      </c>
      <c r="D35" s="72">
        <v>64125</v>
      </c>
      <c r="E35" s="72">
        <v>62269</v>
      </c>
      <c r="F35" s="39">
        <v>64143</v>
      </c>
      <c r="G35" s="72">
        <v>59886</v>
      </c>
      <c r="H35" s="72">
        <f>FCFF!I$4*H79</f>
        <v>62428.739256000001</v>
      </c>
      <c r="I35" s="72">
        <f>FCFF!J$4*I79</f>
        <v>63177.884127072</v>
      </c>
      <c r="J35" s="72">
        <f>FCFF!K$4*J79</f>
        <v>63872.840852469788</v>
      </c>
      <c r="K35" s="72">
        <f>FCFF!L$4*K79</f>
        <v>64575.442101846951</v>
      </c>
      <c r="L35" s="39">
        <f>FCFF!M$4*L79</f>
        <v>65221.196522865423</v>
      </c>
      <c r="S35" s="72"/>
      <c r="T35" s="72"/>
      <c r="U35" s="72"/>
      <c r="V35" s="72"/>
      <c r="W35" s="72"/>
    </row>
    <row r="36" spans="1:23" x14ac:dyDescent="0.3">
      <c r="B36" s="105" t="s">
        <v>52</v>
      </c>
      <c r="C36" s="72">
        <v>5081</v>
      </c>
      <c r="D36" s="72">
        <v>5270</v>
      </c>
      <c r="E36" s="72">
        <v>5350</v>
      </c>
      <c r="F36" s="39">
        <v>5037</v>
      </c>
      <c r="G36" s="72">
        <v>7563</v>
      </c>
      <c r="H36" s="72">
        <f>FCFF!I$4*H80</f>
        <v>5977.2197159999996</v>
      </c>
      <c r="I36" s="72">
        <f>FCFF!J$4*I80</f>
        <v>6048.9463525919991</v>
      </c>
      <c r="J36" s="72">
        <f>FCFF!K$4*J80</f>
        <v>6115.4847624705108</v>
      </c>
      <c r="K36" s="72">
        <f>FCFF!L$4*K80</f>
        <v>6182.7550948576863</v>
      </c>
      <c r="L36" s="39">
        <f>FCFF!M$4*L80</f>
        <v>6244.5826458062638</v>
      </c>
      <c r="S36" s="72"/>
      <c r="T36" s="72"/>
      <c r="U36" s="72"/>
      <c r="V36" s="72"/>
      <c r="W36" s="72"/>
    </row>
    <row r="37" spans="1:23" x14ac:dyDescent="0.3">
      <c r="B37" s="105" t="s">
        <v>53</v>
      </c>
      <c r="C37" s="72">
        <v>5773</v>
      </c>
      <c r="D37" s="72">
        <v>5937</v>
      </c>
      <c r="E37" s="72">
        <v>4178</v>
      </c>
      <c r="F37" s="39">
        <v>3672</v>
      </c>
      <c r="G37" s="72">
        <v>2807</v>
      </c>
      <c r="H37" s="72">
        <f>FCFF!I$4*H81</f>
        <v>3984.8131439999997</v>
      </c>
      <c r="I37" s="72">
        <f>FCFF!J$4*I81</f>
        <v>4032.630901728</v>
      </c>
      <c r="J37" s="72">
        <f>FCFF!K$4*J81</f>
        <v>4076.9898416470078</v>
      </c>
      <c r="K37" s="72">
        <f>FCFF!L$4*K81</f>
        <v>4121.8367299051242</v>
      </c>
      <c r="L37" s="39">
        <f>FCFF!M$4*L81</f>
        <v>4163.0550972041765</v>
      </c>
      <c r="M37" s="72"/>
      <c r="S37" s="72"/>
      <c r="T37" s="72"/>
      <c r="U37" s="72"/>
      <c r="V37" s="72"/>
      <c r="W37" s="72"/>
    </row>
    <row r="38" spans="1:23" x14ac:dyDescent="0.3">
      <c r="B38" s="105" t="s">
        <v>54</v>
      </c>
      <c r="C38" s="72">
        <v>2694</v>
      </c>
      <c r="D38" s="72">
        <v>2988</v>
      </c>
      <c r="E38" s="72">
        <v>2515</v>
      </c>
      <c r="F38" s="39">
        <v>2001</v>
      </c>
      <c r="G38" s="72">
        <v>2002</v>
      </c>
      <c r="H38" s="72">
        <f>FCFF!I$4*H82</f>
        <v>2125.2336768</v>
      </c>
      <c r="I38" s="72">
        <f>FCFF!J$4*I82</f>
        <v>2150.7364809216001</v>
      </c>
      <c r="J38" s="72">
        <f>FCFF!K$4*J82</f>
        <v>2174.3945822117375</v>
      </c>
      <c r="K38" s="72">
        <f>FCFF!L$4*K82</f>
        <v>2198.3129226160663</v>
      </c>
      <c r="L38" s="39">
        <f>FCFF!M$4*L82</f>
        <v>2220.2960518422274</v>
      </c>
      <c r="S38" s="72"/>
      <c r="T38" s="72"/>
      <c r="U38" s="72"/>
      <c r="V38" s="72"/>
      <c r="W38" s="72"/>
    </row>
    <row r="39" spans="1:23" x14ac:dyDescent="0.3">
      <c r="B39" s="105" t="s">
        <v>55</v>
      </c>
      <c r="C39" s="72">
        <v>198754</v>
      </c>
      <c r="D39" s="72">
        <v>270070</v>
      </c>
      <c r="E39" s="72">
        <v>270986</v>
      </c>
      <c r="F39" s="39">
        <v>275616</v>
      </c>
      <c r="G39" s="72">
        <v>293020</v>
      </c>
      <c r="H39" s="72">
        <f>FCFF!I$4*H83</f>
        <v>292219.63056000002</v>
      </c>
      <c r="I39" s="72">
        <f>FCFF!J$4*I83</f>
        <v>295726.26612672</v>
      </c>
      <c r="J39" s="72">
        <f>FCFF!K$4*J83</f>
        <v>298979.25505411386</v>
      </c>
      <c r="K39" s="72">
        <f>FCFF!L$4*K83</f>
        <v>302268.02685970912</v>
      </c>
      <c r="L39" s="39">
        <f>FCFF!M$4*L83</f>
        <v>305290.70712830627</v>
      </c>
      <c r="M39">
        <v>2018</v>
      </c>
      <c r="S39" s="72"/>
      <c r="T39" s="72"/>
      <c r="U39" s="72"/>
      <c r="V39" s="72"/>
      <c r="W39" s="72"/>
    </row>
    <row r="40" spans="1:23" x14ac:dyDescent="0.3">
      <c r="B40" s="109" t="s">
        <v>56</v>
      </c>
      <c r="C40" s="100">
        <v>488422</v>
      </c>
      <c r="D40" s="100">
        <v>373741</v>
      </c>
      <c r="E40" s="100">
        <v>387914</v>
      </c>
      <c r="F40" s="100">
        <v>406904</v>
      </c>
      <c r="G40" s="100">
        <v>409494</v>
      </c>
      <c r="H40" s="100">
        <f>SUM(H41:H44)</f>
        <v>416412.97354799998</v>
      </c>
      <c r="I40" s="100">
        <f>SUM(I41:I44)</f>
        <v>421409.92923057592</v>
      </c>
      <c r="J40" s="100">
        <f>SUM(J41:J44)</f>
        <v>426045.43845211226</v>
      </c>
      <c r="K40" s="100">
        <f>SUM(K41:K44)</f>
        <v>430731.93827508553</v>
      </c>
      <c r="L40" s="100">
        <f>SUM(L41:L44)</f>
        <v>435039.25765783637</v>
      </c>
      <c r="M40" t="s">
        <v>189</v>
      </c>
      <c r="N40" s="73"/>
      <c r="O40" s="73"/>
      <c r="P40" s="73"/>
      <c r="Q40" s="73"/>
      <c r="R40" s="73"/>
      <c r="S40" s="72"/>
      <c r="T40" s="72"/>
      <c r="U40" s="72"/>
      <c r="V40" s="72"/>
      <c r="W40" s="72"/>
    </row>
    <row r="41" spans="1:23" x14ac:dyDescent="0.3">
      <c r="B41" s="105" t="s">
        <v>57</v>
      </c>
      <c r="C41" s="72">
        <v>198659</v>
      </c>
      <c r="D41" s="72">
        <v>97536</v>
      </c>
      <c r="E41" s="72">
        <v>91038</v>
      </c>
      <c r="F41" s="39">
        <v>101226</v>
      </c>
      <c r="G41" s="72">
        <v>90731</v>
      </c>
      <c r="H41" s="72">
        <f>FCFF!I$4*H85</f>
        <v>99620.328599999993</v>
      </c>
      <c r="I41" s="72">
        <f>FCFF!J$4*I85</f>
        <v>100815.7725432</v>
      </c>
      <c r="J41" s="72">
        <f>FCFF!K$4*J85</f>
        <v>101924.74604117518</v>
      </c>
      <c r="K41" s="72">
        <f>FCFF!L$4*K85</f>
        <v>103045.91824762811</v>
      </c>
      <c r="L41" s="39">
        <f>FCFF!M$4*L85</f>
        <v>104076.3774301044</v>
      </c>
      <c r="S41" s="72"/>
      <c r="T41" s="72"/>
      <c r="U41" s="72"/>
      <c r="V41" s="72"/>
      <c r="W41" s="72"/>
    </row>
    <row r="42" spans="1:23" x14ac:dyDescent="0.3">
      <c r="B42" s="105" t="s">
        <v>58</v>
      </c>
      <c r="C42" s="72">
        <v>213820</v>
      </c>
      <c r="D42" s="72">
        <v>202615</v>
      </c>
      <c r="E42" s="72">
        <v>221027</v>
      </c>
      <c r="F42" s="39">
        <v>223725</v>
      </c>
      <c r="G42" s="72">
        <v>229402</v>
      </c>
      <c r="H42" s="72">
        <f>FCFF!I$4*H86</f>
        <v>231119.16235199998</v>
      </c>
      <c r="I42" s="72">
        <f>FCFF!J$4*I86</f>
        <v>233892.59230022397</v>
      </c>
      <c r="J42" s="72">
        <f>FCFF!K$4*J86</f>
        <v>236465.41081552641</v>
      </c>
      <c r="K42" s="72">
        <f>FCFF!L$4*K86</f>
        <v>239066.53033449722</v>
      </c>
      <c r="L42" s="39">
        <f>FCFF!M$4*L86</f>
        <v>241457.1956378422</v>
      </c>
      <c r="S42" s="72"/>
      <c r="T42" s="72"/>
      <c r="U42" s="72"/>
      <c r="V42" s="72"/>
      <c r="W42" s="72"/>
    </row>
    <row r="43" spans="1:23" x14ac:dyDescent="0.3">
      <c r="B43" s="105" t="s">
        <v>59</v>
      </c>
      <c r="C43" s="72">
        <v>71001</v>
      </c>
      <c r="D43" s="72">
        <v>71901</v>
      </c>
      <c r="E43" s="72">
        <v>73807</v>
      </c>
      <c r="F43" s="39">
        <v>79563</v>
      </c>
      <c r="G43" s="72">
        <v>87752</v>
      </c>
      <c r="H43" s="72">
        <f>FCFF!I$4*H87</f>
        <v>83681.076023999995</v>
      </c>
      <c r="I43" s="72">
        <f>FCFF!J$4*I87</f>
        <v>84685.248936288001</v>
      </c>
      <c r="J43" s="72">
        <f>FCFF!K$4*J87</f>
        <v>85616.786674587158</v>
      </c>
      <c r="K43" s="72">
        <f>FCFF!L$4*K87</f>
        <v>86558.571328007616</v>
      </c>
      <c r="L43" s="39">
        <f>FCFF!M$4*L87</f>
        <v>87424.15704128769</v>
      </c>
      <c r="S43" s="72"/>
      <c r="T43" s="72"/>
      <c r="U43" s="72"/>
      <c r="V43" s="72"/>
      <c r="W43" s="72"/>
    </row>
    <row r="44" spans="1:23" x14ac:dyDescent="0.3">
      <c r="B44" s="105" t="s">
        <v>60</v>
      </c>
      <c r="C44" s="72">
        <v>1243</v>
      </c>
      <c r="D44" s="72">
        <v>1689</v>
      </c>
      <c r="E44" s="72">
        <v>2042</v>
      </c>
      <c r="F44" s="39">
        <v>2390</v>
      </c>
      <c r="G44" s="72">
        <v>1609</v>
      </c>
      <c r="H44" s="72">
        <f>FCFF!I$4*H88</f>
        <v>1992.4065719999999</v>
      </c>
      <c r="I44" s="72">
        <f>FCFF!J$4*I88</f>
        <v>2016.315450864</v>
      </c>
      <c r="J44" s="72">
        <f>FCFF!K$4*J88</f>
        <v>2038.4949208235039</v>
      </c>
      <c r="K44" s="72">
        <f>FCFF!L$4*K88</f>
        <v>2060.9183649525621</v>
      </c>
      <c r="L44" s="39">
        <f>FCFF!M$4*L88</f>
        <v>2081.5275486020882</v>
      </c>
      <c r="S44" s="72"/>
      <c r="T44" s="72"/>
      <c r="U44" s="72"/>
      <c r="V44" s="72"/>
      <c r="W44" s="72"/>
    </row>
    <row r="45" spans="1:23" x14ac:dyDescent="0.3">
      <c r="B45" s="25" t="s">
        <v>190</v>
      </c>
      <c r="C45" s="26">
        <f>C41+C39-C21-C17</f>
        <v>341622</v>
      </c>
      <c r="D45" s="26">
        <f t="shared" ref="D45:F45" si="3">D41+D39-D21-D17</f>
        <v>311063</v>
      </c>
      <c r="E45" s="26">
        <f t="shared" si="3"/>
        <v>314044</v>
      </c>
      <c r="F45" s="26">
        <f t="shared" si="3"/>
        <v>332779</v>
      </c>
      <c r="G45" s="26">
        <f>G41+G39-G21-G17</f>
        <v>350655</v>
      </c>
      <c r="H45" s="73">
        <f>FCFF!I$4*H89</f>
        <v>358633.18296000001</v>
      </c>
      <c r="I45" s="73">
        <f>FCFF!J$4*I89</f>
        <v>362936.78115552</v>
      </c>
      <c r="J45" s="73">
        <f>FCFF!K$4*J89</f>
        <v>366929.08574823069</v>
      </c>
      <c r="K45" s="73">
        <f>FCFF!L$4*K89</f>
        <v>370965.30569146125</v>
      </c>
      <c r="L45" s="73">
        <f>FCFF!M$4*L89</f>
        <v>374674.95874837588</v>
      </c>
      <c r="S45" s="72"/>
      <c r="T45" s="72"/>
      <c r="U45" s="72"/>
      <c r="V45" s="72"/>
      <c r="W45" s="72"/>
    </row>
    <row r="46" spans="1:23" x14ac:dyDescent="0.3">
      <c r="B46" s="25" t="s">
        <v>380</v>
      </c>
      <c r="C46" s="26">
        <f>C41+C39</f>
        <v>397413</v>
      </c>
      <c r="D46" s="26">
        <f t="shared" ref="D46:G46" si="4">D41+D39</f>
        <v>367606</v>
      </c>
      <c r="E46" s="26">
        <f t="shared" si="4"/>
        <v>362024</v>
      </c>
      <c r="F46" s="26">
        <f t="shared" si="4"/>
        <v>376842</v>
      </c>
      <c r="G46" s="26">
        <f t="shared" si="4"/>
        <v>383751</v>
      </c>
      <c r="H46" s="73"/>
      <c r="I46" s="73"/>
      <c r="J46" s="73"/>
      <c r="K46" s="73"/>
      <c r="L46" s="73"/>
    </row>
    <row r="47" spans="1:23" x14ac:dyDescent="0.3">
      <c r="C47">
        <v>2013</v>
      </c>
      <c r="D47">
        <v>2014</v>
      </c>
      <c r="E47">
        <v>2015</v>
      </c>
      <c r="F47">
        <v>2016</v>
      </c>
      <c r="G47" s="31">
        <v>2017</v>
      </c>
      <c r="H47" s="36">
        <v>2018</v>
      </c>
      <c r="I47">
        <v>2019</v>
      </c>
      <c r="J47">
        <v>2020</v>
      </c>
      <c r="K47">
        <v>2021</v>
      </c>
      <c r="L47">
        <v>2022</v>
      </c>
    </row>
    <row r="48" spans="1:23" x14ac:dyDescent="0.3">
      <c r="A48" s="74">
        <f>AVERAGE(D48:G48)</f>
        <v>0.88606495901732163</v>
      </c>
      <c r="B48" s="1" t="s">
        <v>20</v>
      </c>
      <c r="C48" s="74">
        <f>AVERAGE(H48:L48)</f>
        <v>0.88000000000000012</v>
      </c>
      <c r="D48" s="24">
        <f>D4/FCFF!E$4</f>
        <v>0.87930370251021561</v>
      </c>
      <c r="E48" s="24">
        <f>E4/FCFF!F$4</f>
        <v>0.89897790174763215</v>
      </c>
      <c r="F48" s="24">
        <f>F4/FCFF!G$4</f>
        <v>0.89332530020888246</v>
      </c>
      <c r="G48" s="32">
        <f>G4/FCFF!H$4</f>
        <v>0.87265293160255641</v>
      </c>
      <c r="H48" s="50">
        <v>0.88</v>
      </c>
      <c r="I48" s="50">
        <v>0.88</v>
      </c>
      <c r="J48" s="50">
        <v>0.88</v>
      </c>
      <c r="K48" s="50">
        <v>0.88</v>
      </c>
      <c r="L48" s="50">
        <v>0.88</v>
      </c>
      <c r="P48" s="24"/>
      <c r="Q48" s="24"/>
    </row>
    <row r="49" spans="1:17" x14ac:dyDescent="0.3">
      <c r="A49" s="74">
        <f>AVERAGE(D49:G49)</f>
        <v>0.49259839531121596</v>
      </c>
      <c r="B49" s="1" t="s">
        <v>21</v>
      </c>
      <c r="C49" s="74">
        <f>AVERAGE(H49:L49)</f>
        <v>0.49000000000000005</v>
      </c>
      <c r="D49" s="24">
        <f>D5/FCFF!E$4</f>
        <v>0.47425216376582596</v>
      </c>
      <c r="E49" s="24">
        <f>E5/FCFF!F$4</f>
        <v>0.50131466275492254</v>
      </c>
      <c r="F49" s="24">
        <f>F5/FCFF!G$4</f>
        <v>0.5001621461795499</v>
      </c>
      <c r="G49" s="32">
        <f>G5/FCFF!H$4</f>
        <v>0.49466460854456568</v>
      </c>
      <c r="H49" s="50">
        <v>0.49</v>
      </c>
      <c r="I49" s="50">
        <v>0.49</v>
      </c>
      <c r="J49" s="50">
        <v>0.49</v>
      </c>
      <c r="K49" s="50">
        <v>0.49</v>
      </c>
      <c r="L49" s="50">
        <v>0.49</v>
      </c>
      <c r="P49" s="24"/>
      <c r="Q49" s="24"/>
    </row>
    <row r="50" spans="1:17" x14ac:dyDescent="0.3">
      <c r="A50" s="74">
        <f>AVERAGE(D50:G50)</f>
        <v>0.16039175517142779</v>
      </c>
      <c r="B50" t="s">
        <v>22</v>
      </c>
      <c r="C50" s="74">
        <f>AVERAGE(H50:L50)</f>
        <v>0.16200000000000001</v>
      </c>
      <c r="D50" s="24">
        <f>D6/FCFF!E$4</f>
        <v>0.14484927619231452</v>
      </c>
      <c r="E50" s="24">
        <f>E6/FCFF!F$4</f>
        <v>0.16002233416515038</v>
      </c>
      <c r="F50" s="24">
        <f>F6/FCFF!G$4</f>
        <v>0.16601861183794284</v>
      </c>
      <c r="G50" s="32">
        <f>G6/FCFF!H$4</f>
        <v>0.17067679849030332</v>
      </c>
      <c r="H50" s="24">
        <v>0.17</v>
      </c>
      <c r="I50" s="24">
        <v>0.16</v>
      </c>
      <c r="J50" s="24">
        <v>0.16</v>
      </c>
      <c r="K50" s="24">
        <v>0.16</v>
      </c>
      <c r="L50" s="24">
        <v>0.16</v>
      </c>
      <c r="P50" s="24"/>
      <c r="Q50" s="24"/>
    </row>
    <row r="51" spans="1:17" x14ac:dyDescent="0.3">
      <c r="A51" s="74">
        <f>AVERAGE(D51:G51)</f>
        <v>0.28947563833574241</v>
      </c>
      <c r="B51" t="s">
        <v>23</v>
      </c>
      <c r="C51" s="74">
        <f>AVERAGE(H51:L51)</f>
        <v>0.28499999999999998</v>
      </c>
      <c r="D51" s="24">
        <f>D7/FCFF!E$4</f>
        <v>0.28402661844738486</v>
      </c>
      <c r="E51" s="24">
        <f>E7/FCFF!F$4</f>
        <v>0.29893986183184235</v>
      </c>
      <c r="F51" s="24">
        <f>F7/FCFF!G$4</f>
        <v>0.29107782698684709</v>
      </c>
      <c r="G51" s="32">
        <f>G7/FCFF!H$4</f>
        <v>0.28385824607689558</v>
      </c>
      <c r="H51" s="24">
        <v>0.28499999999999998</v>
      </c>
      <c r="I51" s="24">
        <v>0.28499999999999998</v>
      </c>
      <c r="J51" s="24">
        <v>0.28499999999999998</v>
      </c>
      <c r="K51" s="24">
        <v>0.28499999999999998</v>
      </c>
      <c r="L51" s="24">
        <v>0.28499999999999998</v>
      </c>
      <c r="P51" s="24"/>
      <c r="Q51" s="24"/>
    </row>
    <row r="52" spans="1:17" x14ac:dyDescent="0.3">
      <c r="A52" s="74">
        <f>AVERAGE(D52:G52)</f>
        <v>1.2126245282826678E-2</v>
      </c>
      <c r="B52" t="s">
        <v>24</v>
      </c>
      <c r="C52" s="74">
        <f>AVERAGE(H52:L52)</f>
        <v>7.1999999999999998E-3</v>
      </c>
      <c r="D52" s="24">
        <f>D8/FCFF!E$4</f>
        <v>1.5099898940510498E-2</v>
      </c>
      <c r="E52" s="24">
        <f>E8/FCFF!F$4</f>
        <v>1.3998035964862873E-2</v>
      </c>
      <c r="F52" s="24">
        <f>F8/FCFF!G$4</f>
        <v>1.1888335331016657E-2</v>
      </c>
      <c r="G52" s="32">
        <f>G8/FCFF!H$4</f>
        <v>7.5187108949166829E-3</v>
      </c>
      <c r="H52" s="24">
        <v>8.0000000000000002E-3</v>
      </c>
      <c r="I52" s="24">
        <v>7.4999999999999997E-3</v>
      </c>
      <c r="J52" s="24">
        <v>7.0000000000000001E-3</v>
      </c>
      <c r="K52" s="24">
        <v>7.0000000000000001E-3</v>
      </c>
      <c r="L52" s="24">
        <v>6.4999999999999997E-3</v>
      </c>
      <c r="P52" s="24"/>
      <c r="Q52" s="24"/>
    </row>
    <row r="53" spans="1:17" x14ac:dyDescent="0.3">
      <c r="B53" t="s">
        <v>25</v>
      </c>
      <c r="C53" s="74"/>
      <c r="D53" s="24"/>
      <c r="E53" s="24"/>
      <c r="F53" s="24"/>
      <c r="G53" s="32"/>
      <c r="H53" s="50"/>
      <c r="I53" s="50"/>
      <c r="J53" s="50"/>
      <c r="K53" s="50"/>
      <c r="L53" s="50"/>
      <c r="P53" s="24"/>
      <c r="Q53" s="24"/>
    </row>
    <row r="54" spans="1:17" x14ac:dyDescent="0.3">
      <c r="A54" s="74">
        <f t="shared" ref="A54:A89" si="5">AVERAGE(D54:G54)</f>
        <v>1.9517029026667686E-3</v>
      </c>
      <c r="B54" t="s">
        <v>26</v>
      </c>
      <c r="C54" s="74">
        <f t="shared" ref="C54:C89" si="6">AVERAGE(H54:L54)</f>
        <v>1.9E-3</v>
      </c>
      <c r="D54" s="24">
        <f>D10/FCFF!E$4</f>
        <v>8.949388099547186E-4</v>
      </c>
      <c r="E54" s="24">
        <f>E10/FCFF!F$4</f>
        <v>1.2816023130880984E-3</v>
      </c>
      <c r="F54" s="24">
        <f>F10/FCFF!G$4</f>
        <v>2.3407867586978707E-3</v>
      </c>
      <c r="G54" s="32">
        <f>G10/FCFF!H$4</f>
        <v>3.2894837289263869E-3</v>
      </c>
      <c r="H54" s="50">
        <v>3.0000000000000001E-3</v>
      </c>
      <c r="I54" s="50">
        <v>2E-3</v>
      </c>
      <c r="J54" s="50">
        <v>1.5E-3</v>
      </c>
      <c r="K54" s="50">
        <v>1.5E-3</v>
      </c>
      <c r="L54" s="50">
        <v>1.5E-3</v>
      </c>
      <c r="P54" s="24"/>
      <c r="Q54" s="24"/>
    </row>
    <row r="55" spans="1:17" x14ac:dyDescent="0.3">
      <c r="A55" s="74">
        <f t="shared" si="5"/>
        <v>3.5912084436216414E-3</v>
      </c>
      <c r="B55" s="4" t="s">
        <v>27</v>
      </c>
      <c r="C55" s="74">
        <f t="shared" si="6"/>
        <v>3.0000000000000001E-3</v>
      </c>
      <c r="D55" s="24">
        <f>D11/FCFF!E$4</f>
        <v>4.0878443859339864E-3</v>
      </c>
      <c r="E55" s="24">
        <f>E11/FCFF!F$4</f>
        <v>2.4015757994300542E-3</v>
      </c>
      <c r="F55" s="24">
        <f>F11/FCFF!G$4</f>
        <v>5.2164969430676146E-3</v>
      </c>
      <c r="G55" s="32">
        <f>G11/FCFF!H$4</f>
        <v>2.6589166460549095E-3</v>
      </c>
      <c r="H55" s="50">
        <v>3.0000000000000001E-3</v>
      </c>
      <c r="I55" s="50">
        <v>3.0000000000000001E-3</v>
      </c>
      <c r="J55" s="50">
        <v>3.0000000000000001E-3</v>
      </c>
      <c r="K55" s="50">
        <v>3.0000000000000001E-3</v>
      </c>
      <c r="L55" s="50">
        <v>3.0000000000000001E-3</v>
      </c>
      <c r="P55" s="24"/>
      <c r="Q55" s="24"/>
    </row>
    <row r="56" spans="1:17" x14ac:dyDescent="0.3">
      <c r="A56" s="74">
        <f t="shared" si="5"/>
        <v>4.4659812195982206E-3</v>
      </c>
      <c r="B56" t="s">
        <v>28</v>
      </c>
      <c r="C56" s="74">
        <f t="shared" si="6"/>
        <v>5.0000000000000001E-3</v>
      </c>
      <c r="D56" s="24">
        <f>D12/FCFF!E$4</f>
        <v>5.573825671981795E-3</v>
      </c>
      <c r="E56" s="24">
        <f>E12/FCFF!F$4</f>
        <v>4.6880522828439165E-3</v>
      </c>
      <c r="F56" s="24">
        <f>F12/FCFF!G$4</f>
        <v>1.9719836836432658E-3</v>
      </c>
      <c r="G56" s="32">
        <f>G12/FCFF!H$4</f>
        <v>5.6300632399239048E-3</v>
      </c>
      <c r="H56" s="50">
        <v>5.0000000000000001E-3</v>
      </c>
      <c r="I56" s="50">
        <v>5.0000000000000001E-3</v>
      </c>
      <c r="J56" s="50">
        <v>5.0000000000000001E-3</v>
      </c>
      <c r="K56" s="50">
        <v>5.0000000000000001E-3</v>
      </c>
      <c r="L56" s="50">
        <v>5.0000000000000001E-3</v>
      </c>
      <c r="P56" s="24"/>
      <c r="Q56" s="24"/>
    </row>
    <row r="57" spans="1:17" x14ac:dyDescent="0.3">
      <c r="A57" s="74">
        <f t="shared" si="5"/>
        <v>2.0595863955332458E-2</v>
      </c>
      <c r="B57" t="s">
        <v>29</v>
      </c>
      <c r="C57" s="74">
        <f t="shared" si="6"/>
        <v>0.02</v>
      </c>
      <c r="D57" s="24">
        <f>D13/FCFF!E$4</f>
        <v>1.9719761317745551E-2</v>
      </c>
      <c r="E57" s="24">
        <f>E13/FCFF!F$4</f>
        <v>1.9983200397704872E-2</v>
      </c>
      <c r="F57" s="24">
        <f>F13/FCFF!G$4</f>
        <v>2.1648104638334536E-2</v>
      </c>
      <c r="G57" s="32">
        <f>G13/FCFF!H$4</f>
        <v>2.103238946754488E-2</v>
      </c>
      <c r="H57" s="50">
        <v>0.02</v>
      </c>
      <c r="I57" s="50">
        <v>0.02</v>
      </c>
      <c r="J57" s="50">
        <v>0.02</v>
      </c>
      <c r="K57" s="50">
        <v>0.02</v>
      </c>
      <c r="L57" s="50">
        <v>0.02</v>
      </c>
      <c r="P57" s="24"/>
      <c r="Q57" s="24"/>
    </row>
    <row r="58" spans="1:17" x14ac:dyDescent="0.3">
      <c r="A58" s="74">
        <f t="shared" si="5"/>
        <v>0.39346656370610567</v>
      </c>
      <c r="B58" s="1" t="s">
        <v>30</v>
      </c>
      <c r="C58" s="74">
        <f t="shared" si="6"/>
        <v>0.38</v>
      </c>
      <c r="D58" s="24">
        <f>D14/FCFF!E$4</f>
        <v>0.40505153874438971</v>
      </c>
      <c r="E58" s="24">
        <f>E14/FCFF!F$4</f>
        <v>0.39766323899270956</v>
      </c>
      <c r="F58" s="24">
        <f>F14/FCFF!G$4</f>
        <v>0.39316315402933255</v>
      </c>
      <c r="G58" s="32">
        <f>G14/FCFF!H$4</f>
        <v>0.37798832305799079</v>
      </c>
      <c r="H58" s="50">
        <v>0.38</v>
      </c>
      <c r="I58" s="50">
        <v>0.38</v>
      </c>
      <c r="J58" s="50">
        <v>0.38</v>
      </c>
      <c r="K58" s="50">
        <v>0.38</v>
      </c>
      <c r="L58" s="50">
        <v>0.38</v>
      </c>
      <c r="P58" s="24"/>
      <c r="Q58" s="24"/>
    </row>
    <row r="59" spans="1:17" x14ac:dyDescent="0.3">
      <c r="A59" s="74">
        <f t="shared" si="5"/>
        <v>5.1228615303855159E-4</v>
      </c>
      <c r="B59" t="s">
        <v>31</v>
      </c>
      <c r="C59" s="74">
        <f t="shared" si="6"/>
        <v>2.0000000000000001E-4</v>
      </c>
      <c r="D59" s="24">
        <f>D15/FCFF!E$4</f>
        <v>1.3144912288817971E-3</v>
      </c>
      <c r="E59" s="24">
        <f>E15/FCFF!F$4</f>
        <v>2.5223892658867667E-4</v>
      </c>
      <c r="F59" s="24">
        <f>F15/FCFF!G$4</f>
        <v>2.4957794303264228E-4</v>
      </c>
      <c r="G59" s="32">
        <f>G15/FCFF!H$4</f>
        <v>2.3283651365109029E-4</v>
      </c>
      <c r="H59" s="50">
        <v>2.0000000000000001E-4</v>
      </c>
      <c r="I59" s="50">
        <v>2.0000000000000001E-4</v>
      </c>
      <c r="J59" s="50">
        <v>2.0000000000000001E-4</v>
      </c>
      <c r="K59" s="50">
        <v>2.0000000000000001E-4</v>
      </c>
      <c r="L59" s="50">
        <v>2.0000000000000001E-4</v>
      </c>
      <c r="P59" s="24"/>
      <c r="Q59" s="24"/>
    </row>
    <row r="60" spans="1:17" x14ac:dyDescent="0.3">
      <c r="A60" s="74">
        <f t="shared" si="5"/>
        <v>0.17693568326874382</v>
      </c>
      <c r="B60" t="s">
        <v>32</v>
      </c>
      <c r="C60" s="74">
        <f t="shared" si="6"/>
        <v>0.17</v>
      </c>
      <c r="D60" s="24">
        <f>D16/FCFF!E$4</f>
        <v>0.17531787476759109</v>
      </c>
      <c r="E60" s="24">
        <f>E16/FCFF!F$4</f>
        <v>0.18440869563087894</v>
      </c>
      <c r="F60" s="24">
        <f>F16/FCFF!G$4</f>
        <v>0.17959596987260398</v>
      </c>
      <c r="G60" s="32">
        <f>G16/FCFF!H$4</f>
        <v>0.16842019280390128</v>
      </c>
      <c r="H60" s="50">
        <v>0.17</v>
      </c>
      <c r="I60" s="50">
        <v>0.17</v>
      </c>
      <c r="J60" s="50">
        <v>0.17</v>
      </c>
      <c r="K60" s="50">
        <v>0.17</v>
      </c>
      <c r="L60" s="50">
        <v>0.17</v>
      </c>
      <c r="P60" s="24"/>
      <c r="Q60" s="24"/>
    </row>
    <row r="61" spans="1:17" x14ac:dyDescent="0.3">
      <c r="A61" s="74">
        <f t="shared" si="5"/>
        <v>1.0715657978385605E-2</v>
      </c>
      <c r="B61" t="s">
        <v>33</v>
      </c>
      <c r="C61" s="74">
        <f t="shared" si="6"/>
        <v>8.9999999999999993E-3</v>
      </c>
      <c r="D61" s="24">
        <f>D17/FCFF!E$4</f>
        <v>1.6336222608451509E-2</v>
      </c>
      <c r="E61" s="24">
        <f>E17/FCFF!F$4</f>
        <v>1.3362948958759344E-2</v>
      </c>
      <c r="F61" s="24">
        <f>F17/FCFF!G$4</f>
        <v>7.011232597104896E-3</v>
      </c>
      <c r="G61" s="32">
        <f>G17/FCFF!H$4</f>
        <v>6.1522277492266778E-3</v>
      </c>
      <c r="H61" s="50">
        <v>8.9999999999999993E-3</v>
      </c>
      <c r="I61" s="50">
        <v>8.9999999999999993E-3</v>
      </c>
      <c r="J61" s="50">
        <v>8.9999999999999993E-3</v>
      </c>
      <c r="K61" s="50">
        <v>8.9999999999999993E-3</v>
      </c>
      <c r="L61" s="50">
        <v>8.9999999999999993E-3</v>
      </c>
      <c r="P61" s="24"/>
      <c r="Q61" s="24"/>
    </row>
    <row r="62" spans="1:17" x14ac:dyDescent="0.3">
      <c r="A62" s="74">
        <f t="shared" si="5"/>
        <v>0.13666467289933126</v>
      </c>
      <c r="B62" t="s">
        <v>34</v>
      </c>
      <c r="C62" s="74">
        <f t="shared" si="6"/>
        <v>0.13500000000000001</v>
      </c>
      <c r="D62" s="24">
        <f>D18/FCFF!E$4</f>
        <v>0.14563813045527818</v>
      </c>
      <c r="E62" s="24">
        <f>E18/FCFF!F$4</f>
        <v>0.13144178627608</v>
      </c>
      <c r="F62" s="24">
        <f>F18/FCFF!G$4</f>
        <v>0.13177238491595422</v>
      </c>
      <c r="G62" s="32">
        <f>G18/FCFF!H$4</f>
        <v>0.13780638995001268</v>
      </c>
      <c r="H62" s="50">
        <v>0.13500000000000001</v>
      </c>
      <c r="I62" s="50">
        <v>0.13500000000000001</v>
      </c>
      <c r="J62" s="50">
        <v>0.13500000000000001</v>
      </c>
      <c r="K62" s="50">
        <v>0.13500000000000001</v>
      </c>
      <c r="L62" s="50">
        <v>0.13500000000000001</v>
      </c>
      <c r="P62" s="24"/>
      <c r="Q62" s="24"/>
    </row>
    <row r="63" spans="1:17" x14ac:dyDescent="0.3">
      <c r="A63" s="74">
        <f t="shared" si="5"/>
        <v>4.0842360010026689E-2</v>
      </c>
      <c r="B63" t="s">
        <v>35</v>
      </c>
      <c r="C63" s="74">
        <f t="shared" si="6"/>
        <v>4.4999999999999998E-2</v>
      </c>
      <c r="D63" s="24">
        <f>D19/FCFF!E$4</f>
        <v>3.5260748637850489E-2</v>
      </c>
      <c r="E63" s="24">
        <f>E19/FCFF!F$4</f>
        <v>4.0012930306139692E-2</v>
      </c>
      <c r="F63" s="24">
        <f>F19/FCFF!G$4</f>
        <v>4.3920948968464157E-2</v>
      </c>
      <c r="G63" s="32">
        <f>G19/FCFF!H$4</f>
        <v>4.4174812127652431E-2</v>
      </c>
      <c r="H63" s="50">
        <v>4.4999999999999998E-2</v>
      </c>
      <c r="I63" s="50">
        <v>4.4999999999999998E-2</v>
      </c>
      <c r="J63" s="50">
        <v>4.4999999999999998E-2</v>
      </c>
      <c r="K63" s="50">
        <v>4.4999999999999998E-2</v>
      </c>
      <c r="L63" s="50">
        <v>4.4999999999999998E-2</v>
      </c>
      <c r="P63" s="24"/>
      <c r="Q63" s="24"/>
    </row>
    <row r="64" spans="1:17" x14ac:dyDescent="0.3">
      <c r="A64" s="74">
        <f t="shared" si="5"/>
        <v>2.3728306034221454E-3</v>
      </c>
      <c r="B64" t="s">
        <v>36</v>
      </c>
      <c r="C64" s="74">
        <f t="shared" si="6"/>
        <v>2E-3</v>
      </c>
      <c r="D64" s="24">
        <f>D20/FCFF!E$4</f>
        <v>2.4200038764729203E-3</v>
      </c>
      <c r="E64" s="24">
        <f>E20/FCFF!F$4</f>
        <v>2.3811681192853393E-3</v>
      </c>
      <c r="F64" s="24">
        <f>F20/FCFF!G$4</f>
        <v>2.6014923807192295E-3</v>
      </c>
      <c r="G64" s="32">
        <f>G20/FCFF!H$4</f>
        <v>2.088658037211092E-3</v>
      </c>
      <c r="H64" s="50">
        <v>2E-3</v>
      </c>
      <c r="I64" s="50">
        <v>2E-3</v>
      </c>
      <c r="J64" s="50">
        <v>2E-3</v>
      </c>
      <c r="K64" s="50">
        <v>2E-3</v>
      </c>
      <c r="L64" s="50">
        <v>2E-3</v>
      </c>
      <c r="P64" s="24"/>
      <c r="Q64" s="24"/>
    </row>
    <row r="65" spans="1:17" x14ac:dyDescent="0.3">
      <c r="A65" s="74">
        <f t="shared" si="5"/>
        <v>2.5423072793157569E-2</v>
      </c>
      <c r="B65" t="s">
        <v>37</v>
      </c>
      <c r="C65" s="74">
        <f t="shared" si="6"/>
        <v>0.02</v>
      </c>
      <c r="D65" s="24">
        <f>D21/FCFF!E$4</f>
        <v>2.8764067169863693E-2</v>
      </c>
      <c r="E65" s="24">
        <f>E21/FCFF!F$4</f>
        <v>2.5803470774977574E-2</v>
      </c>
      <c r="F65" s="24">
        <f>F21/FCFF!G$4</f>
        <v>2.8011547351453434E-2</v>
      </c>
      <c r="G65" s="32">
        <f>G21/FCFF!H$4</f>
        <v>1.9113205876335564E-2</v>
      </c>
      <c r="H65" s="50">
        <v>0.02</v>
      </c>
      <c r="I65" s="50">
        <v>0.02</v>
      </c>
      <c r="J65" s="50">
        <v>0.02</v>
      </c>
      <c r="K65" s="50">
        <v>0.02</v>
      </c>
      <c r="L65" s="50">
        <v>0.02</v>
      </c>
      <c r="P65" s="24"/>
      <c r="Q65" s="24"/>
    </row>
    <row r="66" spans="1:17" x14ac:dyDescent="0.3">
      <c r="A66" s="74">
        <f t="shared" si="5"/>
        <v>0.88606495901732163</v>
      </c>
      <c r="B66" s="1" t="s">
        <v>38</v>
      </c>
      <c r="C66" s="74">
        <f t="shared" si="6"/>
        <v>0.876</v>
      </c>
      <c r="D66" s="24">
        <f>D22/FCFF!E$4</f>
        <v>0.87930370251021561</v>
      </c>
      <c r="E66" s="24">
        <f>E22/FCFF!F$4</f>
        <v>0.89897790174763215</v>
      </c>
      <c r="F66" s="50">
        <f>F22/FCFF!G$4</f>
        <v>0.89332530020888246</v>
      </c>
      <c r="G66" s="32">
        <f>G22/FCFF!H$4</f>
        <v>0.87265293160255641</v>
      </c>
      <c r="H66" s="50">
        <v>0.87</v>
      </c>
      <c r="I66" s="50">
        <v>0.87</v>
      </c>
      <c r="J66" s="50">
        <v>0.88</v>
      </c>
      <c r="K66" s="50">
        <v>0.88</v>
      </c>
      <c r="L66" s="50">
        <v>0.88</v>
      </c>
      <c r="P66" s="24"/>
      <c r="Q66" s="24"/>
    </row>
    <row r="67" spans="1:17" x14ac:dyDescent="0.3">
      <c r="A67" s="74">
        <f t="shared" si="5"/>
        <v>0.29407397121864026</v>
      </c>
      <c r="B67" s="1" t="s">
        <v>39</v>
      </c>
      <c r="C67" s="74">
        <f t="shared" si="6"/>
        <v>0.28499999999999998</v>
      </c>
      <c r="D67" s="24">
        <f>D23/FCFF!E$4</f>
        <v>0.30331167241091889</v>
      </c>
      <c r="E67" s="24">
        <f>E23/FCFF!F$4</f>
        <v>0.30045166277696284</v>
      </c>
      <c r="F67" s="50">
        <f>F23/FCFF!G$4</f>
        <v>0.29133932744308194</v>
      </c>
      <c r="G67" s="32">
        <f>G23/FCFF!H$4</f>
        <v>0.28119322224359738</v>
      </c>
      <c r="H67" s="50">
        <v>0.28499999999999998</v>
      </c>
      <c r="I67" s="50">
        <v>0.28499999999999998</v>
      </c>
      <c r="J67" s="50">
        <v>0.28499999999999998</v>
      </c>
      <c r="K67" s="50">
        <v>0.28499999999999998</v>
      </c>
      <c r="L67" s="50">
        <v>0.28499999999999998</v>
      </c>
      <c r="P67" s="24"/>
      <c r="Q67" s="24"/>
    </row>
    <row r="68" spans="1:17" x14ac:dyDescent="0.3">
      <c r="A68" s="74">
        <f t="shared" si="5"/>
        <v>8.0828426661494521E-2</v>
      </c>
      <c r="B68" t="s">
        <v>40</v>
      </c>
      <c r="C68" s="74">
        <f t="shared" si="6"/>
        <v>0.08</v>
      </c>
      <c r="D68" s="24">
        <f>D24/FCFF!E$4</f>
        <v>8.1295858634763671E-2</v>
      </c>
      <c r="E68" s="24">
        <f>E24/FCFF!F$4</f>
        <v>8.3199663028385454E-2</v>
      </c>
      <c r="F68" s="50">
        <f>F24/FCFF!G$4</f>
        <v>8.101109270628333E-2</v>
      </c>
      <c r="G68" s="32">
        <f>G24/FCFF!H$4</f>
        <v>7.7807092276545656E-2</v>
      </c>
      <c r="H68" s="50">
        <v>0.08</v>
      </c>
      <c r="I68" s="50">
        <v>0.08</v>
      </c>
      <c r="J68" s="50">
        <v>0.08</v>
      </c>
      <c r="K68" s="50">
        <v>0.08</v>
      </c>
      <c r="L68" s="50">
        <v>0.08</v>
      </c>
      <c r="P68" s="24"/>
      <c r="Q68" s="24"/>
    </row>
    <row r="69" spans="1:17" x14ac:dyDescent="0.3">
      <c r="A69" s="74">
        <f t="shared" si="5"/>
        <v>0.13862590580067022</v>
      </c>
      <c r="B69" t="s">
        <v>41</v>
      </c>
      <c r="C69" s="74">
        <f t="shared" si="6"/>
        <v>0.13500000000000001</v>
      </c>
      <c r="D69" s="24">
        <f>D25/FCFF!E$4</f>
        <v>0.14014167471606431</v>
      </c>
      <c r="E69" s="24">
        <f>E25/FCFF!F$4</f>
        <v>0.14244724002452186</v>
      </c>
      <c r="F69" s="50">
        <f>F25/FCFF!G$4</f>
        <v>0.13870015992064375</v>
      </c>
      <c r="G69" s="32">
        <f>G25/FCFF!H$4</f>
        <v>0.13321454854145101</v>
      </c>
      <c r="H69" s="50">
        <v>0.13500000000000001</v>
      </c>
      <c r="I69" s="50">
        <v>0.13500000000000001</v>
      </c>
      <c r="J69" s="50">
        <v>0.13500000000000001</v>
      </c>
      <c r="K69" s="50">
        <v>0.13500000000000001</v>
      </c>
      <c r="L69" s="50">
        <v>0.13500000000000001</v>
      </c>
      <c r="P69" s="24"/>
      <c r="Q69" s="24"/>
    </row>
    <row r="70" spans="1:17" x14ac:dyDescent="0.3">
      <c r="A70" s="74">
        <f t="shared" si="5"/>
        <v>5.5532961484680024E-2</v>
      </c>
      <c r="B70" t="s">
        <v>42</v>
      </c>
      <c r="C70" s="74">
        <f t="shared" si="6"/>
        <v>0.03</v>
      </c>
      <c r="D70" s="24">
        <f>D26/FCFF!E$4</f>
        <v>7.920527519368406E-2</v>
      </c>
      <c r="E70" s="24">
        <f>E26/FCFF!F$4</f>
        <v>8.1060121842013541E-2</v>
      </c>
      <c r="F70" s="50">
        <f>F26/FCFF!G$4</f>
        <v>3.6574296333270806E-2</v>
      </c>
      <c r="G70" s="32">
        <f>G26/FCFF!H$4</f>
        <v>2.5292152569751713E-2</v>
      </c>
      <c r="H70" s="50">
        <v>0.03</v>
      </c>
      <c r="I70" s="50">
        <v>0.03</v>
      </c>
      <c r="J70" s="50">
        <v>0.03</v>
      </c>
      <c r="K70" s="50">
        <v>0.03</v>
      </c>
      <c r="L70" s="50">
        <v>0.03</v>
      </c>
      <c r="P70" s="24"/>
      <c r="Q70" s="24"/>
    </row>
    <row r="71" spans="1:17" x14ac:dyDescent="0.3">
      <c r="A71" s="74">
        <f t="shared" si="5"/>
        <v>-2.5139431380559411E-3</v>
      </c>
      <c r="B71" t="s">
        <v>43</v>
      </c>
      <c r="C71" s="74">
        <f t="shared" si="6"/>
        <v>-2.5000000000000001E-3</v>
      </c>
      <c r="D71" s="24">
        <f>D27/FCFF!E$4</f>
        <v>-2.528481307982583E-3</v>
      </c>
      <c r="E71" s="24">
        <f>E27/FCFF!F$4</f>
        <v>-2.5876938423498546E-3</v>
      </c>
      <c r="F71" s="50">
        <f>F27/FCFF!G$4</f>
        <v>-2.5196244567308149E-3</v>
      </c>
      <c r="G71" s="32">
        <f>G27/FCFF!H$4</f>
        <v>-2.4199729451605122E-3</v>
      </c>
      <c r="H71" s="50">
        <v>-2.5000000000000001E-3</v>
      </c>
      <c r="I71" s="50">
        <v>-2.5000000000000001E-3</v>
      </c>
      <c r="J71" s="50">
        <v>-2.5000000000000001E-3</v>
      </c>
      <c r="K71" s="50">
        <v>-2.5000000000000001E-3</v>
      </c>
      <c r="L71" s="50">
        <v>-2.5000000000000001E-3</v>
      </c>
      <c r="P71" s="24"/>
      <c r="Q71" s="24"/>
    </row>
    <row r="72" spans="1:17" x14ac:dyDescent="0.3">
      <c r="A72" s="74">
        <f t="shared" si="5"/>
        <v>3.2933032175865777E-4</v>
      </c>
      <c r="B72" t="s">
        <v>44</v>
      </c>
      <c r="C72" s="74">
        <f t="shared" si="6"/>
        <v>5.0000000000000001E-4</v>
      </c>
      <c r="D72" s="24">
        <f>D28/FCFF!E$4</f>
        <v>-1.9653558179397743E-3</v>
      </c>
      <c r="E72" s="24">
        <f>E28/FCFF!F$4</f>
        <v>-3.4301228787236874E-3</v>
      </c>
      <c r="F72" s="50">
        <f>F28/FCFF!G$4</f>
        <v>6.008946653906928E-3</v>
      </c>
      <c r="G72" s="32">
        <f>G28/FCFF!H$4</f>
        <v>7.038533297911647E-4</v>
      </c>
      <c r="H72" s="50">
        <v>5.0000000000000001E-4</v>
      </c>
      <c r="I72" s="50">
        <v>5.0000000000000001E-4</v>
      </c>
      <c r="J72" s="50">
        <v>5.0000000000000001E-4</v>
      </c>
      <c r="K72" s="50">
        <v>5.0000000000000001E-4</v>
      </c>
      <c r="L72" s="50">
        <v>5.0000000000000001E-4</v>
      </c>
      <c r="P72" s="24"/>
      <c r="Q72" s="24"/>
    </row>
    <row r="73" spans="1:17" x14ac:dyDescent="0.3">
      <c r="A73" s="74">
        <f t="shared" si="5"/>
        <v>2.8904808912058842E-2</v>
      </c>
      <c r="B73" t="s">
        <v>45</v>
      </c>
      <c r="C73" s="74">
        <f t="shared" si="6"/>
        <v>0.02</v>
      </c>
      <c r="D73" s="24">
        <f>D29/FCFF!E$4</f>
        <v>1.0232771829687242E-2</v>
      </c>
      <c r="E73" s="24">
        <f>E29/FCFF!F$4</f>
        <v>5.0162077795709329E-3</v>
      </c>
      <c r="F73" s="50">
        <f>F29/FCFF!G$4</f>
        <v>4.4186423595766397E-2</v>
      </c>
      <c r="G73" s="32">
        <f>G29/FCFF!H$4</f>
        <v>5.6183832443210791E-2</v>
      </c>
      <c r="H73" s="50">
        <v>0.02</v>
      </c>
      <c r="I73" s="50">
        <v>0.02</v>
      </c>
      <c r="J73" s="50">
        <v>0.02</v>
      </c>
      <c r="K73" s="50">
        <v>0.02</v>
      </c>
      <c r="L73" s="50">
        <v>0.02</v>
      </c>
      <c r="P73" s="24"/>
      <c r="Q73" s="24"/>
    </row>
    <row r="74" spans="1:17" x14ac:dyDescent="0.3">
      <c r="A74" s="74">
        <f t="shared" si="5"/>
        <v>-1.3455895798132547E-2</v>
      </c>
      <c r="B74" t="s">
        <v>46</v>
      </c>
      <c r="C74" s="74">
        <f t="shared" si="6"/>
        <v>-0.01</v>
      </c>
      <c r="D74" s="24">
        <f>D30/FCFF!E$4</f>
        <v>-1.4038255842426959E-2</v>
      </c>
      <c r="E74" s="24">
        <f>E30/FCFF!F$4</f>
        <v>-1.5549835963066997E-2</v>
      </c>
      <c r="F74" s="50">
        <f>F30/FCFF!G$4</f>
        <v>-1.3759375069547993E-2</v>
      </c>
      <c r="G74" s="32">
        <f>G30/FCFF!H$4</f>
        <v>-1.0476116317488236E-2</v>
      </c>
      <c r="H74" s="50">
        <v>-0.01</v>
      </c>
      <c r="I74" s="50">
        <v>-0.01</v>
      </c>
      <c r="J74" s="50">
        <v>-0.01</v>
      </c>
      <c r="K74" s="50">
        <v>-0.01</v>
      </c>
      <c r="L74" s="50">
        <v>-0.01</v>
      </c>
      <c r="P74" s="24"/>
      <c r="Q74" s="24"/>
    </row>
    <row r="75" spans="1:17" x14ac:dyDescent="0.3">
      <c r="A75" s="74">
        <f t="shared" si="5"/>
        <v>3.8792990286678048E-3</v>
      </c>
      <c r="B75" t="s">
        <v>47</v>
      </c>
      <c r="C75" s="74">
        <f t="shared" si="6"/>
        <v>-1E-4</v>
      </c>
      <c r="D75" s="24">
        <f>D31/FCFF!E$4</f>
        <v>8.7037186223047139E-3</v>
      </c>
      <c r="E75" s="24">
        <f>E31/FCFF!F$4</f>
        <v>7.7426738469048486E-3</v>
      </c>
      <c r="F75" s="50">
        <f>F31/FCFF!G$4</f>
        <v>-5.8261347848065847E-4</v>
      </c>
      <c r="G75" s="32">
        <f>G31/FCFF!H$4</f>
        <v>-3.4658287605768848E-4</v>
      </c>
      <c r="H75" s="50">
        <v>-1E-4</v>
      </c>
      <c r="I75" s="50">
        <v>-1E-4</v>
      </c>
      <c r="J75" s="50">
        <v>-1E-4</v>
      </c>
      <c r="K75" s="50">
        <v>-1E-4</v>
      </c>
      <c r="L75" s="50">
        <v>-1E-4</v>
      </c>
      <c r="P75" s="24"/>
      <c r="Q75" s="24"/>
    </row>
    <row r="76" spans="1:17" x14ac:dyDescent="0.3">
      <c r="A76" s="74">
        <f t="shared" si="5"/>
        <v>0.29213089327314157</v>
      </c>
      <c r="B76" s="1" t="s">
        <v>48</v>
      </c>
      <c r="C76" s="74">
        <f t="shared" si="6"/>
        <v>0.28499999999999998</v>
      </c>
      <c r="D76" s="24">
        <f>D32/FCFF!E$4</f>
        <v>0.30104720602815466</v>
      </c>
      <c r="E76" s="24">
        <f>E32/FCFF!F$4</f>
        <v>0.2978982538372561</v>
      </c>
      <c r="F76" s="50">
        <f>F32/FCFF!G$4</f>
        <v>0.28961930620511173</v>
      </c>
      <c r="G76" s="32">
        <f>G32/FCFF!H$4</f>
        <v>0.2799588070220439</v>
      </c>
      <c r="H76" s="50">
        <v>0.28499999999999998</v>
      </c>
      <c r="I76" s="50">
        <v>0.28499999999999998</v>
      </c>
      <c r="J76" s="50">
        <v>0.28499999999999998</v>
      </c>
      <c r="K76" s="50">
        <v>0.28499999999999998</v>
      </c>
      <c r="L76" s="50">
        <v>0.28499999999999998</v>
      </c>
      <c r="P76" s="24"/>
      <c r="Q76" s="24"/>
    </row>
    <row r="77" spans="1:17" x14ac:dyDescent="0.3">
      <c r="A77" s="74">
        <f t="shared" si="5"/>
        <v>1.9430779454986538E-3</v>
      </c>
      <c r="B77" s="4" t="s">
        <v>49</v>
      </c>
      <c r="C77" s="74">
        <f t="shared" si="6"/>
        <v>1.5E-3</v>
      </c>
      <c r="D77" s="24">
        <f>D33/FCFF!E$4</f>
        <v>2.2644663827642124E-3</v>
      </c>
      <c r="E77" s="24">
        <f>E33/FCFF!F$4</f>
        <v>2.5534089397067335E-3</v>
      </c>
      <c r="F77" s="50">
        <f>F33/FCFF!G$4</f>
        <v>1.7200212379701841E-3</v>
      </c>
      <c r="G77" s="32">
        <f>G33/FCFF!H$4</f>
        <v>1.2344152215534852E-3</v>
      </c>
      <c r="H77" s="50">
        <v>1.5E-3</v>
      </c>
      <c r="I77" s="50">
        <v>1.5E-3</v>
      </c>
      <c r="J77" s="50">
        <v>1.5E-3</v>
      </c>
      <c r="K77" s="50">
        <v>1.5E-3</v>
      </c>
      <c r="L77" s="50">
        <v>1.5E-3</v>
      </c>
      <c r="P77" s="24"/>
      <c r="Q77" s="24"/>
    </row>
    <row r="78" spans="1:17" x14ac:dyDescent="0.3">
      <c r="A78" s="74">
        <f t="shared" si="5"/>
        <v>0.27929307984638058</v>
      </c>
      <c r="B78" s="1" t="s">
        <v>50</v>
      </c>
      <c r="C78" s="74">
        <f t="shared" si="6"/>
        <v>0.27750000000000002</v>
      </c>
      <c r="D78" s="24">
        <f>D34/FCFF!E$4</f>
        <v>0.27788567914449591</v>
      </c>
      <c r="E78" s="24">
        <f>E34/FCFF!F$4</f>
        <v>0.28186924554439119</v>
      </c>
      <c r="F78" s="50">
        <f>F34/FCFF!G$4</f>
        <v>0.27856475196403535</v>
      </c>
      <c r="G78" s="32">
        <f>G34/FCFF!H$4</f>
        <v>0.27885264273259985</v>
      </c>
      <c r="H78" s="50">
        <v>0.27750000000000002</v>
      </c>
      <c r="I78" s="50">
        <v>0.27750000000000002</v>
      </c>
      <c r="J78" s="50">
        <v>0.27750000000000002</v>
      </c>
      <c r="K78" s="50">
        <v>0.27750000000000002</v>
      </c>
      <c r="L78" s="50">
        <v>0.27750000000000002</v>
      </c>
      <c r="P78" s="24"/>
      <c r="Q78" s="24"/>
    </row>
    <row r="79" spans="1:17" x14ac:dyDescent="0.3">
      <c r="A79" s="74">
        <f t="shared" si="5"/>
        <v>4.9669616961012089E-2</v>
      </c>
      <c r="B79" t="s">
        <v>51</v>
      </c>
      <c r="C79" s="74">
        <f t="shared" si="6"/>
        <v>4.7E-2</v>
      </c>
      <c r="D79" s="24">
        <f>D35/FCFF!E$4</f>
        <v>5.1147906584978906E-2</v>
      </c>
      <c r="E79" s="24">
        <f>E35/FCFF!F$4</f>
        <v>5.0830633397250184E-2</v>
      </c>
      <c r="F79" s="50">
        <f>F35/FCFF!G$4</f>
        <v>5.0983050955231757E-2</v>
      </c>
      <c r="G79" s="32">
        <f>G35/FCFF!H$4</f>
        <v>4.5716876906587517E-2</v>
      </c>
      <c r="H79" s="50">
        <v>4.7E-2</v>
      </c>
      <c r="I79" s="50">
        <v>4.7E-2</v>
      </c>
      <c r="J79" s="50">
        <v>4.7E-2</v>
      </c>
      <c r="K79" s="50">
        <v>4.7E-2</v>
      </c>
      <c r="L79" s="50">
        <v>4.7E-2</v>
      </c>
      <c r="P79" s="24"/>
      <c r="Q79" s="24"/>
    </row>
    <row r="80" spans="1:17" x14ac:dyDescent="0.3">
      <c r="A80" s="74">
        <f t="shared" si="5"/>
        <v>4.5869765238518937E-3</v>
      </c>
      <c r="B80" t="s">
        <v>52</v>
      </c>
      <c r="C80" s="74">
        <f t="shared" si="6"/>
        <v>4.4999999999999997E-3</v>
      </c>
      <c r="D80" s="24">
        <f>D36/FCFF!E$4</f>
        <v>4.2035004709994363E-3</v>
      </c>
      <c r="E80" s="24">
        <f>E36/FCFF!F$4</f>
        <v>4.3672435509689977E-3</v>
      </c>
      <c r="F80" s="50">
        <f>F36/FCFF!G$4</f>
        <v>4.0035799332975132E-3</v>
      </c>
      <c r="G80" s="32">
        <f>G36/FCFF!H$4</f>
        <v>5.7735821401416259E-3</v>
      </c>
      <c r="H80" s="50">
        <v>4.4999999999999997E-3</v>
      </c>
      <c r="I80" s="50">
        <v>4.4999999999999997E-3</v>
      </c>
      <c r="J80" s="50">
        <v>4.4999999999999997E-3</v>
      </c>
      <c r="K80" s="50">
        <v>4.4999999999999997E-3</v>
      </c>
      <c r="L80" s="50">
        <v>4.4999999999999997E-3</v>
      </c>
      <c r="P80" s="24"/>
      <c r="Q80" s="24"/>
    </row>
    <row r="81" spans="1:17" x14ac:dyDescent="0.3">
      <c r="A81" s="74">
        <f t="shared" si="5"/>
        <v>3.3018851309945898E-3</v>
      </c>
      <c r="B81" t="s">
        <v>53</v>
      </c>
      <c r="C81" s="74">
        <f t="shared" si="6"/>
        <v>3.0000000000000001E-3</v>
      </c>
      <c r="D81" s="24">
        <f>D37/FCFF!E$4</f>
        <v>4.7355184623005036E-3</v>
      </c>
      <c r="E81" s="24">
        <f>E37/FCFF!F$4</f>
        <v>3.4105315057847609E-3</v>
      </c>
      <c r="F81" s="50">
        <f>F37/FCFF!G$4</f>
        <v>2.9186312318976509E-3</v>
      </c>
      <c r="G81" s="32">
        <f>G37/FCFF!H$4</f>
        <v>2.1428593239954442E-3</v>
      </c>
      <c r="H81" s="50">
        <v>3.0000000000000001E-3</v>
      </c>
      <c r="I81" s="50">
        <v>3.0000000000000001E-3</v>
      </c>
      <c r="J81" s="50">
        <v>3.0000000000000001E-3</v>
      </c>
      <c r="K81" s="50">
        <v>3.0000000000000001E-3</v>
      </c>
      <c r="L81" s="50">
        <v>3.0000000000000001E-3</v>
      </c>
      <c r="P81" s="24"/>
      <c r="Q81" s="24"/>
    </row>
    <row r="82" spans="1:17" x14ac:dyDescent="0.3">
      <c r="A82" s="74">
        <f t="shared" si="5"/>
        <v>1.8887781179725196E-3</v>
      </c>
      <c r="B82" t="s">
        <v>54</v>
      </c>
      <c r="C82" s="74">
        <f t="shared" si="6"/>
        <v>1.6000000000000001E-3</v>
      </c>
      <c r="D82" s="24">
        <f>D38/FCFF!E$4</f>
        <v>2.3833129805211225E-3</v>
      </c>
      <c r="E82" s="24">
        <f>E38/FCFF!F$4</f>
        <v>2.0530126225583229E-3</v>
      </c>
      <c r="F82" s="50">
        <f>F38/FCFF!G$4</f>
        <v>1.5904632611729846E-3</v>
      </c>
      <c r="G82" s="32">
        <f>G38/FCFF!H$4</f>
        <v>1.5283236076376484E-3</v>
      </c>
      <c r="H82" s="50">
        <v>1.6000000000000001E-3</v>
      </c>
      <c r="I82" s="50">
        <v>1.6000000000000001E-3</v>
      </c>
      <c r="J82" s="50">
        <v>1.6000000000000001E-3</v>
      </c>
      <c r="K82" s="50">
        <v>1.6000000000000001E-3</v>
      </c>
      <c r="L82" s="50">
        <v>1.6000000000000001E-3</v>
      </c>
      <c r="P82" s="24"/>
      <c r="Q82" s="24"/>
    </row>
    <row r="83" spans="1:17" x14ac:dyDescent="0.3">
      <c r="A83" s="74">
        <f t="shared" si="5"/>
        <v>0.21984582311254949</v>
      </c>
      <c r="B83" t="s">
        <v>55</v>
      </c>
      <c r="C83" s="74">
        <f t="shared" si="6"/>
        <v>0.22000000000000003</v>
      </c>
      <c r="D83" s="24">
        <f>D39/FCFF!E$4</f>
        <v>0.21541544064569595</v>
      </c>
      <c r="E83" s="24">
        <f>E39/FCFF!F$4</f>
        <v>0.22120782446782891</v>
      </c>
      <c r="F83" s="50">
        <f>F39/FCFF!G$4</f>
        <v>0.21906902658243543</v>
      </c>
      <c r="G83" s="32">
        <f>G39/FCFF!H$4</f>
        <v>0.22369100075423762</v>
      </c>
      <c r="H83" s="50">
        <v>0.22</v>
      </c>
      <c r="I83" s="50">
        <v>0.22</v>
      </c>
      <c r="J83" s="50">
        <v>0.22</v>
      </c>
      <c r="K83" s="50">
        <v>0.22</v>
      </c>
      <c r="L83" s="50">
        <v>0.22</v>
      </c>
      <c r="P83" s="24"/>
      <c r="Q83" s="24"/>
    </row>
    <row r="84" spans="1:17" x14ac:dyDescent="0.3">
      <c r="A84" s="74">
        <f t="shared" si="5"/>
        <v>0.31269790795230085</v>
      </c>
      <c r="B84" s="1" t="s">
        <v>56</v>
      </c>
      <c r="C84" s="74">
        <f t="shared" si="6"/>
        <v>0.31</v>
      </c>
      <c r="D84" s="24">
        <f>D40/FCFF!E$4</f>
        <v>0.29810635095480081</v>
      </c>
      <c r="E84" s="24">
        <f>E40/FCFF!F$4</f>
        <v>0.31665699342627807</v>
      </c>
      <c r="F84" s="50">
        <f>F40/FCFF!G$4</f>
        <v>0.32342122080176516</v>
      </c>
      <c r="G84" s="32">
        <f>G40/FCFF!H$4</f>
        <v>0.31260706662635923</v>
      </c>
      <c r="H84" s="50">
        <v>0.31</v>
      </c>
      <c r="I84" s="50">
        <v>0.31</v>
      </c>
      <c r="J84" s="50">
        <v>0.31</v>
      </c>
      <c r="K84" s="50">
        <v>0.31</v>
      </c>
      <c r="L84" s="50">
        <v>0.31</v>
      </c>
      <c r="P84" s="24"/>
      <c r="Q84" s="24"/>
    </row>
    <row r="85" spans="1:17" x14ac:dyDescent="0.3">
      <c r="A85" s="74">
        <f t="shared" si="5"/>
        <v>7.5458556421106243E-2</v>
      </c>
      <c r="B85" t="s">
        <v>57</v>
      </c>
      <c r="C85" s="74">
        <f t="shared" si="6"/>
        <v>7.4999999999999997E-2</v>
      </c>
      <c r="D85" s="24">
        <f>D41/FCFF!E$4</f>
        <v>7.7797461468577037E-2</v>
      </c>
      <c r="E85" s="24">
        <f>E41/FCFF!F$4</f>
        <v>7.431497540058235E-2</v>
      </c>
      <c r="F85" s="50">
        <f>F41/FCFF!G$4</f>
        <v>8.0457888093701413E-2</v>
      </c>
      <c r="G85" s="32">
        <f>G41/FCFF!H$4</f>
        <v>6.9263900721564173E-2</v>
      </c>
      <c r="H85" s="50">
        <v>7.4999999999999997E-2</v>
      </c>
      <c r="I85" s="50">
        <v>7.4999999999999997E-2</v>
      </c>
      <c r="J85" s="50">
        <v>7.4999999999999997E-2</v>
      </c>
      <c r="K85" s="50">
        <v>7.4999999999999997E-2</v>
      </c>
      <c r="L85" s="50">
        <v>7.4999999999999997E-2</v>
      </c>
      <c r="P85" s="24"/>
      <c r="Q85" s="24"/>
    </row>
    <row r="86" spans="1:17" x14ac:dyDescent="0.3">
      <c r="A86" s="74">
        <f t="shared" si="5"/>
        <v>0.17374669260707931</v>
      </c>
      <c r="B86" t="s">
        <v>58</v>
      </c>
      <c r="C86" s="74">
        <f t="shared" si="6"/>
        <v>0.17399999999999999</v>
      </c>
      <c r="D86" s="24">
        <f>D42/FCFF!E$4</f>
        <v>0.16161143224507604</v>
      </c>
      <c r="E86" s="24">
        <f>E42/FCFF!F$4</f>
        <v>0.18042593277383637</v>
      </c>
      <c r="F86" s="50">
        <f>F42/FCFF!G$4</f>
        <v>0.17782428441075759</v>
      </c>
      <c r="G86" s="32">
        <f>G42/FCFF!H$4</f>
        <v>0.17512512099864727</v>
      </c>
      <c r="H86" s="50">
        <v>0.17399999999999999</v>
      </c>
      <c r="I86" s="50">
        <v>0.17399999999999999</v>
      </c>
      <c r="J86" s="50">
        <v>0.17399999999999999</v>
      </c>
      <c r="K86" s="50">
        <v>0.17399999999999999</v>
      </c>
      <c r="L86" s="50">
        <v>0.17399999999999999</v>
      </c>
      <c r="P86" s="24"/>
      <c r="Q86" s="24"/>
    </row>
    <row r="87" spans="1:17" x14ac:dyDescent="0.3">
      <c r="A87" s="74">
        <f t="shared" si="5"/>
        <v>6.1957145148436157E-2</v>
      </c>
      <c r="B87" t="s">
        <v>59</v>
      </c>
      <c r="C87" s="74">
        <f t="shared" si="6"/>
        <v>6.3E-2</v>
      </c>
      <c r="D87" s="24">
        <f>D43/FCFF!E$4</f>
        <v>5.7350263257178451E-2</v>
      </c>
      <c r="E87" s="24">
        <f>E43/FCFF!F$4</f>
        <v>6.0249185937639026E-2</v>
      </c>
      <c r="F87" s="50">
        <f>F43/FCFF!G$4</f>
        <v>6.3239394527089543E-2</v>
      </c>
      <c r="G87" s="32">
        <f>G43/FCFF!H$4</f>
        <v>6.6989736871837624E-2</v>
      </c>
      <c r="H87" s="50">
        <v>6.3E-2</v>
      </c>
      <c r="I87" s="50">
        <v>6.3E-2</v>
      </c>
      <c r="J87" s="50">
        <v>6.3E-2</v>
      </c>
      <c r="K87" s="50">
        <v>6.3E-2</v>
      </c>
      <c r="L87" s="50">
        <v>6.3E-2</v>
      </c>
      <c r="P87" s="24"/>
      <c r="Q87" s="24"/>
    </row>
    <row r="88" spans="1:17" x14ac:dyDescent="0.3">
      <c r="A88" s="74">
        <f t="shared" si="5"/>
        <v>1.5355137756790929E-3</v>
      </c>
      <c r="B88" t="s">
        <v>60</v>
      </c>
      <c r="C88" s="74">
        <f t="shared" si="6"/>
        <v>1.5E-3</v>
      </c>
      <c r="D88" s="24">
        <f>D44/FCFF!E$4</f>
        <v>1.3471939839692689E-3</v>
      </c>
      <c r="E88" s="24">
        <f>E44/FCFF!F$4</f>
        <v>1.6668993142203163E-3</v>
      </c>
      <c r="F88" s="50">
        <f>F44/FCFF!G$4</f>
        <v>1.8996537702166082E-3</v>
      </c>
      <c r="G88" s="32">
        <f>G44/FCFF!H$4</f>
        <v>1.228308034310178E-3</v>
      </c>
      <c r="H88" s="50">
        <v>1.5E-3</v>
      </c>
      <c r="I88" s="50">
        <v>1.5E-3</v>
      </c>
      <c r="J88" s="50">
        <v>1.5E-3</v>
      </c>
      <c r="K88" s="50">
        <v>1.5E-3</v>
      </c>
      <c r="L88" s="50">
        <v>1.5E-3</v>
      </c>
      <c r="P88" s="24"/>
      <c r="Q88" s="24"/>
    </row>
    <row r="89" spans="1:17" x14ac:dyDescent="0.3">
      <c r="A89" s="74">
        <f t="shared" si="5"/>
        <v>0.25916564876211257</v>
      </c>
      <c r="B89" s="25" t="s">
        <v>190</v>
      </c>
      <c r="C89" s="74">
        <f t="shared" si="6"/>
        <v>0.27</v>
      </c>
      <c r="D89" s="24">
        <f>D45/FCFF!E$4</f>
        <v>0.2481126123359578</v>
      </c>
      <c r="E89" s="24">
        <f>E45/FCFF!F$4</f>
        <v>0.25635638013467438</v>
      </c>
      <c r="F89" s="50">
        <f>F45/FCFF!G$4</f>
        <v>0.2645041347275785</v>
      </c>
      <c r="G89" s="32">
        <f>G45/FCFF!H$4</f>
        <v>0.26768946785023956</v>
      </c>
      <c r="H89" s="50">
        <v>0.27</v>
      </c>
      <c r="I89" s="50">
        <v>0.27</v>
      </c>
      <c r="J89" s="50">
        <v>0.27</v>
      </c>
      <c r="K89" s="50">
        <v>0.27</v>
      </c>
      <c r="L89" s="50">
        <v>0.27</v>
      </c>
      <c r="P89" s="24"/>
      <c r="Q89" s="2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41CA-5E9C-4DA9-8AA7-5FCEF63A14C6}">
  <dimension ref="A2:W46"/>
  <sheetViews>
    <sheetView topLeftCell="A10" zoomScaleNormal="100" workbookViewId="0">
      <selection activeCell="E30" sqref="E30"/>
    </sheetView>
  </sheetViews>
  <sheetFormatPr defaultRowHeight="14.4" x14ac:dyDescent="0.3"/>
  <cols>
    <col min="2" max="2" width="71.109375" bestFit="1" customWidth="1"/>
  </cols>
  <sheetData>
    <row r="2" spans="1:20" x14ac:dyDescent="0.3">
      <c r="A2" t="str">
        <f>B2&amp;" "&amp;C2&amp;" "&amp;D2&amp;" "&amp;E2&amp;" "&amp;F2&amp;" "&amp;G2&amp;" "&amp;J2&amp;" "&amp;K2</f>
        <v xml:space="preserve">koda       </v>
      </c>
      <c r="B2" t="s">
        <v>333</v>
      </c>
      <c r="K2" s="72"/>
    </row>
    <row r="3" spans="1:20" x14ac:dyDescent="0.3">
      <c r="A3" t="str">
        <f>B3&amp;" "&amp;C3&amp;" "&amp;D3&amp;" "&amp;E3&amp;" "&amp;F3&amp;" "&amp;G3&amp;" "&amp;J3&amp;" "&amp;K3</f>
        <v xml:space="preserve">       </v>
      </c>
      <c r="T3" s="72"/>
    </row>
    <row r="4" spans="1:20" x14ac:dyDescent="0.3">
      <c r="C4">
        <v>2013</v>
      </c>
      <c r="D4">
        <v>2013</v>
      </c>
      <c r="E4">
        <v>2014</v>
      </c>
      <c r="F4">
        <v>2014</v>
      </c>
      <c r="G4">
        <v>2015</v>
      </c>
      <c r="H4">
        <v>2015</v>
      </c>
      <c r="I4">
        <v>2016</v>
      </c>
      <c r="J4">
        <v>2016</v>
      </c>
      <c r="K4">
        <v>2017</v>
      </c>
      <c r="L4">
        <v>2017</v>
      </c>
      <c r="T4" s="72"/>
    </row>
    <row r="5" spans="1:20" x14ac:dyDescent="0.3">
      <c r="B5" t="s">
        <v>14</v>
      </c>
      <c r="D5" s="72">
        <v>-18644</v>
      </c>
      <c r="F5" s="72">
        <v>3863</v>
      </c>
      <c r="H5" s="72">
        <v>-3988</v>
      </c>
      <c r="J5" s="72">
        <v>13240</v>
      </c>
      <c r="K5" s="72"/>
      <c r="L5" s="72">
        <v>4487</v>
      </c>
    </row>
    <row r="6" spans="1:20" x14ac:dyDescent="0.3">
      <c r="B6" t="s">
        <v>326</v>
      </c>
      <c r="C6" s="61">
        <v>0.17</v>
      </c>
      <c r="D6" s="72">
        <v>-3169</v>
      </c>
      <c r="E6" s="61">
        <v>0.17</v>
      </c>
      <c r="F6">
        <v>657</v>
      </c>
      <c r="G6" s="61">
        <v>0.17</v>
      </c>
      <c r="H6">
        <v>-678</v>
      </c>
      <c r="I6" s="61">
        <v>0.17</v>
      </c>
      <c r="J6" s="72">
        <v>2251</v>
      </c>
      <c r="K6" s="61">
        <f>L6/L$5</f>
        <v>0.19010474704702474</v>
      </c>
      <c r="L6">
        <v>853</v>
      </c>
    </row>
    <row r="7" spans="1:20" x14ac:dyDescent="0.3">
      <c r="B7" t="s">
        <v>327</v>
      </c>
      <c r="C7" s="61">
        <v>3.7999999999999999E-2</v>
      </c>
      <c r="D7">
        <v>-713</v>
      </c>
      <c r="E7" s="61">
        <v>-0.17</v>
      </c>
      <c r="F7">
        <v>-657</v>
      </c>
      <c r="G7" s="61">
        <v>0.11800000000000001</v>
      </c>
      <c r="H7">
        <v>-469</v>
      </c>
      <c r="I7" s="61">
        <v>1.1000000000000001E-2</v>
      </c>
      <c r="J7">
        <v>146</v>
      </c>
      <c r="K7" s="61">
        <f>L7/L$5</f>
        <v>5.9728103409850679E-2</v>
      </c>
      <c r="L7">
        <v>268</v>
      </c>
    </row>
    <row r="8" spans="1:20" x14ac:dyDescent="0.3">
      <c r="B8" t="s">
        <v>328</v>
      </c>
      <c r="C8" s="61">
        <v>6.6000000000000003E-2</v>
      </c>
      <c r="D8" s="72">
        <v>-1229</v>
      </c>
      <c r="E8" s="61">
        <v>0.36599999999999999</v>
      </c>
      <c r="F8" s="72">
        <v>1415</v>
      </c>
      <c r="G8" s="61">
        <v>-0.99299999999999999</v>
      </c>
      <c r="H8" s="72">
        <v>3961</v>
      </c>
      <c r="I8" s="61">
        <v>0.17</v>
      </c>
      <c r="J8" s="72">
        <v>2245</v>
      </c>
      <c r="K8" s="61">
        <f>L8/L$5</f>
        <v>0.33207042567416983</v>
      </c>
      <c r="L8" s="72">
        <v>1490</v>
      </c>
    </row>
    <row r="9" spans="1:20" x14ac:dyDescent="0.3">
      <c r="B9" t="s">
        <v>329</v>
      </c>
      <c r="C9" s="61">
        <v>9.0000000000000011E-3</v>
      </c>
      <c r="D9">
        <v>-170</v>
      </c>
      <c r="E9" s="61">
        <v>-6.0000000000000001E-3</v>
      </c>
      <c r="F9">
        <v>-23</v>
      </c>
      <c r="G9" s="61">
        <v>-1E-3</v>
      </c>
      <c r="H9">
        <v>3</v>
      </c>
      <c r="I9" s="61">
        <v>3.5000000000000003E-2</v>
      </c>
      <c r="J9">
        <v>463</v>
      </c>
      <c r="K9" s="61">
        <f>L9/L$5</f>
        <v>-4.2121684867394697E-2</v>
      </c>
      <c r="L9">
        <v>-189</v>
      </c>
    </row>
    <row r="10" spans="1:20" x14ac:dyDescent="0.3">
      <c r="B10" t="s">
        <v>330</v>
      </c>
      <c r="C10" s="61">
        <v>4.8000000000000001E-2</v>
      </c>
      <c r="D10">
        <v>-904</v>
      </c>
      <c r="E10" s="61">
        <v>-0.76900000000000002</v>
      </c>
      <c r="F10" s="72">
        <v>-2972</v>
      </c>
      <c r="G10" s="61">
        <v>0.04</v>
      </c>
      <c r="H10">
        <v>-158</v>
      </c>
      <c r="I10" s="61">
        <v>-0.33899999999999997</v>
      </c>
      <c r="J10" s="72">
        <v>-4488</v>
      </c>
      <c r="K10" s="261">
        <f>L10/L$5</f>
        <v>0.13550256295966123</v>
      </c>
      <c r="L10" s="262">
        <v>608</v>
      </c>
    </row>
    <row r="11" spans="1:20" x14ac:dyDescent="0.3">
      <c r="B11" t="s">
        <v>332</v>
      </c>
      <c r="C11" s="61">
        <v>-0.14099999999999999</v>
      </c>
      <c r="D11" s="72">
        <v>2632</v>
      </c>
      <c r="E11" s="61">
        <v>1.2350000000000001</v>
      </c>
      <c r="F11" s="72">
        <v>4772</v>
      </c>
      <c r="G11" s="61">
        <v>-0.2</v>
      </c>
      <c r="H11">
        <v>798</v>
      </c>
      <c r="I11" s="61">
        <v>0.247</v>
      </c>
      <c r="J11" s="72">
        <v>3274</v>
      </c>
      <c r="K11" s="261"/>
      <c r="L11" s="262"/>
    </row>
    <row r="12" spans="1:20" x14ac:dyDescent="0.3">
      <c r="B12" t="s">
        <v>331</v>
      </c>
      <c r="C12" s="61">
        <v>3.6000000000000004E-2</v>
      </c>
      <c r="D12">
        <v>-666</v>
      </c>
      <c r="E12" s="61">
        <v>-0.14699999999999999</v>
      </c>
      <c r="F12">
        <v>-568</v>
      </c>
      <c r="G12" s="61">
        <v>-0.13600000000000001</v>
      </c>
      <c r="H12">
        <v>543</v>
      </c>
      <c r="I12" s="61">
        <v>6.9000000000000006E-2</v>
      </c>
      <c r="J12">
        <v>919</v>
      </c>
      <c r="K12" s="61">
        <f>L12/L$5</f>
        <v>2.5852462669935367E-2</v>
      </c>
      <c r="L12">
        <v>116</v>
      </c>
    </row>
    <row r="13" spans="1:20" x14ac:dyDescent="0.3">
      <c r="B13" t="s">
        <v>15</v>
      </c>
      <c r="C13" s="61">
        <v>0.22600000000000001</v>
      </c>
      <c r="D13" s="72">
        <v>-4219</v>
      </c>
      <c r="E13" s="61">
        <v>0.67900000000000005</v>
      </c>
      <c r="F13" s="72">
        <v>2624</v>
      </c>
      <c r="G13" s="61">
        <v>-1.0029999999999999</v>
      </c>
      <c r="H13" s="72">
        <v>4000</v>
      </c>
      <c r="I13" s="61">
        <v>0.36299999999999999</v>
      </c>
      <c r="J13" s="72">
        <v>4810</v>
      </c>
      <c r="K13" s="61">
        <f>L13/L$5</f>
        <v>0.70113661689324713</v>
      </c>
      <c r="L13" s="72">
        <v>3146</v>
      </c>
    </row>
    <row r="14" spans="1:20" x14ac:dyDescent="0.3">
      <c r="C14" s="42"/>
      <c r="H14" s="72"/>
      <c r="K14" s="61"/>
      <c r="O14" s="30"/>
    </row>
    <row r="15" spans="1:20" x14ac:dyDescent="0.3"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</row>
    <row r="16" spans="1:20" x14ac:dyDescent="0.3">
      <c r="C16">
        <v>2013</v>
      </c>
      <c r="D16">
        <v>2014</v>
      </c>
      <c r="E16">
        <v>2015</v>
      </c>
      <c r="F16">
        <v>2016</v>
      </c>
      <c r="G16" s="31">
        <v>2017</v>
      </c>
      <c r="H16">
        <v>2018</v>
      </c>
      <c r="I16">
        <v>2019</v>
      </c>
      <c r="J16">
        <v>2020</v>
      </c>
      <c r="K16">
        <v>2021</v>
      </c>
      <c r="L16">
        <v>2022</v>
      </c>
    </row>
    <row r="17" spans="1:21" x14ac:dyDescent="0.3">
      <c r="B17" t="str">
        <f t="shared" ref="B17:B25" si="0">B5</f>
        <v xml:space="preserve">Poslovni izid pred davki    </v>
      </c>
      <c r="C17" s="61"/>
      <c r="D17" s="61"/>
      <c r="E17" s="61"/>
      <c r="F17" s="61"/>
      <c r="G17" s="132"/>
      <c r="H17" s="61"/>
      <c r="T17" s="72"/>
    </row>
    <row r="18" spans="1:21" x14ac:dyDescent="0.3">
      <c r="A18" s="42">
        <f>AVERAGE(C18:G18)</f>
        <v>0.17402094940940496</v>
      </c>
      <c r="B18" t="str">
        <f t="shared" si="0"/>
        <v xml:space="preserve">Davek, obračunan z uporabo splošne davčne stopnje </v>
      </c>
      <c r="C18" s="61">
        <f t="shared" ref="C18:C25" si="1">C6</f>
        <v>0.17</v>
      </c>
      <c r="D18" s="61">
        <f t="shared" ref="D18:D25" si="2">E6</f>
        <v>0.17</v>
      </c>
      <c r="E18" s="61">
        <f t="shared" ref="E18:E25" si="3">G6</f>
        <v>0.17</v>
      </c>
      <c r="F18" s="61">
        <f t="shared" ref="F18:F25" si="4">I6</f>
        <v>0.17</v>
      </c>
      <c r="G18" s="132">
        <f>K6</f>
        <v>0.19010474704702474</v>
      </c>
      <c r="H18" s="61">
        <v>0.19010474704702474</v>
      </c>
      <c r="I18" s="61">
        <v>0.19010474704702474</v>
      </c>
      <c r="J18" s="61">
        <v>0.19010474704702474</v>
      </c>
      <c r="K18" s="61">
        <v>0.19010474704702474</v>
      </c>
      <c r="L18" s="61">
        <v>0.19010474704702474</v>
      </c>
      <c r="N18" s="42">
        <f>AVERAGE(H18:L18)</f>
        <v>0.19010474704702474</v>
      </c>
    </row>
    <row r="19" spans="1:21" x14ac:dyDescent="0.3">
      <c r="A19" s="42">
        <f t="shared" ref="A19:A25" si="5">AVERAGE(C19:G19)</f>
        <v>1.1345620681970137E-2</v>
      </c>
      <c r="B19" t="str">
        <f t="shared" si="0"/>
        <v>Prilagoditev za davčno stopnjo iz drugih davčnih območij</v>
      </c>
      <c r="C19" s="61">
        <f t="shared" si="1"/>
        <v>3.7999999999999999E-2</v>
      </c>
      <c r="D19" s="61">
        <f t="shared" si="2"/>
        <v>-0.17</v>
      </c>
      <c r="E19" s="61">
        <f t="shared" si="3"/>
        <v>0.11800000000000001</v>
      </c>
      <c r="F19" s="61">
        <f t="shared" si="4"/>
        <v>1.1000000000000001E-2</v>
      </c>
      <c r="G19" s="132">
        <f>K7</f>
        <v>5.9728103409850679E-2</v>
      </c>
      <c r="H19" s="61">
        <v>0.08</v>
      </c>
      <c r="I19" s="61">
        <v>0.05</v>
      </c>
      <c r="J19" s="61">
        <v>0.11</v>
      </c>
      <c r="K19" s="61">
        <v>0.1</v>
      </c>
      <c r="L19" s="61">
        <v>0.04</v>
      </c>
      <c r="N19" s="42">
        <f t="shared" ref="N19:N25" si="6">AVERAGE(H19:L19)</f>
        <v>7.5999999999999984E-2</v>
      </c>
      <c r="T19" s="72"/>
    </row>
    <row r="20" spans="1:21" x14ac:dyDescent="0.3">
      <c r="A20" s="42">
        <f t="shared" si="5"/>
        <v>-1.1785914865166013E-2</v>
      </c>
      <c r="B20" t="str">
        <f t="shared" si="0"/>
        <v xml:space="preserve">Davčno nepriznani odhodki     </v>
      </c>
      <c r="C20" s="61">
        <f t="shared" si="1"/>
        <v>6.6000000000000003E-2</v>
      </c>
      <c r="D20" s="61">
        <f t="shared" si="2"/>
        <v>0.36599999999999999</v>
      </c>
      <c r="E20" s="61">
        <f t="shared" si="3"/>
        <v>-0.99299999999999999</v>
      </c>
      <c r="F20" s="61">
        <f t="shared" si="4"/>
        <v>0.17</v>
      </c>
      <c r="G20" s="132">
        <f>K8</f>
        <v>0.33207042567416983</v>
      </c>
      <c r="H20" s="61">
        <v>-0.01</v>
      </c>
      <c r="I20" s="61">
        <v>-0.01</v>
      </c>
      <c r="J20" s="61">
        <v>-0.01</v>
      </c>
      <c r="K20" s="61">
        <v>-0.01</v>
      </c>
      <c r="L20" s="61">
        <v>-0.01</v>
      </c>
      <c r="N20" s="42">
        <f t="shared" si="6"/>
        <v>-0.01</v>
      </c>
      <c r="T20" s="72"/>
    </row>
    <row r="21" spans="1:21" x14ac:dyDescent="0.3">
      <c r="A21" s="42">
        <f t="shared" si="5"/>
        <v>-1.0243369734789383E-3</v>
      </c>
      <c r="B21" t="str">
        <f t="shared" si="0"/>
        <v xml:space="preserve">Davčno izvzeti prihodki     </v>
      </c>
      <c r="C21" s="61">
        <f t="shared" si="1"/>
        <v>9.0000000000000011E-3</v>
      </c>
      <c r="D21" s="61">
        <f t="shared" si="2"/>
        <v>-6.0000000000000001E-3</v>
      </c>
      <c r="E21" s="61">
        <f t="shared" si="3"/>
        <v>-1E-3</v>
      </c>
      <c r="F21" s="61">
        <f t="shared" si="4"/>
        <v>3.5000000000000003E-2</v>
      </c>
      <c r="G21" s="132">
        <f>K9</f>
        <v>-4.2121684867394697E-2</v>
      </c>
      <c r="H21" s="61">
        <v>-0.03</v>
      </c>
      <c r="I21" s="61">
        <v>-0.02</v>
      </c>
      <c r="J21" s="61">
        <v>-1E-3</v>
      </c>
      <c r="K21" s="61">
        <v>1.2E-2</v>
      </c>
      <c r="L21" s="61">
        <v>8.0000000000000002E-3</v>
      </c>
      <c r="N21" s="42">
        <f>AVERAGE(H21:L21)</f>
        <v>-6.2000000000000015E-3</v>
      </c>
      <c r="T21" s="72"/>
    </row>
    <row r="22" spans="1:21" x14ac:dyDescent="0.3">
      <c r="A22" s="42">
        <f t="shared" si="5"/>
        <v>-0.17689948740806777</v>
      </c>
      <c r="B22" t="str">
        <f t="shared" si="0"/>
        <v xml:space="preserve">Davčne olajšave      </v>
      </c>
      <c r="C22" s="61">
        <f t="shared" si="1"/>
        <v>4.8000000000000001E-2</v>
      </c>
      <c r="D22" s="61">
        <f t="shared" si="2"/>
        <v>-0.76900000000000002</v>
      </c>
      <c r="E22" s="61">
        <f t="shared" si="3"/>
        <v>0.04</v>
      </c>
      <c r="F22" s="61">
        <f t="shared" si="4"/>
        <v>-0.33899999999999997</v>
      </c>
      <c r="G22" s="132">
        <f>K10</f>
        <v>0.13550256295966123</v>
      </c>
      <c r="H22" s="61">
        <v>-0.17</v>
      </c>
      <c r="I22" s="61">
        <v>-0.17</v>
      </c>
      <c r="J22" s="61">
        <v>-0.17</v>
      </c>
      <c r="K22" s="61">
        <v>0.04</v>
      </c>
      <c r="L22" s="61">
        <v>-0.17</v>
      </c>
      <c r="N22" s="42">
        <f t="shared" si="6"/>
        <v>-0.128</v>
      </c>
      <c r="U22" s="61"/>
    </row>
    <row r="23" spans="1:21" x14ac:dyDescent="0.3">
      <c r="A23" s="42">
        <f t="shared" si="5"/>
        <v>0.28525</v>
      </c>
      <c r="B23" t="str">
        <f t="shared" si="0"/>
        <v xml:space="preserve">Davčne izgube tekočega leta, za katere terjatve za odložene davke niso pripoznane    </v>
      </c>
      <c r="C23" s="61">
        <f t="shared" si="1"/>
        <v>-0.14099999999999999</v>
      </c>
      <c r="D23" s="61">
        <f t="shared" si="2"/>
        <v>1.2350000000000001</v>
      </c>
      <c r="E23" s="61">
        <f t="shared" si="3"/>
        <v>-0.2</v>
      </c>
      <c r="F23" s="61">
        <f t="shared" si="4"/>
        <v>0.247</v>
      </c>
      <c r="G23" s="132"/>
      <c r="H23" s="61">
        <v>0.28000000000000003</v>
      </c>
      <c r="I23" s="61">
        <v>0.28000000000000003</v>
      </c>
      <c r="J23" s="61">
        <v>0.28000000000000003</v>
      </c>
      <c r="K23" s="61">
        <v>0.28999999999999998</v>
      </c>
      <c r="L23" s="61">
        <v>0.15</v>
      </c>
      <c r="N23" s="42">
        <f t="shared" si="6"/>
        <v>0.25600000000000001</v>
      </c>
      <c r="U23" s="61"/>
    </row>
    <row r="24" spans="1:21" x14ac:dyDescent="0.3">
      <c r="A24" s="42">
        <f t="shared" si="5"/>
        <v>-3.0429507466012924E-2</v>
      </c>
      <c r="B24" t="str">
        <f t="shared" si="0"/>
        <v xml:space="preserve">Druge razlike      </v>
      </c>
      <c r="C24" s="61">
        <f t="shared" si="1"/>
        <v>3.6000000000000004E-2</v>
      </c>
      <c r="D24" s="61">
        <f t="shared" si="2"/>
        <v>-0.14699999999999999</v>
      </c>
      <c r="E24" s="61">
        <f t="shared" si="3"/>
        <v>-0.13600000000000001</v>
      </c>
      <c r="F24" s="61">
        <f t="shared" si="4"/>
        <v>6.9000000000000006E-2</v>
      </c>
      <c r="G24" s="132">
        <f>K12</f>
        <v>2.5852462669935367E-2</v>
      </c>
      <c r="H24" s="61">
        <v>-0.03</v>
      </c>
      <c r="I24" s="61">
        <v>0.03</v>
      </c>
      <c r="J24" s="61">
        <v>0</v>
      </c>
      <c r="K24" s="61">
        <v>0.08</v>
      </c>
      <c r="L24" s="61">
        <v>0.04</v>
      </c>
      <c r="N24" s="42">
        <f t="shared" si="6"/>
        <v>2.4E-2</v>
      </c>
      <c r="U24" s="61"/>
    </row>
    <row r="25" spans="1:21" x14ac:dyDescent="0.3">
      <c r="A25" s="42">
        <f t="shared" si="5"/>
        <v>0.19322732337864945</v>
      </c>
      <c r="B25" s="80" t="str">
        <f t="shared" si="0"/>
        <v xml:space="preserve">Davek iz dobička     </v>
      </c>
      <c r="C25" s="131">
        <f t="shared" si="1"/>
        <v>0.22600000000000001</v>
      </c>
      <c r="D25" s="131">
        <f t="shared" si="2"/>
        <v>0.67900000000000005</v>
      </c>
      <c r="E25" s="131">
        <f t="shared" si="3"/>
        <v>-1.0029999999999999</v>
      </c>
      <c r="F25" s="131">
        <f t="shared" si="4"/>
        <v>0.36299999999999999</v>
      </c>
      <c r="G25" s="133">
        <f>K13</f>
        <v>0.70113661689324713</v>
      </c>
      <c r="H25" s="131">
        <f>SUM(H18:H24)</f>
        <v>0.31010474704702473</v>
      </c>
      <c r="I25" s="131">
        <f>SUM(I18:I24)</f>
        <v>0.35010474704702477</v>
      </c>
      <c r="J25" s="131">
        <f>SUM(J18:J24)</f>
        <v>0.3991047470470247</v>
      </c>
      <c r="K25" s="131">
        <f>SUM(K18:K24)</f>
        <v>0.70210474704702464</v>
      </c>
      <c r="L25" s="131">
        <f>SUM(L18:L24)</f>
        <v>0.24810474704702473</v>
      </c>
      <c r="N25" s="42">
        <f t="shared" si="6"/>
        <v>0.40190474704702472</v>
      </c>
      <c r="U25" s="61"/>
    </row>
    <row r="26" spans="1:21" x14ac:dyDescent="0.3">
      <c r="A26" s="42"/>
      <c r="C26" s="42"/>
      <c r="H26" s="61"/>
      <c r="I26" s="61"/>
      <c r="J26" s="61"/>
      <c r="K26" s="61"/>
      <c r="L26" s="61"/>
      <c r="N26" s="42"/>
      <c r="U26" s="61"/>
    </row>
    <row r="27" spans="1:21" x14ac:dyDescent="0.3">
      <c r="A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N27" s="42"/>
      <c r="U27" s="61"/>
    </row>
    <row r="28" spans="1:21" x14ac:dyDescent="0.3">
      <c r="A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N28" s="42"/>
      <c r="U28" s="61"/>
    </row>
    <row r="29" spans="1:21" x14ac:dyDescent="0.3">
      <c r="A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N29" s="42"/>
      <c r="T29" s="72"/>
    </row>
    <row r="30" spans="1:21" x14ac:dyDescent="0.3">
      <c r="A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N30" s="42"/>
    </row>
    <row r="31" spans="1:21" x14ac:dyDescent="0.3">
      <c r="A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N31" s="42"/>
    </row>
    <row r="32" spans="1:21" x14ac:dyDescent="0.3">
      <c r="A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N32" s="42"/>
    </row>
    <row r="33" spans="1:23" x14ac:dyDescent="0.3">
      <c r="A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N33" s="42"/>
    </row>
    <row r="34" spans="1:23" x14ac:dyDescent="0.3">
      <c r="A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61"/>
      <c r="N34" s="42"/>
      <c r="T34" s="72"/>
    </row>
    <row r="35" spans="1:23" x14ac:dyDescent="0.3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61"/>
      <c r="N35" s="61"/>
    </row>
    <row r="36" spans="1:23" x14ac:dyDescent="0.3"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61"/>
      <c r="N36" s="61"/>
    </row>
    <row r="37" spans="1:23" x14ac:dyDescent="0.3">
      <c r="C37" s="42"/>
      <c r="D37" s="61"/>
      <c r="E37" s="61"/>
      <c r="F37" s="61"/>
      <c r="G37" s="61"/>
      <c r="H37" s="61"/>
    </row>
    <row r="38" spans="1:23" x14ac:dyDescent="0.3">
      <c r="C38" s="42"/>
      <c r="D38" s="61"/>
      <c r="E38" s="61"/>
      <c r="F38" s="61"/>
      <c r="G38" s="61"/>
      <c r="H38" s="129"/>
      <c r="J38" s="61"/>
      <c r="K38" s="61"/>
      <c r="L38" s="61"/>
      <c r="M38" s="61"/>
      <c r="N38" s="61"/>
    </row>
    <row r="39" spans="1:23" x14ac:dyDescent="0.3">
      <c r="C39" s="42"/>
      <c r="D39" s="61"/>
      <c r="E39" s="61"/>
      <c r="F39" s="61"/>
      <c r="G39" s="61"/>
      <c r="H39" s="129"/>
      <c r="J39" s="61"/>
      <c r="K39" s="61"/>
      <c r="L39" s="61"/>
      <c r="M39" s="61"/>
      <c r="N39" s="61"/>
    </row>
    <row r="40" spans="1:23" x14ac:dyDescent="0.3">
      <c r="C40" s="42"/>
      <c r="D40" s="61"/>
      <c r="E40" s="61"/>
      <c r="F40" s="61"/>
      <c r="G40" s="61"/>
      <c r="H40" s="61"/>
      <c r="J40" s="61"/>
      <c r="K40" s="61"/>
      <c r="L40" s="61"/>
      <c r="M40" s="61"/>
      <c r="N40" s="61"/>
    </row>
    <row r="41" spans="1:23" x14ac:dyDescent="0.3">
      <c r="C41" s="42"/>
      <c r="D41" s="61"/>
      <c r="E41" s="61"/>
      <c r="F41" s="61"/>
      <c r="G41" s="61"/>
      <c r="H41" s="61"/>
      <c r="J41" s="42"/>
      <c r="K41" s="42"/>
      <c r="L41" s="42"/>
      <c r="M41" s="42"/>
      <c r="N41" s="42"/>
    </row>
    <row r="42" spans="1:23" x14ac:dyDescent="0.3">
      <c r="U42" s="72"/>
      <c r="W42" s="72"/>
    </row>
    <row r="44" spans="1:23" x14ac:dyDescent="0.3">
      <c r="L44" s="72"/>
      <c r="T44" s="72"/>
    </row>
    <row r="46" spans="1:23" x14ac:dyDescent="0.3">
      <c r="L46" s="72"/>
      <c r="T46" s="72"/>
    </row>
  </sheetData>
  <mergeCells count="2">
    <mergeCell ref="K10:K11"/>
    <mergeCell ref="L10:L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8"/>
  <sheetViews>
    <sheetView topLeftCell="A28" zoomScale="85" zoomScaleNormal="85" workbookViewId="0">
      <selection activeCell="H39" sqref="H39"/>
    </sheetView>
  </sheetViews>
  <sheetFormatPr defaultRowHeight="14.4" x14ac:dyDescent="0.3"/>
  <cols>
    <col min="1" max="1" width="31.5546875" bestFit="1" customWidth="1"/>
    <col min="2" max="2" width="11.6640625" bestFit="1" customWidth="1"/>
    <col min="3" max="3" width="11.109375" bestFit="1" customWidth="1"/>
    <col min="4" max="4" width="14.88671875" bestFit="1" customWidth="1"/>
    <col min="5" max="6" width="11.109375" bestFit="1" customWidth="1"/>
    <col min="8" max="8" width="63.6640625" bestFit="1" customWidth="1"/>
    <col min="9" max="13" width="9.88671875" bestFit="1" customWidth="1"/>
  </cols>
  <sheetData>
    <row r="1" spans="1:13" x14ac:dyDescent="0.3">
      <c r="A1" t="s">
        <v>196</v>
      </c>
      <c r="B1" s="72">
        <f>B5</f>
        <v>109151</v>
      </c>
      <c r="C1" s="72">
        <f>C5</f>
        <v>112143</v>
      </c>
      <c r="D1" s="72">
        <f>D5</f>
        <v>123511</v>
      </c>
      <c r="E1" s="72">
        <f>E5</f>
        <v>121093</v>
      </c>
      <c r="F1" s="72">
        <f>F5</f>
        <v>122060</v>
      </c>
      <c r="G1" t="s">
        <v>334</v>
      </c>
      <c r="H1">
        <f>1*0.09595</f>
        <v>9.5949999999999994E-2</v>
      </c>
    </row>
    <row r="2" spans="1:13" x14ac:dyDescent="0.3">
      <c r="B2" s="72">
        <f>B1*$H1*1000</f>
        <v>10473038.449999999</v>
      </c>
      <c r="C2" s="72">
        <f>C1*$H1*1000</f>
        <v>10760120.85</v>
      </c>
      <c r="D2" s="72">
        <f>D1*$H1*1000</f>
        <v>11850880.449999999</v>
      </c>
      <c r="E2" s="72">
        <f>E1*$H1*1000</f>
        <v>11618873.35</v>
      </c>
      <c r="F2" s="72">
        <f>F1*$H1*1000</f>
        <v>11711657</v>
      </c>
      <c r="G2" t="s">
        <v>335</v>
      </c>
    </row>
    <row r="3" spans="1:13" x14ac:dyDescent="0.3">
      <c r="A3" s="1" t="s">
        <v>202</v>
      </c>
      <c r="D3" s="72"/>
      <c r="I3">
        <f>B2/I5</f>
        <v>8.4427169842045267</v>
      </c>
      <c r="J3">
        <f>C2/J5</f>
        <v>8.5825755333939</v>
      </c>
      <c r="K3">
        <f>D2/K5</f>
        <v>9.6739591062742178</v>
      </c>
      <c r="L3">
        <f>E2/L5</f>
        <v>9.2350780606681049</v>
      </c>
      <c r="M3">
        <f>F2/M5</f>
        <v>8.9406602785488101</v>
      </c>
    </row>
    <row r="4" spans="1:13" ht="15" thickBot="1" x14ac:dyDescent="0.35">
      <c r="A4" t="s">
        <v>205</v>
      </c>
      <c r="B4">
        <v>2013</v>
      </c>
      <c r="C4">
        <v>2014</v>
      </c>
      <c r="D4">
        <v>2015</v>
      </c>
      <c r="E4">
        <v>2016</v>
      </c>
      <c r="F4">
        <v>2017</v>
      </c>
      <c r="H4" s="1" t="s">
        <v>206</v>
      </c>
      <c r="I4" s="44">
        <v>2013</v>
      </c>
      <c r="J4" s="44">
        <v>2014</v>
      </c>
      <c r="K4" s="44">
        <v>2015</v>
      </c>
      <c r="L4" s="44">
        <v>2016</v>
      </c>
      <c r="M4" s="44">
        <v>2017</v>
      </c>
    </row>
    <row r="5" spans="1:13" ht="15" thickBot="1" x14ac:dyDescent="0.35">
      <c r="A5" s="1" t="s">
        <v>1</v>
      </c>
      <c r="B5" s="3">
        <v>109151</v>
      </c>
      <c r="C5" s="3">
        <v>112143</v>
      </c>
      <c r="D5" s="3">
        <v>123511</v>
      </c>
      <c r="E5" s="3">
        <v>121093</v>
      </c>
      <c r="F5" s="3">
        <v>122060</v>
      </c>
      <c r="H5" s="115" t="str">
        <f>FCFF!C4</f>
        <v xml:space="preserve">Prihodki od prodaje     </v>
      </c>
      <c r="I5" s="102">
        <f>FCFF!D4</f>
        <v>1240482</v>
      </c>
      <c r="J5" s="102">
        <f>FCFF!E4</f>
        <v>1253717</v>
      </c>
      <c r="K5" s="102">
        <f>FCFF!F4</f>
        <v>1225029</v>
      </c>
      <c r="L5" s="102">
        <f>FCFF!G4</f>
        <v>1258124</v>
      </c>
      <c r="M5" s="103">
        <f>FCFF!H4</f>
        <v>1309932</v>
      </c>
    </row>
    <row r="6" spans="1:13" x14ac:dyDescent="0.3">
      <c r="A6" s="1" t="s">
        <v>220</v>
      </c>
      <c r="B6" s="3"/>
      <c r="C6" s="24">
        <f>C5/B5-100%</f>
        <v>2.7411567461590014E-2</v>
      </c>
      <c r="D6" s="24">
        <f>D5/C5-100%</f>
        <v>0.10137057150245665</v>
      </c>
      <c r="E6" s="24">
        <f>E5/D5-100%</f>
        <v>-1.9577203649877362E-2</v>
      </c>
      <c r="F6" s="24">
        <f>F5/E5-100%</f>
        <v>7.9855978462834987E-3</v>
      </c>
      <c r="G6" s="24"/>
      <c r="H6" s="113" t="str">
        <f>FCFF!C5</f>
        <v>Rast v %</v>
      </c>
      <c r="I6" s="30">
        <f>FCFF!D5</f>
        <v>0</v>
      </c>
      <c r="J6" s="30">
        <f>FCFF!E5</f>
        <v>1.066923985998991E-2</v>
      </c>
      <c r="K6" s="30">
        <f>FCFF!F5</f>
        <v>-2.2882357023155997E-2</v>
      </c>
      <c r="L6" s="30">
        <f>FCFF!G5</f>
        <v>2.701568697557355E-2</v>
      </c>
      <c r="M6" s="37">
        <f>FCFF!H5</f>
        <v>4.1178770931959097E-2</v>
      </c>
    </row>
    <row r="7" spans="1:13" x14ac:dyDescent="0.3">
      <c r="A7" s="34" t="s">
        <v>197</v>
      </c>
      <c r="B7" s="3">
        <v>-87892</v>
      </c>
      <c r="C7" s="3">
        <v>-91564</v>
      </c>
      <c r="D7" s="3">
        <v>-99913</v>
      </c>
      <c r="E7" s="3">
        <v>-95820</v>
      </c>
      <c r="F7" s="3">
        <v>-96511</v>
      </c>
    </row>
    <row r="8" spans="1:13" x14ac:dyDescent="0.3">
      <c r="A8" s="1" t="s">
        <v>4</v>
      </c>
      <c r="B8" s="3">
        <v>21259</v>
      </c>
      <c r="C8" s="3">
        <v>20579</v>
      </c>
      <c r="D8" s="3">
        <v>23598</v>
      </c>
      <c r="E8" s="3">
        <v>25273</v>
      </c>
      <c r="F8" s="3">
        <v>25549</v>
      </c>
      <c r="H8" s="2" t="str">
        <f>FCFF!C11</f>
        <v xml:space="preserve">Kosmati donos iz poslovanja    </v>
      </c>
      <c r="I8" s="2">
        <f>FCFF!D11</f>
        <v>1248877</v>
      </c>
      <c r="J8" s="2">
        <f>FCFF!E11</f>
        <v>1263369</v>
      </c>
      <c r="K8" s="2">
        <f>FCFF!F11</f>
        <v>1270265</v>
      </c>
      <c r="L8" s="2">
        <f>FCFF!G11</f>
        <v>1285195</v>
      </c>
      <c r="M8" s="2">
        <f>FCFF!H11</f>
        <v>1334255</v>
      </c>
    </row>
    <row r="9" spans="1:13" x14ac:dyDescent="0.3">
      <c r="A9" s="34" t="s">
        <v>198</v>
      </c>
      <c r="B9" s="3">
        <v>-11564</v>
      </c>
      <c r="C9" s="3">
        <v>-11647</v>
      </c>
      <c r="D9" s="3">
        <v>-12719</v>
      </c>
      <c r="E9" s="3">
        <v>-13208</v>
      </c>
      <c r="F9" s="3">
        <v>-12897</v>
      </c>
      <c r="H9" s="34" t="s">
        <v>5</v>
      </c>
      <c r="I9" s="3">
        <f>FCFF!D14</f>
        <v>-910516</v>
      </c>
      <c r="J9" s="72">
        <f>FCFF!E14</f>
        <v>-927686</v>
      </c>
      <c r="K9" s="72">
        <f>FCFF!F14</f>
        <v>-937245</v>
      </c>
      <c r="L9" s="72">
        <f>FCFF!G14</f>
        <v>-942154</v>
      </c>
      <c r="M9" s="72">
        <f>FCFF!H14</f>
        <v>-981413</v>
      </c>
    </row>
    <row r="10" spans="1:13" x14ac:dyDescent="0.3">
      <c r="A10" s="34" t="s">
        <v>199</v>
      </c>
      <c r="B10" s="3">
        <v>-5646</v>
      </c>
      <c r="C10" s="3">
        <v>-5454</v>
      </c>
      <c r="D10" s="3">
        <v>-6019</v>
      </c>
      <c r="E10" s="3">
        <v>-5812</v>
      </c>
      <c r="F10" s="3">
        <v>-5550</v>
      </c>
      <c r="H10" s="34" t="s">
        <v>6</v>
      </c>
      <c r="I10" s="72">
        <f>FCFF!D15</f>
        <v>-237914</v>
      </c>
      <c r="J10" s="72">
        <f>FCFF!E15</f>
        <v>-228479</v>
      </c>
      <c r="K10" s="72">
        <f>FCFF!F15</f>
        <v>-231362</v>
      </c>
      <c r="L10" s="72">
        <f>FCFF!G15</f>
        <v>-235325</v>
      </c>
      <c r="M10" s="72">
        <f>FCFF!H15</f>
        <v>-249012</v>
      </c>
    </row>
    <row r="11" spans="1:13" x14ac:dyDescent="0.3">
      <c r="A11" s="1" t="s">
        <v>203</v>
      </c>
      <c r="B11" s="2">
        <f>B7+B9+B10</f>
        <v>-105102</v>
      </c>
      <c r="C11" s="2">
        <f>C7+C9+C10</f>
        <v>-108665</v>
      </c>
      <c r="D11" s="2">
        <f>D7+D9+D10</f>
        <v>-118651</v>
      </c>
      <c r="E11" s="2">
        <f>E7+E9+E10</f>
        <v>-114840</v>
      </c>
      <c r="F11" s="2">
        <f>F7+F9+F10</f>
        <v>-114958</v>
      </c>
      <c r="H11" s="1" t="s">
        <v>204</v>
      </c>
      <c r="I11" s="2">
        <f>I9+I10</f>
        <v>-1148430</v>
      </c>
      <c r="J11" s="2">
        <f>J9+J10</f>
        <v>-1156165</v>
      </c>
      <c r="K11" s="2">
        <f>K9+K10</f>
        <v>-1168607</v>
      </c>
      <c r="L11" s="2">
        <f>L9+L10</f>
        <v>-1177479</v>
      </c>
      <c r="M11" s="2">
        <f>M9+M10</f>
        <v>-1230425</v>
      </c>
    </row>
    <row r="12" spans="1:13" x14ac:dyDescent="0.3">
      <c r="A12" s="1" t="s">
        <v>221</v>
      </c>
      <c r="B12" s="24"/>
      <c r="C12" s="24">
        <f>C11/B11-100%</f>
        <v>3.390040151471907E-2</v>
      </c>
      <c r="D12" s="24">
        <f>D11/C11-100%</f>
        <v>9.1897114986426276E-2</v>
      </c>
      <c r="E12" s="24">
        <f>E11/D11-100%</f>
        <v>-3.2119409023101397E-2</v>
      </c>
      <c r="F12" s="24">
        <f>F11/E11-100%</f>
        <v>1.0275165447579671E-3</v>
      </c>
      <c r="G12" s="24"/>
      <c r="H12" s="1" t="s">
        <v>195</v>
      </c>
      <c r="I12" s="24"/>
      <c r="J12" s="24">
        <f>J11/I11-100%</f>
        <v>6.7352820807538016E-3</v>
      </c>
      <c r="K12" s="24">
        <f>K11/J11-100%</f>
        <v>1.0761439759895852E-2</v>
      </c>
      <c r="L12" s="24">
        <f>L11/K11-100%</f>
        <v>7.5919449395733807E-3</v>
      </c>
      <c r="M12" s="24">
        <f>M11/L11-100%</f>
        <v>4.4965557772155496E-2</v>
      </c>
    </row>
    <row r="13" spans="1:13" x14ac:dyDescent="0.3">
      <c r="A13" s="1" t="s">
        <v>266</v>
      </c>
      <c r="B13" s="24">
        <f>-B11/B5</f>
        <v>0.96290460004947276</v>
      </c>
      <c r="C13" s="24">
        <f t="shared" ref="C13:M13" si="0">-C11/C5</f>
        <v>0.96898602676939261</v>
      </c>
      <c r="D13" s="24">
        <f t="shared" si="0"/>
        <v>0.96065127802381978</v>
      </c>
      <c r="E13" s="24">
        <f t="shared" si="0"/>
        <v>0.94836200275821059</v>
      </c>
      <c r="F13" s="24">
        <f t="shared" si="0"/>
        <v>0.9418155005734884</v>
      </c>
      <c r="G13" s="24"/>
      <c r="H13" s="1" t="s">
        <v>266</v>
      </c>
      <c r="I13" s="24">
        <f>-I11/I5</f>
        <v>0.92579336096775289</v>
      </c>
      <c r="J13" s="24">
        <f t="shared" si="0"/>
        <v>0.92218977648065714</v>
      </c>
      <c r="K13" s="24">
        <f t="shared" si="0"/>
        <v>0.9539423148349957</v>
      </c>
      <c r="L13" s="24">
        <f t="shared" si="0"/>
        <v>0.9359005948539254</v>
      </c>
      <c r="M13" s="24">
        <f t="shared" si="0"/>
        <v>0.93930448298079594</v>
      </c>
    </row>
    <row r="14" spans="1:13" x14ac:dyDescent="0.3">
      <c r="A14" t="s">
        <v>209</v>
      </c>
      <c r="B14" s="3">
        <v>-3356</v>
      </c>
      <c r="C14" s="3">
        <v>-3671</v>
      </c>
      <c r="D14" s="3">
        <v>-3936</v>
      </c>
      <c r="E14" s="3">
        <v>-3934</v>
      </c>
      <c r="F14" s="3">
        <v>-3977</v>
      </c>
      <c r="H14" t="s">
        <v>209</v>
      </c>
      <c r="I14" s="3">
        <f>FCFF!D17</f>
        <v>-41875</v>
      </c>
      <c r="J14" s="72">
        <f>FCFF!E17</f>
        <v>-43019</v>
      </c>
      <c r="K14" s="72">
        <f>FCFF!F17</f>
        <v>-45644</v>
      </c>
      <c r="L14" s="72">
        <f>FCFF!G17</f>
        <v>-47055</v>
      </c>
      <c r="M14" s="72">
        <f>FCFF!H17</f>
        <v>-54676</v>
      </c>
    </row>
    <row r="15" spans="1:13" x14ac:dyDescent="0.3">
      <c r="A15" t="s">
        <v>3</v>
      </c>
      <c r="B15" s="3">
        <v>35</v>
      </c>
      <c r="C15" s="3">
        <v>176</v>
      </c>
      <c r="D15" s="3">
        <v>67</v>
      </c>
      <c r="E15" s="3">
        <v>218</v>
      </c>
      <c r="F15" s="3">
        <v>328</v>
      </c>
      <c r="H15" t="s">
        <v>3</v>
      </c>
      <c r="I15" s="3">
        <f>FCFF!D8</f>
        <v>34517</v>
      </c>
      <c r="J15" s="72">
        <f>FCFF!E8</f>
        <v>21694</v>
      </c>
      <c r="K15" s="72">
        <f>FCFF!F8</f>
        <v>31866</v>
      </c>
      <c r="L15" s="72">
        <f>FCFF!G8</f>
        <v>21871</v>
      </c>
      <c r="M15" s="72">
        <f>FCFF!H8</f>
        <v>39440</v>
      </c>
    </row>
    <row r="16" spans="1:13" x14ac:dyDescent="0.3">
      <c r="A16" t="s">
        <v>8</v>
      </c>
      <c r="B16" s="3">
        <v>-29</v>
      </c>
      <c r="C16" s="3">
        <v>-73</v>
      </c>
      <c r="D16" s="3">
        <v>-2186</v>
      </c>
      <c r="E16" s="3">
        <v>-197</v>
      </c>
      <c r="F16" s="3">
        <v>-23</v>
      </c>
      <c r="H16" t="s">
        <v>8</v>
      </c>
      <c r="I16" s="3">
        <f>FCFF!D18</f>
        <v>-22242</v>
      </c>
      <c r="J16" s="72">
        <f>FCFF!E18</f>
        <v>-21650</v>
      </c>
      <c r="K16" s="72">
        <f>FCFF!F18</f>
        <v>-21570</v>
      </c>
      <c r="L16" s="72">
        <f>FCFF!G18</f>
        <v>-20470</v>
      </c>
      <c r="M16" s="72">
        <f>FCFF!H18</f>
        <v>-27459</v>
      </c>
    </row>
    <row r="17" spans="1:13" x14ac:dyDescent="0.3">
      <c r="A17" t="s">
        <v>200</v>
      </c>
      <c r="B17" s="3">
        <v>-2475</v>
      </c>
      <c r="C17" s="3"/>
      <c r="D17" s="3"/>
      <c r="E17" s="3"/>
      <c r="F17" s="3"/>
      <c r="H17" s="34" t="s">
        <v>7</v>
      </c>
      <c r="I17" s="3">
        <f>I14</f>
        <v>-41875</v>
      </c>
      <c r="J17" s="72">
        <f>J14</f>
        <v>-43019</v>
      </c>
      <c r="K17" s="72">
        <f>K14</f>
        <v>-45644</v>
      </c>
      <c r="L17" s="72">
        <f>L14</f>
        <v>-47055</v>
      </c>
      <c r="M17" s="72">
        <f>M14</f>
        <v>-54676</v>
      </c>
    </row>
    <row r="18" spans="1:13" x14ac:dyDescent="0.3">
      <c r="A18" s="1" t="s">
        <v>9</v>
      </c>
      <c r="B18" s="3">
        <v>1580</v>
      </c>
      <c r="C18" s="3">
        <v>3581</v>
      </c>
      <c r="D18" s="3">
        <v>2741</v>
      </c>
      <c r="E18" s="3">
        <v>6274</v>
      </c>
      <c r="F18" s="3">
        <v>7407</v>
      </c>
      <c r="H18" s="1" t="s">
        <v>9</v>
      </c>
      <c r="I18" s="2">
        <f>FCFF!D30</f>
        <v>36330</v>
      </c>
      <c r="J18" s="2">
        <f>FCFF!E30</f>
        <v>42535</v>
      </c>
      <c r="K18" s="2">
        <f>FCFF!F30</f>
        <v>34444</v>
      </c>
      <c r="L18" s="2">
        <f>FCFF!G30</f>
        <v>40191</v>
      </c>
      <c r="M18" s="2">
        <f>FCFF!H30</f>
        <v>21695</v>
      </c>
    </row>
    <row r="19" spans="1:13" x14ac:dyDescent="0.3">
      <c r="A19" s="1" t="s">
        <v>201</v>
      </c>
      <c r="B19" s="3">
        <v>-676</v>
      </c>
      <c r="C19" s="3">
        <v>-584</v>
      </c>
      <c r="D19" s="3">
        <v>-640</v>
      </c>
      <c r="E19" s="3">
        <v>-693</v>
      </c>
      <c r="F19" s="3">
        <v>-441</v>
      </c>
      <c r="H19" s="1" t="s">
        <v>12</v>
      </c>
      <c r="I19" s="2">
        <f>FCFF!D33</f>
        <v>-54382</v>
      </c>
      <c r="J19" s="2">
        <f>FCFF!E33</f>
        <v>-38737</v>
      </c>
      <c r="K19" s="2">
        <f>FCFF!F33</f>
        <v>-38792</v>
      </c>
      <c r="L19" s="2">
        <f>FCFF!G33</f>
        <v>-27035</v>
      </c>
      <c r="M19" s="2">
        <f>FCFF!H33</f>
        <v>-17360</v>
      </c>
    </row>
    <row r="20" spans="1:13" x14ac:dyDescent="0.3">
      <c r="A20" s="1" t="s">
        <v>187</v>
      </c>
      <c r="B20" s="3">
        <f>B18-B14</f>
        <v>4936</v>
      </c>
      <c r="C20" s="3">
        <f>C18-C14</f>
        <v>7252</v>
      </c>
      <c r="D20" s="3">
        <f>D18-D14</f>
        <v>6677</v>
      </c>
      <c r="E20" s="3">
        <f>E18-E14</f>
        <v>10208</v>
      </c>
      <c r="F20" s="3">
        <f>F18-F14</f>
        <v>11384</v>
      </c>
      <c r="G20" s="3"/>
      <c r="H20" s="2" t="s">
        <v>187</v>
      </c>
      <c r="I20" s="2">
        <f>I18-I14</f>
        <v>78205</v>
      </c>
      <c r="J20" s="2">
        <f>J18-J14</f>
        <v>85554</v>
      </c>
      <c r="K20" s="2">
        <f>K18-K14</f>
        <v>80088</v>
      </c>
      <c r="L20" s="2">
        <f>L18-L14</f>
        <v>87246</v>
      </c>
      <c r="M20" s="2">
        <f>M18-M14</f>
        <v>76371</v>
      </c>
    </row>
    <row r="21" spans="1:13" x14ac:dyDescent="0.3">
      <c r="A21" s="1" t="s">
        <v>188</v>
      </c>
      <c r="B21" s="3">
        <v>904</v>
      </c>
      <c r="C21" s="3">
        <v>2997</v>
      </c>
      <c r="D21" s="3">
        <v>2101</v>
      </c>
      <c r="E21" s="3">
        <v>5581</v>
      </c>
      <c r="F21" s="3">
        <v>6966</v>
      </c>
      <c r="H21" s="1" t="s">
        <v>188</v>
      </c>
      <c r="I21" s="2">
        <f>FCFF!D35</f>
        <v>-18644</v>
      </c>
      <c r="J21" s="2">
        <f>FCFF!E35</f>
        <v>3863</v>
      </c>
      <c r="K21" s="2">
        <f>FCFF!F35</f>
        <v>-3988</v>
      </c>
      <c r="L21" s="2">
        <f>FCFF!G35</f>
        <v>13240</v>
      </c>
      <c r="M21" s="2">
        <f>FCFF!H35</f>
        <v>4487</v>
      </c>
    </row>
    <row r="22" spans="1:13" x14ac:dyDescent="0.3">
      <c r="A22" s="1" t="s">
        <v>195</v>
      </c>
      <c r="B22" s="3"/>
      <c r="C22" s="24">
        <f>C21/B21-100%</f>
        <v>2.3152654867256639</v>
      </c>
      <c r="D22" s="24">
        <f>D21/C21-100%</f>
        <v>-0.29896563229896567</v>
      </c>
      <c r="E22" s="24">
        <f>E21/D21-100%</f>
        <v>1.6563541170871012</v>
      </c>
      <c r="F22" s="24">
        <f>F21/E21-100%</f>
        <v>0.24816341157498667</v>
      </c>
      <c r="G22" s="24"/>
      <c r="H22" s="1" t="s">
        <v>195</v>
      </c>
      <c r="I22" s="24"/>
      <c r="J22" s="70">
        <f>J21/I21-100%</f>
        <v>-1.2071980261746407</v>
      </c>
      <c r="K22" s="24">
        <f>K21/J21-100%</f>
        <v>-2.0323582707740098</v>
      </c>
      <c r="L22" s="70">
        <f>L21/K21-100%</f>
        <v>-4.3199598796389171</v>
      </c>
      <c r="M22" s="24">
        <f>M21/L21-100%</f>
        <v>-0.66110271903323259</v>
      </c>
    </row>
    <row r="23" spans="1:13" x14ac:dyDescent="0.3">
      <c r="A23" s="1"/>
      <c r="B23" s="3"/>
      <c r="C23" s="24"/>
      <c r="D23" s="24"/>
      <c r="E23" s="24"/>
      <c r="F23" s="24"/>
      <c r="G23" s="24"/>
      <c r="H23" s="1"/>
      <c r="I23" s="24"/>
      <c r="J23" s="24">
        <f>-J22</f>
        <v>1.2071980261746407</v>
      </c>
      <c r="K23" s="24">
        <f>K22</f>
        <v>-2.0323582707740098</v>
      </c>
      <c r="L23" s="24">
        <f>-L22</f>
        <v>4.3199598796389171</v>
      </c>
      <c r="M23" s="24">
        <f>M22</f>
        <v>-0.66110271903323259</v>
      </c>
    </row>
    <row r="24" spans="1:13" x14ac:dyDescent="0.3">
      <c r="A24" t="s">
        <v>15</v>
      </c>
      <c r="B24" s="3">
        <v>-232</v>
      </c>
      <c r="C24" s="3">
        <v>-755</v>
      </c>
      <c r="D24" s="3">
        <v>-533</v>
      </c>
      <c r="E24" s="3">
        <v>-1088</v>
      </c>
      <c r="F24" s="3">
        <v>-1221</v>
      </c>
      <c r="H24" t="s">
        <v>15</v>
      </c>
      <c r="I24" s="3">
        <f>FCFF!D37</f>
        <v>-6355</v>
      </c>
      <c r="J24" s="72">
        <f>FCFF!E37</f>
        <v>-2624</v>
      </c>
      <c r="K24" s="72">
        <f>FCFF!F37</f>
        <v>-4000</v>
      </c>
      <c r="L24" s="72">
        <f>FCFF!G37</f>
        <v>-4810</v>
      </c>
      <c r="M24" s="72">
        <f>FCFF!H37</f>
        <v>-3146</v>
      </c>
    </row>
    <row r="25" spans="1:13" x14ac:dyDescent="0.3">
      <c r="A25" s="1" t="s">
        <v>16</v>
      </c>
      <c r="B25" s="3">
        <v>672</v>
      </c>
      <c r="C25" s="3">
        <v>2242</v>
      </c>
      <c r="D25" s="3">
        <v>1568</v>
      </c>
      <c r="E25" s="3">
        <v>4493</v>
      </c>
      <c r="F25" s="3">
        <v>5745</v>
      </c>
      <c r="H25" s="1" t="s">
        <v>16</v>
      </c>
      <c r="I25" s="2">
        <f>FCFF!D39</f>
        <v>-24999</v>
      </c>
      <c r="J25" s="2">
        <f>FCFF!E39</f>
        <v>1239</v>
      </c>
      <c r="K25" s="2">
        <f>FCFF!F39</f>
        <v>-7988</v>
      </c>
      <c r="L25" s="2">
        <f>FCFF!G39</f>
        <v>8430</v>
      </c>
      <c r="M25" s="2">
        <f>FCFF!H39</f>
        <v>1341</v>
      </c>
    </row>
    <row r="26" spans="1:13" x14ac:dyDescent="0.3">
      <c r="A26" s="1" t="s">
        <v>195</v>
      </c>
      <c r="B26" s="3"/>
      <c r="C26" s="24">
        <f>C25/B25-100%</f>
        <v>2.3363095238095237</v>
      </c>
      <c r="D26" s="24">
        <f>D25/C25-100%</f>
        <v>-0.30062444246208742</v>
      </c>
      <c r="E26" s="24">
        <f>E25/D25-100%</f>
        <v>1.8654336734693877</v>
      </c>
      <c r="F26" s="24">
        <f>F25/E25-100%</f>
        <v>0.27865568662363671</v>
      </c>
      <c r="G26" s="24"/>
      <c r="H26" s="1" t="s">
        <v>195</v>
      </c>
      <c r="I26" s="24"/>
      <c r="J26" s="70">
        <f>J25/I25-100%</f>
        <v>-1.0495619824792992</v>
      </c>
      <c r="K26" s="24">
        <f>K25/J25-100%</f>
        <v>-7.4471347861178367</v>
      </c>
      <c r="L26" s="70">
        <f>L25/K25-100%</f>
        <v>-2.0553329994992486</v>
      </c>
      <c r="M26" s="24">
        <f>M25/L25-100%</f>
        <v>-0.84092526690391456</v>
      </c>
    </row>
    <row r="27" spans="1:13" x14ac:dyDescent="0.3">
      <c r="H27" s="1" t="s">
        <v>263</v>
      </c>
      <c r="J27" s="24">
        <f>-J26</f>
        <v>1.0495619824792992</v>
      </c>
      <c r="K27" s="24">
        <f>K26</f>
        <v>-7.4471347861178367</v>
      </c>
      <c r="L27" s="24">
        <f>-L26</f>
        <v>2.0553329994992486</v>
      </c>
      <c r="M27" s="24">
        <f>M26</f>
        <v>-0.84092526690391456</v>
      </c>
    </row>
    <row r="28" spans="1:13" x14ac:dyDescent="0.3">
      <c r="H28" s="1"/>
      <c r="J28" s="24"/>
      <c r="K28" s="24"/>
      <c r="L28" s="24"/>
      <c r="M28" s="24"/>
    </row>
    <row r="29" spans="1:13" x14ac:dyDescent="0.3">
      <c r="B29">
        <v>2013</v>
      </c>
      <c r="C29">
        <v>2014</v>
      </c>
      <c r="D29">
        <v>2015</v>
      </c>
      <c r="E29">
        <v>2016</v>
      </c>
      <c r="F29">
        <v>2017</v>
      </c>
      <c r="I29">
        <v>2013</v>
      </c>
      <c r="J29">
        <v>2014</v>
      </c>
      <c r="K29">
        <v>2015</v>
      </c>
      <c r="L29">
        <v>2016</v>
      </c>
      <c r="M29">
        <v>2017</v>
      </c>
    </row>
    <row r="30" spans="1:13" x14ac:dyDescent="0.3">
      <c r="A30" s="1" t="s">
        <v>21</v>
      </c>
      <c r="B30" s="3">
        <v>32232</v>
      </c>
      <c r="C30" s="3">
        <v>35562</v>
      </c>
      <c r="D30" s="3">
        <v>34688</v>
      </c>
      <c r="E30" s="3">
        <v>33989</v>
      </c>
      <c r="F30" s="3">
        <v>37699</v>
      </c>
      <c r="H30" s="1" t="s">
        <v>21</v>
      </c>
      <c r="I30" s="2">
        <f>Bilanca!C5</f>
        <v>593890</v>
      </c>
      <c r="J30" s="2">
        <f>Bilanca!D5</f>
        <v>594578</v>
      </c>
      <c r="K30" s="2">
        <f>Bilanca!E5</f>
        <v>614125</v>
      </c>
      <c r="L30" s="2">
        <f>Bilanca!F5</f>
        <v>629266</v>
      </c>
      <c r="M30" s="2">
        <f>Bilanca!G5</f>
        <v>647977</v>
      </c>
    </row>
    <row r="31" spans="1:13" x14ac:dyDescent="0.3">
      <c r="A31" s="1" t="s">
        <v>30</v>
      </c>
      <c r="B31" s="3">
        <v>43769</v>
      </c>
      <c r="C31" s="3">
        <v>50126</v>
      </c>
      <c r="D31" s="3">
        <v>48783</v>
      </c>
      <c r="E31" s="3">
        <v>51859</v>
      </c>
      <c r="F31" s="3">
        <v>51980</v>
      </c>
      <c r="H31" s="1" t="s">
        <v>30</v>
      </c>
      <c r="I31" s="2">
        <f>Bilanca!C14</f>
        <v>554175</v>
      </c>
      <c r="J31" s="2">
        <f>Bilanca!D14</f>
        <v>507820</v>
      </c>
      <c r="K31" s="2">
        <f>Bilanca!E14</f>
        <v>487149</v>
      </c>
      <c r="L31" s="2">
        <f>Bilanca!F14</f>
        <v>494648</v>
      </c>
      <c r="M31" s="2">
        <f>Bilanca!G14</f>
        <v>495139</v>
      </c>
    </row>
    <row r="32" spans="1:13" x14ac:dyDescent="0.3">
      <c r="A32" s="1" t="s">
        <v>20</v>
      </c>
      <c r="B32" s="3">
        <v>76001</v>
      </c>
      <c r="C32" s="3">
        <v>85688</v>
      </c>
      <c r="D32" s="3">
        <v>83471</v>
      </c>
      <c r="E32" s="3">
        <v>85848</v>
      </c>
      <c r="F32" s="3">
        <v>89679</v>
      </c>
      <c r="H32" s="1" t="s">
        <v>20</v>
      </c>
      <c r="I32" s="2">
        <f>Bilanca!C4</f>
        <v>1148065</v>
      </c>
      <c r="J32" s="2">
        <f>Bilanca!D4</f>
        <v>1102398</v>
      </c>
      <c r="K32" s="2">
        <f>Bilanca!E4</f>
        <v>1101274</v>
      </c>
      <c r="L32" s="2">
        <f>Bilanca!F4</f>
        <v>1123914</v>
      </c>
      <c r="M32" s="2">
        <f>Bilanca!G4</f>
        <v>1143116</v>
      </c>
    </row>
    <row r="33" spans="1:13" x14ac:dyDescent="0.3">
      <c r="A33" s="1" t="s">
        <v>39</v>
      </c>
      <c r="B33" s="3">
        <v>14308</v>
      </c>
      <c r="C33" s="3">
        <v>16468</v>
      </c>
      <c r="D33" s="3">
        <v>15005</v>
      </c>
      <c r="E33" s="3">
        <v>17738</v>
      </c>
      <c r="F33" s="3">
        <v>20596</v>
      </c>
      <c r="H33" s="1" t="s">
        <v>39</v>
      </c>
      <c r="I33" s="2">
        <f>Bilanca!C23</f>
        <v>380670</v>
      </c>
      <c r="J33" s="2">
        <f>Bilanca!D23</f>
        <v>380267</v>
      </c>
      <c r="K33" s="2">
        <f>Bilanca!E23</f>
        <v>368062</v>
      </c>
      <c r="L33" s="2">
        <f>Bilanca!F23</f>
        <v>366541</v>
      </c>
      <c r="M33" s="2">
        <f>Bilanca!G23</f>
        <v>368344</v>
      </c>
    </row>
    <row r="34" spans="1:13" x14ac:dyDescent="0.3">
      <c r="A34" t="s">
        <v>55</v>
      </c>
      <c r="B34" s="3">
        <v>11935</v>
      </c>
      <c r="C34" s="3">
        <v>9529</v>
      </c>
      <c r="D34" s="3">
        <v>8323</v>
      </c>
      <c r="E34" s="3">
        <v>7952</v>
      </c>
      <c r="F34" s="3">
        <v>6587</v>
      </c>
      <c r="H34" t="s">
        <v>55</v>
      </c>
      <c r="I34" s="3">
        <f>Bilanca!C39</f>
        <v>198754</v>
      </c>
      <c r="J34" s="72">
        <f>Bilanca!D39</f>
        <v>270070</v>
      </c>
      <c r="K34" s="72">
        <f>Bilanca!E39</f>
        <v>270986</v>
      </c>
      <c r="L34" s="72">
        <f>Bilanca!F39</f>
        <v>275616</v>
      </c>
      <c r="M34" s="72">
        <f>Bilanca!G39</f>
        <v>293020</v>
      </c>
    </row>
    <row r="35" spans="1:13" x14ac:dyDescent="0.3">
      <c r="A35" s="1" t="s">
        <v>50</v>
      </c>
      <c r="B35" s="3">
        <v>20908</v>
      </c>
      <c r="C35" s="3">
        <v>21043</v>
      </c>
      <c r="D35" s="3">
        <v>19523</v>
      </c>
      <c r="E35" s="3">
        <v>18838</v>
      </c>
      <c r="F35" s="3">
        <v>16159</v>
      </c>
      <c r="H35" s="1" t="s">
        <v>50</v>
      </c>
      <c r="I35" s="2">
        <f>Bilanca!C34</f>
        <v>278973</v>
      </c>
      <c r="J35" s="2">
        <f>Bilanca!D34</f>
        <v>348390</v>
      </c>
      <c r="K35" s="2">
        <f>Bilanca!E34</f>
        <v>345298</v>
      </c>
      <c r="L35" s="2">
        <f>Bilanca!F34</f>
        <v>350469</v>
      </c>
      <c r="M35" s="2">
        <f>Bilanca!G34</f>
        <v>365278</v>
      </c>
    </row>
    <row r="36" spans="1:13" x14ac:dyDescent="0.3">
      <c r="A36" t="s">
        <v>57</v>
      </c>
      <c r="B36" s="3">
        <v>2733</v>
      </c>
      <c r="C36" s="3">
        <v>35156</v>
      </c>
      <c r="D36" s="3">
        <v>4504</v>
      </c>
      <c r="E36" s="3">
        <v>1807</v>
      </c>
      <c r="F36" s="3">
        <v>2695</v>
      </c>
      <c r="H36" t="s">
        <v>57</v>
      </c>
      <c r="I36" s="3">
        <f>Bilanca!C41</f>
        <v>198659</v>
      </c>
      <c r="J36" s="72">
        <f>Bilanca!D41</f>
        <v>97536</v>
      </c>
      <c r="K36" s="72">
        <f>Bilanca!E41</f>
        <v>91038</v>
      </c>
      <c r="L36" s="72">
        <f>Bilanca!F41</f>
        <v>101226</v>
      </c>
      <c r="M36" s="72">
        <f>Bilanca!G41</f>
        <v>90731</v>
      </c>
    </row>
    <row r="37" spans="1:13" x14ac:dyDescent="0.3">
      <c r="A37" s="1" t="s">
        <v>56</v>
      </c>
      <c r="B37" s="3">
        <v>40785</v>
      </c>
      <c r="C37" s="3">
        <v>48177</v>
      </c>
      <c r="D37" s="3">
        <v>48943</v>
      </c>
      <c r="E37" s="3">
        <v>49272</v>
      </c>
      <c r="F37" s="3">
        <v>52924</v>
      </c>
      <c r="H37" s="1" t="s">
        <v>56</v>
      </c>
      <c r="I37" s="2">
        <f>Bilanca!C40</f>
        <v>488422</v>
      </c>
      <c r="J37" s="2">
        <f>Bilanca!D40</f>
        <v>373741</v>
      </c>
      <c r="K37" s="2">
        <f>Bilanca!E40</f>
        <v>387914</v>
      </c>
      <c r="L37" s="2">
        <f>Bilanca!F40</f>
        <v>406904</v>
      </c>
      <c r="M37" s="2">
        <f>Bilanca!G40</f>
        <v>409494</v>
      </c>
    </row>
    <row r="38" spans="1:13" x14ac:dyDescent="0.3">
      <c r="A38" s="1" t="s">
        <v>38</v>
      </c>
      <c r="B38" s="3">
        <v>76001</v>
      </c>
      <c r="C38" s="3">
        <v>85688</v>
      </c>
      <c r="D38" s="3">
        <v>83471</v>
      </c>
      <c r="E38" s="3">
        <v>85848</v>
      </c>
      <c r="F38" s="3">
        <v>89679</v>
      </c>
      <c r="H38" s="1" t="s">
        <v>38</v>
      </c>
      <c r="I38" s="2">
        <f>Bilanca!C22</f>
        <v>1148065</v>
      </c>
      <c r="J38" s="2">
        <f>Bilanca!D22</f>
        <v>1102398</v>
      </c>
      <c r="K38" s="2">
        <f>Bilanca!E22</f>
        <v>1101274</v>
      </c>
      <c r="L38" s="2">
        <f>Bilanca!F22</f>
        <v>1123914</v>
      </c>
      <c r="M38" s="2">
        <f>Bilanca!G22</f>
        <v>1143116</v>
      </c>
    </row>
    <row r="40" spans="1:13" x14ac:dyDescent="0.3">
      <c r="K40" s="2"/>
      <c r="L40" s="2"/>
      <c r="M40" s="2"/>
    </row>
    <row r="41" spans="1:13" x14ac:dyDescent="0.3">
      <c r="A41" s="264" t="s">
        <v>116</v>
      </c>
      <c r="B41" s="264"/>
      <c r="C41" s="264"/>
      <c r="D41" s="264"/>
      <c r="E41" s="264"/>
      <c r="F41" s="264"/>
      <c r="H41" s="1"/>
      <c r="I41" s="2"/>
      <c r="J41" s="2"/>
      <c r="K41" s="2"/>
      <c r="L41" s="2"/>
      <c r="M41" s="2"/>
    </row>
    <row r="42" spans="1:13" x14ac:dyDescent="0.3">
      <c r="A42" s="23"/>
      <c r="B42">
        <v>2013</v>
      </c>
      <c r="C42">
        <v>2014</v>
      </c>
      <c r="D42">
        <v>2015</v>
      </c>
      <c r="E42">
        <v>2016</v>
      </c>
      <c r="F42">
        <v>2017</v>
      </c>
      <c r="H42" s="1"/>
      <c r="I42" s="2"/>
      <c r="J42" s="2"/>
      <c r="K42" s="2"/>
      <c r="L42" s="2"/>
      <c r="M42" s="2"/>
    </row>
    <row r="43" spans="1:13" x14ac:dyDescent="0.3">
      <c r="A43" s="23" t="s">
        <v>202</v>
      </c>
      <c r="B43" s="24">
        <f>B5/B32</f>
        <v>1.4361784713359034</v>
      </c>
      <c r="C43" s="24">
        <f>C5/C32</f>
        <v>1.3087363458127159</v>
      </c>
      <c r="D43" s="24">
        <f>D5/D32</f>
        <v>1.4796875561572282</v>
      </c>
      <c r="E43" s="24">
        <f>E5/E32</f>
        <v>1.4105512067840835</v>
      </c>
      <c r="F43" s="24">
        <f>F5/F32</f>
        <v>1.3610767292231181</v>
      </c>
      <c r="I43" s="3"/>
      <c r="J43" s="3"/>
      <c r="K43" s="3"/>
      <c r="L43" s="3"/>
      <c r="M43" s="3"/>
    </row>
    <row r="44" spans="1:13" x14ac:dyDescent="0.3">
      <c r="A44" s="23" t="s">
        <v>206</v>
      </c>
      <c r="B44" s="24">
        <f>I5/I32</f>
        <v>1.0804980554236912</v>
      </c>
      <c r="C44" s="24">
        <f>J5/J32</f>
        <v>1.1372634928582961</v>
      </c>
      <c r="D44" s="24">
        <f>K5/K32</f>
        <v>1.1123743954728795</v>
      </c>
      <c r="E44" s="24">
        <f>L5/L32</f>
        <v>1.1194130511765135</v>
      </c>
      <c r="F44" s="24">
        <f>M5/M32</f>
        <v>1.1459309466405858</v>
      </c>
      <c r="H44" s="1"/>
      <c r="I44" s="2"/>
      <c r="J44" s="2"/>
      <c r="K44" s="2"/>
      <c r="L44" s="2"/>
      <c r="M44" s="2"/>
    </row>
    <row r="46" spans="1:13" x14ac:dyDescent="0.3">
      <c r="A46" s="263" t="s">
        <v>207</v>
      </c>
      <c r="B46" s="263"/>
      <c r="C46" s="263"/>
      <c r="D46" s="263"/>
      <c r="E46" s="263"/>
      <c r="F46" s="263"/>
    </row>
    <row r="47" spans="1:13" x14ac:dyDescent="0.3">
      <c r="A47" s="23"/>
      <c r="B47">
        <v>2013</v>
      </c>
      <c r="C47">
        <v>2014</v>
      </c>
      <c r="D47">
        <v>2015</v>
      </c>
      <c r="E47">
        <v>2016</v>
      </c>
      <c r="F47">
        <v>2017</v>
      </c>
    </row>
    <row r="48" spans="1:13" x14ac:dyDescent="0.3">
      <c r="A48" s="23" t="s">
        <v>202</v>
      </c>
      <c r="B48" s="24">
        <f>B33/B38</f>
        <v>0.18826068078051605</v>
      </c>
      <c r="C48" s="24">
        <f>C33/C38</f>
        <v>0.19218560358509942</v>
      </c>
      <c r="D48" s="24">
        <f>D33/D38</f>
        <v>0.17976303147200826</v>
      </c>
      <c r="E48" s="24">
        <f>E33/E38</f>
        <v>0.20662100456621005</v>
      </c>
      <c r="F48" s="24">
        <f>F33/F38</f>
        <v>0.22966357787218858</v>
      </c>
    </row>
    <row r="49" spans="1:6" x14ac:dyDescent="0.3">
      <c r="A49" s="23" t="s">
        <v>206</v>
      </c>
      <c r="B49" s="24">
        <f>I33/I38</f>
        <v>0.3315753027920893</v>
      </c>
      <c r="C49" s="24">
        <f>J33/J38</f>
        <v>0.34494529199073293</v>
      </c>
      <c r="D49" s="24">
        <f>K33/K38</f>
        <v>0.33421473675034552</v>
      </c>
      <c r="E49" s="24">
        <f>L33/L38</f>
        <v>0.3261290454607737</v>
      </c>
      <c r="F49" s="24">
        <f>M33/M38</f>
        <v>0.32222801535452222</v>
      </c>
    </row>
    <row r="52" spans="1:6" x14ac:dyDescent="0.3">
      <c r="A52" s="263" t="s">
        <v>126</v>
      </c>
      <c r="B52" s="263"/>
      <c r="C52" s="263"/>
      <c r="D52" s="263"/>
      <c r="E52" s="263"/>
      <c r="F52" s="263"/>
    </row>
    <row r="53" spans="1:6" x14ac:dyDescent="0.3">
      <c r="A53" s="23"/>
      <c r="B53">
        <v>2013</v>
      </c>
      <c r="C53">
        <v>2014</v>
      </c>
      <c r="D53">
        <v>2015</v>
      </c>
      <c r="E53">
        <v>2016</v>
      </c>
      <c r="F53">
        <v>2017</v>
      </c>
    </row>
    <row r="54" spans="1:6" x14ac:dyDescent="0.3">
      <c r="A54" s="23" t="s">
        <v>202</v>
      </c>
      <c r="B54" s="24">
        <f>(B34+B36)/B38</f>
        <v>0.19299746055972947</v>
      </c>
      <c r="C54" s="24">
        <f>(C34+C36)/C38</f>
        <v>0.52148492204275976</v>
      </c>
      <c r="D54" s="24">
        <f>(D34+D36)/D38</f>
        <v>0.1536701369337854</v>
      </c>
      <c r="E54" s="24">
        <f>(E34+E36)/E38</f>
        <v>0.1136776628459603</v>
      </c>
      <c r="F54" s="24">
        <f>(F34+F36)/F38</f>
        <v>0.10350249222225939</v>
      </c>
    </row>
    <row r="55" spans="1:6" x14ac:dyDescent="0.3">
      <c r="A55" s="23" t="s">
        <v>206</v>
      </c>
      <c r="B55" s="24">
        <f>(I34+I36)/I38</f>
        <v>0.34615897183521838</v>
      </c>
      <c r="C55" s="24">
        <f>(J34+J36)/J38</f>
        <v>0.33346032920959578</v>
      </c>
      <c r="D55" s="24">
        <f>(K34+K36)/K38</f>
        <v>0.3287319958520768</v>
      </c>
      <c r="E55" s="24">
        <f>(L34+L36)/L38</f>
        <v>0.33529433746710158</v>
      </c>
      <c r="F55" s="24">
        <f>(M34+M36)/M38</f>
        <v>0.33570608757116516</v>
      </c>
    </row>
    <row r="58" spans="1:6" x14ac:dyDescent="0.3">
      <c r="A58" s="263" t="s">
        <v>261</v>
      </c>
      <c r="B58" s="263"/>
      <c r="C58" s="263"/>
      <c r="D58" s="263"/>
      <c r="E58" s="263"/>
      <c r="F58" s="263"/>
    </row>
    <row r="59" spans="1:6" x14ac:dyDescent="0.3">
      <c r="A59" s="23" t="s">
        <v>260</v>
      </c>
      <c r="B59">
        <v>2013</v>
      </c>
      <c r="C59">
        <v>2014</v>
      </c>
      <c r="D59">
        <v>2015</v>
      </c>
      <c r="E59">
        <v>2016</v>
      </c>
      <c r="F59">
        <v>2017</v>
      </c>
    </row>
    <row r="60" spans="1:6" x14ac:dyDescent="0.3">
      <c r="A60" s="23" t="s">
        <v>202</v>
      </c>
      <c r="B60" s="24">
        <f>B32/B33</f>
        <v>5.3117836175566113</v>
      </c>
      <c r="C60" s="24">
        <f>C32/C33</f>
        <v>5.2033033762448389</v>
      </c>
      <c r="D60" s="24">
        <f>D32/D33</f>
        <v>5.5628790403198938</v>
      </c>
      <c r="E60" s="24">
        <f>E32/E33</f>
        <v>4.8397790055248615</v>
      </c>
      <c r="F60" s="24">
        <f>F32/F33</f>
        <v>4.3541949893183141</v>
      </c>
    </row>
    <row r="61" spans="1:6" x14ac:dyDescent="0.3">
      <c r="A61" s="23" t="s">
        <v>206</v>
      </c>
      <c r="B61" s="24">
        <f>I32/I33</f>
        <v>3.015906165445136</v>
      </c>
      <c r="C61" s="24">
        <f>J32/J33</f>
        <v>2.8990104321437307</v>
      </c>
      <c r="D61" s="24">
        <f>K32/K33</f>
        <v>2.992088289472969</v>
      </c>
      <c r="E61" s="24">
        <f>L32/L33</f>
        <v>3.0662708946611703</v>
      </c>
      <c r="F61" s="24">
        <f>M32/M33</f>
        <v>3.1033924809417286</v>
      </c>
    </row>
    <row r="64" spans="1:6" x14ac:dyDescent="0.3">
      <c r="A64" s="263" t="s">
        <v>134</v>
      </c>
      <c r="B64" s="263"/>
      <c r="C64" s="263"/>
      <c r="D64" s="263"/>
      <c r="E64" s="263"/>
      <c r="F64" s="263"/>
    </row>
    <row r="65" spans="1:6" x14ac:dyDescent="0.3">
      <c r="A65" s="23"/>
      <c r="B65">
        <v>2013</v>
      </c>
      <c r="C65">
        <v>2014</v>
      </c>
      <c r="D65">
        <v>2015</v>
      </c>
      <c r="E65">
        <v>2016</v>
      </c>
      <c r="F65">
        <v>2017</v>
      </c>
    </row>
    <row r="66" spans="1:6" x14ac:dyDescent="0.3">
      <c r="A66" s="23" t="s">
        <v>202</v>
      </c>
      <c r="B66" s="24">
        <f>B31/B37</f>
        <v>1.0731641534878018</v>
      </c>
      <c r="C66" s="24">
        <f>C31/C37</f>
        <v>1.040454988895116</v>
      </c>
      <c r="D66" s="24">
        <f>D31/D37</f>
        <v>0.99673089103651191</v>
      </c>
      <c r="E66" s="24">
        <f>E31/E37</f>
        <v>1.0525044650105537</v>
      </c>
      <c r="F66" s="24">
        <f>F31/F37</f>
        <v>0.98216310180636379</v>
      </c>
    </row>
    <row r="67" spans="1:6" x14ac:dyDescent="0.3">
      <c r="A67" s="23" t="s">
        <v>206</v>
      </c>
      <c r="B67" s="24">
        <f>I31/I37</f>
        <v>1.1346233380150772</v>
      </c>
      <c r="C67" s="24">
        <f>J31/J37</f>
        <v>1.358748438089479</v>
      </c>
      <c r="D67" s="24">
        <f>K31/K37</f>
        <v>1.2558170109869713</v>
      </c>
      <c r="E67" s="24">
        <f>L31/L37</f>
        <v>1.2156380866248551</v>
      </c>
      <c r="F67" s="24">
        <f>M31/M37</f>
        <v>1.209148363590187</v>
      </c>
    </row>
    <row r="70" spans="1:6" x14ac:dyDescent="0.3">
      <c r="A70" s="263" t="s">
        <v>262</v>
      </c>
      <c r="B70" s="263"/>
      <c r="C70" s="263"/>
      <c r="D70" s="263"/>
      <c r="E70" s="263"/>
      <c r="F70" s="263"/>
    </row>
    <row r="71" spans="1:6" x14ac:dyDescent="0.3">
      <c r="A71" s="23"/>
      <c r="B71">
        <v>2013</v>
      </c>
      <c r="C71">
        <v>2014</v>
      </c>
      <c r="D71">
        <v>2015</v>
      </c>
      <c r="E71">
        <v>2016</v>
      </c>
      <c r="F71">
        <v>2017</v>
      </c>
    </row>
    <row r="72" spans="1:6" x14ac:dyDescent="0.3">
      <c r="A72" s="23" t="s">
        <v>202</v>
      </c>
      <c r="B72" s="24">
        <f>B21/B5</f>
        <v>8.282104607378769E-3</v>
      </c>
      <c r="C72" s="24">
        <f>C21/C5</f>
        <v>2.6724806719991438E-2</v>
      </c>
      <c r="D72" s="24">
        <f>D21/D5</f>
        <v>1.7010630632089449E-2</v>
      </c>
      <c r="E72" s="24">
        <f>E21/E5</f>
        <v>4.6088543516140487E-2</v>
      </c>
      <c r="F72" s="24">
        <f>F21/F5</f>
        <v>5.7070293298377844E-2</v>
      </c>
    </row>
    <row r="73" spans="1:6" x14ac:dyDescent="0.3">
      <c r="A73" s="23" t="s">
        <v>206</v>
      </c>
      <c r="B73" s="24">
        <f>I21/I5</f>
        <v>-1.5029641703789334E-2</v>
      </c>
      <c r="C73" s="24">
        <f>J21/J5</f>
        <v>3.0812376317781447E-3</v>
      </c>
      <c r="D73" s="24">
        <f>K21/K5</f>
        <v>-3.2554331366849276E-3</v>
      </c>
      <c r="E73" s="24">
        <f>L21/L5</f>
        <v>1.0523604986471922E-2</v>
      </c>
      <c r="F73" s="24">
        <f>M21/M5</f>
        <v>3.4253686450899743E-3</v>
      </c>
    </row>
    <row r="76" spans="1:6" x14ac:dyDescent="0.3">
      <c r="A76" s="263" t="s">
        <v>208</v>
      </c>
      <c r="B76" s="263"/>
      <c r="C76" s="263"/>
      <c r="D76" s="263"/>
      <c r="E76" s="263"/>
      <c r="F76" s="263"/>
    </row>
    <row r="77" spans="1:6" x14ac:dyDescent="0.3">
      <c r="A77" s="23"/>
      <c r="B77">
        <v>2013</v>
      </c>
      <c r="C77">
        <v>2014</v>
      </c>
      <c r="D77">
        <v>2015</v>
      </c>
      <c r="E77">
        <v>2016</v>
      </c>
      <c r="F77" s="36">
        <v>2017</v>
      </c>
    </row>
    <row r="78" spans="1:6" x14ac:dyDescent="0.3">
      <c r="A78" s="23" t="s">
        <v>202</v>
      </c>
      <c r="B78" s="24">
        <f>B25/B5</f>
        <v>6.1566087346886424E-3</v>
      </c>
      <c r="C78" s="24">
        <f>C25/C5</f>
        <v>1.9992331219960229E-2</v>
      </c>
      <c r="D78" s="24">
        <f>D25/D5</f>
        <v>1.2695225526471326E-2</v>
      </c>
      <c r="E78" s="24">
        <f>E25/E5</f>
        <v>3.7103713674613729E-2</v>
      </c>
      <c r="F78" s="24">
        <f>F25/F5</f>
        <v>4.7067016221530394E-2</v>
      </c>
    </row>
    <row r="79" spans="1:6" x14ac:dyDescent="0.3">
      <c r="A79" s="23" t="s">
        <v>206</v>
      </c>
      <c r="B79" s="24">
        <f>I25/I5</f>
        <v>-2.0152650340754641E-2</v>
      </c>
      <c r="C79" s="24">
        <f>J25/J5</f>
        <v>9.8826130617994342E-4</v>
      </c>
      <c r="D79" s="24">
        <f>K25/K5</f>
        <v>-6.5206619598393179E-3</v>
      </c>
      <c r="E79" s="24">
        <f>L25/L5</f>
        <v>6.7004524196343125E-3</v>
      </c>
      <c r="F79" s="24">
        <f>M25/M5</f>
        <v>1.0237172616593838E-3</v>
      </c>
    </row>
    <row r="82" spans="1:6" x14ac:dyDescent="0.3">
      <c r="A82" s="263" t="s">
        <v>192</v>
      </c>
      <c r="B82" s="263"/>
      <c r="C82" s="263"/>
      <c r="D82" s="263"/>
      <c r="E82" s="263"/>
      <c r="F82" s="263"/>
    </row>
    <row r="83" spans="1:6" x14ac:dyDescent="0.3">
      <c r="A83" s="23"/>
      <c r="B83">
        <v>2013</v>
      </c>
      <c r="C83">
        <v>2014</v>
      </c>
      <c r="D83">
        <v>2015</v>
      </c>
      <c r="E83">
        <v>2016</v>
      </c>
      <c r="F83" s="36">
        <v>2017</v>
      </c>
    </row>
    <row r="84" spans="1:6" x14ac:dyDescent="0.3">
      <c r="A84" s="23" t="s">
        <v>202</v>
      </c>
      <c r="B84" s="24">
        <f>B20/B5</f>
        <v>4.5221757015510622E-2</v>
      </c>
      <c r="C84" s="24">
        <f>C20/C5</f>
        <v>6.4667433544670638E-2</v>
      </c>
      <c r="D84" s="24">
        <f>D20/D5</f>
        <v>5.4059962270566995E-2</v>
      </c>
      <c r="E84" s="24">
        <f>E20/E5</f>
        <v>8.4298844689618721E-2</v>
      </c>
      <c r="F84" s="24">
        <f>F20/F5</f>
        <v>9.3265607078485996E-2</v>
      </c>
    </row>
    <row r="85" spans="1:6" x14ac:dyDescent="0.3">
      <c r="A85" s="23" t="s">
        <v>206</v>
      </c>
      <c r="B85" s="24">
        <f>I20/I5</f>
        <v>6.3044042557650976E-2</v>
      </c>
      <c r="C85" s="24">
        <f>J20/J5</f>
        <v>6.8240280701306597E-2</v>
      </c>
      <c r="D85" s="24">
        <f>K20/K5</f>
        <v>6.5376411497197209E-2</v>
      </c>
      <c r="E85" s="24">
        <f>L20/L5</f>
        <v>6.9346105789254472E-2</v>
      </c>
      <c r="F85" s="24">
        <f>M20/M5</f>
        <v>5.8301499619827592E-2</v>
      </c>
    </row>
    <row r="88" spans="1:6" x14ac:dyDescent="0.3">
      <c r="A88" s="263" t="s">
        <v>193</v>
      </c>
      <c r="B88" s="263"/>
      <c r="C88" s="263"/>
      <c r="D88" s="263"/>
      <c r="E88" s="263"/>
      <c r="F88" s="263"/>
    </row>
    <row r="89" spans="1:6" x14ac:dyDescent="0.3">
      <c r="A89" s="23"/>
      <c r="B89">
        <v>2013</v>
      </c>
      <c r="C89">
        <v>2014</v>
      </c>
      <c r="D89">
        <v>2015</v>
      </c>
      <c r="E89">
        <v>2016</v>
      </c>
      <c r="F89" s="36">
        <v>2017</v>
      </c>
    </row>
    <row r="90" spans="1:6" x14ac:dyDescent="0.3">
      <c r="A90" s="23" t="s">
        <v>202</v>
      </c>
      <c r="B90" s="24">
        <f>B21/B5</f>
        <v>8.282104607378769E-3</v>
      </c>
      <c r="C90" s="24">
        <f>C21/C5</f>
        <v>2.6724806719991438E-2</v>
      </c>
      <c r="D90" s="24">
        <f>D21/D5</f>
        <v>1.7010630632089449E-2</v>
      </c>
      <c r="E90" s="24">
        <f>E21/E5</f>
        <v>4.6088543516140487E-2</v>
      </c>
      <c r="F90" s="24">
        <f>F21/F5</f>
        <v>5.7070293298377844E-2</v>
      </c>
    </row>
    <row r="91" spans="1:6" x14ac:dyDescent="0.3">
      <c r="A91" s="23" t="s">
        <v>206</v>
      </c>
      <c r="B91" s="24">
        <f>I21/I5</f>
        <v>-1.5029641703789334E-2</v>
      </c>
      <c r="C91" s="24">
        <f>J21/J5</f>
        <v>3.0812376317781447E-3</v>
      </c>
      <c r="D91" s="24">
        <f>K21/K5</f>
        <v>-3.2554331366849276E-3</v>
      </c>
      <c r="E91" s="24">
        <f>L21/L5</f>
        <v>1.0523604986471922E-2</v>
      </c>
      <c r="F91" s="24">
        <f>M21/M5</f>
        <v>3.4253686450899743E-3</v>
      </c>
    </row>
    <row r="92" spans="1:6" x14ac:dyDescent="0.3">
      <c r="B92" s="35" t="s">
        <v>117</v>
      </c>
    </row>
    <row r="93" spans="1:6" x14ac:dyDescent="0.3">
      <c r="A93" s="36"/>
      <c r="B93" s="36"/>
      <c r="C93" s="23"/>
      <c r="D93" s="36"/>
    </row>
    <row r="94" spans="1:6" x14ac:dyDescent="0.3">
      <c r="A94" s="36"/>
      <c r="B94" s="23"/>
      <c r="C94" s="23"/>
      <c r="D94" s="36"/>
    </row>
    <row r="95" spans="1:6" x14ac:dyDescent="0.3">
      <c r="A95" s="263" t="s">
        <v>336</v>
      </c>
      <c r="B95" s="263"/>
      <c r="C95" s="263"/>
      <c r="D95" s="263"/>
      <c r="E95" s="263"/>
      <c r="F95" s="263"/>
    </row>
    <row r="96" spans="1:6" x14ac:dyDescent="0.3">
      <c r="A96" s="23"/>
      <c r="B96">
        <v>2013</v>
      </c>
      <c r="C96">
        <v>2014</v>
      </c>
      <c r="D96">
        <v>2015</v>
      </c>
      <c r="E96">
        <v>2016</v>
      </c>
      <c r="F96" s="36">
        <v>2017</v>
      </c>
    </row>
    <row r="97" spans="1:6" x14ac:dyDescent="0.3">
      <c r="A97" s="23" t="s">
        <v>202</v>
      </c>
      <c r="B97" s="134">
        <f>(B34+B36)/B20</f>
        <v>2.971636952998379</v>
      </c>
      <c r="C97" s="134">
        <f>(C34+C36)/C20</f>
        <v>6.161748483177055</v>
      </c>
      <c r="D97" s="134">
        <f>(D34+D36)/D20</f>
        <v>1.9210723378762917</v>
      </c>
      <c r="E97" s="134">
        <f>(E34+E36)/E20</f>
        <v>0.95601489028213171</v>
      </c>
      <c r="F97" s="134">
        <f>(F34+F36)/F20</f>
        <v>0.81535488404778633</v>
      </c>
    </row>
    <row r="98" spans="1:6" x14ac:dyDescent="0.3">
      <c r="A98" s="23" t="s">
        <v>206</v>
      </c>
      <c r="B98" s="134">
        <f>Bilanca!C45/I20</f>
        <v>4.3682884726040534</v>
      </c>
      <c r="C98" s="134">
        <f>Bilanca!D45/J20</f>
        <v>3.6358674053813966</v>
      </c>
      <c r="D98" s="134">
        <f>Bilanca!E45/K20</f>
        <v>3.9212366396963341</v>
      </c>
      <c r="E98" s="134">
        <f>Bilanca!F45/L20</f>
        <v>3.8142608257112074</v>
      </c>
      <c r="F98" s="134">
        <f>Bilanca!G45/M20</f>
        <v>4.5914679655890325</v>
      </c>
    </row>
    <row r="99" spans="1:6" x14ac:dyDescent="0.3">
      <c r="B99" s="72"/>
      <c r="C99" s="72"/>
      <c r="D99" s="72"/>
      <c r="E99" s="72"/>
      <c r="F99" s="72"/>
    </row>
    <row r="100" spans="1:6" x14ac:dyDescent="0.3">
      <c r="B100" s="72"/>
      <c r="C100" s="72"/>
      <c r="D100" s="72"/>
      <c r="E100" s="72"/>
      <c r="F100" s="72"/>
    </row>
    <row r="101" spans="1:6" x14ac:dyDescent="0.3">
      <c r="A101" s="263" t="s">
        <v>337</v>
      </c>
      <c r="B101" s="263"/>
      <c r="C101" s="263"/>
      <c r="D101" s="263"/>
      <c r="E101" s="263"/>
      <c r="F101" s="263"/>
    </row>
    <row r="102" spans="1:6" x14ac:dyDescent="0.3">
      <c r="A102" s="23"/>
      <c r="B102">
        <v>2013</v>
      </c>
      <c r="C102">
        <v>2014</v>
      </c>
      <c r="D102">
        <v>2015</v>
      </c>
      <c r="E102">
        <v>2016</v>
      </c>
      <c r="F102" s="36">
        <v>2017</v>
      </c>
    </row>
    <row r="103" spans="1:6" x14ac:dyDescent="0.3">
      <c r="A103" s="23" t="s">
        <v>202</v>
      </c>
      <c r="B103" s="24">
        <f>B25/B32</f>
        <v>8.841988921198406E-3</v>
      </c>
      <c r="C103" s="24">
        <f t="shared" ref="C103:F103" si="1">C25/C32</f>
        <v>2.6164690505088226E-2</v>
      </c>
      <c r="D103" s="24">
        <f t="shared" si="1"/>
        <v>1.8784967234129219E-2</v>
      </c>
      <c r="E103" s="24">
        <f t="shared" si="1"/>
        <v>5.2336688099897492E-2</v>
      </c>
      <c r="F103" s="24">
        <f t="shared" si="1"/>
        <v>6.4061820493092031E-2</v>
      </c>
    </row>
    <row r="104" spans="1:6" x14ac:dyDescent="0.3">
      <c r="A104" s="23" t="s">
        <v>206</v>
      </c>
      <c r="B104" s="24">
        <f>I25/I32</f>
        <v>-2.1774899504818979E-2</v>
      </c>
      <c r="C104" s="24">
        <f t="shared" ref="C104:E104" si="2">J25/J32</f>
        <v>1.1239135049229045E-3</v>
      </c>
      <c r="D104" s="24">
        <f t="shared" si="2"/>
        <v>-7.2534174056592638E-3</v>
      </c>
      <c r="E104" s="24">
        <f t="shared" si="2"/>
        <v>7.5005738873258985E-3</v>
      </c>
      <c r="F104" s="24">
        <f>M25/M32</f>
        <v>1.1731092907456462E-3</v>
      </c>
    </row>
    <row r="115" spans="9:11" x14ac:dyDescent="0.3">
      <c r="I115" s="3"/>
      <c r="J115" s="3"/>
    </row>
    <row r="116" spans="9:11" x14ac:dyDescent="0.3">
      <c r="I116" s="3"/>
      <c r="J116" s="3"/>
      <c r="K116" s="30"/>
    </row>
    <row r="117" spans="9:11" x14ac:dyDescent="0.3">
      <c r="I117" s="3"/>
      <c r="J117" s="3"/>
      <c r="K117" s="30"/>
    </row>
    <row r="118" spans="9:11" x14ac:dyDescent="0.3">
      <c r="I118" s="3"/>
      <c r="J118" s="3"/>
      <c r="K118" s="30"/>
    </row>
  </sheetData>
  <mergeCells count="11">
    <mergeCell ref="A70:F70"/>
    <mergeCell ref="A41:F41"/>
    <mergeCell ref="A46:F46"/>
    <mergeCell ref="A52:F52"/>
    <mergeCell ref="A58:F58"/>
    <mergeCell ref="A64:F64"/>
    <mergeCell ref="A101:F101"/>
    <mergeCell ref="A95:F95"/>
    <mergeCell ref="A76:F76"/>
    <mergeCell ref="A82:F82"/>
    <mergeCell ref="A88:F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14</vt:i4>
      </vt:variant>
    </vt:vector>
  </HeadingPairs>
  <TitlesOfParts>
    <vt:vector size="14" baseType="lpstr">
      <vt:lpstr>FCFF</vt:lpstr>
      <vt:lpstr>Stroški</vt:lpstr>
      <vt:lpstr>Amortizacija</vt:lpstr>
      <vt:lpstr>WACC</vt:lpstr>
      <vt:lpstr>PRILOGE</vt:lpstr>
      <vt:lpstr>Denarni tok</vt:lpstr>
      <vt:lpstr>Bilanca</vt:lpstr>
      <vt:lpstr>Davki</vt:lpstr>
      <vt:lpstr>Primerjava</vt:lpstr>
      <vt:lpstr>Delnica</vt:lpstr>
      <vt:lpstr>Panoga</vt:lpstr>
      <vt:lpstr>Kontrolna premija</vt:lpstr>
      <vt:lpstr>Izkaz poslovnega izida</vt:lpstr>
      <vt:lpstr>Kazalniki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Hovnik</dc:creator>
  <cp:lastModifiedBy>Klemen</cp:lastModifiedBy>
  <cp:lastPrinted>2019-04-01T16:55:08Z</cp:lastPrinted>
  <dcterms:created xsi:type="dcterms:W3CDTF">2019-01-28T12:29:52Z</dcterms:created>
  <dcterms:modified xsi:type="dcterms:W3CDTF">2019-09-08T11:31:24Z</dcterms:modified>
</cp:coreProperties>
</file>