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threadedComments/threadedComment3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threadedComments/threadedComment4.xml" ContentType="application/vnd.ms-excel.threaded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6.xml" ContentType="application/vnd.openxmlformats-officedocument.spreadsheetml.comments+xml"/>
  <Override PartName="/xl/threadedComments/threadedComment5.xml" ContentType="application/vnd.ms-excel.threadedcomments+xml"/>
  <Override PartName="/xl/drawings/drawing4.xml" ContentType="application/vnd.openxmlformats-officedocument.drawing+xml"/>
  <Override PartName="/xl/comments7.xml" ContentType="application/vnd.openxmlformats-officedocument.spreadsheetml.comments+xml"/>
  <Override PartName="/xl/threadedComments/threadedComment6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8.xml" ContentType="application/vnd.openxmlformats-officedocument.spreadsheetml.comments+xml"/>
  <Override PartName="/xl/threadedComments/threadedComment7.xml" ContentType="application/vnd.ms-excel.threadedcomments+xml"/>
  <Override PartName="/xl/comments9.xml" ContentType="application/vnd.openxmlformats-officedocument.spreadsheetml.comments+xml"/>
  <Override PartName="/xl/threadedComments/threadedComment8.xml" ContentType="application/vnd.ms-excel.threadedcomments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omments10.xml" ContentType="application/vnd.openxmlformats-officedocument.spreadsheetml.comment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ža\Documents\GitHub\Diplomska-naloga-\Diploma podatki\"/>
    </mc:Choice>
  </mc:AlternateContent>
  <xr:revisionPtr revIDLastSave="0" documentId="13_ncr:1_{EB3DB5F0-6F7E-4254-A25D-3396D58DA1A3}" xr6:coauthVersionLast="45" xr6:coauthVersionMax="45" xr10:uidLastSave="{00000000-0000-0000-0000-000000000000}"/>
  <bookViews>
    <workbookView xWindow="-108" yWindow="-108" windowWidth="23256" windowHeight="12576" firstSheet="1" activeTab="4" xr2:uid="{0DAC0375-5244-478E-9483-C7B8579F68F1}"/>
  </bookViews>
  <sheets>
    <sheet name="LEGENDA" sheetId="7" r:id="rId1"/>
    <sheet name="FCF - KONČNI_IZRAČUN" sheetId="5" r:id="rId2"/>
    <sheet name="WACC IZRAČUN" sheetId="15" r:id="rId3"/>
    <sheet name="ŠTUDIJE - POSEBNA TVEGANJA" sheetId="18" r:id="rId4"/>
    <sheet name="IZRAČUN VREDNOSTI DELNICE" sheetId="16" r:id="rId5"/>
    <sheet name="ANALIZA DELNICE" sheetId="17" r:id="rId6"/>
    <sheet name="PRIHODKI IN STROŠKI" sheetId="9" r:id="rId7"/>
    <sheet name="AKTIVA" sheetId="6" r:id="rId8"/>
    <sheet name="PASIVA" sheetId="8" r:id="rId9"/>
    <sheet name="NALOŽBE" sheetId="10" r:id="rId10"/>
    <sheet name="INVESTICIJE" sheetId="11" r:id="rId11"/>
    <sheet name="AMORTIZACIJA" sheetId="4" r:id="rId12"/>
    <sheet name="MAKRO ANALIZA" sheetId="12" r:id="rId13"/>
    <sheet name="PRIMERJAVA S SORODNIMI PODJETJI" sheetId="14" r:id="rId14"/>
    <sheet name="KAZALNIKI - PODJETJE X" sheetId="13" r:id="rId15"/>
  </sheets>
  <externalReferences>
    <externalReference r:id="rId1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16" l="1"/>
  <c r="H23" i="5" l="1"/>
  <c r="H22" i="5"/>
  <c r="C14" i="16"/>
  <c r="C17" i="16" s="1"/>
  <c r="C23" i="17"/>
  <c r="C9" i="16"/>
  <c r="C11" i="16"/>
  <c r="C16" i="5" l="1"/>
  <c r="D16" i="5"/>
  <c r="E16" i="5"/>
  <c r="F16" i="5"/>
  <c r="B16" i="5"/>
  <c r="K3" i="16"/>
  <c r="H16" i="5"/>
  <c r="I16" i="5"/>
  <c r="J16" i="5"/>
  <c r="G16" i="5"/>
  <c r="D4" i="16" l="1"/>
  <c r="E4" i="16"/>
  <c r="F4" i="16"/>
  <c r="G4" i="16"/>
  <c r="C4" i="16"/>
  <c r="D3" i="16"/>
  <c r="D6" i="16" s="1"/>
  <c r="E3" i="16"/>
  <c r="F3" i="16"/>
  <c r="F6" i="16" s="1"/>
  <c r="G3" i="16"/>
  <c r="G6" i="16" s="1"/>
  <c r="C3" i="16"/>
  <c r="C6" i="16" s="1"/>
  <c r="C5" i="15"/>
  <c r="C20" i="15" s="1"/>
  <c r="H9" i="15"/>
  <c r="C4" i="15"/>
  <c r="C11" i="15"/>
  <c r="C3" i="15"/>
  <c r="K9" i="6"/>
  <c r="G20" i="10"/>
  <c r="G29" i="4"/>
  <c r="B101" i="13"/>
  <c r="C101" i="13"/>
  <c r="D101" i="13"/>
  <c r="E101" i="13"/>
  <c r="F101" i="13"/>
  <c r="B99" i="13"/>
  <c r="E99" i="13"/>
  <c r="F99" i="13"/>
  <c r="C99" i="13"/>
  <c r="D99" i="13"/>
  <c r="J4" i="16" l="1"/>
  <c r="J5" i="16" s="1"/>
  <c r="C8" i="16" s="1"/>
  <c r="E6" i="16"/>
  <c r="G42" i="9"/>
  <c r="G44" i="9"/>
  <c r="I45" i="9"/>
  <c r="H45" i="9"/>
  <c r="K45" i="9"/>
  <c r="J45" i="9"/>
  <c r="G45" i="9"/>
  <c r="K43" i="9"/>
  <c r="J43" i="9"/>
  <c r="I43" i="9"/>
  <c r="H43" i="9"/>
  <c r="G43" i="9"/>
  <c r="E47" i="9"/>
  <c r="H47" i="9"/>
  <c r="I47" i="9" s="1"/>
  <c r="J47" i="9" s="1"/>
  <c r="K47" i="9" s="1"/>
  <c r="G47" i="9"/>
  <c r="D49" i="9"/>
  <c r="E49" i="9"/>
  <c r="F49" i="9"/>
  <c r="C49" i="9"/>
  <c r="F46" i="9"/>
  <c r="C32" i="13" l="1"/>
  <c r="D32" i="13"/>
  <c r="E32" i="13"/>
  <c r="F32" i="13"/>
  <c r="B32" i="13"/>
  <c r="C27" i="8"/>
  <c r="D27" i="8"/>
  <c r="E27" i="8"/>
  <c r="F27" i="8"/>
  <c r="B27" i="8"/>
  <c r="C26" i="8"/>
  <c r="D26" i="8"/>
  <c r="E26" i="8"/>
  <c r="F26" i="8"/>
  <c r="B26" i="8"/>
  <c r="H3" i="15"/>
  <c r="C10" i="15" s="1"/>
  <c r="B22" i="13"/>
  <c r="B21" i="13"/>
  <c r="B15" i="6"/>
  <c r="B23" i="9"/>
  <c r="B38" i="9"/>
  <c r="G9" i="15" l="1"/>
  <c r="B92" i="13"/>
  <c r="D8" i="17"/>
  <c r="E8" i="17"/>
  <c r="F8" i="17"/>
  <c r="G8" i="17"/>
  <c r="C8" i="17"/>
  <c r="D14" i="17"/>
  <c r="E14" i="17"/>
  <c r="F14" i="17"/>
  <c r="G14" i="17"/>
  <c r="C14" i="17"/>
  <c r="B93" i="13"/>
  <c r="B90" i="13"/>
  <c r="B89" i="13"/>
  <c r="C80" i="13" l="1"/>
  <c r="D80" i="13"/>
  <c r="E80" i="13"/>
  <c r="F80" i="13"/>
  <c r="B80" i="13"/>
  <c r="B41" i="14"/>
  <c r="C41" i="14"/>
  <c r="D41" i="14"/>
  <c r="E41" i="14"/>
  <c r="F41" i="14"/>
  <c r="B37" i="14"/>
  <c r="B51" i="14" s="1"/>
  <c r="B82" i="13" l="1"/>
  <c r="B94" i="13" s="1"/>
  <c r="C15" i="15"/>
  <c r="C14" i="15" l="1"/>
  <c r="H27" i="15"/>
  <c r="H13" i="15" l="1"/>
  <c r="C8" i="15" l="1"/>
  <c r="F5" i="15" l="1"/>
  <c r="J3" i="15"/>
  <c r="I3" i="15"/>
  <c r="G3" i="15"/>
  <c r="C9" i="15" l="1"/>
  <c r="C17" i="15" s="1"/>
  <c r="F5" i="5"/>
  <c r="B5" i="5"/>
  <c r="C5" i="5"/>
  <c r="D5" i="5"/>
  <c r="E5" i="5"/>
  <c r="H31" i="4" l="1"/>
  <c r="I31" i="4"/>
  <c r="J31" i="4"/>
  <c r="K31" i="4"/>
  <c r="G31" i="4"/>
  <c r="H30" i="4"/>
  <c r="I30" i="4"/>
  <c r="J30" i="4"/>
  <c r="K30" i="4"/>
  <c r="G30" i="4"/>
  <c r="H29" i="4"/>
  <c r="I29" i="4"/>
  <c r="J29" i="4"/>
  <c r="K29" i="4"/>
  <c r="H16" i="11"/>
  <c r="I16" i="11"/>
  <c r="J16" i="11"/>
  <c r="K16" i="11"/>
  <c r="G16" i="11"/>
  <c r="E13" i="5" l="1"/>
  <c r="C5" i="10"/>
  <c r="C13" i="5" s="1"/>
  <c r="D5" i="10"/>
  <c r="D13" i="5" s="1"/>
  <c r="E5" i="10"/>
  <c r="F5" i="10"/>
  <c r="F13" i="5" s="1"/>
  <c r="B5" i="10"/>
  <c r="B13" i="5" s="1"/>
  <c r="C48" i="9" l="1"/>
  <c r="D48" i="9"/>
  <c r="E48" i="9"/>
  <c r="F48" i="9"/>
  <c r="B48" i="9"/>
  <c r="C47" i="9"/>
  <c r="D47" i="9"/>
  <c r="F47" i="9"/>
  <c r="B47" i="9"/>
  <c r="D20" i="10"/>
  <c r="E20" i="10"/>
  <c r="F20" i="10"/>
  <c r="B15" i="14" l="1"/>
  <c r="B65" i="13"/>
  <c r="E59" i="13" s="1"/>
  <c r="C28" i="13"/>
  <c r="D28" i="13"/>
  <c r="D29" i="13" s="1"/>
  <c r="E28" i="13"/>
  <c r="F28" i="13"/>
  <c r="B28" i="13"/>
  <c r="B29" i="13" s="1"/>
  <c r="F22" i="13"/>
  <c r="E22" i="13"/>
  <c r="D22" i="13"/>
  <c r="F21" i="13"/>
  <c r="E21" i="13"/>
  <c r="F15" i="13"/>
  <c r="E15" i="13"/>
  <c r="D15" i="13"/>
  <c r="C15" i="13"/>
  <c r="B15" i="13"/>
  <c r="B14" i="13"/>
  <c r="D13" i="13"/>
  <c r="E13" i="13"/>
  <c r="F13" i="13"/>
  <c r="C12" i="13"/>
  <c r="D12" i="13"/>
  <c r="E12" i="13"/>
  <c r="F12" i="13"/>
  <c r="B12" i="13"/>
  <c r="C11" i="13"/>
  <c r="D11" i="13"/>
  <c r="E11" i="13"/>
  <c r="F11" i="13"/>
  <c r="B11" i="13"/>
  <c r="F6" i="13"/>
  <c r="C5" i="13"/>
  <c r="D5" i="13"/>
  <c r="E5" i="13"/>
  <c r="F5" i="13"/>
  <c r="B5" i="13"/>
  <c r="C4" i="13"/>
  <c r="D4" i="13"/>
  <c r="E4" i="13"/>
  <c r="F4" i="13"/>
  <c r="B4" i="13"/>
  <c r="C3" i="13"/>
  <c r="D3" i="13"/>
  <c r="E3" i="13"/>
  <c r="F3" i="13"/>
  <c r="B3" i="13"/>
  <c r="C39" i="14"/>
  <c r="D39" i="14"/>
  <c r="E39" i="14"/>
  <c r="F39" i="14"/>
  <c r="B39" i="14"/>
  <c r="F59" i="13" l="1"/>
  <c r="D59" i="13"/>
  <c r="C59" i="13"/>
  <c r="B59" i="13"/>
  <c r="C53" i="14"/>
  <c r="B53" i="14"/>
  <c r="F53" i="14"/>
  <c r="E53" i="14"/>
  <c r="D53" i="14"/>
  <c r="F5" i="8" l="1"/>
  <c r="D2" i="8" l="1"/>
  <c r="B4" i="8"/>
  <c r="C9" i="6"/>
  <c r="B9" i="6"/>
  <c r="B14" i="5"/>
  <c r="B7" i="5"/>
  <c r="L3" i="5" s="1"/>
  <c r="C7" i="5"/>
  <c r="D7" i="5"/>
  <c r="E7" i="5"/>
  <c r="F7" i="5"/>
  <c r="C32" i="11"/>
  <c r="D32" i="11"/>
  <c r="E32" i="11"/>
  <c r="F32" i="11"/>
  <c r="B32" i="11"/>
  <c r="C29" i="11"/>
  <c r="D29" i="11"/>
  <c r="E29" i="11"/>
  <c r="F29" i="11"/>
  <c r="B29" i="11"/>
  <c r="B20" i="10" l="1"/>
  <c r="B13" i="13"/>
  <c r="C20" i="10"/>
  <c r="C13" i="13"/>
  <c r="L3" i="8"/>
  <c r="B5" i="8"/>
  <c r="H10" i="10"/>
  <c r="I10" i="10"/>
  <c r="J10" i="10"/>
  <c r="K10" i="10"/>
  <c r="G10" i="10"/>
  <c r="H4" i="8" l="1"/>
  <c r="G4" i="8"/>
  <c r="I4" i="8"/>
  <c r="J4" i="8"/>
  <c r="K4" i="8"/>
  <c r="F11" i="5"/>
  <c r="E11" i="5"/>
  <c r="D11" i="5"/>
  <c r="C11" i="5"/>
  <c r="B11" i="5"/>
  <c r="D6" i="5"/>
  <c r="F6" i="5"/>
  <c r="E6" i="5"/>
  <c r="C6" i="5"/>
  <c r="F45" i="9"/>
  <c r="E45" i="9"/>
  <c r="D45" i="9"/>
  <c r="C45" i="9"/>
  <c r="F44" i="9"/>
  <c r="E44" i="9"/>
  <c r="D44" i="9"/>
  <c r="C44" i="9"/>
  <c r="C46" i="9" s="1"/>
  <c r="B44" i="9"/>
  <c r="K28" i="9"/>
  <c r="J28" i="9"/>
  <c r="I28" i="9"/>
  <c r="H28" i="9"/>
  <c r="G28" i="9"/>
  <c r="D22" i="9"/>
  <c r="C22" i="9"/>
  <c r="B22" i="9"/>
  <c r="K20" i="9"/>
  <c r="J20" i="9"/>
  <c r="I20" i="9"/>
  <c r="H20" i="9"/>
  <c r="C20" i="9"/>
  <c r="B20" i="9"/>
  <c r="D17" i="9"/>
  <c r="D86" i="12" s="1"/>
  <c r="C17" i="9"/>
  <c r="F12" i="9"/>
  <c r="F23" i="9" s="1"/>
  <c r="E12" i="9"/>
  <c r="E23" i="9" s="1"/>
  <c r="F36" i="14"/>
  <c r="E36" i="14"/>
  <c r="D36" i="14"/>
  <c r="C36" i="14"/>
  <c r="F32" i="14"/>
  <c r="E32" i="14"/>
  <c r="E34" i="14" s="1"/>
  <c r="D32" i="14"/>
  <c r="D34" i="14" s="1"/>
  <c r="C32" i="14"/>
  <c r="B32" i="14"/>
  <c r="B34" i="14" s="1"/>
  <c r="F31" i="14"/>
  <c r="E31" i="14"/>
  <c r="D31" i="14"/>
  <c r="C31" i="14"/>
  <c r="F29" i="14"/>
  <c r="E29" i="14"/>
  <c r="D29" i="14"/>
  <c r="C29" i="14"/>
  <c r="B26" i="14"/>
  <c r="D52" i="14" s="1"/>
  <c r="F25" i="14"/>
  <c r="E25" i="14"/>
  <c r="D25" i="14"/>
  <c r="C25" i="14"/>
  <c r="F21" i="14"/>
  <c r="E21" i="14"/>
  <c r="D21" i="14"/>
  <c r="D23" i="14" s="1"/>
  <c r="C21" i="14"/>
  <c r="C23" i="14" s="1"/>
  <c r="B21" i="14"/>
  <c r="B23" i="14" s="1"/>
  <c r="F20" i="14"/>
  <c r="E20" i="14"/>
  <c r="D20" i="14"/>
  <c r="C20" i="14"/>
  <c r="F18" i="14"/>
  <c r="E18" i="14"/>
  <c r="D18" i="14"/>
  <c r="C18" i="14"/>
  <c r="F13" i="14"/>
  <c r="E13" i="14"/>
  <c r="D13" i="14"/>
  <c r="C13" i="14"/>
  <c r="F11" i="14"/>
  <c r="E11" i="14"/>
  <c r="D11" i="14"/>
  <c r="C11" i="14"/>
  <c r="B11" i="14"/>
  <c r="F10" i="14"/>
  <c r="E10" i="14"/>
  <c r="D10" i="14"/>
  <c r="C10" i="14"/>
  <c r="F8" i="14"/>
  <c r="E8" i="14"/>
  <c r="D8" i="14"/>
  <c r="C8" i="14"/>
  <c r="F6" i="14"/>
  <c r="E6" i="14"/>
  <c r="D6" i="14"/>
  <c r="C6" i="14"/>
  <c r="F30" i="13"/>
  <c r="F43" i="13"/>
  <c r="E43" i="13"/>
  <c r="F40" i="13"/>
  <c r="E37" i="13"/>
  <c r="D43" i="13"/>
  <c r="D14" i="13"/>
  <c r="C14" i="13"/>
  <c r="F87" i="12"/>
  <c r="E87" i="12"/>
  <c r="D87" i="12"/>
  <c r="C87" i="12"/>
  <c r="B87" i="12"/>
  <c r="E52" i="14" l="1"/>
  <c r="F33" i="14"/>
  <c r="E22" i="14"/>
  <c r="E51" i="14"/>
  <c r="F24" i="9"/>
  <c r="F43" i="14" s="1"/>
  <c r="E23" i="14"/>
  <c r="F34" i="14"/>
  <c r="D46" i="9"/>
  <c r="L42" i="9" s="1"/>
  <c r="E46" i="9"/>
  <c r="F22" i="14"/>
  <c r="C33" i="14"/>
  <c r="F51" i="14"/>
  <c r="C30" i="13"/>
  <c r="D30" i="13"/>
  <c r="E30" i="13"/>
  <c r="E17" i="9"/>
  <c r="E86" i="12" s="1"/>
  <c r="F17" i="9"/>
  <c r="F86" i="12" s="1"/>
  <c r="C23" i="9"/>
  <c r="D23" i="9"/>
  <c r="C22" i="14"/>
  <c r="F23" i="14"/>
  <c r="D33" i="14"/>
  <c r="C34" i="14"/>
  <c r="C51" i="14"/>
  <c r="B52" i="14"/>
  <c r="F52" i="14"/>
  <c r="D22" i="14"/>
  <c r="E33" i="14"/>
  <c r="D51" i="14"/>
  <c r="C52" i="14"/>
  <c r="E23" i="13"/>
  <c r="F37" i="13"/>
  <c r="E40" i="13"/>
  <c r="F23" i="13"/>
  <c r="J46" i="9" l="1"/>
  <c r="G46" i="9"/>
  <c r="I46" i="9"/>
  <c r="K46" i="9"/>
  <c r="H46" i="9"/>
  <c r="D24" i="9"/>
  <c r="D43" i="14" s="1"/>
  <c r="C24" i="9"/>
  <c r="C43" i="14" s="1"/>
  <c r="E24" i="9"/>
  <c r="E43" i="14" s="1"/>
  <c r="H44" i="9" l="1"/>
  <c r="G19" i="9"/>
  <c r="I44" i="9" l="1"/>
  <c r="H42" i="9"/>
  <c r="H19" i="9" s="1"/>
  <c r="B2" i="11"/>
  <c r="B18" i="11" s="1"/>
  <c r="C2" i="11"/>
  <c r="C16" i="11" s="1"/>
  <c r="D2" i="11"/>
  <c r="D18" i="11" s="1"/>
  <c r="E2" i="11"/>
  <c r="E18" i="11" s="1"/>
  <c r="F2" i="11"/>
  <c r="B5" i="11"/>
  <c r="C5" i="11"/>
  <c r="D5" i="11"/>
  <c r="E5" i="11"/>
  <c r="F5" i="11"/>
  <c r="K79" i="4"/>
  <c r="J79" i="4"/>
  <c r="I79" i="4"/>
  <c r="H79" i="4"/>
  <c r="G79" i="4"/>
  <c r="K67" i="4"/>
  <c r="J67" i="4"/>
  <c r="I67" i="4"/>
  <c r="H67" i="4"/>
  <c r="G67" i="4"/>
  <c r="K55" i="4"/>
  <c r="J55" i="4"/>
  <c r="I55" i="4"/>
  <c r="H55" i="4"/>
  <c r="G55" i="4"/>
  <c r="J27" i="4"/>
  <c r="F27" i="4"/>
  <c r="F24" i="4"/>
  <c r="K15" i="4"/>
  <c r="J15" i="4"/>
  <c r="I15" i="4"/>
  <c r="H15" i="4"/>
  <c r="G15" i="4"/>
  <c r="F5" i="4"/>
  <c r="F19" i="4" s="1"/>
  <c r="E5" i="4"/>
  <c r="E19" i="4" s="1"/>
  <c r="D5" i="4"/>
  <c r="D20" i="4" s="1"/>
  <c r="C5" i="4"/>
  <c r="C19" i="4" s="1"/>
  <c r="B5" i="4"/>
  <c r="B19" i="4" s="1"/>
  <c r="F2" i="4"/>
  <c r="F89" i="4" s="1"/>
  <c r="E2" i="4"/>
  <c r="D2" i="4"/>
  <c r="D89" i="4" s="1"/>
  <c r="C2" i="4"/>
  <c r="B2" i="4"/>
  <c r="B10" i="10"/>
  <c r="E11" i="10"/>
  <c r="E9" i="10"/>
  <c r="E20" i="8"/>
  <c r="C18" i="8"/>
  <c r="E15" i="8"/>
  <c r="G2" i="9"/>
  <c r="C31" i="6"/>
  <c r="B32" i="6"/>
  <c r="E33" i="6"/>
  <c r="C35" i="6"/>
  <c r="B36" i="6"/>
  <c r="E37" i="6"/>
  <c r="F6" i="9"/>
  <c r="E6" i="9"/>
  <c r="E18" i="8" s="1"/>
  <c r="F5" i="9"/>
  <c r="G4" i="9"/>
  <c r="H4" i="9" s="1"/>
  <c r="I4" i="9" s="1"/>
  <c r="J4" i="9" s="1"/>
  <c r="K4" i="9" s="1"/>
  <c r="D4" i="9"/>
  <c r="D5" i="9" s="1"/>
  <c r="C4" i="9"/>
  <c r="C6" i="9" s="1"/>
  <c r="C11" i="10" s="1"/>
  <c r="B4" i="9"/>
  <c r="B6" i="9" s="1"/>
  <c r="B18" i="8" s="1"/>
  <c r="F3" i="9"/>
  <c r="E3" i="9"/>
  <c r="D3" i="9"/>
  <c r="C3" i="9"/>
  <c r="C40" i="14" s="1"/>
  <c r="K20" i="8"/>
  <c r="J20" i="8"/>
  <c r="I20" i="8"/>
  <c r="H20" i="8"/>
  <c r="G20" i="8"/>
  <c r="K17" i="8"/>
  <c r="J17" i="8"/>
  <c r="I17" i="8"/>
  <c r="H17" i="8"/>
  <c r="G17" i="8"/>
  <c r="C8" i="8"/>
  <c r="B8" i="8"/>
  <c r="B17" i="8"/>
  <c r="E3" i="8"/>
  <c r="E5" i="8" s="1"/>
  <c r="E50" i="13" s="1"/>
  <c r="D3" i="8"/>
  <c r="C3" i="8"/>
  <c r="K38" i="6"/>
  <c r="J38" i="6"/>
  <c r="I38" i="6"/>
  <c r="H38" i="6"/>
  <c r="G38" i="6"/>
  <c r="F17" i="6"/>
  <c r="E17" i="6"/>
  <c r="F15" i="6"/>
  <c r="F16" i="6" s="1"/>
  <c r="F13" i="6"/>
  <c r="F14" i="6" s="1"/>
  <c r="E13" i="6"/>
  <c r="E14" i="6" s="1"/>
  <c r="D13" i="6"/>
  <c r="C13" i="6"/>
  <c r="C14" i="6" s="1"/>
  <c r="B13" i="6"/>
  <c r="D11" i="6"/>
  <c r="C11" i="6"/>
  <c r="C21" i="13" s="1"/>
  <c r="B11" i="6"/>
  <c r="E4" i="6"/>
  <c r="E31" i="6" s="1"/>
  <c r="D4" i="6"/>
  <c r="D6" i="13" s="1"/>
  <c r="C4" i="6"/>
  <c r="C6" i="13" s="1"/>
  <c r="B4" i="6"/>
  <c r="B31" i="6" s="1"/>
  <c r="F7" i="9" l="1"/>
  <c r="F30" i="6"/>
  <c r="F16" i="8"/>
  <c r="F30" i="9"/>
  <c r="F34" i="9"/>
  <c r="F35" i="9"/>
  <c r="F36" i="9"/>
  <c r="F37" i="9"/>
  <c r="F32" i="9"/>
  <c r="F31" i="9"/>
  <c r="F38" i="9"/>
  <c r="F42" i="14" s="1"/>
  <c r="F28" i="9"/>
  <c r="F14" i="8"/>
  <c r="F10" i="10"/>
  <c r="D15" i="4"/>
  <c r="E44" i="14"/>
  <c r="E18" i="6"/>
  <c r="E46" i="14" s="1"/>
  <c r="C15" i="8"/>
  <c r="C5" i="8"/>
  <c r="F40" i="14"/>
  <c r="F85" i="12"/>
  <c r="B29" i="6"/>
  <c r="C29" i="6"/>
  <c r="C38" i="6"/>
  <c r="E36" i="6"/>
  <c r="F35" i="6"/>
  <c r="B35" i="6"/>
  <c r="C34" i="6"/>
  <c r="E32" i="6"/>
  <c r="F31" i="6"/>
  <c r="E14" i="8"/>
  <c r="B15" i="8"/>
  <c r="F18" i="8"/>
  <c r="C19" i="8"/>
  <c r="E10" i="10"/>
  <c r="E13" i="4"/>
  <c r="E89" i="4"/>
  <c r="F13" i="4"/>
  <c r="E18" i="4"/>
  <c r="J24" i="4"/>
  <c r="I24" i="4"/>
  <c r="K24" i="4"/>
  <c r="H24" i="4"/>
  <c r="G24" i="4"/>
  <c r="F16" i="11"/>
  <c r="F32" i="6"/>
  <c r="D17" i="6"/>
  <c r="D21" i="13"/>
  <c r="F44" i="14"/>
  <c r="F50" i="13"/>
  <c r="F18" i="6"/>
  <c r="F46" i="14" s="1"/>
  <c r="D5" i="8"/>
  <c r="B20" i="8"/>
  <c r="B43" i="13"/>
  <c r="B30" i="6"/>
  <c r="B16" i="8"/>
  <c r="B31" i="9"/>
  <c r="B32" i="9"/>
  <c r="B34" i="9"/>
  <c r="B28" i="9"/>
  <c r="B36" i="9"/>
  <c r="B30" i="9"/>
  <c r="B37" i="9"/>
  <c r="B35" i="9"/>
  <c r="B42" i="14"/>
  <c r="F29" i="6"/>
  <c r="F38" i="6"/>
  <c r="B38" i="6"/>
  <c r="C37" i="6"/>
  <c r="E35" i="6"/>
  <c r="F34" i="6"/>
  <c r="B34" i="6"/>
  <c r="C33" i="6"/>
  <c r="C14" i="8"/>
  <c r="F17" i="8"/>
  <c r="F19" i="8"/>
  <c r="B19" i="8"/>
  <c r="B9" i="10"/>
  <c r="C9" i="10"/>
  <c r="B15" i="4"/>
  <c r="B89" i="4"/>
  <c r="F29" i="13"/>
  <c r="F12" i="5"/>
  <c r="D13" i="4"/>
  <c r="C18" i="4"/>
  <c r="B6" i="13"/>
  <c r="B76" i="13"/>
  <c r="E40" i="14"/>
  <c r="E85" i="12"/>
  <c r="F36" i="6"/>
  <c r="D12" i="5"/>
  <c r="C20" i="4"/>
  <c r="E15" i="6"/>
  <c r="E16" i="6" s="1"/>
  <c r="E6" i="13"/>
  <c r="C20" i="8"/>
  <c r="C22" i="13"/>
  <c r="C43" i="13" s="1"/>
  <c r="D40" i="14"/>
  <c r="D85" i="12"/>
  <c r="C30" i="6"/>
  <c r="C16" i="8"/>
  <c r="C30" i="9"/>
  <c r="C31" i="9"/>
  <c r="C34" i="9"/>
  <c r="C36" i="9"/>
  <c r="C32" i="9"/>
  <c r="C28" i="9"/>
  <c r="C37" i="9"/>
  <c r="C35" i="9"/>
  <c r="C38" i="9"/>
  <c r="C42" i="14" s="1"/>
  <c r="E30" i="6"/>
  <c r="E16" i="8"/>
  <c r="E34" i="9"/>
  <c r="E35" i="9"/>
  <c r="E36" i="9"/>
  <c r="E37" i="9"/>
  <c r="E32" i="9"/>
  <c r="E31" i="9"/>
  <c r="E30" i="9"/>
  <c r="E38" i="9"/>
  <c r="E42" i="14" s="1"/>
  <c r="E28" i="9"/>
  <c r="E29" i="6"/>
  <c r="E38" i="6"/>
  <c r="F37" i="6"/>
  <c r="B37" i="6"/>
  <c r="C36" i="6"/>
  <c r="E34" i="6"/>
  <c r="F33" i="6"/>
  <c r="B33" i="6"/>
  <c r="C32" i="6"/>
  <c r="B14" i="8"/>
  <c r="F15" i="8"/>
  <c r="E17" i="8"/>
  <c r="E19" i="8"/>
  <c r="F20" i="8"/>
  <c r="F9" i="10"/>
  <c r="F11" i="10"/>
  <c r="B11" i="10"/>
  <c r="C10" i="10"/>
  <c r="C15" i="4"/>
  <c r="C89" i="4"/>
  <c r="F15" i="4"/>
  <c r="E20" i="4"/>
  <c r="J44" i="9"/>
  <c r="I42" i="9"/>
  <c r="I19" i="9" s="1"/>
  <c r="C19" i="11"/>
  <c r="C10" i="11"/>
  <c r="F23" i="11"/>
  <c r="F10" i="11"/>
  <c r="B19" i="11"/>
  <c r="B10" i="11"/>
  <c r="D21" i="11"/>
  <c r="D10" i="11"/>
  <c r="E21" i="11"/>
  <c r="E10" i="11"/>
  <c r="H43" i="4"/>
  <c r="G6" i="9"/>
  <c r="F21" i="10"/>
  <c r="F22" i="10"/>
  <c r="F14" i="5" s="1"/>
  <c r="E21" i="10"/>
  <c r="E22" i="10"/>
  <c r="E14" i="5" s="1"/>
  <c r="C21" i="10"/>
  <c r="D22" i="10"/>
  <c r="D14" i="5" s="1"/>
  <c r="B21" i="10"/>
  <c r="C22" i="10"/>
  <c r="C14" i="5" s="1"/>
  <c r="E12" i="10"/>
  <c r="F12" i="10"/>
  <c r="D12" i="10"/>
  <c r="C12" i="10"/>
  <c r="B12" i="10"/>
  <c r="C21" i="11"/>
  <c r="D16" i="11"/>
  <c r="F22" i="11"/>
  <c r="B21" i="11"/>
  <c r="B22" i="11"/>
  <c r="E16" i="11"/>
  <c r="F21" i="11"/>
  <c r="F19" i="11"/>
  <c r="E23" i="11"/>
  <c r="D23" i="11"/>
  <c r="E22" i="11"/>
  <c r="C18" i="11"/>
  <c r="E19" i="11"/>
  <c r="B16" i="11"/>
  <c r="C23" i="11"/>
  <c r="D22" i="11"/>
  <c r="F18" i="11"/>
  <c r="D19" i="11"/>
  <c r="B23" i="11"/>
  <c r="C22" i="11"/>
  <c r="D16" i="4"/>
  <c r="B18" i="4"/>
  <c r="D19" i="4"/>
  <c r="B13" i="4"/>
  <c r="C13" i="4"/>
  <c r="C16" i="4"/>
  <c r="E15" i="4"/>
  <c r="F18" i="4"/>
  <c r="F20" i="4"/>
  <c r="B20" i="4"/>
  <c r="F16" i="4"/>
  <c r="B16" i="4"/>
  <c r="H27" i="4"/>
  <c r="H90" i="4" s="1"/>
  <c r="E16" i="4"/>
  <c r="D18" i="4"/>
  <c r="I27" i="4"/>
  <c r="G27" i="4"/>
  <c r="K27" i="4"/>
  <c r="K90" i="4" s="1"/>
  <c r="H26" i="4"/>
  <c r="D14" i="6"/>
  <c r="C7" i="9"/>
  <c r="E5" i="9"/>
  <c r="D6" i="9"/>
  <c r="D31" i="6" s="1"/>
  <c r="H2" i="9"/>
  <c r="C5" i="9"/>
  <c r="B14" i="6"/>
  <c r="B16" i="6"/>
  <c r="B17" i="6"/>
  <c r="C15" i="6"/>
  <c r="C16" i="6" s="1"/>
  <c r="C17" i="6"/>
  <c r="D15" i="6"/>
  <c r="D16" i="6" s="1"/>
  <c r="C40" i="13" l="1"/>
  <c r="E29" i="13"/>
  <c r="E31" i="13" s="1"/>
  <c r="E12" i="5"/>
  <c r="B62" i="13"/>
  <c r="B44" i="14"/>
  <c r="B45" i="14" s="1"/>
  <c r="E71" i="13"/>
  <c r="E72" i="13" s="1"/>
  <c r="F71" i="13"/>
  <c r="F72" i="13" s="1"/>
  <c r="C71" i="13"/>
  <c r="C72" i="13" s="1"/>
  <c r="B71" i="13"/>
  <c r="B72" i="13" s="1"/>
  <c r="D71" i="13"/>
  <c r="D72" i="13" s="1"/>
  <c r="D50" i="13"/>
  <c r="D17" i="8"/>
  <c r="B37" i="13"/>
  <c r="D7" i="9"/>
  <c r="D30" i="6"/>
  <c r="D16" i="8"/>
  <c r="D32" i="9"/>
  <c r="D31" i="9"/>
  <c r="D30" i="9"/>
  <c r="D34" i="9"/>
  <c r="D35" i="9"/>
  <c r="D36" i="9"/>
  <c r="D37" i="9"/>
  <c r="D28" i="9"/>
  <c r="D38" i="9"/>
  <c r="D42" i="14" s="1"/>
  <c r="D18" i="8"/>
  <c r="D35" i="6"/>
  <c r="D29" i="6"/>
  <c r="D14" i="8"/>
  <c r="D10" i="10"/>
  <c r="D32" i="6"/>
  <c r="D36" i="6"/>
  <c r="D19" i="8"/>
  <c r="D34" i="6"/>
  <c r="D38" i="6"/>
  <c r="D21" i="10"/>
  <c r="D11" i="10"/>
  <c r="D9" i="10"/>
  <c r="D20" i="8"/>
  <c r="D33" i="6"/>
  <c r="D37" i="6"/>
  <c r="C29" i="13"/>
  <c r="C12" i="5"/>
  <c r="B50" i="13"/>
  <c r="D15" i="8"/>
  <c r="D40" i="13"/>
  <c r="D23" i="13"/>
  <c r="D37" i="13"/>
  <c r="B23" i="13"/>
  <c r="C50" i="13"/>
  <c r="C17" i="8"/>
  <c r="C23" i="13"/>
  <c r="C44" i="14"/>
  <c r="C18" i="6"/>
  <c r="C46" i="14" s="1"/>
  <c r="K44" i="9"/>
  <c r="K42" i="9" s="1"/>
  <c r="K19" i="9" s="1"/>
  <c r="J42" i="9"/>
  <c r="J19" i="9" s="1"/>
  <c r="B12" i="5"/>
  <c r="D44" i="14"/>
  <c r="D18" i="6"/>
  <c r="D46" i="14" s="1"/>
  <c r="B40" i="13"/>
  <c r="K43" i="4"/>
  <c r="K26" i="4"/>
  <c r="C37" i="13"/>
  <c r="G7" i="9"/>
  <c r="G6" i="8"/>
  <c r="G7" i="8"/>
  <c r="G11" i="6"/>
  <c r="G2" i="11"/>
  <c r="G8" i="6"/>
  <c r="G2" i="10"/>
  <c r="G4" i="10"/>
  <c r="G14" i="9"/>
  <c r="G20" i="9"/>
  <c r="G22" i="9"/>
  <c r="G7" i="6"/>
  <c r="G5" i="11"/>
  <c r="G12" i="9"/>
  <c r="G17" i="9" s="1"/>
  <c r="G4" i="6"/>
  <c r="G16" i="9"/>
  <c r="G9" i="6"/>
  <c r="G3" i="8"/>
  <c r="G2" i="8"/>
  <c r="G32" i="6"/>
  <c r="G10" i="6"/>
  <c r="G34" i="9"/>
  <c r="G15" i="9"/>
  <c r="G16" i="8"/>
  <c r="J26" i="4"/>
  <c r="J43" i="4"/>
  <c r="J90" i="4"/>
  <c r="G26" i="4"/>
  <c r="G90" i="4"/>
  <c r="G43" i="4"/>
  <c r="I26" i="4"/>
  <c r="I90" i="4"/>
  <c r="I43" i="4"/>
  <c r="E15" i="5"/>
  <c r="B15" i="5"/>
  <c r="D15" i="5"/>
  <c r="C15" i="5"/>
  <c r="F15" i="5"/>
  <c r="E7" i="9"/>
  <c r="I2" i="9"/>
  <c r="H6" i="9"/>
  <c r="D54" i="14" l="1"/>
  <c r="C54" i="14"/>
  <c r="F54" i="14"/>
  <c r="B54" i="14"/>
  <c r="E54" i="14"/>
  <c r="F31" i="13"/>
  <c r="F36" i="4"/>
  <c r="F56" i="13"/>
  <c r="C56" i="13"/>
  <c r="B56" i="13"/>
  <c r="E56" i="13"/>
  <c r="D56" i="13"/>
  <c r="G7" i="11"/>
  <c r="F48" i="4" s="1"/>
  <c r="C31" i="13"/>
  <c r="D31" i="13"/>
  <c r="G5" i="8"/>
  <c r="G9" i="11"/>
  <c r="F72" i="4" s="1"/>
  <c r="G21" i="10"/>
  <c r="G10" i="11"/>
  <c r="G4" i="11"/>
  <c r="G18" i="11" s="1"/>
  <c r="G8" i="8"/>
  <c r="G15" i="6"/>
  <c r="G8" i="11"/>
  <c r="F60" i="4" s="1"/>
  <c r="H7" i="9"/>
  <c r="H16" i="8"/>
  <c r="H16" i="9"/>
  <c r="H12" i="9"/>
  <c r="H14" i="9"/>
  <c r="H34" i="9"/>
  <c r="H22" i="9"/>
  <c r="H15" i="9"/>
  <c r="H4" i="6"/>
  <c r="H2" i="10"/>
  <c r="H6" i="8"/>
  <c r="H32" i="6"/>
  <c r="H10" i="6"/>
  <c r="H11" i="6"/>
  <c r="H3" i="8"/>
  <c r="H2" i="8"/>
  <c r="H8" i="6"/>
  <c r="H4" i="10"/>
  <c r="H7" i="8"/>
  <c r="H7" i="6"/>
  <c r="H9" i="6"/>
  <c r="H5" i="11"/>
  <c r="H2" i="11"/>
  <c r="J2" i="9"/>
  <c r="I6" i="9"/>
  <c r="B55" i="14" l="1"/>
  <c r="K60" i="4"/>
  <c r="J60" i="4"/>
  <c r="H60" i="4"/>
  <c r="G60" i="4"/>
  <c r="I60" i="4"/>
  <c r="J72" i="4"/>
  <c r="K72" i="4"/>
  <c r="H72" i="4"/>
  <c r="G72" i="4"/>
  <c r="G78" i="4" s="1"/>
  <c r="I72" i="4"/>
  <c r="H48" i="4"/>
  <c r="G48" i="4"/>
  <c r="G54" i="4" s="1"/>
  <c r="G56" i="4" s="1"/>
  <c r="I48" i="4"/>
  <c r="K48" i="4"/>
  <c r="J48" i="4"/>
  <c r="G42" i="4"/>
  <c r="G44" i="4" s="1"/>
  <c r="G3" i="6" s="1"/>
  <c r="H36" i="4"/>
  <c r="G36" i="4"/>
  <c r="I36" i="4" s="1"/>
  <c r="J36" i="4" s="1"/>
  <c r="G22" i="10"/>
  <c r="G14" i="5" s="1"/>
  <c r="G66" i="4"/>
  <c r="G68" i="4" s="1"/>
  <c r="G35" i="11" s="1"/>
  <c r="H20" i="10"/>
  <c r="H22" i="10" s="1"/>
  <c r="H14" i="5" s="1"/>
  <c r="H5" i="8"/>
  <c r="G80" i="4"/>
  <c r="H8" i="11"/>
  <c r="H7" i="11"/>
  <c r="H10" i="11"/>
  <c r="H9" i="11"/>
  <c r="H15" i="6"/>
  <c r="H17" i="9"/>
  <c r="I7" i="9"/>
  <c r="I16" i="8"/>
  <c r="I22" i="9"/>
  <c r="I15" i="9"/>
  <c r="I16" i="9"/>
  <c r="I14" i="9"/>
  <c r="I12" i="9"/>
  <c r="I17" i="9" s="1"/>
  <c r="I34" i="9"/>
  <c r="I5" i="11"/>
  <c r="I2" i="11"/>
  <c r="I4" i="10"/>
  <c r="I2" i="10"/>
  <c r="I7" i="8"/>
  <c r="I6" i="8"/>
  <c r="I32" i="6"/>
  <c r="I10" i="6"/>
  <c r="I7" i="6"/>
  <c r="I4" i="6"/>
  <c r="I9" i="6"/>
  <c r="I11" i="6"/>
  <c r="I3" i="8"/>
  <c r="I2" i="8"/>
  <c r="I8" i="6"/>
  <c r="F37" i="4"/>
  <c r="H4" i="11"/>
  <c r="H8" i="8"/>
  <c r="J6" i="9"/>
  <c r="K2" i="9"/>
  <c r="G13" i="4" l="1"/>
  <c r="G31" i="11"/>
  <c r="G29" i="11" s="1"/>
  <c r="G34" i="11"/>
  <c r="G2" i="6"/>
  <c r="H37" i="4"/>
  <c r="I37" i="4"/>
  <c r="G91" i="4"/>
  <c r="G89" i="4" s="1"/>
  <c r="G21" i="9" s="1"/>
  <c r="K6" i="9"/>
  <c r="K2" i="8" s="1"/>
  <c r="H21" i="10"/>
  <c r="I20" i="10"/>
  <c r="G36" i="11"/>
  <c r="G20" i="4"/>
  <c r="G16" i="4"/>
  <c r="G18" i="4"/>
  <c r="G19" i="4"/>
  <c r="G12" i="5"/>
  <c r="F73" i="4"/>
  <c r="H42" i="4"/>
  <c r="H44" i="4" s="1"/>
  <c r="H13" i="4" s="1"/>
  <c r="I5" i="8"/>
  <c r="I15" i="6"/>
  <c r="I8" i="8"/>
  <c r="I4" i="11"/>
  <c r="I18" i="11" s="1"/>
  <c r="F38" i="4"/>
  <c r="F49" i="4"/>
  <c r="J7" i="9"/>
  <c r="J16" i="8"/>
  <c r="J14" i="9"/>
  <c r="J34" i="9"/>
  <c r="J22" i="9"/>
  <c r="J15" i="9"/>
  <c r="J16" i="9"/>
  <c r="J12" i="9"/>
  <c r="J9" i="6"/>
  <c r="J5" i="11"/>
  <c r="J2" i="11"/>
  <c r="J4" i="10"/>
  <c r="J2" i="10"/>
  <c r="J7" i="8"/>
  <c r="J6" i="8"/>
  <c r="J32" i="6"/>
  <c r="J10" i="6"/>
  <c r="J7" i="6"/>
  <c r="J2" i="8"/>
  <c r="J4" i="6"/>
  <c r="J11" i="6"/>
  <c r="J3" i="8"/>
  <c r="J8" i="6"/>
  <c r="H18" i="11"/>
  <c r="I8" i="11"/>
  <c r="F62" i="4" s="1"/>
  <c r="I9" i="11"/>
  <c r="F74" i="4" s="1"/>
  <c r="I7" i="11"/>
  <c r="F50" i="4" s="1"/>
  <c r="I10" i="11"/>
  <c r="F61" i="4"/>
  <c r="J3" i="10"/>
  <c r="I3" i="10"/>
  <c r="I5" i="10" s="1"/>
  <c r="I13" i="5" s="1"/>
  <c r="G3" i="10"/>
  <c r="G5" i="10" s="1"/>
  <c r="G13" i="5" s="1"/>
  <c r="H3" i="10"/>
  <c r="H5" i="10" s="1"/>
  <c r="H13" i="5" s="1"/>
  <c r="J50" i="4" l="1"/>
  <c r="K50" i="4"/>
  <c r="I50" i="4"/>
  <c r="K74" i="4"/>
  <c r="I74" i="4"/>
  <c r="J74" i="4"/>
  <c r="I49" i="4"/>
  <c r="J49" i="4"/>
  <c r="K49" i="4"/>
  <c r="H49" i="4"/>
  <c r="J38" i="4"/>
  <c r="I38" i="4"/>
  <c r="H61" i="4"/>
  <c r="I61" i="4"/>
  <c r="J61" i="4"/>
  <c r="K61" i="4"/>
  <c r="I62" i="4"/>
  <c r="K62" i="4"/>
  <c r="J62" i="4"/>
  <c r="K73" i="4"/>
  <c r="H73" i="4"/>
  <c r="J73" i="4"/>
  <c r="I73" i="4"/>
  <c r="G32" i="11"/>
  <c r="H3" i="6"/>
  <c r="K6" i="8"/>
  <c r="K7" i="8"/>
  <c r="K8" i="8" s="1"/>
  <c r="J5" i="10"/>
  <c r="J13" i="5" s="1"/>
  <c r="K4" i="6"/>
  <c r="K7" i="9"/>
  <c r="K7" i="6"/>
  <c r="K2" i="10"/>
  <c r="K11" i="6"/>
  <c r="K3" i="10"/>
  <c r="K10" i="6"/>
  <c r="K5" i="11"/>
  <c r="K7" i="11" s="1"/>
  <c r="F52" i="4" s="1"/>
  <c r="K52" i="4" s="1"/>
  <c r="K15" i="9"/>
  <c r="K22" i="9"/>
  <c r="K2" i="11"/>
  <c r="K4" i="11" s="1"/>
  <c r="K18" i="11" s="1"/>
  <c r="K3" i="8"/>
  <c r="K5" i="8" s="1"/>
  <c r="K14" i="9"/>
  <c r="K16" i="8"/>
  <c r="K32" i="6"/>
  <c r="K4" i="10"/>
  <c r="K8" i="6"/>
  <c r="K34" i="9"/>
  <c r="K12" i="9"/>
  <c r="K17" i="9" s="1"/>
  <c r="K16" i="9"/>
  <c r="J20" i="10"/>
  <c r="J5" i="8"/>
  <c r="J8" i="8"/>
  <c r="G36" i="9"/>
  <c r="G38" i="9" s="1"/>
  <c r="G23" i="9"/>
  <c r="G33" i="6"/>
  <c r="G6" i="6"/>
  <c r="H54" i="4"/>
  <c r="H56" i="4" s="1"/>
  <c r="J15" i="6"/>
  <c r="J17" i="9"/>
  <c r="I42" i="4"/>
  <c r="I44" i="4" s="1"/>
  <c r="I13" i="4" s="1"/>
  <c r="H78" i="4"/>
  <c r="H66" i="4"/>
  <c r="H68" i="4" s="1"/>
  <c r="J4" i="11"/>
  <c r="J18" i="11" s="1"/>
  <c r="F39" i="4"/>
  <c r="I21" i="10"/>
  <c r="I22" i="10"/>
  <c r="I14" i="5" s="1"/>
  <c r="J7" i="11"/>
  <c r="F51" i="4" s="1"/>
  <c r="J10" i="11"/>
  <c r="J9" i="11"/>
  <c r="F75" i="4" s="1"/>
  <c r="J8" i="11"/>
  <c r="F63" i="4" s="1"/>
  <c r="K9" i="11"/>
  <c r="F76" i="4" s="1"/>
  <c r="K76" i="4" s="1"/>
  <c r="J37" i="4"/>
  <c r="G12" i="10"/>
  <c r="H12" i="10"/>
  <c r="G13" i="6"/>
  <c r="J51" i="4" l="1"/>
  <c r="K51" i="4"/>
  <c r="I3" i="6"/>
  <c r="H31" i="11"/>
  <c r="H29" i="11" s="1"/>
  <c r="K39" i="4"/>
  <c r="J39" i="4"/>
  <c r="K63" i="4"/>
  <c r="J63" i="4"/>
  <c r="K75" i="4"/>
  <c r="J75" i="4"/>
  <c r="J12" i="10"/>
  <c r="K8" i="11"/>
  <c r="F64" i="4" s="1"/>
  <c r="K64" i="4" s="1"/>
  <c r="K20" i="10"/>
  <c r="K21" i="10" s="1"/>
  <c r="K15" i="6"/>
  <c r="K5" i="10"/>
  <c r="K13" i="5" s="1"/>
  <c r="K10" i="11"/>
  <c r="F40" i="4"/>
  <c r="K40" i="4" s="1"/>
  <c r="G17" i="6"/>
  <c r="G16" i="6" s="1"/>
  <c r="G3" i="5"/>
  <c r="G4" i="5" s="1"/>
  <c r="G5" i="5" s="1"/>
  <c r="G48" i="9" s="1"/>
  <c r="G24" i="9"/>
  <c r="I66" i="4"/>
  <c r="I68" i="4" s="1"/>
  <c r="K38" i="4"/>
  <c r="K37" i="4"/>
  <c r="J54" i="4"/>
  <c r="J56" i="4" s="1"/>
  <c r="K54" i="4"/>
  <c r="K56" i="4" s="1"/>
  <c r="J42" i="4"/>
  <c r="J44" i="4" s="1"/>
  <c r="J13" i="4" s="1"/>
  <c r="I54" i="4"/>
  <c r="I56" i="4" s="1"/>
  <c r="J66" i="4"/>
  <c r="J68" i="4" s="1"/>
  <c r="J21" i="10"/>
  <c r="J22" i="10"/>
  <c r="J14" i="5" s="1"/>
  <c r="I78" i="4"/>
  <c r="K78" i="4"/>
  <c r="J78" i="4"/>
  <c r="H35" i="11"/>
  <c r="H80" i="4"/>
  <c r="H91" i="4"/>
  <c r="H89" i="4" s="1"/>
  <c r="H34" i="11"/>
  <c r="I12" i="10"/>
  <c r="J3" i="6" l="1"/>
  <c r="I31" i="11"/>
  <c r="H19" i="4"/>
  <c r="H2" i="6"/>
  <c r="K66" i="4"/>
  <c r="K68" i="4" s="1"/>
  <c r="K22" i="10"/>
  <c r="K14" i="5" s="1"/>
  <c r="K12" i="10"/>
  <c r="G18" i="6"/>
  <c r="G14" i="6"/>
  <c r="I35" i="11"/>
  <c r="J35" i="11" s="1"/>
  <c r="H18" i="4"/>
  <c r="G6" i="5"/>
  <c r="G11" i="5"/>
  <c r="G15" i="5" s="1"/>
  <c r="J80" i="4"/>
  <c r="J19" i="4" s="1"/>
  <c r="J91" i="4"/>
  <c r="J89" i="4" s="1"/>
  <c r="K80" i="4"/>
  <c r="H16" i="4"/>
  <c r="H20" i="4"/>
  <c r="H36" i="11"/>
  <c r="I91" i="4"/>
  <c r="I89" i="4" s="1"/>
  <c r="I80" i="4"/>
  <c r="I18" i="4" s="1"/>
  <c r="K42" i="4"/>
  <c r="K44" i="4" s="1"/>
  <c r="K13" i="4" s="1"/>
  <c r="H21" i="9"/>
  <c r="H12" i="5"/>
  <c r="I34" i="11"/>
  <c r="I29" i="11"/>
  <c r="I2" i="6" l="1"/>
  <c r="H32" i="11"/>
  <c r="K3" i="6"/>
  <c r="K31" i="11" s="1"/>
  <c r="J31" i="11"/>
  <c r="J29" i="11" s="1"/>
  <c r="K35" i="11"/>
  <c r="K18" i="4"/>
  <c r="I19" i="4"/>
  <c r="I36" i="11"/>
  <c r="J36" i="11" s="1"/>
  <c r="K36" i="11" s="1"/>
  <c r="H13" i="6"/>
  <c r="K19" i="4"/>
  <c r="J34" i="11"/>
  <c r="K29" i="11"/>
  <c r="K91" i="4"/>
  <c r="K89" i="4" s="1"/>
  <c r="H36" i="9"/>
  <c r="H38" i="9" s="1"/>
  <c r="H23" i="9"/>
  <c r="I16" i="4"/>
  <c r="I20" i="4"/>
  <c r="J21" i="9"/>
  <c r="J12" i="5"/>
  <c r="H33" i="6"/>
  <c r="I21" i="9"/>
  <c r="I12" i="5"/>
  <c r="J20" i="4"/>
  <c r="J16" i="4"/>
  <c r="K16" i="4"/>
  <c r="K20" i="4"/>
  <c r="J18" i="4"/>
  <c r="J2" i="6" l="1"/>
  <c r="I32" i="11"/>
  <c r="I13" i="6"/>
  <c r="H6" i="6"/>
  <c r="H17" i="6" s="1"/>
  <c r="H14" i="6" s="1"/>
  <c r="J36" i="9"/>
  <c r="J38" i="9" s="1"/>
  <c r="J23" i="9"/>
  <c r="I33" i="6"/>
  <c r="K12" i="5"/>
  <c r="K21" i="9"/>
  <c r="K34" i="11"/>
  <c r="I36" i="9"/>
  <c r="I38" i="9" s="1"/>
  <c r="I23" i="9"/>
  <c r="I3" i="5" s="1"/>
  <c r="H24" i="9"/>
  <c r="H3" i="5"/>
  <c r="K2" i="6" l="1"/>
  <c r="K32" i="11" s="1"/>
  <c r="J32" i="11"/>
  <c r="I6" i="6"/>
  <c r="I17" i="6" s="1"/>
  <c r="I14" i="6" s="1"/>
  <c r="K36" i="9"/>
  <c r="K38" i="9" s="1"/>
  <c r="K23" i="9"/>
  <c r="H16" i="6"/>
  <c r="H18" i="6"/>
  <c r="H4" i="5"/>
  <c r="H5" i="5" s="1"/>
  <c r="H48" i="9" s="1"/>
  <c r="I24" i="9"/>
  <c r="J33" i="6"/>
  <c r="J13" i="6"/>
  <c r="J6" i="6"/>
  <c r="J24" i="9"/>
  <c r="J3" i="5"/>
  <c r="I4" i="5"/>
  <c r="I5" i="5" s="1"/>
  <c r="I48" i="9" s="1"/>
  <c r="K33" i="6"/>
  <c r="K13" i="6"/>
  <c r="K6" i="6"/>
  <c r="I11" i="5" l="1"/>
  <c r="I15" i="5" s="1"/>
  <c r="I6" i="5"/>
  <c r="H11" i="5"/>
  <c r="H15" i="5" s="1"/>
  <c r="H6" i="5"/>
  <c r="J4" i="5"/>
  <c r="J5" i="5" s="1"/>
  <c r="J48" i="9" s="1"/>
  <c r="J17" i="6"/>
  <c r="J14" i="6" s="1"/>
  <c r="I18" i="6"/>
  <c r="I16" i="6"/>
  <c r="K24" i="9"/>
  <c r="K3" i="5"/>
  <c r="K17" i="6"/>
  <c r="K14" i="6" s="1"/>
  <c r="J6" i="5" l="1"/>
  <c r="J11" i="5"/>
  <c r="J15" i="5" s="1"/>
  <c r="K4" i="5"/>
  <c r="K5" i="5" s="1"/>
  <c r="K48" i="9" s="1"/>
  <c r="J18" i="6"/>
  <c r="J16" i="6"/>
  <c r="K18" i="6"/>
  <c r="K16" i="6"/>
  <c r="K6" i="5" l="1"/>
  <c r="K11" i="5"/>
  <c r="K15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tc={A59F881F-3E98-422C-B64D-7C62B0F32404}</author>
    <author>tc={1A0A7E2F-99F1-433D-AED3-412F0529C2E5}</author>
    <author>tc={2013695E-7707-40B7-AB1A-FABC39E45A30}</author>
    <author>tc={4531FE1B-DC6B-4EAD-9F7C-0781091D8AB0}</author>
  </authors>
  <commentList>
    <comment ref="A2" authorId="0" shapeId="0" xr:uid="{A59F881F-3E98-422C-B64D-7C62B0F32404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poslovni izid iz poslovanja zmanjšan še za finančni izid</t>
      </text>
    </comment>
    <comment ref="A3" authorId="1" shapeId="0" xr:uid="{1A0A7E2F-99F1-433D-AED3-412F0529C2E5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poslovni prihodki - (amortizacija, stroški dela, stroški blaga, drugi poslovni odhodki)</t>
      </text>
    </comment>
    <comment ref="G7" authorId="2" shapeId="0" xr:uid="{2013695E-7707-40B7-AB1A-FABC39E45A30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vzeto povprečje obdavčitev zadnjih 5 let</t>
      </text>
    </comment>
    <comment ref="G11" authorId="3" shapeId="0" xr:uid="{4531FE1B-DC6B-4EAD-9F7C-0781091D8AB0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porast amortizacije zaradi velikih investicij v preteklih letih - manjši dobiček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Neža</author>
  </authors>
  <commentList>
    <comment ref="A88" authorId="0" shapeId="0" xr:uid="{6DF1250F-C2CC-461E-B380-7016B7F385BB}">
      <text>
        <r>
          <rPr>
            <b/>
            <sz val="9"/>
            <color indexed="81"/>
            <rFont val="Segoe UI"/>
            <family val="2"/>
            <charset val="238"/>
          </rPr>
          <t>Neža:</t>
        </r>
        <r>
          <rPr>
            <sz val="9"/>
            <color indexed="81"/>
            <rFont val="Segoe UI"/>
            <family val="2"/>
            <charset val="238"/>
          </rPr>
          <t xml:space="preserve">
po vzoru študije številka 2
</t>
        </r>
      </text>
    </comment>
    <comment ref="B89" authorId="0" shapeId="0" xr:uid="{4136F1E8-28B4-4A5F-AC27-63E7CEFEEE0F}">
      <text>
        <r>
          <rPr>
            <b/>
            <sz val="9"/>
            <color indexed="81"/>
            <rFont val="Segoe UI"/>
            <family val="2"/>
            <charset val="238"/>
          </rPr>
          <t>Neža:</t>
        </r>
        <r>
          <rPr>
            <sz val="9"/>
            <color indexed="81"/>
            <rFont val="Segoe UI"/>
            <family val="2"/>
            <charset val="238"/>
          </rPr>
          <t xml:space="preserve">
povprečje 5 let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Neža</author>
    <author>tc={497480D6-1D60-4EAD-8D84-478B2B5D1F68}</author>
    <author>tc={6F88DAD5-E337-4A7B-8404-AE3F38B0E3E5}</author>
    <author>tc={06EFC22D-7008-4436-8E16-A6DBF639F22C}</author>
    <author>tc={B1E8BB49-198B-435A-B9DA-5A9645914429}</author>
    <author>tc={F6FF03ED-F182-4BE9-8DC9-0DE9416043F6}</author>
    <author>tc={CC4B3AF5-BB5C-4315-B370-B2C6876417BD}</author>
    <author>tc={9467D0CF-F058-4ABF-BD48-4110E57393EB}</author>
  </authors>
  <commentList>
    <comment ref="D4" authorId="0" shapeId="0" xr:uid="{CBD4E641-95D1-45E2-BAD6-71B6C3D23F6E}">
      <text>
        <r>
          <rPr>
            <b/>
            <sz val="9"/>
            <color indexed="81"/>
            <rFont val="Segoe UI"/>
            <charset val="1"/>
          </rPr>
          <t>Neža:</t>
        </r>
        <r>
          <rPr>
            <sz val="9"/>
            <color indexed="81"/>
            <rFont val="Segoe UI"/>
            <charset val="1"/>
          </rPr>
          <t xml:space="preserve">
dolgoročno zakonsko določena davčna stopnja za Slovenijo
</t>
        </r>
      </text>
    </comment>
    <comment ref="F9" authorId="1" shapeId="0" xr:uid="{497480D6-1D60-4EAD-8D84-478B2B5D1F68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iz strani damodaran, glede na panogo</t>
      </text>
    </comment>
    <comment ref="C12" authorId="2" shapeId="0" xr:uid="{6F88DAD5-E337-4A7B-8404-AE3F38B0E3E5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vzeto iz strani Duff and Phelps, širši razred</t>
      </text>
    </comment>
    <comment ref="F12" authorId="3" shapeId="0" xr:uid="{06EFC22D-7008-4436-8E16-A6DBF639F22C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vir:
https://tradingeconomics.com/slovenia/government-bond-yield</t>
      </text>
    </comment>
    <comment ref="C13" authorId="4" shapeId="0" xr:uid="{B1E8BB49-198B-435A-B9DA-5A9645914429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vzeto iz strani Damodaran:
http://pages.stern.nyu.edu/~adamodar/New_Home_Page/datafile/ctryprem.html</t>
      </text>
    </comment>
    <comment ref="C14" authorId="5" shapeId="0" xr:uid="{F6FF03ED-F182-4BE9-8DC9-0DE9416043F6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Duff and Phelps:
https://www.duffandphelps.com/-/media/assets/pdfs/publications/valuation/coc/us-normalized-risk-free-rate-november-2016.ashx</t>
      </text>
    </comment>
    <comment ref="C15" authorId="6" shapeId="0" xr:uid="{CC4B3AF5-BB5C-4315-B370-B2C6876417BD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vzeto iz strani Duff and Phelps, objavljena na dan 2. septembra 2017:
https://www.duffandphelps.com/insights/publications/valuation-insights/valuation-insights-first-quarter-2019/us-equity-risk-premium-recommendation</t>
      </text>
    </comment>
    <comment ref="F26" authorId="7" shapeId="0" xr:uid="{9467D0CF-F058-4ABF-BD48-4110E57393EB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pridobljeno s spletne strani Damodaran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Neža</author>
  </authors>
  <commentList>
    <comment ref="J3" authorId="0" shapeId="0" xr:uid="{9293FD7A-8148-4699-B2B9-F26B6815FA64}">
      <text>
        <r>
          <rPr>
            <b/>
            <sz val="9"/>
            <color indexed="81"/>
            <rFont val="Segoe UI"/>
            <family val="2"/>
            <charset val="238"/>
          </rPr>
          <t>Neža:</t>
        </r>
        <r>
          <rPr>
            <sz val="9"/>
            <color indexed="81"/>
            <rFont val="Segoe UI"/>
            <family val="2"/>
            <charset val="238"/>
          </rPr>
          <t xml:space="preserve">
vzamemo stopnjo rasti BDP, ki ga UMAR napoveduje za Evropski trg v letu 2018</t>
        </r>
      </text>
    </comment>
    <comment ref="C9" authorId="0" shapeId="0" xr:uid="{EC215195-85D9-4B5D-A2ED-414CD9B8F604}">
      <text>
        <r>
          <rPr>
            <b/>
            <sz val="9"/>
            <color indexed="81"/>
            <rFont val="Segoe UI"/>
            <charset val="1"/>
          </rPr>
          <t>Neža:</t>
        </r>
        <r>
          <rPr>
            <sz val="9"/>
            <color indexed="81"/>
            <rFont val="Segoe UI"/>
            <charset val="1"/>
          </rPr>
          <t xml:space="preserve">
vse finančne obveznosti - denarna sredstva - kratkoročne finančne naložbe (za leto 2017)
</t>
        </r>
      </text>
    </comment>
    <comment ref="C10" authorId="0" shapeId="0" xr:uid="{8B0DF11D-96AA-4148-AE6B-EE1C73582027}">
      <text>
        <r>
          <rPr>
            <b/>
            <sz val="9"/>
            <color indexed="81"/>
            <rFont val="Segoe UI"/>
            <charset val="1"/>
          </rPr>
          <t>Neža:</t>
        </r>
        <r>
          <rPr>
            <sz val="9"/>
            <color indexed="81"/>
            <rFont val="Segoe UI"/>
            <charset val="1"/>
          </rPr>
          <t xml:space="preserve">
to je tržna vrednost delnice, brez vpliva odbitkov zaradi pomanjkanja tržljivosti
</t>
        </r>
      </text>
    </comment>
    <comment ref="C13" authorId="0" shapeId="0" xr:uid="{4BD38653-AF60-408A-9F98-7BBF0C7824A2}">
      <text>
        <r>
          <rPr>
            <b/>
            <sz val="9"/>
            <color indexed="81"/>
            <rFont val="Segoe UI"/>
            <family val="2"/>
            <charset val="238"/>
          </rPr>
          <t>Neža:</t>
        </r>
        <r>
          <rPr>
            <sz val="9"/>
            <color indexed="81"/>
            <rFont val="Segoe UI"/>
            <family val="2"/>
            <charset val="238"/>
          </rPr>
          <t xml:space="preserve">
študije RSM - industrija v letu 2017</t>
        </r>
      </text>
    </comment>
    <comment ref="C15" authorId="0" shapeId="0" xr:uid="{13F81F63-CF85-4847-8384-FFBB0BE2AD4A}">
      <text>
        <r>
          <rPr>
            <b/>
            <sz val="9"/>
            <color indexed="81"/>
            <rFont val="Segoe UI"/>
            <charset val="1"/>
          </rPr>
          <t>Neža:</t>
        </r>
        <r>
          <rPr>
            <sz val="9"/>
            <color indexed="81"/>
            <rFont val="Segoe UI"/>
            <charset val="1"/>
          </rPr>
          <t xml:space="preserve">
določen na podlagi preučevanih študij na prejšnjem zavihku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tc={83CD7CC0-628D-4BE5-951D-5983173DE0CC}</author>
    <author>tc={DAE52481-0334-426B-A2C0-4EC3FDED3A67}</author>
    <author>tc={BC1AF11F-074C-47D5-BA8B-09E877F26250}</author>
    <author>tc={4387FBB5-2C20-4791-B80A-2A7FE7F3E401}</author>
    <author>tc={F653A037-95C1-43CF-AC48-95CC017F2BF6}</author>
    <author>tc={135BDBC4-4DD4-47DF-A225-407D77F85FC6}</author>
    <author>tc={E15D6C3A-C6F7-4508-A8D9-F1DA6E899820}</author>
  </authors>
  <commentList>
    <comment ref="A4" authorId="0" shapeId="0" xr:uid="{83CD7CC0-628D-4BE5-951D-5983173DE0CC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(odprava rezervacij, subvencije, izterjane terjatve, prodaja osnovnih sredstev) + usredstveni lastni proizvodi in storitve + finančni prihodki iz poslovnih terjatev</t>
      </text>
    </comment>
    <comment ref="A22" authorId="1" shapeId="0" xr:uid="{DAE52481-0334-426B-A2C0-4EC3FDED3A67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dodani finančni odhodki iz poslovnih obveznosti</t>
      </text>
    </comment>
    <comment ref="G30" authorId="2" shapeId="0" xr:uid="{BC1AF11F-074C-47D5-BA8B-09E877F26250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povprečje dosedanjih vrednosti</t>
      </text>
    </comment>
    <comment ref="G31" authorId="3" shapeId="0" xr:uid="{4387FBB5-2C20-4791-B80A-2A7FE7F3E401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rast stroškov materiala, napovedana v prihodnosti - predvsem avtomobilska industrija</t>
      </text>
    </comment>
    <comment ref="G37" authorId="4" shapeId="0" xr:uid="{F653A037-95C1-43CF-AC48-95CC017F2BF6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povprečje dosedanjih vrednosti</t>
      </text>
    </comment>
    <comment ref="G45" authorId="5" shapeId="0" xr:uid="{135BDBC4-4DD4-47DF-A225-407D77F85FC6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se po napovedih zniža, a po politiki podjetja sklepamo da ne preveč</t>
      </text>
    </comment>
    <comment ref="G46" authorId="6" shapeId="0" xr:uid="{E15D6C3A-C6F7-4508-A8D9-F1DA6E899820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vzeto povprečje dosedanjih rasti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tc={0D60E299-A915-44F1-B99E-B8BF4859DA93}</author>
    <author>tc={341677C5-3B67-4CC3-A980-78C68EBCADA3}</author>
    <author>tc={41AA2636-E567-45B7-86FD-4B9F7FA8E4A8}</author>
    <author>tc={C890C6DF-49B7-43D1-A1E1-11FEF82B7B91}</author>
    <author>tc={9552F858-F6BD-4899-AA3E-C17CA0DEF43C}</author>
    <author>tc={46125344-CCB5-4D63-B1C0-A90596CA8A1B}</author>
    <author>tc={B3E6D552-EF77-4149-9D87-D3AA4FFC58BD}</author>
    <author>tc={31E95EBE-8588-420E-B40A-F3AB2E6D01B0}</author>
    <author>tc={997EF94F-B3A6-4ED2-9C06-F1C924A763A6}</author>
    <author>tc={37F94105-BFD4-4F18-B3C4-9BBC2825217A}</author>
    <author>tc={51ACD78B-4965-4E57-A737-33EF28A831AD}</author>
    <author>tc={66649B0E-9077-4C86-9D04-912BA4202A1F}</author>
    <author>tc={39427A4A-4864-4E63-8F66-70ADFF8CFCBC}</author>
    <author>tc={A8034037-AF09-4232-A22F-A8B6A4FC6905}</author>
  </authors>
  <commentList>
    <comment ref="A2" authorId="0" shapeId="0" xr:uid="{0D60E299-A915-44F1-B99E-B8BF4859DA93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vrednosti iz lista investicije so dodana še zemljišča in investicije v teku</t>
      </text>
    </comment>
    <comment ref="G2" authorId="1" shapeId="0" xr:uid="{341677C5-3B67-4CC3-A980-78C68EBCADA3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dobljeno iz povečanja za investicije in zmanjšanja za amortizacijo</t>
      </text>
    </comment>
    <comment ref="A3" authorId="2" shapeId="0" xr:uid="{41AA2636-E567-45B7-86FD-4B9F7FA8E4A8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znotraj teh tudi dolgoročne aktivne časovne razmejitve</t>
      </text>
    </comment>
    <comment ref="A4" authorId="3" shapeId="0" xr:uid="{C890C6DF-49B7-43D1-A1E1-11FEF82B7B91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dolgoročne poslovne terjatve + dolgoročno dani depoziti</t>
      </text>
    </comment>
    <comment ref="A5" authorId="4" shapeId="0" xr:uid="{9552F858-F6BD-4899-AA3E-C17CA0DEF43C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brez dolgoročnih danih posojil
Odgovor:
    spremembe so posledica prevrednotovanj</t>
      </text>
    </comment>
    <comment ref="G5" authorId="5" shapeId="0" xr:uid="{46125344-CCB5-4D63-B1C0-A90596CA8A1B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finančnih naložb naj ne bi imeli, upoštevam vedno enako vrednost iz 2017</t>
      </text>
    </comment>
    <comment ref="A11" authorId="6" shapeId="0" xr:uid="{B3E6D552-EF77-4149-9D87-D3AA4FFC58BD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dodane kratkoročne aktivne časovne razmejitve</t>
      </text>
    </comment>
    <comment ref="G18" authorId="7" shapeId="0" xr:uid="{31E95EBE-8588-420E-B40A-F3AB2E6D01B0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rast sredstev usklajena z rastjo prihodkov</t>
      </text>
    </comment>
    <comment ref="G29" authorId="8" shapeId="0" xr:uid="{997EF94F-B3A6-4ED2-9C06-F1C924A763A6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POVPREČJE ZADNJIH 5 LET</t>
      </text>
    </comment>
    <comment ref="G31" authorId="9" shapeId="0" xr:uid="{37F94105-BFD4-4F18-B3C4-9BBC2825217A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kot dosedanje vrednosti</t>
      </text>
    </comment>
    <comment ref="G34" authorId="10" shapeId="0" xr:uid="{51ACD78B-4965-4E57-A737-33EF28A831AD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po rahlem upadu prodaje se zaloge manj kopičijo</t>
      </text>
    </comment>
    <comment ref="G35" authorId="11" shapeId="0" xr:uid="{66649B0E-9077-4C86-9D04-912BA4202A1F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finančnih naložb naj podjetje ne bi imelo</t>
      </text>
    </comment>
    <comment ref="G36" authorId="12" shapeId="0" xr:uid="{39427A4A-4864-4E63-8F66-70ADFF8CFCBC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umirjanje porasta prodaje</t>
      </text>
    </comment>
    <comment ref="G37" authorId="13" shapeId="0" xr:uid="{A8034037-AF09-4232-A22F-A8B6A4FC6905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po dosedanjih vrednostih, z upoštevanjem umirjanja porasta prihodkov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tc={A1714CF8-2995-4680-AFC8-079E09211D55}</author>
    <author>tc={CF80DFD8-9E1C-4450-87AA-72F4679203CC}</author>
    <author>tc={4258617A-FFC8-4E1E-BF5C-A89D86273B6E}</author>
    <author>tc={4397BC86-26CF-43C3-8D9A-7A102E329022}</author>
    <author>tc={E5AAF829-4EF6-4D36-83B8-7F4075F62D45}</author>
    <author>tc={16BE0CE0-7689-4AD7-91D6-8A4FCDDC8E0E}</author>
    <author>tc={57A6FA17-C387-463B-A756-01A0AA4BDED7}</author>
  </authors>
  <commentList>
    <comment ref="A3" authorId="0" shapeId="0" xr:uid="{A1714CF8-2995-4680-AFC8-079E09211D55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finančne + poslovne</t>
      </text>
    </comment>
    <comment ref="G4" authorId="1" shapeId="0" xr:uid="{CF80DFD8-9E1C-4450-87AA-72F4679203CC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vzeta povprečna vrednost pasivnih časovnih razmejitev v zadnjih 5 letih</t>
      </text>
    </comment>
    <comment ref="A8" authorId="2" shapeId="0" xr:uid="{4258617A-FFC8-4E1E-BF5C-A89D86273B6E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prištete kratkoročne pasivne časovne razmejitve</t>
      </text>
    </comment>
    <comment ref="G14" authorId="3" shapeId="0" xr:uid="{4397BC86-26CF-43C3-8D9A-7A102E329022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v skladu z ne pretiranimi investicijami</t>
      </text>
    </comment>
    <comment ref="G15" authorId="4" shapeId="0" xr:uid="{E5AAF829-4EF6-4D36-83B8-7F4075F62D45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hkrati z umirjenim investiranjem sklepamo na ne pretirano zadolževanje, finančnih naložb tudi ne bo</t>
      </text>
    </comment>
    <comment ref="G18" authorId="5" shapeId="0" xr:uid="{16BE0CE0-7689-4AD7-91D6-8A4FCDDC8E0E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zadolževanje upada, ostaja razdelitev dividend v znesku 1000000 letno</t>
      </text>
    </comment>
    <comment ref="G19" authorId="6" shapeId="0" xr:uid="{57A6FA17-C387-463B-A756-01A0AA4BDED7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umiritev prodaje in hkrati poslovnih obveznosti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tc={0520480E-BD66-4C31-90D2-D7A7C5E90B15}</author>
    <author>tc={76E100D2-8948-42F6-A81C-DE38C710C14B}</author>
    <author>tc={A09A11F3-8DE3-4BF8-9331-59E7F00A4E0D}</author>
    <author>tc={3F205234-515B-4BCC-AB18-BE1B32F06CF2}</author>
    <author>tc={1EB25CE9-8E16-4203-87FE-AE0A112339B5}</author>
    <author>tc={51CD0081-D084-4A22-B670-1D91CCF8A395}</author>
    <author>tc={AE3EC869-39BE-4B34-964B-98F3A07DC904}</author>
  </authors>
  <commentList>
    <comment ref="A2" authorId="0" shapeId="0" xr:uid="{0520480E-BD66-4C31-90D2-D7A7C5E90B15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vzeto iz IPI, izdatki pri naložbenju</t>
      </text>
    </comment>
    <comment ref="A5" authorId="1" shapeId="0" xr:uid="{76E100D2-8948-42F6-A81C-DE38C710C14B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prejemki, zmanjšani za nakupe osn. sredstev</t>
      </text>
    </comment>
    <comment ref="G9" authorId="2" shapeId="0" xr:uid="{A09A11F3-8DE3-4BF8-9331-59E7F00A4E0D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kot dosedanje vrednosti</t>
      </text>
    </comment>
    <comment ref="G10" authorId="3" shapeId="0" xr:uid="{3F205234-515B-4BCC-AB18-BE1B32F06CF2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upoštevane vrednosti investicij</t>
      </text>
    </comment>
    <comment ref="G11" authorId="4" shapeId="0" xr:uid="{1EB25CE9-8E16-4203-87FE-AE0A112339B5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kot dosedanje vrednosti</t>
      </text>
    </comment>
    <comment ref="A20" authorId="5" shapeId="0" xr:uid="{51CD0081-D084-4A22-B670-1D91CCF8A395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zaloge + vse terjatve + denarna sredstva - kratkoročne poslovne obveznosti</t>
      </text>
    </comment>
    <comment ref="A22" authorId="6" shapeId="0" xr:uid="{AE3EC869-39BE-4B34-964B-98F3A07DC904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izračunano le kot razlika med tekočima letoma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tc={9A790A48-4BFE-4F5C-A7E2-46ECB47B203E}</author>
    <author>tc={F720F85E-7F37-4B16-AF11-8AEA92E116F0}</author>
    <author>tc={19E26C38-DDB4-4196-ACE7-99971F8DA698}</author>
    <author>tc={F06FC1D1-7683-48AF-91AA-30DEC5CEB779}</author>
    <author>tc={2453D39F-1E3C-4F46-82DF-7AF567CCB2DF}</author>
    <author>tc={38D0C558-C5B5-4BA9-A031-39B4102D95F4}</author>
  </authors>
  <commentList>
    <comment ref="G16" authorId="0" shapeId="0" xr:uid="{9A790A48-4BFE-4F5C-A7E2-46ECB47B203E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zmerno investiranje, za slovensko gospodarstvo napovedano rahlo povečanje</t>
      </text>
    </comment>
    <comment ref="G19" authorId="1" shapeId="0" xr:uid="{F720F85E-7F37-4B16-AF11-8AEA92E116F0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podjetje v prihodnosti napoveduje zmerne investicije</t>
      </text>
    </comment>
    <comment ref="G21" authorId="2" shapeId="0" xr:uid="{19E26C38-DDB4-4196-ACE7-99971F8DA698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odstotek je povprečje zadnjih 5 let</t>
      </text>
    </comment>
    <comment ref="G22" authorId="3" shapeId="0" xr:uid="{F06FC1D1-7683-48AF-91AA-30DEC5CEB779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odstotek je povprečje zadnjih 5 let</t>
      </text>
    </comment>
    <comment ref="G23" authorId="4" shapeId="0" xr:uid="{2453D39F-1E3C-4F46-82DF-7AF567CCB2DF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odstotek je povprečje zadnjih 5 let</t>
      </text>
    </comment>
    <comment ref="A28" authorId="5" shapeId="0" xr:uid="{38D0C558-C5B5-4BA9-A031-39B4102D95F4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v letih 18 - 22 izračunano kot vrednost v preteklem letu, povečana za investicije in zmanjšana za amortizacijo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tc={004DA307-EE52-4AC4-8614-885AF783F445}</author>
    <author>tc={633554F2-1BD0-4956-A841-637F04420044}</author>
  </authors>
  <commentList>
    <comment ref="B24" authorId="0" shapeId="0" xr:uid="{004DA307-EE52-4AC4-8614-885AF783F445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predpisana</t>
      </text>
    </comment>
    <comment ref="C24" authorId="1" shapeId="0" xr:uid="{633554F2-1BD0-4956-A841-637F04420044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vzeta</t>
      </text>
    </comment>
  </commentList>
</comments>
</file>

<file path=xl/sharedStrings.xml><?xml version="1.0" encoding="utf-8"?>
<sst xmlns="http://schemas.openxmlformats.org/spreadsheetml/2006/main" count="552" uniqueCount="398">
  <si>
    <t>opredmetena osnovna</t>
  </si>
  <si>
    <t>dolgoročne terjatve</t>
  </si>
  <si>
    <t>dolgoročne finančne naložbe (za prodajo razpoložljiva sredstva)</t>
  </si>
  <si>
    <t>dolgoročna sredstva skupaj</t>
  </si>
  <si>
    <t>zaloge</t>
  </si>
  <si>
    <t>kratkoročne finančne naložbe</t>
  </si>
  <si>
    <t>kratkoročne terjatve</t>
  </si>
  <si>
    <t>denarna sredstva</t>
  </si>
  <si>
    <t>kratkoročna sredstva skupaj</t>
  </si>
  <si>
    <t>stalna sredstva skupaj</t>
  </si>
  <si>
    <t>v deležu sredstev</t>
  </si>
  <si>
    <t>gibljiva sredstva skupaj</t>
  </si>
  <si>
    <t>sredstva skupaj</t>
  </si>
  <si>
    <t>PRIHODKI</t>
  </si>
  <si>
    <t>čisti prihodki od prodaje</t>
  </si>
  <si>
    <t>SREDSTVA V PRIHODKIH</t>
  </si>
  <si>
    <t>dolgoročne finančne naložbe</t>
  </si>
  <si>
    <t>stopnja rasti v %</t>
  </si>
  <si>
    <t xml:space="preserve">drugi prihodki </t>
  </si>
  <si>
    <t>rast prihodkov</t>
  </si>
  <si>
    <t>LEGENDA:</t>
  </si>
  <si>
    <t>rubrika</t>
  </si>
  <si>
    <t>podatek iz bilance</t>
  </si>
  <si>
    <t>izračun v excelu</t>
  </si>
  <si>
    <t>SREDSTVA</t>
  </si>
  <si>
    <t>rezervacije</t>
  </si>
  <si>
    <t>dolgoročne obveznosti</t>
  </si>
  <si>
    <t>dolgoročne obveznosti skupaj</t>
  </si>
  <si>
    <t>kratk. fin. obveznosti</t>
  </si>
  <si>
    <t>kratk. posl. obveznosti</t>
  </si>
  <si>
    <t>kratk. obveznosti skupaj</t>
  </si>
  <si>
    <t>OBVEZNOSTI V PRIHODKIH</t>
  </si>
  <si>
    <t>OBVEZNOSTI</t>
  </si>
  <si>
    <t>NALOŽBE V OSNOVNA SREDSTVA</t>
  </si>
  <si>
    <t>-nakup neopredmetenih sredstev</t>
  </si>
  <si>
    <t>-nakup osnovnih sredstev</t>
  </si>
  <si>
    <t>+prejemki od prodaje osn. Sred.</t>
  </si>
  <si>
    <t>čiste naložbe skupaj</t>
  </si>
  <si>
    <t>NAL. V OSN. SR. V PRIHODKIH</t>
  </si>
  <si>
    <t>vrednost</t>
  </si>
  <si>
    <t>OBRATNI KAPITAL</t>
  </si>
  <si>
    <t>delež v letnih prihodkih</t>
  </si>
  <si>
    <t>neopr. dolg. sredstva</t>
  </si>
  <si>
    <t>od tega:</t>
  </si>
  <si>
    <t>opredm. osn. sred.</t>
  </si>
  <si>
    <t>INVESTICIJE</t>
  </si>
  <si>
    <t>*po gospodarskih napovedih rasti investicij</t>
  </si>
  <si>
    <t>programska oprema</t>
  </si>
  <si>
    <t>gradbeni objekti - zgradbe</t>
  </si>
  <si>
    <t>proizvajalne naprave in stroji</t>
  </si>
  <si>
    <t>druga oprema</t>
  </si>
  <si>
    <t>INVESTICIJE SKUPAJ</t>
  </si>
  <si>
    <t>AMORTIZACIJA V DELEŽU PRIHODKOV</t>
  </si>
  <si>
    <t>INVESTICIJE V PRIHODKIH</t>
  </si>
  <si>
    <t>AMORT. OBSTOJEČIH SREDSTEV</t>
  </si>
  <si>
    <t>amort. stopnja</t>
  </si>
  <si>
    <t>SKUPAJ AMORTIZACIJA</t>
  </si>
  <si>
    <t>skupaj</t>
  </si>
  <si>
    <t>obstoječa</t>
  </si>
  <si>
    <t>nova</t>
  </si>
  <si>
    <t>AMORTIZACIJA NOVIH INVESTICIJ</t>
  </si>
  <si>
    <t>neopredmetena dolg. sredstva</t>
  </si>
  <si>
    <t>skupaj nove amortizacije neopr.d.sr.</t>
  </si>
  <si>
    <t>stare amortizacije</t>
  </si>
  <si>
    <t>gradbeni objekti in zgradbe</t>
  </si>
  <si>
    <t>skupaj nove amort.objektov</t>
  </si>
  <si>
    <t>skupaj nove amort.naprav</t>
  </si>
  <si>
    <t>skupaj nove amorti.druge opreme</t>
  </si>
  <si>
    <t xml:space="preserve">PRETEKLA AMORTIZACIJA </t>
  </si>
  <si>
    <t>GOSPODARSTVO SLO</t>
  </si>
  <si>
    <t xml:space="preserve">*vse realne stopnje rasti </t>
  </si>
  <si>
    <t xml:space="preserve">BDP </t>
  </si>
  <si>
    <t>dodana vrednost v C - predelovalnih dejavnostih (mio eur)</t>
  </si>
  <si>
    <t>delež v BDP</t>
  </si>
  <si>
    <t>stopnja rasti predel.dejav.</t>
  </si>
  <si>
    <t>izvoz proizvodov in storitev</t>
  </si>
  <si>
    <t>izvoz proizvodov</t>
  </si>
  <si>
    <t>izvoz storitev</t>
  </si>
  <si>
    <t>uvoz proizvodov in storitev</t>
  </si>
  <si>
    <t>uvoz proizvodov</t>
  </si>
  <si>
    <t>uvoz storitev</t>
  </si>
  <si>
    <t>bruto investicije v osn. Sr.</t>
  </si>
  <si>
    <t>državna potrošnja</t>
  </si>
  <si>
    <t>zasebna potrošnja</t>
  </si>
  <si>
    <t xml:space="preserve">zaposlenost </t>
  </si>
  <si>
    <t>bruto plače na zaposlenega - zasebni sektor</t>
  </si>
  <si>
    <t>povprečna inflacija v letu</t>
  </si>
  <si>
    <t>TUJINA</t>
  </si>
  <si>
    <t>BDP v evrskem območju</t>
  </si>
  <si>
    <t>razmerje USD za 1 euro</t>
  </si>
  <si>
    <t xml:space="preserve">tuje povpraševanje </t>
  </si>
  <si>
    <t>cene neenergetskih surovin v USD</t>
  </si>
  <si>
    <t>cena nafte v USD</t>
  </si>
  <si>
    <t>NEMČIJA (31,1% izvoza)</t>
  </si>
  <si>
    <t>BDP (RAST V %)</t>
  </si>
  <si>
    <t>*zaznan upad hitrosti razvoja na najpomembnejšem trgu</t>
  </si>
  <si>
    <t>uvoz blaga (rast v %)</t>
  </si>
  <si>
    <t>*uvoz na najpomembnejšem trg naj bi se znižal, a ostal razmeroma konstanten</t>
  </si>
  <si>
    <t>zasebna potrošnja (rast v %)</t>
  </si>
  <si>
    <t>javna potrošnja (rast v %)</t>
  </si>
  <si>
    <t>*začetni porast potrošnje na najpomembnejšem izvoznem trgu</t>
  </si>
  <si>
    <t>investicije (rast v %)</t>
  </si>
  <si>
    <t>*umirjanje investicij</t>
  </si>
  <si>
    <t>vrednost avtomobilskega trga (rast v %)</t>
  </si>
  <si>
    <t>*porast vrednosti pomembnega trga - področje prihodnjega delovanja podjetja X</t>
  </si>
  <si>
    <t>inflacija (letno povprečje)</t>
  </si>
  <si>
    <t>ROMUNIJA (16,4% izvoza)</t>
  </si>
  <si>
    <t>*rasti v %</t>
  </si>
  <si>
    <t>BDP</t>
  </si>
  <si>
    <t>*počasnejši razvoj v prihodnosti</t>
  </si>
  <si>
    <t>uvoz blaga</t>
  </si>
  <si>
    <t>*precejšnji upad uvoza blaga - drug najpomembnejši trg podjetja X</t>
  </si>
  <si>
    <t>javna potrošnja</t>
  </si>
  <si>
    <t>investicije</t>
  </si>
  <si>
    <t>inflacija (povprečje letno)</t>
  </si>
  <si>
    <t>MADŽARSKA (13,1% izvoza)</t>
  </si>
  <si>
    <t>AVSTRIJA (12,4% izvoza)</t>
  </si>
  <si>
    <t>ZDA (3% izvoza)</t>
  </si>
  <si>
    <t>*precejšnji padec uvoza v prihodnosti</t>
  </si>
  <si>
    <t>*manjša potrošnja v splošnem</t>
  </si>
  <si>
    <t>ELEKTROINDUSTRIJA</t>
  </si>
  <si>
    <t>čisti prihodki od prodaje (rast)</t>
  </si>
  <si>
    <t>stroški blaga, materiala, storitev (rast)</t>
  </si>
  <si>
    <t>EBIT (rast)</t>
  </si>
  <si>
    <t>EBITDA (rast)</t>
  </si>
  <si>
    <t>delež prodaje v tujino</t>
  </si>
  <si>
    <t>ROE</t>
  </si>
  <si>
    <t>sredstva (rast)</t>
  </si>
  <si>
    <t>rast proizvodnje v industriji v EU</t>
  </si>
  <si>
    <t>rast proizvodnje v Sloveniji</t>
  </si>
  <si>
    <t>X</t>
  </si>
  <si>
    <t>rast čistih prihodkov od prodaje</t>
  </si>
  <si>
    <t>rast stroškov blaga, materiala in storitev</t>
  </si>
  <si>
    <t>*delež prodaje v tujino navadno višji od ostalih slovenskih podjetij - večja odvisnost od tujine</t>
  </si>
  <si>
    <t>DOLGOROČNA SREDSTVA</t>
  </si>
  <si>
    <t>neopredmetena sredstva</t>
  </si>
  <si>
    <t>opredmetena osnovna sredstva</t>
  </si>
  <si>
    <t>finančne naložbe</t>
  </si>
  <si>
    <t>terjatve</t>
  </si>
  <si>
    <t>odložene terjatve za davek</t>
  </si>
  <si>
    <t>KRATKOROČNA SREDSTVA</t>
  </si>
  <si>
    <t>poslovne terjatve</t>
  </si>
  <si>
    <t>druga sredstva</t>
  </si>
  <si>
    <t>denar</t>
  </si>
  <si>
    <t>NETO OBRATNI KAPITAL</t>
  </si>
  <si>
    <t>kratkoročna sredstva</t>
  </si>
  <si>
    <t>-kratkoročne obveznosti</t>
  </si>
  <si>
    <t>vrednost neto obratnega kapitala</t>
  </si>
  <si>
    <t>EBIT IN EBITDA</t>
  </si>
  <si>
    <t>poslovni izid iz poslovanja (EBIT)</t>
  </si>
  <si>
    <t>prišteta amortizacija (EBITDA)</t>
  </si>
  <si>
    <t>rast EBIT</t>
  </si>
  <si>
    <t>rast EBITDA</t>
  </si>
  <si>
    <t>KAZALCI LIKVIDNOSTI</t>
  </si>
  <si>
    <t>KRATKOROČNI KOEFICIENT</t>
  </si>
  <si>
    <t>kratk. sredstva/kratk. obveznosti</t>
  </si>
  <si>
    <t>POSPEŠENI KOEFICIENT</t>
  </si>
  <si>
    <t>kratk. sredstva brez zalog/kratk. obveznosti</t>
  </si>
  <si>
    <t>HITRI KOEFICIENT</t>
  </si>
  <si>
    <t>denarna sredstva/kratk. obveznosti</t>
  </si>
  <si>
    <t>KAZALCI SOLVENTNOSTI</t>
  </si>
  <si>
    <t>DELEŽ OBVEZNOSTI V SREDSTVIH</t>
  </si>
  <si>
    <t>vse obveznosti/sredstva</t>
  </si>
  <si>
    <t>KAZALCI DONOSNOSTI</t>
  </si>
  <si>
    <t>ROA (dobičkonosnost sredstev)</t>
  </si>
  <si>
    <t>čisti dobiček/povprečna sredstva</t>
  </si>
  <si>
    <t>ROE (dobičkonosnost kapitala)</t>
  </si>
  <si>
    <t>čisti dobiček/kapital</t>
  </si>
  <si>
    <t>2013-2017</t>
  </si>
  <si>
    <t>povprečna sredstva</t>
  </si>
  <si>
    <t>povprečni kapital</t>
  </si>
  <si>
    <t>KAZALCI OBRAČANJA</t>
  </si>
  <si>
    <t>prihodki od prodaje/povprečne terjatve do kupcev</t>
  </si>
  <si>
    <t>doba vezave terjatev (št. dni)</t>
  </si>
  <si>
    <t>KOLEKTOR SIKOM</t>
  </si>
  <si>
    <t>rast v %</t>
  </si>
  <si>
    <t>sredstva</t>
  </si>
  <si>
    <t>stroški poslovni</t>
  </si>
  <si>
    <t>delež v prihodkih</t>
  </si>
  <si>
    <t>dobiček iz poslovanja</t>
  </si>
  <si>
    <t>čisti dobiček po davku</t>
  </si>
  <si>
    <t>BOSCH REXROTH D.O.O.</t>
  </si>
  <si>
    <t>čisti poslovni izid</t>
  </si>
  <si>
    <t>EBM-PAPST SLOVENIJA proizvodnja elektromotorjev d.o.o.</t>
  </si>
  <si>
    <t>rast prihodkov v %</t>
  </si>
  <si>
    <t>skupaj stroški v prihodkih</t>
  </si>
  <si>
    <t>rast stroškov v %</t>
  </si>
  <si>
    <t>rast sredstev v %</t>
  </si>
  <si>
    <t>VREDNOST ROA KOEF.</t>
  </si>
  <si>
    <t>ROA EBM-PAPST</t>
  </si>
  <si>
    <t>ROA BOSCH REXROTH</t>
  </si>
  <si>
    <t>ROA KOLEKTOR</t>
  </si>
  <si>
    <t>ROA X</t>
  </si>
  <si>
    <t>STROŠKI</t>
  </si>
  <si>
    <t>stroški blaga, materiala in storitev</t>
  </si>
  <si>
    <t>nab. vr. prodanega blaga in mat.</t>
  </si>
  <si>
    <t>stroški materiala</t>
  </si>
  <si>
    <t>stroški storitev</t>
  </si>
  <si>
    <t xml:space="preserve">RAST V % </t>
  </si>
  <si>
    <t>stroški dela</t>
  </si>
  <si>
    <t>prevrednotovalni poslovni odhodki</t>
  </si>
  <si>
    <t>amortizacija</t>
  </si>
  <si>
    <t>drugi poslovni odhodki</t>
  </si>
  <si>
    <t>odhodki skupaj</t>
  </si>
  <si>
    <t>rast odhodkov</t>
  </si>
  <si>
    <t>STROŠKI V DELEŽU PRIHODKOV</t>
  </si>
  <si>
    <t>od tega delež prihodkov:</t>
  </si>
  <si>
    <t>SKUPAJ DELEŽ V PRIHODKIH</t>
  </si>
  <si>
    <t>STROŠKI DELA</t>
  </si>
  <si>
    <t>Skupna vrednost</t>
  </si>
  <si>
    <t>število zaposlenih</t>
  </si>
  <si>
    <t>Stroški dela na zaposlenega</t>
  </si>
  <si>
    <t>rast zaposlovanja</t>
  </si>
  <si>
    <t>FCF</t>
  </si>
  <si>
    <t>prosti denarni tok</t>
  </si>
  <si>
    <t>DOBIČEK IZ POSLOVANJA</t>
  </si>
  <si>
    <t>poslovni izid iz poslovanja</t>
  </si>
  <si>
    <t>*upoštevane informacije podjetja</t>
  </si>
  <si>
    <t>čisti dobiček</t>
  </si>
  <si>
    <t>rast sredstev</t>
  </si>
  <si>
    <t>ročno vnešena vrednost glede na predvidevanja in analizo</t>
  </si>
  <si>
    <t>VREDNOST SREDSTEV</t>
  </si>
  <si>
    <t>povprečna obdavčitev</t>
  </si>
  <si>
    <t>obdavčitev v %</t>
  </si>
  <si>
    <t>naložbe v obratni kapital</t>
  </si>
  <si>
    <t>poslovni prihodki skupaj</t>
  </si>
  <si>
    <t>dolgoročne pasivne čas. razmejitve</t>
  </si>
  <si>
    <t>20 - 33,3%</t>
  </si>
  <si>
    <t>neopredmetena osnovna sredstva</t>
  </si>
  <si>
    <t>obračunani davek</t>
  </si>
  <si>
    <t>naložbe v osn. sredstva</t>
  </si>
  <si>
    <t>rast stroškov dela na zaposlenega</t>
  </si>
  <si>
    <t>povprečna rast stroškov na zaposlenega</t>
  </si>
  <si>
    <t>povprečne pas. čas. razmejitve (dolgoročne)</t>
  </si>
  <si>
    <t>nakup neopredmetenih sredstev</t>
  </si>
  <si>
    <t>nakup osnovnih sredstev</t>
  </si>
  <si>
    <t>prejemki od prodaje osn. Sred.</t>
  </si>
  <si>
    <t>VREDNOST KAPITALA</t>
  </si>
  <si>
    <t>povprečne terjatve</t>
  </si>
  <si>
    <t>KOEFICIENT OBRAČANJA TERJATEV DO KUPCEV</t>
  </si>
  <si>
    <t>PRIMERLJIVA PODJETJA:</t>
  </si>
  <si>
    <t>nabavna vrednost v začetku amortiziranja</t>
  </si>
  <si>
    <t>ustvarjeni prihodki na zaposlenega</t>
  </si>
  <si>
    <t>ustvarjen čisti dobiček na zaposlenega</t>
  </si>
  <si>
    <t>(napačni izračuni)</t>
  </si>
  <si>
    <t>unlevered beta</t>
  </si>
  <si>
    <t>pribitek za majhnost podjetja</t>
  </si>
  <si>
    <t>pribitek za deželno tveganje</t>
  </si>
  <si>
    <t xml:space="preserve">Netvegana stopnja donosa </t>
  </si>
  <si>
    <t>Tržna premija za tveganje</t>
  </si>
  <si>
    <t>posebna tveganja</t>
  </si>
  <si>
    <t>WACC</t>
  </si>
  <si>
    <t>čisti poslovni izid pred obdavčitvijo</t>
  </si>
  <si>
    <t>kapital večinskega lastnika</t>
  </si>
  <si>
    <t>skupna vrednost kapitala</t>
  </si>
  <si>
    <t>dohodek pred obdavčitvijo</t>
  </si>
  <si>
    <t>v 2017:</t>
  </si>
  <si>
    <t xml:space="preserve">plačane obresti </t>
  </si>
  <si>
    <t>finančne obveznosti</t>
  </si>
  <si>
    <t>plačani davki</t>
  </si>
  <si>
    <t>finančni odhodki iz poslovnih obveznosti</t>
  </si>
  <si>
    <t>nom. obrestna mera</t>
  </si>
  <si>
    <t>efekt. davčna stopnja</t>
  </si>
  <si>
    <t>Delež lastn. kapitala</t>
  </si>
  <si>
    <t>Delež dolžn. kapitala</t>
  </si>
  <si>
    <t>strošek dolžn. kapitala</t>
  </si>
  <si>
    <t>strošek lastn. kapitala</t>
  </si>
  <si>
    <t>dolgovi/kapital:</t>
  </si>
  <si>
    <t>levered beta:</t>
  </si>
  <si>
    <t>levered beta</t>
  </si>
  <si>
    <t>viri:</t>
  </si>
  <si>
    <t>https://www.agen-rs.si/documents/10926/125031/%C5%A0tudija-WACC/ec762d70-ebdc-4613-920e-df6b182d29fc</t>
  </si>
  <si>
    <t>donosnost slovenske 10 letne državne obveznice v letu 2017</t>
  </si>
  <si>
    <t>http://www.fm-kp.si/zalozba/ISSN/1854-4231/4_021-038.pdf</t>
  </si>
  <si>
    <t xml:space="preserve">Število lastnih delnic </t>
  </si>
  <si>
    <t xml:space="preserve">Nominalna vrednost delnice </t>
  </si>
  <si>
    <t>Delež lastnih delnic v osnovnem kapitalu (po vrednosti)</t>
  </si>
  <si>
    <t>Nakup lastnih delnic po ceni</t>
  </si>
  <si>
    <t>Prodaja lastnih delnic po ceni</t>
  </si>
  <si>
    <t>5,5 - 7,0</t>
  </si>
  <si>
    <t>-</t>
  </si>
  <si>
    <t xml:space="preserve">Število vseh izdanih delnic </t>
  </si>
  <si>
    <t>Skupna vrednost lastnih delnic</t>
  </si>
  <si>
    <t>http://people.stern.nyu.edu/adamodar/pc/implprem/</t>
  </si>
  <si>
    <t>https://www.duffandphelps.com/-/media/assets/pdfs/publications/valuation/coc/us-normalized-risk-free-rate-november-2016.ashx</t>
  </si>
  <si>
    <t>Tržna premija za tveganje (vrednost S&amp;P indeksa - 20letna netvegana stopnja donosa)</t>
  </si>
  <si>
    <t>netvegana stopnja donosa, vzeta s strani duff and phelps:</t>
  </si>
  <si>
    <t>Lastniška struktura:</t>
  </si>
  <si>
    <t>delavci</t>
  </si>
  <si>
    <t>upokojenci</t>
  </si>
  <si>
    <t>bivši zaposleni</t>
  </si>
  <si>
    <t>ostali</t>
  </si>
  <si>
    <t>Odtujitev ali umik lastnih delnic v vrednosti</t>
  </si>
  <si>
    <t>tržna premija za tveganje, vzeta s strani Duff and Phelps:</t>
  </si>
  <si>
    <t>https://www.duffandphelps.com/insights/publications/valuation-insights/valuation-insights-first-quarter-2019/us-equity-risk-premium-recommendation</t>
  </si>
  <si>
    <t>ODBITEK ZA POMANJKANJE TRŽLJIVOSTI</t>
  </si>
  <si>
    <t>Viri:</t>
  </si>
  <si>
    <t>http://www.cek.ef.uni-lj.si/u_diplome/pfajfar4276.pdf</t>
  </si>
  <si>
    <t>ZAČETNE JAVNE PONUDBE:</t>
  </si>
  <si>
    <t>RESTRIKTIVNE DELNICE:</t>
  </si>
  <si>
    <t xml:space="preserve"> najvišji odbitki doseženi pri teh študijah (tudi do 70%)</t>
  </si>
  <si>
    <t>odbitki okoli dobrih 30%</t>
  </si>
  <si>
    <t>nezanesljivo - majhni vzorci, večinoma manj kot 100</t>
  </si>
  <si>
    <t>primerja se ceni podobnih delnic, od katerih je ena tržljiva, druga pa ne (restriktivna)</t>
  </si>
  <si>
    <t>primerja se ceno delnice nekega podjetja pred in po prvotni javni ponudbi delnic</t>
  </si>
  <si>
    <t>nezanesljivo - spet majhni vzorci</t>
  </si>
  <si>
    <t>podjetje v času, ko postaja odprto za trg, lahko precej spremeni politiko</t>
  </si>
  <si>
    <t>https://www.researchgate.net/publication/46555514_The_Discount_for_Lack_of_Marketability_in_Privately_Owned_Companies_A_Multiples_Approach</t>
  </si>
  <si>
    <t>primerjava - splošno</t>
  </si>
  <si>
    <t>ŠTUDIJE:</t>
  </si>
  <si>
    <t>1.)</t>
  </si>
  <si>
    <t>ugotovitve:</t>
  </si>
  <si>
    <t>Študija, ki primerja transakcije privatnega podjetja s transakcijami javnih</t>
  </si>
  <si>
    <t>v povprečju 65% do 70% odbitki, presegajo pa tudi 80% na nekaterih področjih ekonomije</t>
  </si>
  <si>
    <t>večja podjetja s pozitivnimi neto prihodki, in manjšimi tveganji imajo odbitke manjše</t>
  </si>
  <si>
    <t>v primerjavo zajeta javna in zasebna podjetja v letih od 1994 do 2008</t>
  </si>
  <si>
    <t>431 primerjav</t>
  </si>
  <si>
    <t>primerjava MVIC s prodajo in z EBITDA</t>
  </si>
  <si>
    <t>čisti dobiček po davkih</t>
  </si>
  <si>
    <t>PROFITNA MARŽA</t>
  </si>
  <si>
    <t>čisti dobiček/prihodki od prodaje</t>
  </si>
  <si>
    <t>Delež delnic, v lasti drugih delničarjev, ne podjetja</t>
  </si>
  <si>
    <t>KAZALCI ZA ODBITEK ZARADI POMANJKANJA TRŽLJIVOSTI</t>
  </si>
  <si>
    <t>total assets</t>
  </si>
  <si>
    <t>book value of equity</t>
  </si>
  <si>
    <t>net income</t>
  </si>
  <si>
    <t>net profit margin</t>
  </si>
  <si>
    <t>market cap</t>
  </si>
  <si>
    <t>Dolžniško financiranje</t>
  </si>
  <si>
    <t>lastniško financiranje</t>
  </si>
  <si>
    <t>neto dolg/EBITDA</t>
  </si>
  <si>
    <t>rast prihodkov na zaposlenega</t>
  </si>
  <si>
    <t>PRIHODKI OD PRODAJE PO VRSTAH PROIZVODOV</t>
  </si>
  <si>
    <t>avtomobilska industrija</t>
  </si>
  <si>
    <t>sesalne enote</t>
  </si>
  <si>
    <t>ventilatorji</t>
  </si>
  <si>
    <t>avtom. Ind. v deležu celotnih prihodkov od prodaje</t>
  </si>
  <si>
    <t>FCFF</t>
  </si>
  <si>
    <t>FCFF DISK.</t>
  </si>
  <si>
    <t>STOPNJA RASTI</t>
  </si>
  <si>
    <t>PREOSTALA VREDNOST</t>
  </si>
  <si>
    <t>VREDNOST ENE DELNICE</t>
  </si>
  <si>
    <t>ŠTEVILO DELNIC (31.12.2017)</t>
  </si>
  <si>
    <t>DISK. PREOSTALA VREDNOST</t>
  </si>
  <si>
    <t>VSOTA DISK. VREDNOSTI</t>
  </si>
  <si>
    <t>NETO DOLG</t>
  </si>
  <si>
    <t>zaporedno leto</t>
  </si>
  <si>
    <t>Število delnic oznake A</t>
  </si>
  <si>
    <t>Število delnic oznake B</t>
  </si>
  <si>
    <t>TRŽNA KAPITALIZACIJA</t>
  </si>
  <si>
    <t>ponudba odkupa delnic od delavcev po ceni:</t>
  </si>
  <si>
    <t>PREVZEMI VEČJIH DELEŽEV PODJETIJ</t>
  </si>
  <si>
    <t>KOLEKTOR</t>
  </si>
  <si>
    <t>LETO</t>
  </si>
  <si>
    <t>ŠTEVILO KOSOVNIH DELNIC</t>
  </si>
  <si>
    <t>ODBITEK ZA POMANJKANJE OBVLADLJIVOSTI</t>
  </si>
  <si>
    <t>KONTROLNA PREMIJA</t>
  </si>
  <si>
    <t>VREDNOST DELNICE PO UPORABI ODBITKOV</t>
  </si>
  <si>
    <t>ŠTUDIJA</t>
  </si>
  <si>
    <t>a)</t>
  </si>
  <si>
    <t>Študije na podlagi restriktivnih delnic</t>
  </si>
  <si>
    <t>Willamette Management Associates</t>
  </si>
  <si>
    <t>Silber study</t>
  </si>
  <si>
    <t>ime študije</t>
  </si>
  <si>
    <t>povprečni odbitek</t>
  </si>
  <si>
    <t>komentar</t>
  </si>
  <si>
    <t>b)</t>
  </si>
  <si>
    <t>Študije na podlagi IPO ponudb</t>
  </si>
  <si>
    <t>John D. Emory Study</t>
  </si>
  <si>
    <t>Houlihan Lokey study</t>
  </si>
  <si>
    <t>Columbia Financial</t>
  </si>
  <si>
    <t>Munroe, Park &amp; Johnson</t>
  </si>
  <si>
    <t>Management Planning</t>
  </si>
  <si>
    <t>FMV Opinions </t>
  </si>
  <si>
    <t>UCLA</t>
  </si>
  <si>
    <t>Standard Research </t>
  </si>
  <si>
    <t>Moroney</t>
  </si>
  <si>
    <t>Trout</t>
  </si>
  <si>
    <t>Maher</t>
  </si>
  <si>
    <t>Institutional investor study</t>
  </si>
  <si>
    <t>Gelman</t>
  </si>
  <si>
    <t>držanje delnice 2 leti - 17%; držanje delnice 1 leto - 8%</t>
  </si>
  <si>
    <t>Dokaz, da je odbitek močno povezan z dobo, ko delnice ne moreš prodati - na sredini raziskave se je čas držanja restriktivne delnice zmanjšala za polovico</t>
  </si>
  <si>
    <t>držanje delnice 2 leti - 14%; držanje delnice 1 leto - 9%</t>
  </si>
  <si>
    <t>Zajetih 72 transakcij v letih 1991 - 1995</t>
  </si>
  <si>
    <t>Preučevanih 115 zasebnih transakcij, vključeno z lastnimi delnicami večjih industrijskih korporacij. Večina se jih je prodajala z diskontom, nekaj pa tudi s premijo ali kar točno po tržni ceni.  Da bi dobili bolj objektivne rezultate so naknadno izključili vse transakcije podjetij z manj kot 3 milijoni prihodkov.</t>
  </si>
  <si>
    <t>Analiziranih preko 100 transakcij - rezultat potrjuje, da je odbitek močno povezan z višino prihodkov podjetja.</t>
  </si>
  <si>
    <t>Preučevanih 44 zasebnih transakcij - z rezultati si lahko razlagajo le 67 odstotkov odbitkov, raziskava ni dosegla željenih rezultatov</t>
  </si>
  <si>
    <t>Preučevanih 28 transakcij</t>
  </si>
  <si>
    <t>Preučevanih 33 transakcij</t>
  </si>
  <si>
    <t>Preučevanih 69 transakcij</t>
  </si>
  <si>
    <t>Preučevanih 146 transakcij desetih večjih korporacij</t>
  </si>
  <si>
    <t>Študije restriktivnih delnic podjetij glede na 4 dejavnike: prodaja, zaslužek, način prodaje delnic (borza ali interno), regulatorne omejitve pri nadaljni prodaji.Od teh je zaslužek po rezultatih najbolj merodajen. Naše podjetje - glede na prodajo (10 - 20), glede na zaslužek (10 - 20), ker pa se prodaja izven reguliranega borznega trga - (20 - 30).</t>
  </si>
  <si>
    <t>Preučevanih 89 transakcij 4 večjih podjetij, pred letom 1970.</t>
  </si>
  <si>
    <t>Preučevanih 60 transakcij večjih skladov</t>
  </si>
  <si>
    <t>Preučevanih 34 transakcij</t>
  </si>
  <si>
    <t>879 transakcij - primerjajo vrednost pred in po prvi javni ponudbi</t>
  </si>
  <si>
    <t>283 transakcij v letih 1997 - 2000, primerjava cene delnice 5 mesecev pred prvo javno ponudbo in takoj po njej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</si>
</sst>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5" formatCode="#,##0\ &quot;€&quot;;\-#,##0\ &quot;€&quot;"/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-* #,##0\ &quot;€&quot;_-;\-* #,##0\ &quot;€&quot;_-;_-* &quot;-&quot;??\ &quot;€&quot;_-;_-@_-"/>
    <numFmt numFmtId="165" formatCode="_-* #,##0.00\ _€_-;\-* #,##0.00\ _€_-;_-* &quot;-&quot;??\ _€_-;_-@_-"/>
    <numFmt numFmtId="166" formatCode="0.000%"/>
    <numFmt numFmtId="167" formatCode="0.0%"/>
    <numFmt numFmtId="168" formatCode="_-* #,##0.000_-;\-* #,##0.000_-;_-* &quot;-&quot;??_-;_-@_-"/>
    <numFmt numFmtId="169" formatCode="_-* #,##0.000\ &quot;€&quot;_-;\-* #,##0.000\ &quot;€&quot;_-;_-* &quot;-&quot;??\ &quot;€&quot;_-;_-@_-"/>
    <numFmt numFmtId="170" formatCode="#,##0.000"/>
  </numFmts>
  <fonts count="27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4" tint="0.3999755851924192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b/>
      <sz val="11"/>
      <color theme="9"/>
      <name val="Calibri"/>
      <family val="2"/>
      <charset val="238"/>
      <scheme val="minor"/>
    </font>
    <font>
      <i/>
      <sz val="11"/>
      <name val="Calibri"/>
      <family val="2"/>
      <charset val="238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charset val="238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u/>
      <sz val="11"/>
      <color theme="10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9"/>
      <color indexed="81"/>
      <name val="Segoe UI"/>
      <family val="2"/>
      <charset val="238"/>
    </font>
    <font>
      <b/>
      <sz val="9"/>
      <color indexed="81"/>
      <name val="Segoe UI"/>
      <family val="2"/>
      <charset val="238"/>
    </font>
    <font>
      <b/>
      <sz val="11"/>
      <color rgb="FFFF0000"/>
      <name val="Calibri"/>
      <family val="2"/>
      <scheme val="minor"/>
    </font>
    <font>
      <sz val="11"/>
      <color theme="1"/>
      <name val="Calibri Light"/>
      <family val="2"/>
      <charset val="238"/>
      <scheme val="major"/>
    </font>
    <font>
      <sz val="11"/>
      <color rgb="FF000000"/>
      <name val="Calibri Light"/>
      <family val="2"/>
      <charset val="238"/>
      <scheme val="major"/>
    </font>
  </fonts>
  <fills count="1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3" fillId="0" borderId="0"/>
    <xf numFmtId="165" fontId="1" fillId="0" borderId="0" applyFont="0" applyFill="0" applyBorder="0" applyAlignment="0" applyProtection="0"/>
    <xf numFmtId="0" fontId="14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0" fillId="0" borderId="0" applyNumberFormat="0" applyFill="0" applyBorder="0" applyAlignment="0" applyProtection="0"/>
  </cellStyleXfs>
  <cellXfs count="633">
    <xf numFmtId="0" fontId="0" fillId="0" borderId="0" xfId="0"/>
    <xf numFmtId="0" fontId="2" fillId="0" borderId="1" xfId="0" applyFont="1" applyBorder="1"/>
    <xf numFmtId="164" fontId="0" fillId="0" borderId="1" xfId="0" applyNumberFormat="1" applyBorder="1"/>
    <xf numFmtId="164" fontId="0" fillId="0" borderId="0" xfId="0" applyNumberFormat="1"/>
    <xf numFmtId="164" fontId="2" fillId="0" borderId="0" xfId="0" applyNumberFormat="1" applyFont="1"/>
    <xf numFmtId="0" fontId="0" fillId="0" borderId="1" xfId="0" applyBorder="1"/>
    <xf numFmtId="0" fontId="2" fillId="0" borderId="0" xfId="0" applyFont="1"/>
    <xf numFmtId="164" fontId="0" fillId="5" borderId="1" xfId="0" applyNumberFormat="1" applyFill="1" applyBorder="1"/>
    <xf numFmtId="164" fontId="2" fillId="5" borderId="1" xfId="0" applyNumberFormat="1" applyFont="1" applyFill="1" applyBorder="1"/>
    <xf numFmtId="165" fontId="2" fillId="0" borderId="0" xfId="0" applyNumberFormat="1" applyFont="1" applyFill="1"/>
    <xf numFmtId="164" fontId="0" fillId="0" borderId="1" xfId="0" applyNumberFormat="1" applyFill="1" applyBorder="1"/>
    <xf numFmtId="164" fontId="0" fillId="0" borderId="0" xfId="0" applyNumberFormat="1" applyFill="1"/>
    <xf numFmtId="0" fontId="0" fillId="4" borderId="0" xfId="0" applyFill="1"/>
    <xf numFmtId="0" fontId="0" fillId="5" borderId="0" xfId="0" applyFill="1"/>
    <xf numFmtId="0" fontId="0" fillId="2" borderId="0" xfId="0" applyFill="1"/>
    <xf numFmtId="9" fontId="0" fillId="2" borderId="1" xfId="2" applyFont="1" applyFill="1" applyBorder="1"/>
    <xf numFmtId="0" fontId="6" fillId="6" borderId="0" xfId="0" applyFont="1" applyFill="1"/>
    <xf numFmtId="9" fontId="4" fillId="2" borderId="1" xfId="0" applyNumberFormat="1" applyFont="1" applyFill="1" applyBorder="1"/>
    <xf numFmtId="9" fontId="0" fillId="2" borderId="1" xfId="0" applyNumberFormat="1" applyFill="1" applyBorder="1"/>
    <xf numFmtId="164" fontId="4" fillId="6" borderId="1" xfId="0" applyNumberFormat="1" applyFont="1" applyFill="1" applyBorder="1"/>
    <xf numFmtId="164" fontId="4" fillId="6" borderId="2" xfId="0" applyNumberFormat="1" applyFont="1" applyFill="1" applyBorder="1"/>
    <xf numFmtId="164" fontId="0" fillId="0" borderId="2" xfId="0" applyNumberFormat="1" applyFill="1" applyBorder="1"/>
    <xf numFmtId="9" fontId="4" fillId="2" borderId="2" xfId="0" applyNumberFormat="1" applyFont="1" applyFill="1" applyBorder="1"/>
    <xf numFmtId="164" fontId="0" fillId="5" borderId="3" xfId="0" applyNumberFormat="1" applyFill="1" applyBorder="1"/>
    <xf numFmtId="164" fontId="0" fillId="0" borderId="3" xfId="0" applyNumberFormat="1" applyFill="1" applyBorder="1"/>
    <xf numFmtId="164" fontId="2" fillId="5" borderId="3" xfId="0" applyNumberFormat="1" applyFont="1" applyFill="1" applyBorder="1"/>
    <xf numFmtId="0" fontId="2" fillId="0" borderId="4" xfId="0" applyFont="1" applyBorder="1"/>
    <xf numFmtId="0" fontId="0" fillId="0" borderId="4" xfId="0" applyBorder="1"/>
    <xf numFmtId="164" fontId="0" fillId="0" borderId="4" xfId="0" applyNumberFormat="1" applyBorder="1"/>
    <xf numFmtId="164" fontId="2" fillId="0" borderId="4" xfId="0" applyNumberFormat="1" applyFont="1" applyBorder="1"/>
    <xf numFmtId="9" fontId="0" fillId="2" borderId="3" xfId="2" applyFont="1" applyFill="1" applyBorder="1"/>
    <xf numFmtId="0" fontId="2" fillId="4" borderId="0" xfId="0" applyFont="1" applyFill="1"/>
    <xf numFmtId="43" fontId="4" fillId="6" borderId="2" xfId="1" applyFont="1" applyFill="1" applyBorder="1"/>
    <xf numFmtId="164" fontId="0" fillId="2" borderId="2" xfId="0" applyNumberFormat="1" applyFill="1" applyBorder="1"/>
    <xf numFmtId="164" fontId="0" fillId="2" borderId="1" xfId="0" applyNumberFormat="1" applyFill="1" applyBorder="1"/>
    <xf numFmtId="164" fontId="0" fillId="2" borderId="2" xfId="1" applyNumberFormat="1" applyFont="1" applyFill="1" applyBorder="1"/>
    <xf numFmtId="9" fontId="4" fillId="6" borderId="2" xfId="0" applyNumberFormat="1" applyFont="1" applyFill="1" applyBorder="1"/>
    <xf numFmtId="9" fontId="4" fillId="6" borderId="1" xfId="0" applyNumberFormat="1" applyFont="1" applyFill="1" applyBorder="1"/>
    <xf numFmtId="164" fontId="2" fillId="2" borderId="2" xfId="0" applyNumberFormat="1" applyFont="1" applyFill="1" applyBorder="1"/>
    <xf numFmtId="164" fontId="2" fillId="2" borderId="1" xfId="0" applyNumberFormat="1" applyFont="1" applyFill="1" applyBorder="1"/>
    <xf numFmtId="9" fontId="0" fillId="2" borderId="2" xfId="2" applyFont="1" applyFill="1" applyBorder="1"/>
    <xf numFmtId="164" fontId="2" fillId="0" borderId="0" xfId="0" applyNumberFormat="1" applyFont="1" applyFill="1"/>
    <xf numFmtId="0" fontId="7" fillId="0" borderId="4" xfId="0" applyFont="1" applyBorder="1"/>
    <xf numFmtId="164" fontId="2" fillId="2" borderId="3" xfId="0" applyNumberFormat="1" applyFont="1" applyFill="1" applyBorder="1"/>
    <xf numFmtId="43" fontId="5" fillId="2" borderId="1" xfId="1" applyFont="1" applyFill="1" applyBorder="1"/>
    <xf numFmtId="43" fontId="5" fillId="2" borderId="3" xfId="1" applyFont="1" applyFill="1" applyBorder="1"/>
    <xf numFmtId="43" fontId="0" fillId="2" borderId="1" xfId="1" applyFont="1" applyFill="1" applyBorder="1"/>
    <xf numFmtId="43" fontId="0" fillId="2" borderId="3" xfId="1" applyFont="1" applyFill="1" applyBorder="1"/>
    <xf numFmtId="164" fontId="0" fillId="0" borderId="10" xfId="0" applyNumberFormat="1" applyBorder="1"/>
    <xf numFmtId="164" fontId="0" fillId="0" borderId="3" xfId="0" applyNumberFormat="1" applyBorder="1"/>
    <xf numFmtId="164" fontId="0" fillId="0" borderId="11" xfId="0" applyNumberFormat="1" applyBorder="1"/>
    <xf numFmtId="164" fontId="3" fillId="0" borderId="0" xfId="0" applyNumberFormat="1" applyFont="1"/>
    <xf numFmtId="0" fontId="0" fillId="0" borderId="3" xfId="0" applyBorder="1"/>
    <xf numFmtId="0" fontId="0" fillId="0" borderId="2" xfId="0" applyBorder="1"/>
    <xf numFmtId="0" fontId="0" fillId="0" borderId="11" xfId="0" applyBorder="1"/>
    <xf numFmtId="0" fontId="0" fillId="0" borderId="10" xfId="0" applyBorder="1"/>
    <xf numFmtId="0" fontId="2" fillId="0" borderId="3" xfId="0" applyFont="1" applyBorder="1"/>
    <xf numFmtId="0" fontId="2" fillId="0" borderId="2" xfId="0" applyFont="1" applyBorder="1"/>
    <xf numFmtId="0" fontId="2" fillId="0" borderId="11" xfId="0" applyFont="1" applyBorder="1"/>
    <xf numFmtId="0" fontId="3" fillId="4" borderId="5" xfId="0" applyFont="1" applyFill="1" applyBorder="1"/>
    <xf numFmtId="0" fontId="2" fillId="4" borderId="6" xfId="0" applyFont="1" applyFill="1" applyBorder="1"/>
    <xf numFmtId="0" fontId="2" fillId="4" borderId="8" xfId="0" applyFont="1" applyFill="1" applyBorder="1"/>
    <xf numFmtId="0" fontId="2" fillId="4" borderId="9" xfId="0" applyFont="1" applyFill="1" applyBorder="1"/>
    <xf numFmtId="164" fontId="3" fillId="0" borderId="12" xfId="0" applyNumberFormat="1" applyFont="1" applyBorder="1"/>
    <xf numFmtId="164" fontId="3" fillId="2" borderId="13" xfId="0" applyNumberFormat="1" applyFont="1" applyFill="1" applyBorder="1"/>
    <xf numFmtId="9" fontId="0" fillId="6" borderId="2" xfId="0" applyNumberFormat="1" applyFill="1" applyBorder="1"/>
    <xf numFmtId="9" fontId="0" fillId="6" borderId="1" xfId="0" applyNumberFormat="1" applyFill="1" applyBorder="1"/>
    <xf numFmtId="164" fontId="0" fillId="2" borderId="3" xfId="0" applyNumberFormat="1" applyFill="1" applyBorder="1"/>
    <xf numFmtId="164" fontId="3" fillId="2" borderId="1" xfId="0" applyNumberFormat="1" applyFont="1" applyFill="1" applyBorder="1"/>
    <xf numFmtId="164" fontId="0" fillId="2" borderId="11" xfId="0" applyNumberFormat="1" applyFill="1" applyBorder="1"/>
    <xf numFmtId="164" fontId="3" fillId="2" borderId="2" xfId="0" applyNumberFormat="1" applyFont="1" applyFill="1" applyBorder="1"/>
    <xf numFmtId="164" fontId="2" fillId="0" borderId="3" xfId="0" applyNumberFormat="1" applyFont="1" applyBorder="1"/>
    <xf numFmtId="164" fontId="0" fillId="0" borderId="2" xfId="0" applyNumberFormat="1" applyBorder="1"/>
    <xf numFmtId="164" fontId="5" fillId="0" borderId="0" xfId="0" applyNumberFormat="1" applyFont="1"/>
    <xf numFmtId="0" fontId="5" fillId="0" borderId="1" xfId="0" applyFont="1" applyBorder="1"/>
    <xf numFmtId="0" fontId="5" fillId="0" borderId="0" xfId="0" applyFont="1"/>
    <xf numFmtId="166" fontId="2" fillId="0" borderId="1" xfId="2" applyNumberFormat="1" applyFont="1" applyBorder="1"/>
    <xf numFmtId="166" fontId="0" fillId="0" borderId="0" xfId="2" applyNumberFormat="1" applyFont="1"/>
    <xf numFmtId="0" fontId="4" fillId="0" borderId="2" xfId="0" applyFont="1" applyBorder="1"/>
    <xf numFmtId="0" fontId="4" fillId="0" borderId="1" xfId="0" applyFont="1" applyBorder="1"/>
    <xf numFmtId="167" fontId="0" fillId="0" borderId="0" xfId="2" applyNumberFormat="1" applyFont="1"/>
    <xf numFmtId="9" fontId="5" fillId="0" borderId="0" xfId="2" applyFont="1"/>
    <xf numFmtId="9" fontId="2" fillId="0" borderId="10" xfId="2" applyFont="1" applyBorder="1"/>
    <xf numFmtId="9" fontId="0" fillId="0" borderId="10" xfId="2" applyFont="1" applyBorder="1"/>
    <xf numFmtId="9" fontId="5" fillId="0" borderId="10" xfId="2" applyFont="1" applyBorder="1"/>
    <xf numFmtId="9" fontId="5" fillId="0" borderId="12" xfId="2" applyFont="1" applyBorder="1"/>
    <xf numFmtId="0" fontId="0" fillId="0" borderId="13" xfId="0" applyBorder="1"/>
    <xf numFmtId="164" fontId="4" fillId="0" borderId="10" xfId="0" applyNumberFormat="1" applyFont="1" applyBorder="1"/>
    <xf numFmtId="164" fontId="0" fillId="0" borderId="12" xfId="0" applyNumberFormat="1" applyBorder="1"/>
    <xf numFmtId="164" fontId="0" fillId="0" borderId="13" xfId="0" applyNumberFormat="1" applyBorder="1"/>
    <xf numFmtId="0" fontId="2" fillId="0" borderId="10" xfId="0" applyFont="1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164" fontId="5" fillId="5" borderId="1" xfId="0" applyNumberFormat="1" applyFont="1" applyFill="1" applyBorder="1"/>
    <xf numFmtId="0" fontId="2" fillId="4" borderId="0" xfId="0" applyFont="1" applyFill="1" applyBorder="1"/>
    <xf numFmtId="164" fontId="2" fillId="0" borderId="0" xfId="0" applyNumberFormat="1" applyFont="1" applyBorder="1"/>
    <xf numFmtId="164" fontId="0" fillId="0" borderId="0" xfId="0" applyNumberFormat="1" applyBorder="1"/>
    <xf numFmtId="164" fontId="5" fillId="0" borderId="0" xfId="0" applyNumberFormat="1" applyFont="1" applyBorder="1"/>
    <xf numFmtId="166" fontId="0" fillId="0" borderId="0" xfId="0" applyNumberFormat="1"/>
    <xf numFmtId="166" fontId="1" fillId="2" borderId="1" xfId="2" applyNumberFormat="1" applyFont="1" applyFill="1" applyBorder="1"/>
    <xf numFmtId="0" fontId="0" fillId="4" borderId="6" xfId="0" applyFill="1" applyBorder="1"/>
    <xf numFmtId="164" fontId="0" fillId="5" borderId="14" xfId="0" applyNumberFormat="1" applyFill="1" applyBorder="1"/>
    <xf numFmtId="164" fontId="2" fillId="2" borderId="11" xfId="0" applyNumberFormat="1" applyFont="1" applyFill="1" applyBorder="1"/>
    <xf numFmtId="0" fontId="0" fillId="0" borderId="1" xfId="0" applyFont="1" applyBorder="1"/>
    <xf numFmtId="164" fontId="0" fillId="0" borderId="1" xfId="0" applyNumberFormat="1" applyFont="1" applyBorder="1"/>
    <xf numFmtId="164" fontId="0" fillId="2" borderId="15" xfId="0" applyNumberFormat="1" applyFill="1" applyBorder="1"/>
    <xf numFmtId="164" fontId="0" fillId="2" borderId="13" xfId="0" applyNumberFormat="1" applyFill="1" applyBorder="1"/>
    <xf numFmtId="164" fontId="0" fillId="2" borderId="16" xfId="0" applyNumberFormat="1" applyFill="1" applyBorder="1"/>
    <xf numFmtId="10" fontId="0" fillId="5" borderId="1" xfId="0" applyNumberFormat="1" applyFon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3" xfId="0" applyNumberFormat="1" applyFill="1" applyBorder="1"/>
    <xf numFmtId="9" fontId="0" fillId="6" borderId="1" xfId="0" applyNumberFormat="1" applyFont="1" applyFill="1" applyBorder="1"/>
    <xf numFmtId="9" fontId="0" fillId="6" borderId="13" xfId="0" applyNumberFormat="1" applyFill="1" applyBorder="1"/>
    <xf numFmtId="0" fontId="7" fillId="4" borderId="0" xfId="0" applyFont="1" applyFill="1"/>
    <xf numFmtId="164" fontId="5" fillId="2" borderId="1" xfId="0" applyNumberFormat="1" applyFont="1" applyFill="1" applyBorder="1"/>
    <xf numFmtId="166" fontId="0" fillId="2" borderId="1" xfId="2" applyNumberFormat="1" applyFont="1" applyFill="1" applyBorder="1"/>
    <xf numFmtId="10" fontId="0" fillId="2" borderId="1" xfId="2" applyNumberFormat="1" applyFont="1" applyFill="1" applyBorder="1"/>
    <xf numFmtId="166" fontId="0" fillId="2" borderId="1" xfId="0" applyNumberFormat="1" applyFill="1" applyBorder="1"/>
    <xf numFmtId="166" fontId="0" fillId="2" borderId="3" xfId="0" applyNumberFormat="1" applyFill="1" applyBorder="1"/>
    <xf numFmtId="167" fontId="0" fillId="2" borderId="1" xfId="2" applyNumberFormat="1" applyFont="1" applyFill="1" applyBorder="1"/>
    <xf numFmtId="167" fontId="0" fillId="2" borderId="3" xfId="2" applyNumberFormat="1" applyFont="1" applyFill="1" applyBorder="1"/>
    <xf numFmtId="166" fontId="4" fillId="6" borderId="2" xfId="2" applyNumberFormat="1" applyFont="1" applyFill="1" applyBorder="1"/>
    <xf numFmtId="166" fontId="4" fillId="2" borderId="2" xfId="0" applyNumberFormat="1" applyFont="1" applyFill="1" applyBorder="1"/>
    <xf numFmtId="166" fontId="4" fillId="2" borderId="1" xfId="0" applyNumberFormat="1" applyFont="1" applyFill="1" applyBorder="1"/>
    <xf numFmtId="10" fontId="4" fillId="6" borderId="2" xfId="2" applyNumberFormat="1" applyFont="1" applyFill="1" applyBorder="1"/>
    <xf numFmtId="10" fontId="4" fillId="6" borderId="1" xfId="2" applyNumberFormat="1" applyFont="1" applyFill="1" applyBorder="1"/>
    <xf numFmtId="167" fontId="4" fillId="6" borderId="2" xfId="2" applyNumberFormat="1" applyFont="1" applyFill="1" applyBorder="1"/>
    <xf numFmtId="167" fontId="4" fillId="6" borderId="1" xfId="2" applyNumberFormat="1" applyFont="1" applyFill="1" applyBorder="1"/>
    <xf numFmtId="0" fontId="4" fillId="0" borderId="2" xfId="0" applyFont="1" applyFill="1" applyBorder="1"/>
    <xf numFmtId="0" fontId="4" fillId="0" borderId="1" xfId="0" applyFont="1" applyFill="1" applyBorder="1"/>
    <xf numFmtId="164" fontId="8" fillId="0" borderId="0" xfId="0" applyNumberFormat="1" applyFont="1" applyBorder="1"/>
    <xf numFmtId="0" fontId="5" fillId="0" borderId="0" xfId="0" applyFont="1" applyBorder="1"/>
    <xf numFmtId="0" fontId="0" fillId="0" borderId="0" xfId="0" applyBorder="1"/>
    <xf numFmtId="0" fontId="3" fillId="4" borderId="20" xfId="0" applyFont="1" applyFill="1" applyBorder="1"/>
    <xf numFmtId="0" fontId="9" fillId="4" borderId="21" xfId="0" applyFont="1" applyFill="1" applyBorder="1"/>
    <xf numFmtId="0" fontId="9" fillId="4" borderId="17" xfId="0" applyFont="1" applyFill="1" applyBorder="1"/>
    <xf numFmtId="0" fontId="9" fillId="4" borderId="22" xfId="0" applyFont="1" applyFill="1" applyBorder="1"/>
    <xf numFmtId="9" fontId="3" fillId="4" borderId="5" xfId="2" applyFont="1" applyFill="1" applyBorder="1"/>
    <xf numFmtId="0" fontId="3" fillId="4" borderId="6" xfId="0" applyFont="1" applyFill="1" applyBorder="1"/>
    <xf numFmtId="0" fontId="3" fillId="4" borderId="9" xfId="0" applyFont="1" applyFill="1" applyBorder="1"/>
    <xf numFmtId="164" fontId="4" fillId="2" borderId="1" xfId="0" applyNumberFormat="1" applyFont="1" applyFill="1" applyBorder="1"/>
    <xf numFmtId="0" fontId="3" fillId="4" borderId="8" xfId="0" applyFont="1" applyFill="1" applyBorder="1"/>
    <xf numFmtId="164" fontId="4" fillId="2" borderId="2" xfId="0" applyNumberFormat="1" applyFont="1" applyFill="1" applyBorder="1"/>
    <xf numFmtId="164" fontId="5" fillId="5" borderId="3" xfId="0" applyNumberFormat="1" applyFont="1" applyFill="1" applyBorder="1"/>
    <xf numFmtId="166" fontId="1" fillId="2" borderId="3" xfId="2" applyNumberFormat="1" applyFont="1" applyFill="1" applyBorder="1"/>
    <xf numFmtId="166" fontId="2" fillId="0" borderId="3" xfId="2" applyNumberFormat="1" applyFont="1" applyBorder="1"/>
    <xf numFmtId="0" fontId="3" fillId="4" borderId="7" xfId="0" applyFont="1" applyFill="1" applyBorder="1"/>
    <xf numFmtId="164" fontId="4" fillId="2" borderId="3" xfId="0" applyNumberFormat="1" applyFont="1" applyFill="1" applyBorder="1"/>
    <xf numFmtId="164" fontId="0" fillId="0" borderId="14" xfId="0" applyNumberFormat="1" applyBorder="1"/>
    <xf numFmtId="9" fontId="4" fillId="2" borderId="2" xfId="2" applyFont="1" applyFill="1" applyBorder="1"/>
    <xf numFmtId="167" fontId="4" fillId="2" borderId="2" xfId="2" applyNumberFormat="1" applyFont="1" applyFill="1" applyBorder="1"/>
    <xf numFmtId="166" fontId="4" fillId="2" borderId="2" xfId="2" applyNumberFormat="1" applyFont="1" applyFill="1" applyBorder="1"/>
    <xf numFmtId="10" fontId="0" fillId="0" borderId="0" xfId="1" applyNumberFormat="1" applyFont="1"/>
    <xf numFmtId="0" fontId="0" fillId="0" borderId="0" xfId="1" applyNumberFormat="1" applyFont="1"/>
    <xf numFmtId="43" fontId="0" fillId="0" borderId="0" xfId="1" applyFont="1"/>
    <xf numFmtId="9" fontId="0" fillId="0" borderId="0" xfId="2" applyFont="1"/>
    <xf numFmtId="0" fontId="0" fillId="0" borderId="23" xfId="0" applyBorder="1"/>
    <xf numFmtId="0" fontId="2" fillId="0" borderId="24" xfId="0" applyFont="1" applyBorder="1"/>
    <xf numFmtId="164" fontId="2" fillId="0" borderId="25" xfId="0" applyNumberFormat="1" applyFont="1" applyBorder="1"/>
    <xf numFmtId="164" fontId="0" fillId="0" borderId="19" xfId="0" applyNumberFormat="1" applyBorder="1"/>
    <xf numFmtId="0" fontId="3" fillId="4" borderId="0" xfId="0" applyFont="1" applyFill="1"/>
    <xf numFmtId="0" fontId="4" fillId="4" borderId="0" xfId="0" applyFont="1" applyFill="1"/>
    <xf numFmtId="10" fontId="0" fillId="0" borderId="1" xfId="1" applyNumberFormat="1" applyFont="1" applyBorder="1"/>
    <xf numFmtId="10" fontId="5" fillId="0" borderId="1" xfId="2" applyNumberFormat="1" applyFont="1" applyBorder="1"/>
    <xf numFmtId="10" fontId="1" fillId="0" borderId="1" xfId="2" applyNumberFormat="1" applyBorder="1"/>
    <xf numFmtId="10" fontId="0" fillId="0" borderId="1" xfId="0" applyNumberFormat="1" applyBorder="1"/>
    <xf numFmtId="10" fontId="5" fillId="0" borderId="1" xfId="0" applyNumberFormat="1" applyFont="1" applyBorder="1"/>
    <xf numFmtId="10" fontId="0" fillId="0" borderId="10" xfId="1" applyNumberFormat="1" applyFont="1" applyBorder="1"/>
    <xf numFmtId="10" fontId="0" fillId="0" borderId="11" xfId="1" applyNumberFormat="1" applyFont="1" applyBorder="1"/>
    <xf numFmtId="0" fontId="5" fillId="0" borderId="10" xfId="0" applyFont="1" applyBorder="1"/>
    <xf numFmtId="10" fontId="0" fillId="0" borderId="13" xfId="0" applyNumberFormat="1" applyBorder="1"/>
    <xf numFmtId="2" fontId="0" fillId="0" borderId="1" xfId="0" applyNumberFormat="1" applyBorder="1"/>
    <xf numFmtId="9" fontId="0" fillId="0" borderId="1" xfId="1" applyNumberFormat="1" applyFont="1" applyBorder="1"/>
    <xf numFmtId="0" fontId="0" fillId="0" borderId="1" xfId="1" applyNumberFormat="1" applyFont="1" applyBorder="1"/>
    <xf numFmtId="0" fontId="1" fillId="0" borderId="1" xfId="1" applyNumberFormat="1" applyBorder="1"/>
    <xf numFmtId="0" fontId="0" fillId="0" borderId="10" xfId="1" applyNumberFormat="1" applyFont="1" applyBorder="1"/>
    <xf numFmtId="0" fontId="0" fillId="0" borderId="11" xfId="1" applyNumberFormat="1" applyFont="1" applyBorder="1"/>
    <xf numFmtId="0" fontId="0" fillId="0" borderId="12" xfId="1" applyNumberFormat="1" applyFont="1" applyBorder="1"/>
    <xf numFmtId="0" fontId="0" fillId="0" borderId="13" xfId="1" applyNumberFormat="1" applyFont="1" applyBorder="1"/>
    <xf numFmtId="0" fontId="0" fillId="0" borderId="16" xfId="1" applyNumberFormat="1" applyFont="1" applyBorder="1"/>
    <xf numFmtId="43" fontId="0" fillId="0" borderId="1" xfId="1" applyFont="1" applyBorder="1"/>
    <xf numFmtId="9" fontId="0" fillId="0" borderId="1" xfId="2" applyFont="1" applyBorder="1"/>
    <xf numFmtId="43" fontId="0" fillId="0" borderId="10" xfId="1" applyFont="1" applyBorder="1"/>
    <xf numFmtId="43" fontId="0" fillId="0" borderId="11" xfId="1" applyFont="1" applyBorder="1"/>
    <xf numFmtId="9" fontId="0" fillId="0" borderId="11" xfId="2" applyFont="1" applyBorder="1"/>
    <xf numFmtId="43" fontId="0" fillId="0" borderId="12" xfId="1" applyFont="1" applyBorder="1"/>
    <xf numFmtId="43" fontId="0" fillId="0" borderId="13" xfId="1" applyFont="1" applyBorder="1"/>
    <xf numFmtId="43" fontId="0" fillId="0" borderId="16" xfId="1" applyFont="1" applyBorder="1"/>
    <xf numFmtId="0" fontId="2" fillId="4" borderId="5" xfId="0" applyFont="1" applyFill="1" applyBorder="1"/>
    <xf numFmtId="9" fontId="0" fillId="0" borderId="12" xfId="2" applyFont="1" applyBorder="1"/>
    <xf numFmtId="9" fontId="0" fillId="0" borderId="13" xfId="2" applyFont="1" applyBorder="1"/>
    <xf numFmtId="9" fontId="0" fillId="0" borderId="16" xfId="2" applyFont="1" applyBorder="1"/>
    <xf numFmtId="0" fontId="5" fillId="0" borderId="11" xfId="0" applyFont="1" applyBorder="1"/>
    <xf numFmtId="10" fontId="0" fillId="5" borderId="1" xfId="1" applyNumberFormat="1" applyFont="1" applyFill="1" applyBorder="1"/>
    <xf numFmtId="167" fontId="5" fillId="5" borderId="1" xfId="2" applyNumberFormat="1" applyFont="1" applyFill="1" applyBorder="1"/>
    <xf numFmtId="10" fontId="5" fillId="5" borderId="1" xfId="2" applyNumberFormat="1" applyFont="1" applyFill="1" applyBorder="1"/>
    <xf numFmtId="167" fontId="1" fillId="5" borderId="1" xfId="2" applyNumberFormat="1" applyFill="1" applyBorder="1"/>
    <xf numFmtId="10" fontId="1" fillId="5" borderId="1" xfId="2" applyNumberFormat="1" applyFill="1" applyBorder="1"/>
    <xf numFmtId="10" fontId="5" fillId="5" borderId="1" xfId="0" applyNumberFormat="1" applyFont="1" applyFill="1" applyBorder="1"/>
    <xf numFmtId="0" fontId="0" fillId="5" borderId="1" xfId="0" applyFill="1" applyBorder="1"/>
    <xf numFmtId="2" fontId="0" fillId="5" borderId="1" xfId="0" applyNumberFormat="1" applyFill="1" applyBorder="1"/>
    <xf numFmtId="9" fontId="1" fillId="5" borderId="1" xfId="2" applyFill="1" applyBorder="1"/>
    <xf numFmtId="10" fontId="1" fillId="5" borderId="1" xfId="1" applyNumberFormat="1" applyFill="1" applyBorder="1"/>
    <xf numFmtId="0" fontId="0" fillId="5" borderId="13" xfId="0" applyFill="1" applyBorder="1"/>
    <xf numFmtId="0" fontId="2" fillId="0" borderId="21" xfId="0" applyFont="1" applyBorder="1"/>
    <xf numFmtId="0" fontId="2" fillId="0" borderId="22" xfId="0" applyFont="1" applyBorder="1"/>
    <xf numFmtId="164" fontId="0" fillId="0" borderId="28" xfId="0" applyNumberFormat="1" applyBorder="1"/>
    <xf numFmtId="164" fontId="0" fillId="0" borderId="30" xfId="0" applyNumberFormat="1" applyBorder="1"/>
    <xf numFmtId="164" fontId="0" fillId="0" borderId="31" xfId="0" applyNumberFormat="1" applyBorder="1"/>
    <xf numFmtId="164" fontId="2" fillId="0" borderId="30" xfId="0" applyNumberFormat="1" applyFont="1" applyBorder="1"/>
    <xf numFmtId="164" fontId="2" fillId="0" borderId="31" xfId="0" applyNumberFormat="1" applyFont="1" applyBorder="1"/>
    <xf numFmtId="43" fontId="0" fillId="0" borderId="0" xfId="1" applyFont="1" applyBorder="1"/>
    <xf numFmtId="43" fontId="0" fillId="0" borderId="28" xfId="1" applyFont="1" applyBorder="1"/>
    <xf numFmtId="43" fontId="0" fillId="0" borderId="30" xfId="1" applyFont="1" applyBorder="1"/>
    <xf numFmtId="43" fontId="0" fillId="0" borderId="31" xfId="1" applyFont="1" applyBorder="1"/>
    <xf numFmtId="0" fontId="2" fillId="0" borderId="0" xfId="0" applyFont="1" applyBorder="1"/>
    <xf numFmtId="0" fontId="2" fillId="0" borderId="28" xfId="0" applyFont="1" applyBorder="1"/>
    <xf numFmtId="0" fontId="0" fillId="0" borderId="28" xfId="0" applyBorder="1"/>
    <xf numFmtId="9" fontId="0" fillId="0" borderId="30" xfId="2" applyFont="1" applyBorder="1"/>
    <xf numFmtId="9" fontId="0" fillId="0" borderId="31" xfId="2" applyFont="1" applyBorder="1"/>
    <xf numFmtId="168" fontId="0" fillId="0" borderId="0" xfId="1" applyNumberFormat="1" applyFont="1"/>
    <xf numFmtId="0" fontId="3" fillId="0" borderId="0" xfId="0" applyFont="1"/>
    <xf numFmtId="0" fontId="2" fillId="4" borderId="20" xfId="0" applyFont="1" applyFill="1" applyBorder="1"/>
    <xf numFmtId="0" fontId="2" fillId="4" borderId="21" xfId="0" applyFont="1" applyFill="1" applyBorder="1"/>
    <xf numFmtId="0" fontId="2" fillId="4" borderId="22" xfId="0" applyFont="1" applyFill="1" applyBorder="1"/>
    <xf numFmtId="168" fontId="0" fillId="0" borderId="27" xfId="1" applyNumberFormat="1" applyFont="1" applyBorder="1"/>
    <xf numFmtId="168" fontId="0" fillId="0" borderId="0" xfId="1" applyNumberFormat="1" applyFont="1" applyBorder="1"/>
    <xf numFmtId="168" fontId="0" fillId="0" borderId="28" xfId="1" applyNumberFormat="1" applyFont="1" applyBorder="1"/>
    <xf numFmtId="168" fontId="0" fillId="0" borderId="29" xfId="1" applyNumberFormat="1" applyFont="1" applyBorder="1"/>
    <xf numFmtId="168" fontId="0" fillId="0" borderId="30" xfId="1" applyNumberFormat="1" applyFont="1" applyBorder="1"/>
    <xf numFmtId="168" fontId="0" fillId="0" borderId="31" xfId="1" applyNumberFormat="1" applyFont="1" applyBorder="1"/>
    <xf numFmtId="9" fontId="0" fillId="0" borderId="0" xfId="2" applyFont="1" applyBorder="1"/>
    <xf numFmtId="9" fontId="0" fillId="0" borderId="28" xfId="2" applyFont="1" applyBorder="1"/>
    <xf numFmtId="0" fontId="2" fillId="4" borderId="27" xfId="0" applyFont="1" applyFill="1" applyBorder="1"/>
    <xf numFmtId="0" fontId="2" fillId="4" borderId="28" xfId="0" applyFont="1" applyFill="1" applyBorder="1"/>
    <xf numFmtId="43" fontId="5" fillId="0" borderId="0" xfId="1" applyFont="1" applyBorder="1"/>
    <xf numFmtId="43" fontId="5" fillId="0" borderId="28" xfId="1" applyFont="1" applyBorder="1"/>
    <xf numFmtId="9" fontId="0" fillId="0" borderId="0" xfId="0" applyNumberFormat="1" applyBorder="1"/>
    <xf numFmtId="9" fontId="0" fillId="0" borderId="28" xfId="0" applyNumberFormat="1" applyBorder="1"/>
    <xf numFmtId="44" fontId="0" fillId="0" borderId="0" xfId="0" applyNumberFormat="1"/>
    <xf numFmtId="44" fontId="0" fillId="0" borderId="1" xfId="0" applyNumberFormat="1" applyFill="1" applyBorder="1"/>
    <xf numFmtId="44" fontId="5" fillId="0" borderId="1" xfId="0" applyNumberFormat="1" applyFont="1" applyFill="1" applyBorder="1"/>
    <xf numFmtId="164" fontId="2" fillId="2" borderId="1" xfId="3" applyNumberFormat="1" applyFont="1" applyFill="1" applyBorder="1"/>
    <xf numFmtId="9" fontId="10" fillId="7" borderId="1" xfId="0" applyNumberFormat="1" applyFont="1" applyFill="1" applyBorder="1"/>
    <xf numFmtId="9" fontId="4" fillId="7" borderId="1" xfId="0" applyNumberFormat="1" applyFont="1" applyFill="1" applyBorder="1"/>
    <xf numFmtId="164" fontId="2" fillId="0" borderId="10" xfId="0" applyNumberFormat="1" applyFont="1" applyBorder="1"/>
    <xf numFmtId="43" fontId="0" fillId="2" borderId="13" xfId="1" applyFont="1" applyFill="1" applyBorder="1"/>
    <xf numFmtId="0" fontId="0" fillId="2" borderId="1" xfId="0" applyFill="1" applyBorder="1"/>
    <xf numFmtId="0" fontId="0" fillId="2" borderId="11" xfId="0" applyFill="1" applyBorder="1"/>
    <xf numFmtId="9" fontId="0" fillId="0" borderId="1" xfId="2" applyFont="1" applyFill="1" applyBorder="1"/>
    <xf numFmtId="164" fontId="3" fillId="0" borderId="10" xfId="0" applyNumberFormat="1" applyFont="1" applyBorder="1"/>
    <xf numFmtId="43" fontId="4" fillId="0" borderId="12" xfId="1" applyFont="1" applyBorder="1"/>
    <xf numFmtId="0" fontId="2" fillId="4" borderId="26" xfId="0" applyFont="1" applyFill="1" applyBorder="1"/>
    <xf numFmtId="0" fontId="2" fillId="4" borderId="32" xfId="0" applyFont="1" applyFill="1" applyBorder="1"/>
    <xf numFmtId="164" fontId="0" fillId="0" borderId="26" xfId="0" applyNumberFormat="1" applyFill="1" applyBorder="1"/>
    <xf numFmtId="164" fontId="0" fillId="0" borderId="26" xfId="1" applyNumberFormat="1" applyFont="1" applyFill="1" applyBorder="1"/>
    <xf numFmtId="164" fontId="7" fillId="0" borderId="26" xfId="0" applyNumberFormat="1" applyFont="1" applyFill="1" applyBorder="1"/>
    <xf numFmtId="164" fontId="7" fillId="0" borderId="32" xfId="0" applyNumberFormat="1" applyFont="1" applyFill="1" applyBorder="1"/>
    <xf numFmtId="164" fontId="0" fillId="2" borderId="26" xfId="0" applyNumberFormat="1" applyFill="1" applyBorder="1"/>
    <xf numFmtId="164" fontId="0" fillId="2" borderId="32" xfId="0" applyNumberFormat="1" applyFill="1" applyBorder="1"/>
    <xf numFmtId="0" fontId="2" fillId="4" borderId="33" xfId="0" applyFont="1" applyFill="1" applyBorder="1"/>
    <xf numFmtId="164" fontId="0" fillId="2" borderId="33" xfId="0" applyNumberFormat="1" applyFill="1" applyBorder="1"/>
    <xf numFmtId="164" fontId="7" fillId="0" borderId="33" xfId="0" applyNumberFormat="1" applyFont="1" applyFill="1" applyBorder="1"/>
    <xf numFmtId="164" fontId="8" fillId="0" borderId="0" xfId="0" applyNumberFormat="1" applyFont="1" applyFill="1" applyBorder="1"/>
    <xf numFmtId="164" fontId="5" fillId="2" borderId="2" xfId="0" applyNumberFormat="1" applyFont="1" applyFill="1" applyBorder="1"/>
    <xf numFmtId="164" fontId="5" fillId="0" borderId="4" xfId="0" applyNumberFormat="1" applyFont="1" applyBorder="1"/>
    <xf numFmtId="0" fontId="5" fillId="0" borderId="4" xfId="0" applyFont="1" applyBorder="1"/>
    <xf numFmtId="166" fontId="0" fillId="2" borderId="3" xfId="2" applyNumberFormat="1" applyFont="1" applyFill="1" applyBorder="1"/>
    <xf numFmtId="10" fontId="0" fillId="2" borderId="3" xfId="2" applyNumberFormat="1" applyFont="1" applyFill="1" applyBorder="1"/>
    <xf numFmtId="0" fontId="2" fillId="0" borderId="0" xfId="0" applyFont="1" applyFill="1"/>
    <xf numFmtId="43" fontId="4" fillId="2" borderId="1" xfId="1" applyFont="1" applyFill="1" applyBorder="1"/>
    <xf numFmtId="43" fontId="4" fillId="0" borderId="10" xfId="1" applyFont="1" applyBorder="1"/>
    <xf numFmtId="43" fontId="4" fillId="2" borderId="11" xfId="1" applyFont="1" applyFill="1" applyBorder="1"/>
    <xf numFmtId="43" fontId="3" fillId="3" borderId="13" xfId="1" applyFont="1" applyFill="1" applyBorder="1"/>
    <xf numFmtId="43" fontId="3" fillId="3" borderId="16" xfId="1" applyFont="1" applyFill="1" applyBorder="1"/>
    <xf numFmtId="43" fontId="0" fillId="6" borderId="13" xfId="1" applyFont="1" applyFill="1" applyBorder="1"/>
    <xf numFmtId="0" fontId="2" fillId="4" borderId="34" xfId="0" applyFont="1" applyFill="1" applyBorder="1"/>
    <xf numFmtId="164" fontId="0" fillId="2" borderId="35" xfId="0" applyNumberFormat="1" applyFill="1" applyBorder="1"/>
    <xf numFmtId="0" fontId="0" fillId="0" borderId="36" xfId="0" applyBorder="1"/>
    <xf numFmtId="165" fontId="0" fillId="0" borderId="37" xfId="0" applyNumberFormat="1" applyBorder="1"/>
    <xf numFmtId="164" fontId="0" fillId="6" borderId="2" xfId="0" applyNumberFormat="1" applyFill="1" applyBorder="1"/>
    <xf numFmtId="164" fontId="0" fillId="2" borderId="39" xfId="0" applyNumberFormat="1" applyFill="1" applyBorder="1"/>
    <xf numFmtId="164" fontId="0" fillId="0" borderId="0" xfId="0" applyNumberFormat="1" applyFill="1" applyBorder="1"/>
    <xf numFmtId="5" fontId="0" fillId="0" borderId="1" xfId="0" applyNumberFormat="1" applyBorder="1"/>
    <xf numFmtId="5" fontId="0" fillId="0" borderId="3" xfId="0" applyNumberFormat="1" applyBorder="1"/>
    <xf numFmtId="5" fontId="0" fillId="0" borderId="2" xfId="0" applyNumberFormat="1" applyBorder="1"/>
    <xf numFmtId="5" fontId="0" fillId="5" borderId="1" xfId="0" applyNumberFormat="1" applyFill="1" applyBorder="1"/>
    <xf numFmtId="5" fontId="0" fillId="5" borderId="3" xfId="0" applyNumberFormat="1" applyFill="1" applyBorder="1"/>
    <xf numFmtId="5" fontId="0" fillId="2" borderId="2" xfId="0" applyNumberFormat="1" applyFill="1" applyBorder="1"/>
    <xf numFmtId="5" fontId="2" fillId="2" borderId="1" xfId="0" applyNumberFormat="1" applyFont="1" applyFill="1" applyBorder="1"/>
    <xf numFmtId="5" fontId="2" fillId="0" borderId="1" xfId="0" applyNumberFormat="1" applyFont="1" applyBorder="1"/>
    <xf numFmtId="5" fontId="2" fillId="0" borderId="3" xfId="0" applyNumberFormat="1" applyFont="1" applyBorder="1"/>
    <xf numFmtId="5" fontId="2" fillId="0" borderId="2" xfId="0" applyNumberFormat="1" applyFont="1" applyBorder="1"/>
    <xf numFmtId="5" fontId="2" fillId="2" borderId="2" xfId="0" applyNumberFormat="1" applyFont="1" applyFill="1" applyBorder="1"/>
    <xf numFmtId="5" fontId="2" fillId="2" borderId="3" xfId="0" applyNumberFormat="1" applyFont="1" applyFill="1" applyBorder="1"/>
    <xf numFmtId="164" fontId="5" fillId="0" borderId="10" xfId="0" applyNumberFormat="1" applyFont="1" applyBorder="1"/>
    <xf numFmtId="164" fontId="5" fillId="0" borderId="12" xfId="0" applyNumberFormat="1" applyFont="1" applyBorder="1"/>
    <xf numFmtId="164" fontId="5" fillId="5" borderId="13" xfId="0" applyNumberFormat="1" applyFont="1" applyFill="1" applyBorder="1"/>
    <xf numFmtId="0" fontId="2" fillId="4" borderId="7" xfId="0" applyFont="1" applyFill="1" applyBorder="1"/>
    <xf numFmtId="166" fontId="4" fillId="2" borderId="39" xfId="2" applyNumberFormat="1" applyFont="1" applyFill="1" applyBorder="1"/>
    <xf numFmtId="9" fontId="0" fillId="2" borderId="11" xfId="2" applyFont="1" applyFill="1" applyBorder="1"/>
    <xf numFmtId="167" fontId="4" fillId="2" borderId="39" xfId="2" applyNumberFormat="1" applyFont="1" applyFill="1" applyBorder="1"/>
    <xf numFmtId="9" fontId="4" fillId="2" borderId="39" xfId="2" applyFont="1" applyFill="1" applyBorder="1"/>
    <xf numFmtId="0" fontId="5" fillId="0" borderId="12" xfId="0" applyFont="1" applyBorder="1"/>
    <xf numFmtId="166" fontId="1" fillId="2" borderId="13" xfId="2" applyNumberFormat="1" applyFont="1" applyFill="1" applyBorder="1"/>
    <xf numFmtId="166" fontId="1" fillId="2" borderId="14" xfId="2" applyNumberFormat="1" applyFont="1" applyFill="1" applyBorder="1"/>
    <xf numFmtId="9" fontId="4" fillId="2" borderId="15" xfId="2" applyFont="1" applyFill="1" applyBorder="1"/>
    <xf numFmtId="9" fontId="4" fillId="2" borderId="41" xfId="2" applyFont="1" applyFill="1" applyBorder="1"/>
    <xf numFmtId="0" fontId="2" fillId="4" borderId="42" xfId="0" applyFont="1" applyFill="1" applyBorder="1"/>
    <xf numFmtId="164" fontId="4" fillId="2" borderId="11" xfId="0" applyNumberFormat="1" applyFont="1" applyFill="1" applyBorder="1"/>
    <xf numFmtId="0" fontId="3" fillId="4" borderId="42" xfId="0" applyFont="1" applyFill="1" applyBorder="1"/>
    <xf numFmtId="166" fontId="2" fillId="0" borderId="10" xfId="2" applyNumberFormat="1" applyFont="1" applyBorder="1"/>
    <xf numFmtId="5" fontId="0" fillId="2" borderId="11" xfId="0" applyNumberFormat="1" applyFont="1" applyFill="1" applyBorder="1"/>
    <xf numFmtId="5" fontId="2" fillId="0" borderId="11" xfId="0" applyNumberFormat="1" applyFont="1" applyBorder="1"/>
    <xf numFmtId="5" fontId="0" fillId="2" borderId="39" xfId="0" applyNumberFormat="1" applyFill="1" applyBorder="1"/>
    <xf numFmtId="5" fontId="0" fillId="0" borderId="11" xfId="0" applyNumberFormat="1" applyBorder="1"/>
    <xf numFmtId="167" fontId="5" fillId="0" borderId="10" xfId="2" applyNumberFormat="1" applyFont="1" applyBorder="1"/>
    <xf numFmtId="167" fontId="5" fillId="0" borderId="12" xfId="2" applyNumberFormat="1" applyFont="1" applyBorder="1"/>
    <xf numFmtId="5" fontId="0" fillId="5" borderId="13" xfId="0" applyNumberFormat="1" applyFill="1" applyBorder="1"/>
    <xf numFmtId="5" fontId="0" fillId="5" borderId="14" xfId="0" applyNumberFormat="1" applyFill="1" applyBorder="1"/>
    <xf numFmtId="5" fontId="0" fillId="2" borderId="15" xfId="0" applyNumberFormat="1" applyFill="1" applyBorder="1"/>
    <xf numFmtId="5" fontId="0" fillId="2" borderId="41" xfId="0" applyNumberFormat="1" applyFill="1" applyBorder="1"/>
    <xf numFmtId="0" fontId="4" fillId="0" borderId="11" xfId="0" applyFont="1" applyBorder="1"/>
    <xf numFmtId="166" fontId="4" fillId="2" borderId="11" xfId="0" applyNumberFormat="1" applyFont="1" applyFill="1" applyBorder="1"/>
    <xf numFmtId="0" fontId="4" fillId="0" borderId="11" xfId="0" applyFont="1" applyFill="1" applyBorder="1"/>
    <xf numFmtId="167" fontId="4" fillId="6" borderId="11" xfId="2" applyNumberFormat="1" applyFont="1" applyFill="1" applyBorder="1"/>
    <xf numFmtId="167" fontId="0" fillId="2" borderId="13" xfId="2" applyNumberFormat="1" applyFont="1" applyFill="1" applyBorder="1"/>
    <xf numFmtId="167" fontId="0" fillId="2" borderId="14" xfId="2" applyNumberFormat="1" applyFont="1" applyFill="1" applyBorder="1"/>
    <xf numFmtId="167" fontId="4" fillId="6" borderId="15" xfId="2" applyNumberFormat="1" applyFont="1" applyFill="1" applyBorder="1"/>
    <xf numFmtId="167" fontId="4" fillId="6" borderId="13" xfId="2" applyNumberFormat="1" applyFont="1" applyFill="1" applyBorder="1"/>
    <xf numFmtId="167" fontId="4" fillId="6" borderId="16" xfId="2" applyNumberFormat="1" applyFont="1" applyFill="1" applyBorder="1"/>
    <xf numFmtId="164" fontId="5" fillId="2" borderId="11" xfId="0" applyNumberFormat="1" applyFont="1" applyFill="1" applyBorder="1"/>
    <xf numFmtId="164" fontId="8" fillId="0" borderId="12" xfId="0" applyNumberFormat="1" applyFont="1" applyBorder="1"/>
    <xf numFmtId="164" fontId="8" fillId="2" borderId="15" xfId="0" applyNumberFormat="1" applyFont="1" applyFill="1" applyBorder="1"/>
    <xf numFmtId="164" fontId="8" fillId="2" borderId="43" xfId="0" applyNumberFormat="1" applyFont="1" applyFill="1" applyBorder="1"/>
    <xf numFmtId="164" fontId="8" fillId="2" borderId="13" xfId="0" applyNumberFormat="1" applyFont="1" applyFill="1" applyBorder="1"/>
    <xf numFmtId="164" fontId="8" fillId="2" borderId="16" xfId="0" applyNumberFormat="1" applyFont="1" applyFill="1" applyBorder="1"/>
    <xf numFmtId="9" fontId="0" fillId="2" borderId="11" xfId="0" applyNumberFormat="1" applyFill="1" applyBorder="1"/>
    <xf numFmtId="49" fontId="0" fillId="0" borderId="10" xfId="0" applyNumberFormat="1" applyBorder="1"/>
    <xf numFmtId="9" fontId="4" fillId="6" borderId="11" xfId="0" applyNumberFormat="1" applyFont="1" applyFill="1" applyBorder="1"/>
    <xf numFmtId="9" fontId="4" fillId="2" borderId="39" xfId="0" applyNumberFormat="1" applyFont="1" applyFill="1" applyBorder="1"/>
    <xf numFmtId="9" fontId="0" fillId="6" borderId="11" xfId="0" applyNumberFormat="1" applyFill="1" applyBorder="1"/>
    <xf numFmtId="0" fontId="2" fillId="0" borderId="12" xfId="0" applyFont="1" applyBorder="1"/>
    <xf numFmtId="9" fontId="0" fillId="2" borderId="13" xfId="2" applyFont="1" applyFill="1" applyBorder="1"/>
    <xf numFmtId="9" fontId="0" fillId="2" borderId="14" xfId="2" applyFont="1" applyFill="1" applyBorder="1"/>
    <xf numFmtId="9" fontId="0" fillId="2" borderId="15" xfId="2" applyFont="1" applyFill="1" applyBorder="1"/>
    <xf numFmtId="9" fontId="0" fillId="2" borderId="41" xfId="2" applyFont="1" applyFill="1" applyBorder="1"/>
    <xf numFmtId="164" fontId="0" fillId="0" borderId="22" xfId="0" applyNumberFormat="1" applyBorder="1"/>
    <xf numFmtId="164" fontId="0" fillId="6" borderId="39" xfId="0" applyNumberFormat="1" applyFill="1" applyBorder="1"/>
    <xf numFmtId="164" fontId="2" fillId="0" borderId="10" xfId="0" applyNumberFormat="1" applyFont="1" applyFill="1" applyBorder="1"/>
    <xf numFmtId="164" fontId="0" fillId="0" borderId="10" xfId="0" applyNumberFormat="1" applyFill="1" applyBorder="1"/>
    <xf numFmtId="164" fontId="2" fillId="0" borderId="12" xfId="0" applyNumberFormat="1" applyFont="1" applyFill="1" applyBorder="1"/>
    <xf numFmtId="164" fontId="2" fillId="5" borderId="13" xfId="0" applyNumberFormat="1" applyFont="1" applyFill="1" applyBorder="1"/>
    <xf numFmtId="164" fontId="2" fillId="5" borderId="14" xfId="0" applyNumberFormat="1" applyFont="1" applyFill="1" applyBorder="1"/>
    <xf numFmtId="164" fontId="2" fillId="2" borderId="15" xfId="0" applyNumberFormat="1" applyFont="1" applyFill="1" applyBorder="1"/>
    <xf numFmtId="164" fontId="2" fillId="2" borderId="13" xfId="0" applyNumberFormat="1" applyFont="1" applyFill="1" applyBorder="1"/>
    <xf numFmtId="164" fontId="2" fillId="2" borderId="16" xfId="0" applyNumberFormat="1" applyFont="1" applyFill="1" applyBorder="1"/>
    <xf numFmtId="9" fontId="0" fillId="2" borderId="15" xfId="0" applyNumberFormat="1" applyFill="1" applyBorder="1"/>
    <xf numFmtId="9" fontId="0" fillId="2" borderId="13" xfId="0" applyNumberFormat="1" applyFill="1" applyBorder="1"/>
    <xf numFmtId="9" fontId="0" fillId="2" borderId="16" xfId="0" applyNumberFormat="1" applyFill="1" applyBorder="1"/>
    <xf numFmtId="164" fontId="4" fillId="6" borderId="11" xfId="0" applyNumberFormat="1" applyFont="1" applyFill="1" applyBorder="1"/>
    <xf numFmtId="164" fontId="2" fillId="2" borderId="39" xfId="0" applyNumberFormat="1" applyFont="1" applyFill="1" applyBorder="1"/>
    <xf numFmtId="164" fontId="0" fillId="0" borderId="11" xfId="0" applyNumberFormat="1" applyFill="1" applyBorder="1"/>
    <xf numFmtId="0" fontId="0" fillId="0" borderId="10" xfId="0" applyFill="1" applyBorder="1"/>
    <xf numFmtId="0" fontId="0" fillId="0" borderId="12" xfId="0" applyFont="1" applyBorder="1"/>
    <xf numFmtId="0" fontId="0" fillId="0" borderId="13" xfId="0" applyFont="1" applyBorder="1"/>
    <xf numFmtId="2" fontId="0" fillId="2" borderId="13" xfId="0" applyNumberFormat="1" applyFont="1" applyFill="1" applyBorder="1"/>
    <xf numFmtId="2" fontId="0" fillId="2" borderId="16" xfId="0" applyNumberFormat="1" applyFont="1" applyFill="1" applyBorder="1"/>
    <xf numFmtId="9" fontId="4" fillId="2" borderId="11" xfId="0" applyNumberFormat="1" applyFont="1" applyFill="1" applyBorder="1"/>
    <xf numFmtId="43" fontId="5" fillId="0" borderId="10" xfId="1" applyFont="1" applyFill="1" applyBorder="1"/>
    <xf numFmtId="43" fontId="0" fillId="0" borderId="10" xfId="1" applyFont="1" applyFill="1" applyBorder="1"/>
    <xf numFmtId="43" fontId="1" fillId="0" borderId="12" xfId="1" applyFont="1" applyFill="1" applyBorder="1"/>
    <xf numFmtId="43" fontId="1" fillId="2" borderId="13" xfId="1" applyFont="1" applyFill="1" applyBorder="1"/>
    <xf numFmtId="43" fontId="1" fillId="2" borderId="14" xfId="1" applyFont="1" applyFill="1" applyBorder="1"/>
    <xf numFmtId="43" fontId="1" fillId="2" borderId="15" xfId="1" applyFont="1" applyFill="1" applyBorder="1"/>
    <xf numFmtId="43" fontId="1" fillId="2" borderId="16" xfId="1" applyFont="1" applyFill="1" applyBorder="1"/>
    <xf numFmtId="43" fontId="5" fillId="0" borderId="10" xfId="1" applyFont="1" applyBorder="1"/>
    <xf numFmtId="43" fontId="5" fillId="2" borderId="11" xfId="1" applyFont="1" applyFill="1" applyBorder="1"/>
    <xf numFmtId="43" fontId="2" fillId="0" borderId="12" xfId="1" applyFont="1" applyBorder="1"/>
    <xf numFmtId="43" fontId="2" fillId="2" borderId="13" xfId="1" applyFont="1" applyFill="1" applyBorder="1"/>
    <xf numFmtId="43" fontId="2" fillId="2" borderId="16" xfId="1" applyFont="1" applyFill="1" applyBorder="1"/>
    <xf numFmtId="9" fontId="10" fillId="7" borderId="11" xfId="0" applyNumberFormat="1" applyFont="1" applyFill="1" applyBorder="1"/>
    <xf numFmtId="9" fontId="4" fillId="7" borderId="11" xfId="0" applyNumberFormat="1" applyFont="1" applyFill="1" applyBorder="1"/>
    <xf numFmtId="43" fontId="4" fillId="2" borderId="2" xfId="1" applyFont="1" applyFill="1" applyBorder="1"/>
    <xf numFmtId="43" fontId="0" fillId="6" borderId="15" xfId="1" applyFont="1" applyFill="1" applyBorder="1"/>
    <xf numFmtId="43" fontId="3" fillId="3" borderId="15" xfId="1" applyFont="1" applyFill="1" applyBorder="1"/>
    <xf numFmtId="43" fontId="4" fillId="2" borderId="3" xfId="1" applyFont="1" applyFill="1" applyBorder="1"/>
    <xf numFmtId="43" fontId="0" fillId="2" borderId="14" xfId="1" applyFont="1" applyFill="1" applyBorder="1"/>
    <xf numFmtId="43" fontId="5" fillId="2" borderId="2" xfId="1" applyFont="1" applyFill="1" applyBorder="1"/>
    <xf numFmtId="0" fontId="5" fillId="0" borderId="2" xfId="0" applyFont="1" applyBorder="1"/>
    <xf numFmtId="164" fontId="2" fillId="2" borderId="2" xfId="1" applyNumberFormat="1" applyFont="1" applyFill="1" applyBorder="1"/>
    <xf numFmtId="43" fontId="2" fillId="2" borderId="15" xfId="1" applyFont="1" applyFill="1" applyBorder="1"/>
    <xf numFmtId="9" fontId="10" fillId="7" borderId="2" xfId="0" applyNumberFormat="1" applyFont="1" applyFill="1" applyBorder="1"/>
    <xf numFmtId="9" fontId="4" fillId="7" borderId="2" xfId="0" applyNumberFormat="1" applyFont="1" applyFill="1" applyBorder="1"/>
    <xf numFmtId="44" fontId="0" fillId="0" borderId="3" xfId="0" applyNumberFormat="1" applyFill="1" applyBorder="1"/>
    <xf numFmtId="44" fontId="5" fillId="0" borderId="3" xfId="0" applyNumberFormat="1" applyFont="1" applyFill="1" applyBorder="1"/>
    <xf numFmtId="43" fontId="2" fillId="2" borderId="14" xfId="1" applyFont="1" applyFill="1" applyBorder="1"/>
    <xf numFmtId="44" fontId="0" fillId="0" borderId="4" xfId="0" applyNumberFormat="1" applyBorder="1"/>
    <xf numFmtId="9" fontId="0" fillId="0" borderId="3" xfId="2" applyFont="1" applyFill="1" applyBorder="1"/>
    <xf numFmtId="2" fontId="0" fillId="2" borderId="15" xfId="0" applyNumberFormat="1" applyFont="1" applyFill="1" applyBorder="1"/>
    <xf numFmtId="2" fontId="0" fillId="2" borderId="14" xfId="0" applyNumberFormat="1" applyFont="1" applyFill="1" applyBorder="1"/>
    <xf numFmtId="164" fontId="0" fillId="0" borderId="4" xfId="0" applyNumberFormat="1" applyFill="1" applyBorder="1"/>
    <xf numFmtId="164" fontId="5" fillId="5" borderId="14" xfId="0" applyNumberFormat="1" applyFont="1" applyFill="1" applyBorder="1"/>
    <xf numFmtId="164" fontId="0" fillId="6" borderId="24" xfId="0" applyNumberFormat="1" applyFill="1" applyBorder="1"/>
    <xf numFmtId="164" fontId="0" fillId="2" borderId="18" xfId="0" applyNumberFormat="1" applyFill="1" applyBorder="1"/>
    <xf numFmtId="164" fontId="2" fillId="2" borderId="35" xfId="0" applyNumberFormat="1" applyFont="1" applyFill="1" applyBorder="1"/>
    <xf numFmtId="164" fontId="2" fillId="2" borderId="40" xfId="0" applyNumberFormat="1" applyFont="1" applyFill="1" applyBorder="1"/>
    <xf numFmtId="9" fontId="0" fillId="2" borderId="35" xfId="2" applyFont="1" applyFill="1" applyBorder="1"/>
    <xf numFmtId="9" fontId="0" fillId="2" borderId="44" xfId="2" applyFont="1" applyFill="1" applyBorder="1"/>
    <xf numFmtId="9" fontId="4" fillId="6" borderId="10" xfId="0" applyNumberFormat="1" applyFont="1" applyFill="1" applyBorder="1"/>
    <xf numFmtId="9" fontId="0" fillId="2" borderId="10" xfId="2" applyFont="1" applyFill="1" applyBorder="1"/>
    <xf numFmtId="9" fontId="0" fillId="2" borderId="10" xfId="0" applyNumberFormat="1" applyFill="1" applyBorder="1"/>
    <xf numFmtId="9" fontId="0" fillId="2" borderId="12" xfId="0" applyNumberFormat="1" applyFill="1" applyBorder="1"/>
    <xf numFmtId="0" fontId="2" fillId="0" borderId="23" xfId="0" applyFont="1" applyBorder="1"/>
    <xf numFmtId="164" fontId="0" fillId="8" borderId="27" xfId="0" applyNumberFormat="1" applyFill="1" applyBorder="1"/>
    <xf numFmtId="164" fontId="0" fillId="8" borderId="29" xfId="0" applyNumberFormat="1" applyFill="1" applyBorder="1"/>
    <xf numFmtId="164" fontId="2" fillId="8" borderId="29" xfId="0" applyNumberFormat="1" applyFont="1" applyFill="1" applyBorder="1"/>
    <xf numFmtId="43" fontId="0" fillId="8" borderId="27" xfId="1" applyFont="1" applyFill="1" applyBorder="1"/>
    <xf numFmtId="43" fontId="0" fillId="8" borderId="29" xfId="1" applyFont="1" applyFill="1" applyBorder="1"/>
    <xf numFmtId="0" fontId="0" fillId="8" borderId="27" xfId="0" applyFill="1" applyBorder="1"/>
    <xf numFmtId="9" fontId="0" fillId="8" borderId="29" xfId="2" applyFont="1" applyFill="1" applyBorder="1"/>
    <xf numFmtId="0" fontId="2" fillId="9" borderId="20" xfId="0" applyFont="1" applyFill="1" applyBorder="1"/>
    <xf numFmtId="0" fontId="2" fillId="9" borderId="27" xfId="0" applyFont="1" applyFill="1" applyBorder="1"/>
    <xf numFmtId="164" fontId="0" fillId="8" borderId="27" xfId="2" applyNumberFormat="1" applyFont="1" applyFill="1" applyBorder="1"/>
    <xf numFmtId="9" fontId="0" fillId="8" borderId="27" xfId="2" applyFont="1" applyFill="1" applyBorder="1"/>
    <xf numFmtId="43" fontId="5" fillId="8" borderId="27" xfId="1" applyFont="1" applyFill="1" applyBorder="1"/>
    <xf numFmtId="0" fontId="0" fillId="0" borderId="0" xfId="0" applyFill="1"/>
    <xf numFmtId="0" fontId="0" fillId="0" borderId="47" xfId="0" applyBorder="1"/>
    <xf numFmtId="0" fontId="0" fillId="2" borderId="45" xfId="0" applyFill="1" applyBorder="1"/>
    <xf numFmtId="2" fontId="0" fillId="2" borderId="45" xfId="0" applyNumberFormat="1" applyFill="1" applyBorder="1"/>
    <xf numFmtId="2" fontId="0" fillId="7" borderId="24" xfId="0" applyNumberFormat="1" applyFill="1" applyBorder="1"/>
    <xf numFmtId="0" fontId="0" fillId="0" borderId="5" xfId="0" applyBorder="1"/>
    <xf numFmtId="164" fontId="0" fillId="2" borderId="6" xfId="0" applyNumberFormat="1" applyFill="1" applyBorder="1"/>
    <xf numFmtId="164" fontId="0" fillId="2" borderId="9" xfId="0" applyNumberFormat="1" applyFill="1" applyBorder="1"/>
    <xf numFmtId="164" fontId="2" fillId="5" borderId="11" xfId="0" applyNumberFormat="1" applyFont="1" applyFill="1" applyBorder="1"/>
    <xf numFmtId="0" fontId="0" fillId="5" borderId="11" xfId="0" applyFill="1" applyBorder="1"/>
    <xf numFmtId="43" fontId="0" fillId="2" borderId="11" xfId="1" applyFont="1" applyFill="1" applyBorder="1"/>
    <xf numFmtId="2" fontId="0" fillId="2" borderId="46" xfId="0" applyNumberFormat="1" applyFill="1" applyBorder="1"/>
    <xf numFmtId="2" fontId="0" fillId="0" borderId="2" xfId="0" applyNumberFormat="1" applyBorder="1"/>
    <xf numFmtId="164" fontId="2" fillId="2" borderId="10" xfId="0" applyNumberFormat="1" applyFont="1" applyFill="1" applyBorder="1"/>
    <xf numFmtId="0" fontId="0" fillId="2" borderId="10" xfId="0" applyFill="1" applyBorder="1"/>
    <xf numFmtId="164" fontId="0" fillId="2" borderId="10" xfId="0" applyNumberFormat="1" applyFill="1" applyBorder="1"/>
    <xf numFmtId="2" fontId="0" fillId="7" borderId="47" xfId="0" applyNumberFormat="1" applyFill="1" applyBorder="1"/>
    <xf numFmtId="2" fontId="0" fillId="7" borderId="48" xfId="0" applyNumberFormat="1" applyFill="1" applyBorder="1"/>
    <xf numFmtId="164" fontId="0" fillId="2" borderId="5" xfId="0" applyNumberFormat="1" applyFill="1" applyBorder="1"/>
    <xf numFmtId="164" fontId="0" fillId="2" borderId="12" xfId="0" applyNumberFormat="1" applyFill="1" applyBorder="1"/>
    <xf numFmtId="0" fontId="2" fillId="0" borderId="4" xfId="0" applyFont="1" applyFill="1" applyBorder="1"/>
    <xf numFmtId="9" fontId="0" fillId="0" borderId="0" xfId="0" applyNumberFormat="1" applyFill="1"/>
    <xf numFmtId="9" fontId="0" fillId="6" borderId="1" xfId="2" applyFont="1" applyFill="1" applyBorder="1"/>
    <xf numFmtId="43" fontId="0" fillId="0" borderId="0" xfId="0" applyNumberFormat="1"/>
    <xf numFmtId="0" fontId="0" fillId="0" borderId="1" xfId="0" applyBorder="1"/>
    <xf numFmtId="0" fontId="0" fillId="0" borderId="13" xfId="0" applyBorder="1"/>
    <xf numFmtId="0" fontId="2" fillId="0" borderId="18" xfId="0" applyFont="1" applyFill="1" applyBorder="1"/>
    <xf numFmtId="0" fontId="2" fillId="0" borderId="19" xfId="0" applyFont="1" applyFill="1" applyBorder="1"/>
    <xf numFmtId="0" fontId="2" fillId="0" borderId="25" xfId="0" applyFont="1" applyFill="1" applyBorder="1"/>
    <xf numFmtId="0" fontId="0" fillId="0" borderId="51" xfId="0" applyFill="1" applyBorder="1"/>
    <xf numFmtId="0" fontId="0" fillId="0" borderId="49" xfId="0" applyFont="1" applyFill="1" applyBorder="1"/>
    <xf numFmtId="5" fontId="0" fillId="5" borderId="50" xfId="1" applyNumberFormat="1" applyFont="1" applyFill="1" applyBorder="1"/>
    <xf numFmtId="0" fontId="17" fillId="0" borderId="10" xfId="0" applyFont="1" applyBorder="1"/>
    <xf numFmtId="10" fontId="0" fillId="0" borderId="11" xfId="0" applyNumberFormat="1" applyBorder="1"/>
    <xf numFmtId="0" fontId="16" fillId="0" borderId="10" xfId="0" applyFont="1" applyBorder="1"/>
    <xf numFmtId="0" fontId="0" fillId="0" borderId="52" xfId="0" applyBorder="1"/>
    <xf numFmtId="0" fontId="15" fillId="0" borderId="54" xfId="0" applyFont="1" applyBorder="1"/>
    <xf numFmtId="0" fontId="15" fillId="0" borderId="0" xfId="0" applyFont="1" applyBorder="1"/>
    <xf numFmtId="10" fontId="15" fillId="0" borderId="0" xfId="0" applyNumberFormat="1" applyFont="1" applyBorder="1"/>
    <xf numFmtId="0" fontId="0" fillId="0" borderId="0" xfId="0" applyFill="1" applyBorder="1"/>
    <xf numFmtId="10" fontId="12" fillId="0" borderId="0" xfId="0" applyNumberFormat="1" applyFont="1" applyBorder="1"/>
    <xf numFmtId="10" fontId="11" fillId="10" borderId="9" xfId="0" applyNumberFormat="1" applyFont="1" applyFill="1" applyBorder="1"/>
    <xf numFmtId="9" fontId="11" fillId="10" borderId="16" xfId="0" applyNumberFormat="1" applyFont="1" applyFill="1" applyBorder="1"/>
    <xf numFmtId="10" fontId="11" fillId="10" borderId="11" xfId="2" applyNumberFormat="1" applyFont="1" applyFill="1" applyBorder="1"/>
    <xf numFmtId="10" fontId="0" fillId="10" borderId="11" xfId="2" applyNumberFormat="1" applyFont="1" applyFill="1" applyBorder="1"/>
    <xf numFmtId="10" fontId="15" fillId="10" borderId="55" xfId="0" applyNumberFormat="1" applyFont="1" applyFill="1" applyBorder="1"/>
    <xf numFmtId="0" fontId="15" fillId="0" borderId="54" xfId="0" applyFont="1" applyFill="1" applyBorder="1"/>
    <xf numFmtId="0" fontId="0" fillId="0" borderId="6" xfId="0" applyBorder="1"/>
    <xf numFmtId="0" fontId="0" fillId="0" borderId="9" xfId="0" applyBorder="1"/>
    <xf numFmtId="0" fontId="0" fillId="0" borderId="12" xfId="0" applyFill="1" applyBorder="1"/>
    <xf numFmtId="9" fontId="0" fillId="10" borderId="26" xfId="0" applyNumberFormat="1" applyFill="1" applyBorder="1"/>
    <xf numFmtId="0" fontId="20" fillId="0" borderId="0" xfId="9"/>
    <xf numFmtId="14" fontId="0" fillId="0" borderId="10" xfId="0" applyNumberFormat="1" applyBorder="1"/>
    <xf numFmtId="14" fontId="0" fillId="0" borderId="12" xfId="0" applyNumberFormat="1" applyBorder="1"/>
    <xf numFmtId="14" fontId="0" fillId="0" borderId="49" xfId="0" applyNumberFormat="1" applyBorder="1"/>
    <xf numFmtId="10" fontId="0" fillId="0" borderId="56" xfId="1" applyNumberFormat="1" applyFont="1" applyBorder="1"/>
    <xf numFmtId="10" fontId="0" fillId="0" borderId="11" xfId="1" applyNumberFormat="1" applyFont="1" applyFill="1" applyBorder="1"/>
    <xf numFmtId="9" fontId="0" fillId="0" borderId="11" xfId="1" applyNumberFormat="1" applyFont="1" applyFill="1" applyBorder="1"/>
    <xf numFmtId="10" fontId="0" fillId="0" borderId="16" xfId="1" applyNumberFormat="1" applyFont="1" applyFill="1" applyBorder="1"/>
    <xf numFmtId="166" fontId="0" fillId="0" borderId="26" xfId="2" applyNumberFormat="1" applyFont="1" applyBorder="1"/>
    <xf numFmtId="0" fontId="11" fillId="10" borderId="9" xfId="0" applyNumberFormat="1" applyFont="1" applyFill="1" applyBorder="1"/>
    <xf numFmtId="2" fontId="11" fillId="10" borderId="11" xfId="0" applyNumberFormat="1" applyFont="1" applyFill="1" applyBorder="1"/>
    <xf numFmtId="10" fontId="16" fillId="10" borderId="11" xfId="0" applyNumberFormat="1" applyFont="1" applyFill="1" applyBorder="1"/>
    <xf numFmtId="0" fontId="0" fillId="0" borderId="38" xfId="0" applyBorder="1"/>
    <xf numFmtId="0" fontId="0" fillId="0" borderId="58" xfId="0" applyBorder="1"/>
    <xf numFmtId="0" fontId="0" fillId="0" borderId="32" xfId="0" applyBorder="1"/>
    <xf numFmtId="10" fontId="0" fillId="0" borderId="0" xfId="0" applyNumberFormat="1"/>
    <xf numFmtId="10" fontId="0" fillId="0" borderId="26" xfId="0" applyNumberFormat="1" applyBorder="1"/>
    <xf numFmtId="0" fontId="0" fillId="0" borderId="26" xfId="0" applyBorder="1" applyAlignment="1"/>
    <xf numFmtId="10" fontId="0" fillId="0" borderId="37" xfId="0" applyNumberFormat="1" applyBorder="1"/>
    <xf numFmtId="0" fontId="0" fillId="0" borderId="58" xfId="0" applyBorder="1" applyAlignment="1"/>
    <xf numFmtId="14" fontId="0" fillId="0" borderId="0" xfId="0" applyNumberFormat="1" applyBorder="1"/>
    <xf numFmtId="10" fontId="0" fillId="0" borderId="0" xfId="1" applyNumberFormat="1" applyFont="1" applyFill="1" applyBorder="1"/>
    <xf numFmtId="14" fontId="0" fillId="0" borderId="5" xfId="0" applyNumberFormat="1" applyBorder="1"/>
    <xf numFmtId="10" fontId="0" fillId="0" borderId="9" xfId="1" applyNumberFormat="1" applyFont="1" applyFill="1" applyBorder="1"/>
    <xf numFmtId="10" fontId="0" fillId="0" borderId="0" xfId="0" applyNumberFormat="1" applyBorder="1"/>
    <xf numFmtId="10" fontId="4" fillId="4" borderId="11" xfId="0" applyNumberFormat="1" applyFont="1" applyFill="1" applyBorder="1"/>
    <xf numFmtId="10" fontId="0" fillId="4" borderId="11" xfId="0" applyNumberFormat="1" applyFill="1" applyBorder="1"/>
    <xf numFmtId="2" fontId="0" fillId="0" borderId="16" xfId="0" applyNumberForma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10" fontId="0" fillId="0" borderId="1" xfId="0" applyNumberFormat="1" applyFill="1" applyBorder="1"/>
    <xf numFmtId="10" fontId="0" fillId="0" borderId="6" xfId="0" applyNumberFormat="1" applyBorder="1"/>
    <xf numFmtId="10" fontId="0" fillId="0" borderId="9" xfId="0" applyNumberFormat="1" applyBorder="1"/>
    <xf numFmtId="10" fontId="0" fillId="0" borderId="16" xfId="0" applyNumberFormat="1" applyBorder="1"/>
    <xf numFmtId="0" fontId="0" fillId="0" borderId="45" xfId="0" applyBorder="1"/>
    <xf numFmtId="0" fontId="0" fillId="0" borderId="46" xfId="0" applyBorder="1"/>
    <xf numFmtId="0" fontId="2" fillId="7" borderId="5" xfId="0" applyFont="1" applyFill="1" applyBorder="1"/>
    <xf numFmtId="0" fontId="2" fillId="7" borderId="6" xfId="0" applyFont="1" applyFill="1" applyBorder="1"/>
    <xf numFmtId="0" fontId="2" fillId="7" borderId="9" xfId="0" applyFont="1" applyFill="1" applyBorder="1"/>
    <xf numFmtId="0" fontId="2" fillId="6" borderId="0" xfId="0" applyFont="1" applyFill="1"/>
    <xf numFmtId="0" fontId="0" fillId="0" borderId="27" xfId="0" applyBorder="1"/>
    <xf numFmtId="0" fontId="20" fillId="0" borderId="0" xfId="9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7" borderId="20" xfId="0" applyFill="1" applyBorder="1"/>
    <xf numFmtId="0" fontId="2" fillId="7" borderId="21" xfId="0" applyFont="1" applyFill="1" applyBorder="1"/>
    <xf numFmtId="0" fontId="0" fillId="7" borderId="22" xfId="0" applyFill="1" applyBorder="1"/>
    <xf numFmtId="0" fontId="4" fillId="0" borderId="0" xfId="9" applyFont="1" applyBorder="1"/>
    <xf numFmtId="0" fontId="4" fillId="0" borderId="30" xfId="0" applyFont="1" applyBorder="1"/>
    <xf numFmtId="43" fontId="1" fillId="8" borderId="27" xfId="1" applyFont="1" applyFill="1" applyBorder="1"/>
    <xf numFmtId="43" fontId="1" fillId="0" borderId="0" xfId="1" applyFont="1" applyBorder="1"/>
    <xf numFmtId="43" fontId="1" fillId="0" borderId="28" xfId="1" applyFont="1" applyBorder="1"/>
    <xf numFmtId="0" fontId="0" fillId="3" borderId="26" xfId="0" applyFill="1" applyBorder="1"/>
    <xf numFmtId="0" fontId="0" fillId="8" borderId="29" xfId="0" applyFill="1" applyBorder="1"/>
    <xf numFmtId="10" fontId="0" fillId="0" borderId="59" xfId="0" applyNumberFormat="1" applyBorder="1"/>
    <xf numFmtId="10" fontId="0" fillId="0" borderId="53" xfId="0" applyNumberFormat="1" applyBorder="1"/>
    <xf numFmtId="3" fontId="0" fillId="0" borderId="11" xfId="0" applyNumberFormat="1" applyBorder="1"/>
    <xf numFmtId="4" fontId="0" fillId="0" borderId="0" xfId="0" applyNumberFormat="1"/>
    <xf numFmtId="0" fontId="4" fillId="2" borderId="1" xfId="0" applyFont="1" applyFill="1" applyBorder="1"/>
    <xf numFmtId="0" fontId="4" fillId="2" borderId="13" xfId="0" applyFont="1" applyFill="1" applyBorder="1"/>
    <xf numFmtId="164" fontId="0" fillId="5" borderId="11" xfId="0" applyNumberFormat="1" applyFill="1" applyBorder="1"/>
    <xf numFmtId="43" fontId="0" fillId="8" borderId="38" xfId="1" applyFont="1" applyFill="1" applyBorder="1"/>
    <xf numFmtId="43" fontId="0" fillId="0" borderId="58" xfId="1" applyFont="1" applyBorder="1"/>
    <xf numFmtId="43" fontId="0" fillId="0" borderId="32" xfId="1" applyFont="1" applyBorder="1"/>
    <xf numFmtId="169" fontId="0" fillId="0" borderId="0" xfId="0" applyNumberFormat="1"/>
    <xf numFmtId="43" fontId="0" fillId="2" borderId="10" xfId="1" applyFont="1" applyFill="1" applyBorder="1"/>
    <xf numFmtId="0" fontId="0" fillId="0" borderId="54" xfId="0" applyFill="1" applyBorder="1"/>
    <xf numFmtId="164" fontId="0" fillId="0" borderId="58" xfId="0" applyNumberFormat="1" applyBorder="1"/>
    <xf numFmtId="169" fontId="0" fillId="0" borderId="58" xfId="0" applyNumberFormat="1" applyBorder="1"/>
    <xf numFmtId="44" fontId="0" fillId="7" borderId="58" xfId="0" applyNumberFormat="1" applyFill="1" applyBorder="1"/>
    <xf numFmtId="44" fontId="0" fillId="7" borderId="32" xfId="0" applyNumberFormat="1" applyFill="1" applyBorder="1"/>
    <xf numFmtId="0" fontId="2" fillId="0" borderId="5" xfId="0" applyFont="1" applyBorder="1"/>
    <xf numFmtId="0" fontId="2" fillId="0" borderId="6" xfId="0" applyFont="1" applyBorder="1"/>
    <xf numFmtId="0" fontId="2" fillId="0" borderId="9" xfId="0" applyFont="1" applyBorder="1"/>
    <xf numFmtId="3" fontId="0" fillId="0" borderId="1" xfId="0" applyNumberFormat="1" applyBorder="1"/>
    <xf numFmtId="3" fontId="0" fillId="0" borderId="0" xfId="0" applyNumberFormat="1"/>
    <xf numFmtId="3" fontId="0" fillId="0" borderId="16" xfId="0" applyNumberFormat="1" applyBorder="1"/>
    <xf numFmtId="3" fontId="0" fillId="0" borderId="13" xfId="0" applyNumberFormat="1" applyBorder="1"/>
    <xf numFmtId="4" fontId="0" fillId="0" borderId="1" xfId="0" applyNumberFormat="1" applyBorder="1"/>
    <xf numFmtId="4" fontId="0" fillId="0" borderId="11" xfId="0" applyNumberFormat="1" applyBorder="1"/>
    <xf numFmtId="0" fontId="0" fillId="0" borderId="38" xfId="0" applyFill="1" applyBorder="1"/>
    <xf numFmtId="0" fontId="2" fillId="0" borderId="29" xfId="0" applyFont="1" applyBorder="1"/>
    <xf numFmtId="0" fontId="2" fillId="2" borderId="59" xfId="0" applyFont="1" applyFill="1" applyBorder="1"/>
    <xf numFmtId="164" fontId="2" fillId="2" borderId="59" xfId="0" applyNumberFormat="1" applyFont="1" applyFill="1" applyBorder="1"/>
    <xf numFmtId="9" fontId="0" fillId="2" borderId="16" xfId="2" applyFont="1" applyFill="1" applyBorder="1"/>
    <xf numFmtId="164" fontId="2" fillId="2" borderId="53" xfId="0" applyNumberFormat="1" applyFont="1" applyFill="1" applyBorder="1"/>
    <xf numFmtId="9" fontId="0" fillId="2" borderId="12" xfId="2" applyFont="1" applyFill="1" applyBorder="1"/>
    <xf numFmtId="164" fontId="2" fillId="2" borderId="60" xfId="0" applyNumberFormat="1" applyFont="1" applyFill="1" applyBorder="1"/>
    <xf numFmtId="164" fontId="2" fillId="2" borderId="52" xfId="0" applyNumberFormat="1" applyFont="1" applyFill="1" applyBorder="1"/>
    <xf numFmtId="4" fontId="0" fillId="0" borderId="10" xfId="0" applyNumberFormat="1" applyBorder="1"/>
    <xf numFmtId="4" fontId="0" fillId="0" borderId="12" xfId="0" applyNumberFormat="1" applyBorder="1"/>
    <xf numFmtId="0" fontId="24" fillId="0" borderId="52" xfId="0" applyFont="1" applyBorder="1"/>
    <xf numFmtId="10" fontId="24" fillId="3" borderId="53" xfId="0" applyNumberFormat="1" applyFont="1" applyFill="1" applyBorder="1"/>
    <xf numFmtId="0" fontId="2" fillId="0" borderId="20" xfId="0" applyFont="1" applyBorder="1"/>
    <xf numFmtId="0" fontId="2" fillId="0" borderId="27" xfId="0" applyFont="1" applyBorder="1"/>
    <xf numFmtId="10" fontId="0" fillId="0" borderId="28" xfId="0" applyNumberFormat="1" applyBorder="1"/>
    <xf numFmtId="3" fontId="0" fillId="0" borderId="21" xfId="0" applyNumberFormat="1" applyBorder="1"/>
    <xf numFmtId="3" fontId="0" fillId="0" borderId="22" xfId="0" applyNumberFormat="1" applyBorder="1"/>
    <xf numFmtId="0" fontId="0" fillId="0" borderId="1" xfId="0" applyFill="1" applyBorder="1"/>
    <xf numFmtId="3" fontId="0" fillId="0" borderId="18" xfId="0" applyNumberFormat="1" applyFill="1" applyBorder="1"/>
    <xf numFmtId="0" fontId="3" fillId="7" borderId="38" xfId="0" applyFont="1" applyFill="1" applyBorder="1"/>
    <xf numFmtId="3" fontId="3" fillId="7" borderId="58" xfId="0" applyNumberFormat="1" applyFont="1" applyFill="1" applyBorder="1"/>
    <xf numFmtId="3" fontId="3" fillId="7" borderId="32" xfId="0" applyNumberFormat="1" applyFont="1" applyFill="1" applyBorder="1"/>
    <xf numFmtId="0" fontId="2" fillId="7" borderId="35" xfId="0" applyFont="1" applyFill="1" applyBorder="1"/>
    <xf numFmtId="3" fontId="0" fillId="7" borderId="61" xfId="0" applyNumberFormat="1" applyFill="1" applyBorder="1"/>
    <xf numFmtId="0" fontId="0" fillId="7" borderId="62" xfId="0" applyFill="1" applyBorder="1"/>
    <xf numFmtId="0" fontId="2" fillId="0" borderId="45" xfId="0" applyFont="1" applyBorder="1"/>
    <xf numFmtId="4" fontId="0" fillId="7" borderId="61" xfId="0" applyNumberFormat="1" applyFill="1" applyBorder="1"/>
    <xf numFmtId="4" fontId="0" fillId="7" borderId="62" xfId="0" applyNumberFormat="1" applyFill="1" applyBorder="1"/>
    <xf numFmtId="3" fontId="0" fillId="7" borderId="51" xfId="0" applyNumberFormat="1" applyFill="1" applyBorder="1"/>
    <xf numFmtId="10" fontId="0" fillId="3" borderId="45" xfId="0" applyNumberFormat="1" applyFill="1" applyBorder="1"/>
    <xf numFmtId="0" fontId="0" fillId="0" borderId="63" xfId="0" applyBorder="1"/>
    <xf numFmtId="10" fontId="0" fillId="0" borderId="64" xfId="0" applyNumberFormat="1" applyBorder="1"/>
    <xf numFmtId="10" fontId="0" fillId="0" borderId="65" xfId="0" applyNumberFormat="1" applyBorder="1"/>
    <xf numFmtId="3" fontId="0" fillId="0" borderId="9" xfId="0" applyNumberFormat="1" applyBorder="1"/>
    <xf numFmtId="10" fontId="0" fillId="0" borderId="66" xfId="0" applyNumberFormat="1" applyBorder="1"/>
    <xf numFmtId="10" fontId="0" fillId="0" borderId="67" xfId="0" applyNumberFormat="1" applyBorder="1"/>
    <xf numFmtId="0" fontId="0" fillId="0" borderId="36" xfId="0" applyNumberFormat="1" applyBorder="1"/>
    <xf numFmtId="0" fontId="0" fillId="0" borderId="37" xfId="0" applyNumberFormat="1" applyBorder="1"/>
    <xf numFmtId="168" fontId="0" fillId="0" borderId="11" xfId="1" applyNumberFormat="1" applyFont="1" applyBorder="1"/>
    <xf numFmtId="170" fontId="0" fillId="0" borderId="1" xfId="0" applyNumberFormat="1" applyBorder="1"/>
    <xf numFmtId="0" fontId="0" fillId="0" borderId="1" xfId="0" applyFont="1" applyFill="1" applyBorder="1"/>
    <xf numFmtId="0" fontId="0" fillId="11" borderId="1" xfId="0" applyFill="1" applyBorder="1"/>
    <xf numFmtId="0" fontId="2" fillId="11" borderId="1" xfId="0" applyFont="1" applyFill="1" applyBorder="1"/>
    <xf numFmtId="0" fontId="0" fillId="12" borderId="20" xfId="0" applyFill="1" applyBorder="1"/>
    <xf numFmtId="0" fontId="2" fillId="12" borderId="21" xfId="0" applyFont="1" applyFill="1" applyBorder="1"/>
    <xf numFmtId="0" fontId="0" fillId="12" borderId="21" xfId="0" applyFill="1" applyBorder="1"/>
    <xf numFmtId="0" fontId="0" fillId="12" borderId="22" xfId="0" applyFill="1" applyBorder="1"/>
    <xf numFmtId="0" fontId="2" fillId="0" borderId="27" xfId="0" applyFont="1" applyFill="1" applyBorder="1"/>
    <xf numFmtId="0" fontId="2" fillId="0" borderId="0" xfId="0" applyFont="1" applyFill="1" applyBorder="1"/>
    <xf numFmtId="0" fontId="0" fillId="0" borderId="28" xfId="0" applyFill="1" applyBorder="1"/>
    <xf numFmtId="0" fontId="0" fillId="0" borderId="27" xfId="0" applyFill="1" applyBorder="1"/>
    <xf numFmtId="0" fontId="2" fillId="0" borderId="28" xfId="0" applyFont="1" applyFill="1" applyBorder="1"/>
    <xf numFmtId="0" fontId="0" fillId="0" borderId="54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5" xfId="0" applyBorder="1" applyAlignment="1">
      <alignment horizontal="center"/>
    </xf>
    <xf numFmtId="14" fontId="0" fillId="0" borderId="20" xfId="0" applyNumberFormat="1" applyBorder="1" applyAlignment="1">
      <alignment horizontal="center"/>
    </xf>
    <xf numFmtId="14" fontId="0" fillId="0" borderId="21" xfId="0" applyNumberFormat="1" applyBorder="1" applyAlignment="1">
      <alignment horizontal="center"/>
    </xf>
    <xf numFmtId="14" fontId="0" fillId="0" borderId="32" xfId="0" applyNumberFormat="1" applyBorder="1" applyAlignment="1">
      <alignment horizontal="center"/>
    </xf>
    <xf numFmtId="0" fontId="0" fillId="0" borderId="10" xfId="0" applyBorder="1" applyAlignment="1">
      <alignment horizontal="center" textRotation="90" wrapText="1"/>
    </xf>
    <xf numFmtId="0" fontId="0" fillId="0" borderId="12" xfId="0" applyBorder="1" applyAlignment="1">
      <alignment horizontal="center" textRotation="90" wrapText="1"/>
    </xf>
    <xf numFmtId="0" fontId="2" fillId="9" borderId="5" xfId="0" applyFont="1" applyFill="1" applyBorder="1" applyAlignment="1">
      <alignment horizontal="center"/>
    </xf>
    <xf numFmtId="0" fontId="2" fillId="9" borderId="9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28" xfId="0" applyFont="1" applyFill="1" applyBorder="1" applyAlignment="1">
      <alignment wrapText="1"/>
    </xf>
    <xf numFmtId="0" fontId="25" fillId="0" borderId="0" xfId="0" applyFont="1" applyFill="1" applyBorder="1"/>
    <xf numFmtId="0" fontId="25" fillId="0" borderId="0" xfId="0" applyFont="1" applyBorder="1"/>
    <xf numFmtId="0" fontId="26" fillId="0" borderId="0" xfId="0" applyFont="1"/>
    <xf numFmtId="0" fontId="26" fillId="0" borderId="0" xfId="0" applyFont="1" applyBorder="1"/>
    <xf numFmtId="0" fontId="0" fillId="0" borderId="28" xfId="0" applyBorder="1" applyAlignment="1">
      <alignment wrapText="1"/>
    </xf>
    <xf numFmtId="0" fontId="0" fillId="0" borderId="31" xfId="0" applyBorder="1" applyAlignment="1">
      <alignment wrapText="1"/>
    </xf>
  </cellXfs>
  <cellStyles count="10">
    <cellStyle name="Hiperpovezava" xfId="9" builtinId="8"/>
    <cellStyle name="Navadno" xfId="0" builtinId="0"/>
    <cellStyle name="Navadno 2" xfId="4" xr:uid="{DFEF7650-302B-46C4-B8B3-223FA0AB6750}"/>
    <cellStyle name="Navadno 2 2" xfId="6" xr:uid="{77AFDFF6-D244-484D-915C-7E40BD78E593}"/>
    <cellStyle name="Odstotek" xfId="2" builtinId="5"/>
    <cellStyle name="Valuta" xfId="3" builtinId="4"/>
    <cellStyle name="Valuta 2" xfId="8" xr:uid="{A7EAC786-592D-4284-80D3-F00006535E84}"/>
    <cellStyle name="Vejica" xfId="1" builtinId="3"/>
    <cellStyle name="Vejica 2" xfId="7" xr:uid="{C5BD8EA6-1C1C-4010-8DAC-99E6281583C2}"/>
    <cellStyle name="Vejica 3" xfId="5" xr:uid="{2BBBBC6A-1645-4A82-B15D-96276DC72F1F}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4472C4"/>
          <bgColor rgb="FF4472C4"/>
        </patternFill>
      </fill>
    </dxf>
  </dxfs>
  <tableStyles count="1" defaultTableStyle="TableStyleMedium2" defaultPivotStyle="PivotStyleLight16">
    <tableStyle name="postavke-style" pivot="0" count="3" xr9:uid="{8FB9E00E-1C91-4BD9-8385-997D43E7006D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D</a:t>
            </a:r>
            <a:r>
              <a:rPr lang="en-US"/>
              <a:t>elež delavcev med delničarji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delež delavcev med delničarji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'ANALIZA DELNICE'!$C$16:$G$16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'ANALIZA DELNICE'!$C$17:$G$17</c:f>
              <c:numCache>
                <c:formatCode>0.00%</c:formatCode>
                <c:ptCount val="5"/>
                <c:pt idx="0">
                  <c:v>0.59040000000000004</c:v>
                </c:pt>
                <c:pt idx="1">
                  <c:v>0.62560000000000004</c:v>
                </c:pt>
                <c:pt idx="2">
                  <c:v>0.62560000000000004</c:v>
                </c:pt>
                <c:pt idx="3">
                  <c:v>0.5877</c:v>
                </c:pt>
                <c:pt idx="4">
                  <c:v>0.52659999999999996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16-44DF-9AE8-5B0EFFF8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429880"/>
        <c:axId val="5524308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'ANALIZA DELNICE'!$C$16:$G$16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'ANALIZA DELNICE'!$C$17:$G$17</c15:sqref>
                        </c15:formulaRef>
                      </c:ext>
                    </c:extLst>
                    <c:numCache>
                      <c:formatCode>0.00%</c:formatCode>
                      <c:ptCount val="5"/>
                      <c:pt idx="0">
                        <c:v>0.59040000000000004</c:v>
                      </c:pt>
                      <c:pt idx="1">
                        <c:v>0.62560000000000004</c:v>
                      </c:pt>
                      <c:pt idx="2">
                        <c:v>0.62560000000000004</c:v>
                      </c:pt>
                      <c:pt idx="3">
                        <c:v>0.5877</c:v>
                      </c:pt>
                      <c:pt idx="4">
                        <c:v>0.52659999999999996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516-44DF-9AE8-5B0EFFF86549}"/>
                  </c:ext>
                </c:extLst>
              </c15:ser>
            </c15:filteredLineSeries>
          </c:ext>
        </c:extLst>
      </c:lineChart>
      <c:catAx>
        <c:axId val="552429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52430840"/>
        <c:crosses val="autoZero"/>
        <c:auto val="1"/>
        <c:lblAlgn val="ctr"/>
        <c:lblOffset val="100"/>
        <c:noMultiLvlLbl val="0"/>
      </c:catAx>
      <c:valAx>
        <c:axId val="55243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52429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Gibanje</a:t>
            </a:r>
            <a:r>
              <a:rPr lang="sl-SI" baseline="0"/>
              <a:t> rasti prihodkov od prodaje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KOLEKTOR SIKOM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'PRIMERJAVA S SORODNIMI PODJETJI'!$B$16:$F$16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SORODNIMI PODJETJI'!$B$6:$F$6</c:f>
              <c:numCache>
                <c:formatCode>_(* #,##0.00_);_(* \(#,##0.00\);_(* "-"??_);_(@_)</c:formatCode>
                <c:ptCount val="5"/>
                <c:pt idx="1">
                  <c:v>1.0551396026953157</c:v>
                </c:pt>
                <c:pt idx="2">
                  <c:v>0.99280589116397544</c:v>
                </c:pt>
                <c:pt idx="3">
                  <c:v>0.92846185572732176</c:v>
                </c:pt>
                <c:pt idx="4">
                  <c:v>1.0345616619575888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BB-4407-A3B0-B7BE52DD731F}"/>
            </c:ext>
          </c:extLst>
        </c:ser>
        <c:ser>
          <c:idx val="1"/>
          <c:order val="1"/>
          <c:tx>
            <c:v>BOSCH REXROTH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'PRIMERJAVA S SORODNIMI PODJETJI'!$B$16:$F$16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SORODNIMI PODJETJI'!$B$18:$F$18</c:f>
              <c:numCache>
                <c:formatCode>_(* #,##0.00_);_(* \(#,##0.00\);_(* "-"??_);_(@_)</c:formatCode>
                <c:ptCount val="5"/>
                <c:pt idx="1">
                  <c:v>1.1166941938762547</c:v>
                </c:pt>
                <c:pt idx="2">
                  <c:v>0.9456169292906309</c:v>
                </c:pt>
                <c:pt idx="3">
                  <c:v>1.0270107682127174</c:v>
                </c:pt>
                <c:pt idx="4">
                  <c:v>1.1906923617619494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BB-4407-A3B0-B7BE52DD731F}"/>
            </c:ext>
          </c:extLst>
        </c:ser>
        <c:ser>
          <c:idx val="2"/>
          <c:order val="2"/>
          <c:tx>
            <c:v>EBM-PAPST SLO.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'PRIMERJAVA S SORODNIMI PODJETJI'!$B$16:$F$16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SORODNIMI PODJETJI'!$B$29:$F$29</c:f>
              <c:numCache>
                <c:formatCode>_(* #,##0.00_);_(* \(#,##0.00\);_(* "-"??_);_(@_)</c:formatCode>
                <c:ptCount val="5"/>
                <c:pt idx="1">
                  <c:v>1.0324522909184173</c:v>
                </c:pt>
                <c:pt idx="2">
                  <c:v>1.0016016538012162</c:v>
                </c:pt>
                <c:pt idx="3">
                  <c:v>1.0667014406132587</c:v>
                </c:pt>
                <c:pt idx="4">
                  <c:v>1.0942599525838124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BB-4407-A3B0-B7BE52DD731F}"/>
            </c:ext>
          </c:extLst>
        </c:ser>
        <c:ser>
          <c:idx val="3"/>
          <c:order val="3"/>
          <c:tx>
            <c:v>X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'PRIMERJAVA S SORODNIMI PODJETJI'!$B$40:$F$40</c:f>
              <c:numCache>
                <c:formatCode>_(* #,##0.00_);_(* \(#,##0.00\);_(* "-"??_);_(@_)</c:formatCode>
                <c:ptCount val="5"/>
                <c:pt idx="1">
                  <c:v>1.1023375748322939</c:v>
                </c:pt>
                <c:pt idx="2">
                  <c:v>1.1472344288252005</c:v>
                </c:pt>
                <c:pt idx="3">
                  <c:v>1.1422186649394754</c:v>
                </c:pt>
                <c:pt idx="4">
                  <c:v>1.1517389566623668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BB-4407-A3B0-B7BE52DD7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303920"/>
        <c:axId val="537302640"/>
      </c:lineChart>
      <c:catAx>
        <c:axId val="537303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37302640"/>
        <c:crosses val="autoZero"/>
        <c:auto val="1"/>
        <c:lblAlgn val="ctr"/>
        <c:lblOffset val="100"/>
        <c:noMultiLvlLbl val="0"/>
      </c:catAx>
      <c:valAx>
        <c:axId val="537302640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stopnja</a:t>
                </a:r>
                <a:r>
                  <a:rPr lang="sl-SI" baseline="0"/>
                  <a:t> rasti </a:t>
                </a:r>
                <a:endParaRPr lang="sl-S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3730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Delež stroškov v prihodkih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KOLEKTOR SIKOM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'PRIMERJAVA S SORODNIMI PODJETJI'!$B$16:$F$16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SORODNIMI PODJETJI'!$B$11:$F$11</c:f>
              <c:numCache>
                <c:formatCode>0%</c:formatCode>
                <c:ptCount val="5"/>
                <c:pt idx="0">
                  <c:v>0.87451607116141283</c:v>
                </c:pt>
                <c:pt idx="1">
                  <c:v>0.86593234218027149</c:v>
                </c:pt>
                <c:pt idx="2">
                  <c:v>0.85299544348917078</c:v>
                </c:pt>
                <c:pt idx="3">
                  <c:v>0.86526540258533602</c:v>
                </c:pt>
                <c:pt idx="4">
                  <c:v>0.89853550442961805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3E-45B3-85BD-09C335F0BC2A}"/>
            </c:ext>
          </c:extLst>
        </c:ser>
        <c:ser>
          <c:idx val="1"/>
          <c:order val="1"/>
          <c:tx>
            <c:v>BOSCH REXROTH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'PRIMERJAVA S SORODNIMI PODJETJI'!$B$23:$F$23</c:f>
              <c:numCache>
                <c:formatCode>0%</c:formatCode>
                <c:ptCount val="5"/>
                <c:pt idx="0">
                  <c:v>0.97319273281666874</c:v>
                </c:pt>
                <c:pt idx="1">
                  <c:v>0.98148358837248995</c:v>
                </c:pt>
                <c:pt idx="2">
                  <c:v>1.0167238163989654</c:v>
                </c:pt>
                <c:pt idx="3">
                  <c:v>0.96740276476101217</c:v>
                </c:pt>
                <c:pt idx="4">
                  <c:v>0.96671996064444721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3E-45B3-85BD-09C335F0BC2A}"/>
            </c:ext>
          </c:extLst>
        </c:ser>
        <c:ser>
          <c:idx val="2"/>
          <c:order val="2"/>
          <c:tx>
            <c:v>EBM-PAPST SLO.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'PRIMERJAVA S SORODNIMI PODJETJI'!$B$34:$F$34</c:f>
              <c:numCache>
                <c:formatCode>0%</c:formatCode>
                <c:ptCount val="5"/>
                <c:pt idx="0">
                  <c:v>0.98041583287898859</c:v>
                </c:pt>
                <c:pt idx="1">
                  <c:v>0.94858603660323881</c:v>
                </c:pt>
                <c:pt idx="2">
                  <c:v>0.98788711278811636</c:v>
                </c:pt>
                <c:pt idx="3">
                  <c:v>0.99145340433732798</c:v>
                </c:pt>
                <c:pt idx="4">
                  <c:v>1.0044209633938084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3E-45B3-85BD-09C335F0BC2A}"/>
            </c:ext>
          </c:extLst>
        </c:ser>
        <c:ser>
          <c:idx val="3"/>
          <c:order val="3"/>
          <c:tx>
            <c:v>X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'PRIMERJAVA S SORODNIMI PODJETJI'!$B$42:$F$42</c:f>
              <c:numCache>
                <c:formatCode>0%</c:formatCode>
                <c:ptCount val="5"/>
                <c:pt idx="0">
                  <c:v>0.96991077863314534</c:v>
                </c:pt>
                <c:pt idx="1">
                  <c:v>0.94702056854506556</c:v>
                </c:pt>
                <c:pt idx="2">
                  <c:v>0.91556833022636808</c:v>
                </c:pt>
                <c:pt idx="3">
                  <c:v>0.92531437206416345</c:v>
                </c:pt>
                <c:pt idx="4">
                  <c:v>0.92499832915959945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3E-45B3-85BD-09C335F0B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056688"/>
        <c:axId val="537308400"/>
      </c:barChart>
      <c:catAx>
        <c:axId val="503056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37308400"/>
        <c:crosses val="autoZero"/>
        <c:auto val="1"/>
        <c:lblAlgn val="ctr"/>
        <c:lblOffset val="100"/>
        <c:noMultiLvlLbl val="0"/>
      </c:catAx>
      <c:valAx>
        <c:axId val="53730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delež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305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Gibanje</a:t>
            </a:r>
            <a:r>
              <a:rPr lang="sl-SI" baseline="0"/>
              <a:t> rasti poslovnih stroškov </a:t>
            </a:r>
            <a:endParaRPr lang="sl-S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KOLEKTOR SIKOM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'PRIMERJAVA S SORODNIMI PODJETJI'!$B$16:$F$16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SORODNIMI PODJETJI'!$B$10:$F$10</c:f>
              <c:numCache>
                <c:formatCode>_(* #,##0.00_);_(* \(#,##0.00\);_(* "-"??_);_(@_)</c:formatCode>
                <c:ptCount val="5"/>
                <c:pt idx="1">
                  <c:v>1.0447829806897559</c:v>
                </c:pt>
                <c:pt idx="2">
                  <c:v>0.97797352077164468</c:v>
                </c:pt>
                <c:pt idx="3">
                  <c:v>0.94181736551237316</c:v>
                </c:pt>
                <c:pt idx="4">
                  <c:v>1.074341331588057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2A-4E56-BB20-FE5F19AFC6B3}"/>
            </c:ext>
          </c:extLst>
        </c:ser>
        <c:ser>
          <c:idx val="1"/>
          <c:order val="1"/>
          <c:tx>
            <c:v>BOSCH REXROTH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'PRIMERJAVA S SORODNIMI PODJETJI'!$B$16:$F$16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SORODNIMI PODJETJI'!$B$22:$F$22</c:f>
              <c:numCache>
                <c:formatCode>_(* #,##0.00_);_(* \(#,##0.00\);_(* "-"??_);_(@_)</c:formatCode>
                <c:ptCount val="5"/>
                <c:pt idx="1">
                  <c:v>1.1262075718015665</c:v>
                </c:pt>
                <c:pt idx="2">
                  <c:v>0.97956936273799522</c:v>
                </c:pt>
                <c:pt idx="3">
                  <c:v>0.97719069877522036</c:v>
                </c:pt>
                <c:pt idx="4">
                  <c:v>1.1898519572522781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2A-4E56-BB20-FE5F19AFC6B3}"/>
            </c:ext>
          </c:extLst>
        </c:ser>
        <c:ser>
          <c:idx val="2"/>
          <c:order val="2"/>
          <c:tx>
            <c:v>EBM-PAPST SLO.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'PRIMERJAVA S SORODNIMI PODJETJI'!$B$16:$F$16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SORODNIMI PODJETJI'!$B$33:$F$33</c:f>
              <c:numCache>
                <c:formatCode>_(* #,##0.00_);_(* \(#,##0.00\);_(* "-"??_);_(@_)</c:formatCode>
                <c:ptCount val="5"/>
                <c:pt idx="1">
                  <c:v>0.99893309938530728</c:v>
                </c:pt>
                <c:pt idx="2">
                  <c:v>1.0430992316528769</c:v>
                </c:pt>
                <c:pt idx="3">
                  <c:v>1.0705522534075</c:v>
                </c:pt>
                <c:pt idx="4">
                  <c:v>1.1085721537383955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2A-4E56-BB20-FE5F19AFC6B3}"/>
            </c:ext>
          </c:extLst>
        </c:ser>
        <c:ser>
          <c:idx val="3"/>
          <c:order val="3"/>
          <c:tx>
            <c:v>X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'PRIMERJAVA S SORODNIMI PODJETJI'!$B$43:$F$43</c:f>
              <c:numCache>
                <c:formatCode>_(* #,##0.00_);_(* \(#,##0.00\);_(* "-"??_);_(@_)</c:formatCode>
                <c:ptCount val="5"/>
                <c:pt idx="1">
                  <c:v>1.0792093550449853</c:v>
                </c:pt>
                <c:pt idx="2">
                  <c:v>1.1270620497445516</c:v>
                </c:pt>
                <c:pt idx="3">
                  <c:v>1.1522100155414798</c:v>
                </c:pt>
                <c:pt idx="4">
                  <c:v>1.1476407660461778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2A-4E56-BB20-FE5F19AFC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057968"/>
        <c:axId val="503056368"/>
      </c:lineChart>
      <c:catAx>
        <c:axId val="50305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3056368"/>
        <c:crosses val="autoZero"/>
        <c:auto val="1"/>
        <c:lblAlgn val="ctr"/>
        <c:lblOffset val="100"/>
        <c:noMultiLvlLbl val="0"/>
      </c:catAx>
      <c:valAx>
        <c:axId val="503056368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 stopnja</a:t>
                </a:r>
                <a:r>
                  <a:rPr lang="sl-SI" baseline="0"/>
                  <a:t> rasti </a:t>
                </a:r>
                <a:endParaRPr lang="sl-S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305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Gibanje</a:t>
            </a:r>
            <a:r>
              <a:rPr lang="sl-SI" baseline="0"/>
              <a:t> rasti sredstev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KOLEKTOR SIKOM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'PRIMERJAVA S SORODNIMI PODJETJI'!$B$27:$F$27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SORODNIMI PODJETJI'!$B$8:$F$8</c:f>
              <c:numCache>
                <c:formatCode>_(* #,##0.00_);_(* \(#,##0.00\);_(* "-"??_);_(@_)</c:formatCode>
                <c:ptCount val="5"/>
                <c:pt idx="1">
                  <c:v>1.2246263632117289</c:v>
                </c:pt>
                <c:pt idx="2">
                  <c:v>0.97489525362924201</c:v>
                </c:pt>
                <c:pt idx="3">
                  <c:v>0.95214675262267656</c:v>
                </c:pt>
                <c:pt idx="4">
                  <c:v>0.91950605687563414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49-42F8-9470-18AEEE6AA7D5}"/>
            </c:ext>
          </c:extLst>
        </c:ser>
        <c:ser>
          <c:idx val="1"/>
          <c:order val="1"/>
          <c:tx>
            <c:v>BOSCH REXROTH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'PRIMERJAVA S SORODNIMI PODJETJI'!$B$27:$F$27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SORODNIMI PODJETJI'!$B$20:$F$20</c:f>
              <c:numCache>
                <c:formatCode>_(* #,##0.00_);_(* \(#,##0.00\);_(* "-"??_);_(@_)</c:formatCode>
                <c:ptCount val="5"/>
                <c:pt idx="1">
                  <c:v>1.1555702043506921</c:v>
                </c:pt>
                <c:pt idx="2">
                  <c:v>1.0645559992393991</c:v>
                </c:pt>
                <c:pt idx="3">
                  <c:v>1.0200053585781905</c:v>
                </c:pt>
                <c:pt idx="4">
                  <c:v>1.0218019437877595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49-42F8-9470-18AEEE6AA7D5}"/>
            </c:ext>
          </c:extLst>
        </c:ser>
        <c:ser>
          <c:idx val="2"/>
          <c:order val="2"/>
          <c:tx>
            <c:v>EBM-PAPST SLO.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'PRIMERJAVA S SORODNIMI PODJETJI'!$B$27:$F$27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SORODNIMI PODJETJI'!$B$31:$F$31</c:f>
              <c:numCache>
                <c:formatCode>_(* #,##0.00_);_(* \(#,##0.00\);_(* "-"??_);_(@_)</c:formatCode>
                <c:ptCount val="5"/>
                <c:pt idx="1">
                  <c:v>1.0454851081292085</c:v>
                </c:pt>
                <c:pt idx="2">
                  <c:v>1.022068630033603</c:v>
                </c:pt>
                <c:pt idx="3">
                  <c:v>1.058670660457288</c:v>
                </c:pt>
                <c:pt idx="4">
                  <c:v>1.1066184352668058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49-42F8-9470-18AEEE6AA7D5}"/>
            </c:ext>
          </c:extLst>
        </c:ser>
        <c:ser>
          <c:idx val="3"/>
          <c:order val="3"/>
          <c:tx>
            <c:v>X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'PRIMERJAVA S SORODNIMI PODJETJI'!$B$27:$F$27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SORODNIMI PODJETJI'!$B$46:$F$46</c:f>
              <c:numCache>
                <c:formatCode>_(* #,##0.00_);_(* \(#,##0.00\);_(* "-"??_);_(@_)</c:formatCode>
                <c:ptCount val="5"/>
                <c:pt idx="1">
                  <c:v>1.0711034228143799</c:v>
                </c:pt>
                <c:pt idx="2">
                  <c:v>1.1838488110791734</c:v>
                </c:pt>
                <c:pt idx="3">
                  <c:v>1.3157668941947847</c:v>
                </c:pt>
                <c:pt idx="4">
                  <c:v>1.1688887509627588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49-42F8-9470-18AEEE6AA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342896"/>
        <c:axId val="482342576"/>
      </c:lineChart>
      <c:catAx>
        <c:axId val="48234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82342576"/>
        <c:crosses val="autoZero"/>
        <c:auto val="1"/>
        <c:lblAlgn val="ctr"/>
        <c:lblOffset val="100"/>
        <c:noMultiLvlLbl val="0"/>
      </c:catAx>
      <c:valAx>
        <c:axId val="482342576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Stopnja</a:t>
                </a:r>
                <a:r>
                  <a:rPr lang="sl-SI" baseline="0"/>
                  <a:t> rasti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8234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Primerjava dobičkonosnosti sredstev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'PRIMERJAVA S SORODNIMI PODJETJI'!$A$51</c:f>
              <c:strCache>
                <c:ptCount val="1"/>
                <c:pt idx="0">
                  <c:v> ROA EBM-PAPST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'PRIMERJAVA S SORODNIMI PODJETJI'!$B$38:$F$38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SORODNIMI PODJETJI'!$B$51:$F$51</c:f>
              <c:numCache>
                <c:formatCode>_-* #,##0.000_-;\-* #,##0.000_-;_-* "-"??_-;_-@_-</c:formatCode>
                <c:ptCount val="5"/>
                <c:pt idx="0">
                  <c:v>4.908774363423795E-2</c:v>
                </c:pt>
                <c:pt idx="1">
                  <c:v>6.1673752099237138E-2</c:v>
                </c:pt>
                <c:pt idx="2">
                  <c:v>4.8841099192152758E-2</c:v>
                </c:pt>
                <c:pt idx="3">
                  <c:v>3.8824577375435945E-2</c:v>
                </c:pt>
                <c:pt idx="4">
                  <c:v>1.9347343058457232E-2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9-449C-9CFA-564211A3A4BA}"/>
            </c:ext>
          </c:extLst>
        </c:ser>
        <c:ser>
          <c:idx val="1"/>
          <c:order val="1"/>
          <c:tx>
            <c:strRef>
              <c:f>'PRIMERJAVA S SORODNIMI PODJETJI'!$A$52</c:f>
              <c:strCache>
                <c:ptCount val="1"/>
                <c:pt idx="0">
                  <c:v> ROA BOSCH REXROTH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'PRIMERJAVA S SORODNIMI PODJETJI'!$B$38:$F$38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SORODNIMI PODJETJI'!$B$52:$F$52</c:f>
              <c:numCache>
                <c:formatCode>_-* #,##0.000_-;\-* #,##0.000_-;_-* "-"??_-;_-@_-</c:formatCode>
                <c:ptCount val="5"/>
                <c:pt idx="0">
                  <c:v>9.182310603249981E-2</c:v>
                </c:pt>
                <c:pt idx="1">
                  <c:v>6.8264450545373598E-2</c:v>
                </c:pt>
                <c:pt idx="2">
                  <c:v>8.2548044817095795E-3</c:v>
                </c:pt>
                <c:pt idx="3">
                  <c:v>9.9428656229131107E-2</c:v>
                </c:pt>
                <c:pt idx="4">
                  <c:v>9.5069377457891222E-2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9-449C-9CFA-564211A3A4BA}"/>
            </c:ext>
          </c:extLst>
        </c:ser>
        <c:ser>
          <c:idx val="2"/>
          <c:order val="2"/>
          <c:tx>
            <c:strRef>
              <c:f>'PRIMERJAVA S SORODNIMI PODJETJI'!$A$53</c:f>
              <c:strCache>
                <c:ptCount val="1"/>
                <c:pt idx="0">
                  <c:v> ROA KOLEKTOR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'PRIMERJAVA S SORODNIMI PODJETJI'!$B$38:$F$38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SORODNIMI PODJETJI'!$B$53:$F$53</c:f>
              <c:numCache>
                <c:formatCode>_-* #,##0.000_-;\-* #,##0.000_-;_-* "-"??_-;_-@_-</c:formatCode>
                <c:ptCount val="5"/>
                <c:pt idx="0">
                  <c:v>0.16836663251478595</c:v>
                </c:pt>
                <c:pt idx="1">
                  <c:v>0.18873142462472406</c:v>
                </c:pt>
                <c:pt idx="2">
                  <c:v>0.19241064506514391</c:v>
                </c:pt>
                <c:pt idx="3">
                  <c:v>0.19478259666107459</c:v>
                </c:pt>
                <c:pt idx="4">
                  <c:v>0.13669697372435857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29-449C-9CFA-564211A3A4BA}"/>
            </c:ext>
          </c:extLst>
        </c:ser>
        <c:ser>
          <c:idx val="3"/>
          <c:order val="3"/>
          <c:tx>
            <c:strRef>
              <c:f>'PRIMERJAVA S SORODNIMI PODJETJI'!$A$54</c:f>
              <c:strCache>
                <c:ptCount val="1"/>
                <c:pt idx="0">
                  <c:v> ROA X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'PRIMERJAVA S SORODNIMI PODJETJI'!$B$38:$F$38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SORODNIMI PODJETJI'!$B$54:$F$54</c:f>
              <c:numCache>
                <c:formatCode>_-* #,##0.000_-;\-* #,##0.000_-;_-* "-"??_-;_-@_-</c:formatCode>
                <c:ptCount val="5"/>
                <c:pt idx="0">
                  <c:v>3.7947073618181934E-2</c:v>
                </c:pt>
                <c:pt idx="1">
                  <c:v>8.2553842926136475E-2</c:v>
                </c:pt>
                <c:pt idx="2">
                  <c:v>0.11035562280454785</c:v>
                </c:pt>
                <c:pt idx="3">
                  <c:v>0.13438534630942367</c:v>
                </c:pt>
                <c:pt idx="4">
                  <c:v>0.14263410970579907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29-449C-9CFA-564211A3A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537488"/>
        <c:axId val="588538128"/>
      </c:lineChart>
      <c:catAx>
        <c:axId val="588537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88538128"/>
        <c:crosses val="autoZero"/>
        <c:auto val="1"/>
        <c:lblAlgn val="ctr"/>
        <c:lblOffset val="100"/>
        <c:noMultiLvlLbl val="0"/>
      </c:catAx>
      <c:valAx>
        <c:axId val="58853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koeficient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-* #,##0.000_-;\-* #,##0.0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8853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Dolgoročna</a:t>
            </a:r>
            <a:r>
              <a:rPr lang="sl-SI" baseline="0"/>
              <a:t> sredstva</a:t>
            </a:r>
            <a:endParaRPr lang="sl-S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'KAZALNIKI - PODJETJE X'!$A$3</c:f>
              <c:strCache>
                <c:ptCount val="1"/>
                <c:pt idx="0">
                  <c:v> neopredmetena sredstva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'KAZALNIKI - PODJETJE X'!$B$2:$F$2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'KAZALNIKI - PODJETJE X'!$B$3:$F$3</c:f>
              <c:numCache>
                <c:formatCode>_-* #,##0\ "€"_-;\-* #,##0\ "€"_-;_-* "-"??\ "€"_-;_-@_-</c:formatCode>
                <c:ptCount val="5"/>
                <c:pt idx="0">
                  <c:v>240390</c:v>
                </c:pt>
                <c:pt idx="1">
                  <c:v>211090</c:v>
                </c:pt>
                <c:pt idx="2">
                  <c:v>443644</c:v>
                </c:pt>
                <c:pt idx="3">
                  <c:v>244397</c:v>
                </c:pt>
                <c:pt idx="4">
                  <c:v>164330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88-47D6-B92E-EDF7DFD790F7}"/>
            </c:ext>
          </c:extLst>
        </c:ser>
        <c:ser>
          <c:idx val="1"/>
          <c:order val="1"/>
          <c:tx>
            <c:strRef>
              <c:f>'KAZALNIKI - PODJETJE X'!$A$4</c:f>
              <c:strCache>
                <c:ptCount val="1"/>
                <c:pt idx="0">
                  <c:v> opredmetena osnovna sredstva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'KAZALNIKI - PODJETJE X'!$B$2:$F$2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'KAZALNIKI - PODJETJE X'!$B$4:$F$4</c:f>
              <c:numCache>
                <c:formatCode>_-* #,##0\ "€"_-;\-* #,##0\ "€"_-;_-* "-"??\ "€"_-;_-@_-</c:formatCode>
                <c:ptCount val="5"/>
                <c:pt idx="0">
                  <c:v>18476071</c:v>
                </c:pt>
                <c:pt idx="1">
                  <c:v>19178194</c:v>
                </c:pt>
                <c:pt idx="2">
                  <c:v>24573144</c:v>
                </c:pt>
                <c:pt idx="3">
                  <c:v>41740919</c:v>
                </c:pt>
                <c:pt idx="4">
                  <c:v>51032572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88-47D6-B92E-EDF7DFD790F7}"/>
            </c:ext>
          </c:extLst>
        </c:ser>
        <c:ser>
          <c:idx val="2"/>
          <c:order val="2"/>
          <c:tx>
            <c:strRef>
              <c:f>'KAZALNIKI - PODJETJE X'!$A$5</c:f>
              <c:strCache>
                <c:ptCount val="1"/>
                <c:pt idx="0">
                  <c:v> finančne naložbe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'KAZALNIKI - PODJETJE X'!$B$5:$F$5</c:f>
              <c:numCache>
                <c:formatCode>_-* #,##0\ "€"_-;\-* #,##0\ "€"_-;_-* "-"??\ "€"_-;_-@_-</c:formatCode>
                <c:ptCount val="5"/>
                <c:pt idx="0">
                  <c:v>2203353</c:v>
                </c:pt>
                <c:pt idx="1">
                  <c:v>2211131</c:v>
                </c:pt>
                <c:pt idx="2">
                  <c:v>2200624</c:v>
                </c:pt>
                <c:pt idx="3">
                  <c:v>2200931</c:v>
                </c:pt>
                <c:pt idx="4">
                  <c:v>2202223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88-47D6-B92E-EDF7DFD790F7}"/>
            </c:ext>
          </c:extLst>
        </c:ser>
        <c:ser>
          <c:idx val="3"/>
          <c:order val="3"/>
          <c:tx>
            <c:strRef>
              <c:f>'KAZALNIKI - PODJETJE X'!$A$6</c:f>
              <c:strCache>
                <c:ptCount val="1"/>
                <c:pt idx="0">
                  <c:v> terjatve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'KAZALNIKI - PODJETJE X'!$B$6:$F$6</c:f>
              <c:numCache>
                <c:formatCode>_-* #,##0\ "€"_-;\-* #,##0\ "€"_-;_-* "-"??\ "€"_-;_-@_-</c:formatCode>
                <c:ptCount val="5"/>
                <c:pt idx="0">
                  <c:v>245074</c:v>
                </c:pt>
                <c:pt idx="1">
                  <c:v>545058</c:v>
                </c:pt>
                <c:pt idx="2">
                  <c:v>305011</c:v>
                </c:pt>
                <c:pt idx="3">
                  <c:v>304768</c:v>
                </c:pt>
                <c:pt idx="4">
                  <c:v>105298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88-47D6-B92E-EDF7DFD790F7}"/>
            </c:ext>
          </c:extLst>
        </c:ser>
        <c:ser>
          <c:idx val="4"/>
          <c:order val="4"/>
          <c:tx>
            <c:strRef>
              <c:f>'KAZALNIKI - PODJETJE X'!$A$7</c:f>
              <c:strCache>
                <c:ptCount val="1"/>
                <c:pt idx="0">
                  <c:v> odložene terjatve za davek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'KAZALNIKI - PODJETJE X'!$B$7:$F$7</c:f>
              <c:numCache>
                <c:formatCode>_-* #,##0\ "€"_-;\-* #,##0\ "€"_-;_-* "-"??\ "€"_-;_-@_-</c:formatCode>
                <c:ptCount val="5"/>
                <c:pt idx="0">
                  <c:v>781060</c:v>
                </c:pt>
                <c:pt idx="1">
                  <c:v>608142</c:v>
                </c:pt>
                <c:pt idx="2">
                  <c:v>333989</c:v>
                </c:pt>
                <c:pt idx="3">
                  <c:v>411787</c:v>
                </c:pt>
                <c:pt idx="4">
                  <c:v>455819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88-47D6-B92E-EDF7DFD79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4324144"/>
        <c:axId val="374324784"/>
        <c:axId val="0"/>
      </c:bar3DChart>
      <c:catAx>
        <c:axId val="374324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374324784"/>
        <c:crosses val="autoZero"/>
        <c:auto val="1"/>
        <c:lblAlgn val="ctr"/>
        <c:lblOffset val="100"/>
        <c:noMultiLvlLbl val="0"/>
      </c:catAx>
      <c:valAx>
        <c:axId val="37432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-* #,##0\ &quot;€&quot;_-;\-* #,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37432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Kratkoročna sredstva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1913415604248818"/>
          <c:y val="0.14814814814814814"/>
          <c:w val="0.55464129483814528"/>
          <c:h val="0.68426727909011376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'KAZALNIKI - PODJETJE X'!$A$11</c:f>
              <c:strCache>
                <c:ptCount val="1"/>
                <c:pt idx="0">
                  <c:v> zaloge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'KAZALNIKI - PODJETJE X'!$B$10:$F$10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'KAZALNIKI - PODJETJE X'!$B$11:$F$11</c:f>
              <c:numCache>
                <c:formatCode>_-* #,##0\ "€"_-;\-* #,##0\ "€"_-;_-* "-"??\ "€"_-;_-@_-</c:formatCode>
                <c:ptCount val="5"/>
                <c:pt idx="0">
                  <c:v>12903579</c:v>
                </c:pt>
                <c:pt idx="1">
                  <c:v>14302025</c:v>
                </c:pt>
                <c:pt idx="2">
                  <c:v>14059978</c:v>
                </c:pt>
                <c:pt idx="3">
                  <c:v>18341310</c:v>
                </c:pt>
                <c:pt idx="4">
                  <c:v>20723229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6F-4ECA-9BA2-05D3D3CB35CE}"/>
            </c:ext>
          </c:extLst>
        </c:ser>
        <c:ser>
          <c:idx val="1"/>
          <c:order val="1"/>
          <c:tx>
            <c:strRef>
              <c:f>'KAZALNIKI - PODJETJE X'!$A$12</c:f>
              <c:strCache>
                <c:ptCount val="1"/>
                <c:pt idx="0">
                  <c:v> finančne naložbe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'KAZALNIKI - PODJETJE X'!$B$10:$F$10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'KAZALNIKI - PODJETJE X'!$B$12:$F$12</c:f>
              <c:numCache>
                <c:formatCode>_-* #,##0\ "€"_-;\-* #,##0\ "€"_-;_-* "-"??\ "€"_-;_-@_-</c:formatCode>
                <c:ptCount val="5"/>
                <c:pt idx="0">
                  <c:v>1440000</c:v>
                </c:pt>
                <c:pt idx="1">
                  <c:v>750000</c:v>
                </c:pt>
                <c:pt idx="2">
                  <c:v>0</c:v>
                </c:pt>
                <c:pt idx="3">
                  <c:v>0</c:v>
                </c:pt>
                <c:pt idx="4">
                  <c:v>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6F-4ECA-9BA2-05D3D3CB35CE}"/>
            </c:ext>
          </c:extLst>
        </c:ser>
        <c:ser>
          <c:idx val="2"/>
          <c:order val="2"/>
          <c:tx>
            <c:strRef>
              <c:f>'KAZALNIKI - PODJETJE X'!$A$13</c:f>
              <c:strCache>
                <c:ptCount val="1"/>
                <c:pt idx="0">
                  <c:v> poslovne terjatve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'KAZALNIKI - PODJETJE X'!$B$10:$F$10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'KAZALNIKI - PODJETJE X'!$B$13:$F$13</c:f>
              <c:numCache>
                <c:formatCode>_-* #,##0\ "€"_-;\-* #,##0\ "€"_-;_-* "-"??\ "€"_-;_-@_-</c:formatCode>
                <c:ptCount val="5"/>
                <c:pt idx="0">
                  <c:v>15817189</c:v>
                </c:pt>
                <c:pt idx="1">
                  <c:v>18326282</c:v>
                </c:pt>
                <c:pt idx="2">
                  <c:v>22009373</c:v>
                </c:pt>
                <c:pt idx="3">
                  <c:v>21242290</c:v>
                </c:pt>
                <c:pt idx="4">
                  <c:v>25008015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6F-4ECA-9BA2-05D3D3CB35CE}"/>
            </c:ext>
          </c:extLst>
        </c:ser>
        <c:ser>
          <c:idx val="3"/>
          <c:order val="3"/>
          <c:tx>
            <c:strRef>
              <c:f>'KAZALNIKI - PODJETJE X'!$A$15</c:f>
              <c:strCache>
                <c:ptCount val="1"/>
                <c:pt idx="0">
                  <c:v> denar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'KAZALNIKI - PODJETJE X'!$B$10:$F$10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'KAZALNIKI - PODJETJE X'!$B$15:$F$15</c:f>
              <c:numCache>
                <c:formatCode>_-* #,##0\ "€"_-;\-* #,##0\ "€"_-;_-* "-"??\ "€"_-;_-@_-</c:formatCode>
                <c:ptCount val="5"/>
                <c:pt idx="0">
                  <c:v>2022949</c:v>
                </c:pt>
                <c:pt idx="1">
                  <c:v>1869054</c:v>
                </c:pt>
                <c:pt idx="2">
                  <c:v>3497749</c:v>
                </c:pt>
                <c:pt idx="3">
                  <c:v>3392418</c:v>
                </c:pt>
                <c:pt idx="4">
                  <c:v>3296221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6F-4ECA-9BA2-05D3D3CB35CE}"/>
            </c:ext>
          </c:extLst>
        </c:ser>
        <c:ser>
          <c:idx val="4"/>
          <c:order val="4"/>
          <c:tx>
            <c:strRef>
              <c:f>'KAZALNIKI - PODJETJE X'!$A$14</c:f>
              <c:strCache>
                <c:ptCount val="1"/>
                <c:pt idx="0">
                  <c:v> druga sredstva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'KAZALNIKI - PODJETJE X'!$B$10:$F$10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'KAZALNIKI - PODJETJE X'!$B$14:$F$14</c:f>
              <c:numCache>
                <c:formatCode>_-* #,##0\ "€"_-;\-* #,##0\ "€"_-;_-* "-"??\ "€"_-;_-@_-</c:formatCode>
                <c:ptCount val="5"/>
                <c:pt idx="0">
                  <c:v>804271</c:v>
                </c:pt>
                <c:pt idx="1">
                  <c:v>911213</c:v>
                </c:pt>
                <c:pt idx="2">
                  <c:v>3631954</c:v>
                </c:pt>
                <c:pt idx="3">
                  <c:v>3281088</c:v>
                </c:pt>
                <c:pt idx="4">
                  <c:v>2842084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6F-4ECA-9BA2-05D3D3CB3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03052664"/>
        <c:axId val="503054904"/>
        <c:axId val="0"/>
      </c:bar3DChart>
      <c:catAx>
        <c:axId val="503052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3054904"/>
        <c:crosses val="autoZero"/>
        <c:auto val="1"/>
        <c:lblAlgn val="ctr"/>
        <c:lblOffset val="100"/>
        <c:noMultiLvlLbl val="0"/>
      </c:catAx>
      <c:valAx>
        <c:axId val="50305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</a:t>
                </a:r>
              </a:p>
            </c:rich>
          </c:tx>
          <c:layout>
            <c:manualLayout>
              <c:xMode val="edge"/>
              <c:yMode val="edge"/>
              <c:x val="1.6895527848322038E-2"/>
              <c:y val="0.394433872849227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-* #,##0\ &quot;€&quot;_-;\-* #,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305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V</a:t>
            </a:r>
            <a:r>
              <a:rPr lang="en-US"/>
              <a:t>rednost </a:t>
            </a:r>
            <a:r>
              <a:rPr lang="sl-SI"/>
              <a:t>neto </a:t>
            </a:r>
            <a:r>
              <a:rPr lang="en-US"/>
              <a:t>obratnega kapitala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'KAZALNIKI - PODJETJE X'!$A$23</c:f>
              <c:strCache>
                <c:ptCount val="1"/>
                <c:pt idx="0">
                  <c:v> vrednost neto obratnega kapitala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'KAZALNIKI - PODJETJE X'!$B$20:$F$20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'KAZALNIKI - PODJETJE X'!$B$23:$F$23</c:f>
              <c:numCache>
                <c:formatCode>_-* #,##0\ "€"_-;\-* #,##0\ "€"_-;_-* "-"??\ "€"_-;_-@_-</c:formatCode>
                <c:ptCount val="5"/>
                <c:pt idx="0">
                  <c:v>11204753</c:v>
                </c:pt>
                <c:pt idx="1">
                  <c:v>13407724</c:v>
                </c:pt>
                <c:pt idx="2">
                  <c:v>14705984</c:v>
                </c:pt>
                <c:pt idx="3">
                  <c:v>12493750</c:v>
                </c:pt>
                <c:pt idx="4">
                  <c:v>10835137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E1-4B48-B5A0-D1B3FC8DD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057784"/>
        <c:axId val="496162800"/>
      </c:lineChart>
      <c:catAx>
        <c:axId val="503057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96162800"/>
        <c:crosses val="autoZero"/>
        <c:auto val="1"/>
        <c:lblAlgn val="ctr"/>
        <c:lblOffset val="100"/>
        <c:noMultiLvlLbl val="0"/>
      </c:catAx>
      <c:valAx>
        <c:axId val="4961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-* #,##0\ &quot;€&quot;_-;\-* #,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3057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Gibanje skupin</a:t>
            </a:r>
            <a:r>
              <a:rPr lang="sl-SI" baseline="0"/>
              <a:t> denarnih tokov</a:t>
            </a:r>
            <a:endParaRPr lang="sl-S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[1]List1!$A$52</c:f>
              <c:strCache>
                <c:ptCount val="1"/>
                <c:pt idx="0">
                  <c:v>financiranje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[1]List1!$B$51:$F$51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[1]List1!$B$52:$F$52</c:f>
              <c:numCache>
                <c:formatCode>General</c:formatCode>
                <c:ptCount val="5"/>
                <c:pt idx="0">
                  <c:v>-5230700</c:v>
                </c:pt>
                <c:pt idx="1">
                  <c:v>-2239693</c:v>
                </c:pt>
                <c:pt idx="2">
                  <c:v>-3437619</c:v>
                </c:pt>
                <c:pt idx="3">
                  <c:v>7341469</c:v>
                </c:pt>
                <c:pt idx="4">
                  <c:v>1397655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DB-45AD-A1F7-8F5546B01DB9}"/>
            </c:ext>
          </c:extLst>
        </c:ser>
        <c:ser>
          <c:idx val="1"/>
          <c:order val="1"/>
          <c:tx>
            <c:strRef>
              <c:f>[1]List1!$A$53</c:f>
              <c:strCache>
                <c:ptCount val="1"/>
                <c:pt idx="0">
                  <c:v>poslovanje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[1]List1!$B$51:$F$51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[1]List1!$B$53:$F$53</c:f>
              <c:numCache>
                <c:formatCode>General</c:formatCode>
                <c:ptCount val="5"/>
                <c:pt idx="0">
                  <c:v>9315030</c:v>
                </c:pt>
                <c:pt idx="1">
                  <c:v>7550620</c:v>
                </c:pt>
                <c:pt idx="2">
                  <c:v>15131458</c:v>
                </c:pt>
                <c:pt idx="3">
                  <c:v>16893333</c:v>
                </c:pt>
                <c:pt idx="4">
                  <c:v>15428908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DB-45AD-A1F7-8F5546B01DB9}"/>
            </c:ext>
          </c:extLst>
        </c:ser>
        <c:ser>
          <c:idx val="2"/>
          <c:order val="2"/>
          <c:tx>
            <c:strRef>
              <c:f>[1]List1!$A$54</c:f>
              <c:strCache>
                <c:ptCount val="1"/>
                <c:pt idx="0">
                  <c:v>naložbenje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[1]List1!$B$51:$F$51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[1]List1!$B$54:$F$54</c:f>
              <c:numCache>
                <c:formatCode>General</c:formatCode>
                <c:ptCount val="5"/>
                <c:pt idx="0">
                  <c:v>-4096778</c:v>
                </c:pt>
                <c:pt idx="1">
                  <c:v>-5464822</c:v>
                </c:pt>
                <c:pt idx="2">
                  <c:v>-10065144</c:v>
                </c:pt>
                <c:pt idx="3">
                  <c:v>-24344004</c:v>
                </c:pt>
                <c:pt idx="4">
                  <c:v>-16922760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DB-45AD-A1F7-8F5546B01DB9}"/>
            </c:ext>
          </c:extLst>
        </c:ser>
        <c:ser>
          <c:idx val="3"/>
          <c:order val="3"/>
          <c:tx>
            <c:strRef>
              <c:f>[1]List1!$A$55</c:f>
              <c:strCache>
                <c:ptCount val="1"/>
                <c:pt idx="0">
                  <c:v>denarni izid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[1]List1!$B$55:$F$55</c:f>
              <c:numCache>
                <c:formatCode>General</c:formatCode>
                <c:ptCount val="5"/>
                <c:pt idx="0">
                  <c:v>-12448</c:v>
                </c:pt>
                <c:pt idx="1">
                  <c:v>-152895</c:v>
                </c:pt>
                <c:pt idx="2">
                  <c:v>1628695</c:v>
                </c:pt>
                <c:pt idx="3">
                  <c:v>-109202</c:v>
                </c:pt>
                <c:pt idx="4">
                  <c:v>-96197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DB-45AD-A1F7-8F5546B01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249720"/>
        <c:axId val="502248760"/>
      </c:lineChart>
      <c:catAx>
        <c:axId val="502249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l-SI"/>
              </a:p>
              <a:p>
                <a:pPr>
                  <a:defRPr/>
                </a:pPr>
                <a:endParaRPr lang="sl-SI"/>
              </a:p>
            </c:rich>
          </c:tx>
          <c:layout>
            <c:manualLayout>
              <c:xMode val="edge"/>
              <c:yMode val="edge"/>
              <c:x val="0.53472783605398611"/>
              <c:y val="0.501707897199872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2248760"/>
        <c:crosses val="autoZero"/>
        <c:auto val="1"/>
        <c:lblAlgn val="ctr"/>
        <c:lblOffset val="100"/>
        <c:noMultiLvlLbl val="0"/>
      </c:catAx>
      <c:valAx>
        <c:axId val="50224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(&quot;€&quot;* #,##0_);_(&quot;€&quot;* \(#,##0\);_(&quot;€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22497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Poslovni prihodki in odhodki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[1]List1!$A$103</c:f>
              <c:strCache>
                <c:ptCount val="1"/>
                <c:pt idx="0">
                  <c:v>Poslovni prihodki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[1]List1!$B$100:$F$100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[1]List1!$B$103:$F$103</c:f>
              <c:numCache>
                <c:formatCode>General</c:formatCode>
                <c:ptCount val="5"/>
                <c:pt idx="0">
                  <c:v>86991224</c:v>
                </c:pt>
                <c:pt idx="1">
                  <c:v>96894219</c:v>
                </c:pt>
                <c:pt idx="2">
                  <c:v>110468653</c:v>
                </c:pt>
                <c:pt idx="3">
                  <c:v>128950664</c:v>
                </c:pt>
                <c:pt idx="4">
                  <c:v>147072684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E-43E6-9D0D-0F650A8579F2}"/>
            </c:ext>
          </c:extLst>
        </c:ser>
        <c:ser>
          <c:idx val="1"/>
          <c:order val="1"/>
          <c:tx>
            <c:strRef>
              <c:f>[1]List1!$A$104</c:f>
              <c:strCache>
                <c:ptCount val="1"/>
                <c:pt idx="0">
                  <c:v>Poslovni odhodki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[1]List1!$B$100:$F$100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[1]List1!$B$104:$F$104</c:f>
              <c:numCache>
                <c:formatCode>General</c:formatCode>
                <c:ptCount val="5"/>
                <c:pt idx="0">
                  <c:v>83979601</c:v>
                </c:pt>
                <c:pt idx="1">
                  <c:v>90406469</c:v>
                </c:pt>
                <c:pt idx="2">
                  <c:v>101921485</c:v>
                </c:pt>
                <c:pt idx="3">
                  <c:v>118089539</c:v>
                </c:pt>
                <c:pt idx="4">
                  <c:v>135524369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5E-43E6-9D0D-0F650A8579F2}"/>
            </c:ext>
          </c:extLst>
        </c:ser>
        <c:ser>
          <c:idx val="2"/>
          <c:order val="2"/>
          <c:tx>
            <c:strRef>
              <c:f>[1]List1!$A$102</c:f>
              <c:strCache>
                <c:ptCount val="1"/>
                <c:pt idx="0">
                  <c:v>izid iz poslovanja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[1]List1!$B$100:$F$100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[1]List1!$B$102:$F$102</c:f>
              <c:numCache>
                <c:formatCode>General</c:formatCode>
                <c:ptCount val="5"/>
                <c:pt idx="0">
                  <c:v>3011623</c:v>
                </c:pt>
                <c:pt idx="1">
                  <c:v>6487750</c:v>
                </c:pt>
                <c:pt idx="2">
                  <c:v>8547168</c:v>
                </c:pt>
                <c:pt idx="3">
                  <c:v>10861125</c:v>
                </c:pt>
                <c:pt idx="4">
                  <c:v>11548315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5E-43E6-9D0D-0F650A857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01504400"/>
        <c:axId val="501513680"/>
        <c:axId val="0"/>
      </c:bar3DChart>
      <c:catAx>
        <c:axId val="501504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1513680"/>
        <c:crosses val="autoZero"/>
        <c:auto val="1"/>
        <c:lblAlgn val="ctr"/>
        <c:lblOffset val="100"/>
        <c:noMultiLvlLbl val="0"/>
      </c:catAx>
      <c:valAx>
        <c:axId val="50151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(&quot;€&quot;* #,##0_);_(&quot;€&quot;* \(#,##0\);_(&quot;€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150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Produktivnost zaposlenih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'PRIHODKI IN STROŠKI'!$A$44</c:f>
              <c:strCache>
                <c:ptCount val="1"/>
                <c:pt idx="0">
                  <c:v> Stroški dela na zaposlenega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'PRIHODKI IN STROŠKI'!$B$41:$L$41</c15:sqref>
                  </c15:fullRef>
                </c:ext>
              </c:extLst>
              <c:f>'PRIHODKI IN STROŠKI'!$B$41:$K$41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'PRIHODKI IN STROŠKI'!$B$44:$L$44</c15:sqref>
                  </c15:fullRef>
                </c:ext>
              </c:extLst>
              <c:f>'PRIHODKI IN STROŠKI'!$B$44:$K$44</c:f>
              <c:numCache>
                <c:formatCode>_-* #,##0\ "€"_-;\-* #,##0\ "€"_-;_-* "-"??\ "€"_-;_-@_-</c:formatCode>
                <c:ptCount val="10"/>
                <c:pt idx="0">
                  <c:v>21860.234714003946</c:v>
                </c:pt>
                <c:pt idx="1">
                  <c:v>22608.54307116105</c:v>
                </c:pt>
                <c:pt idx="2">
                  <c:v>24017.515653775321</c:v>
                </c:pt>
                <c:pt idx="3">
                  <c:v>25124.035102040816</c:v>
                </c:pt>
                <c:pt idx="4">
                  <c:v>27064.594466403163</c:v>
                </c:pt>
                <c:pt idx="5">
                  <c:v>28552.215887379018</c:v>
                </c:pt>
                <c:pt idx="6">
                  <c:v>30121.605298445887</c:v>
                </c:pt>
                <c:pt idx="7">
                  <c:v>31777.257125476681</c:v>
                </c:pt>
                <c:pt idx="8">
                  <c:v>33523.912833117116</c:v>
                </c:pt>
                <c:pt idx="9">
                  <c:v>35366.574503417774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E0-4B95-A788-FE890B2706B2}"/>
            </c:ext>
          </c:extLst>
        </c:ser>
        <c:ser>
          <c:idx val="5"/>
          <c:order val="5"/>
          <c:tx>
            <c:strRef>
              <c:f>'PRIHODKI IN STROŠKI'!$A$47</c:f>
              <c:strCache>
                <c:ptCount val="1"/>
                <c:pt idx="0">
                  <c:v>ustvarjeni prihodki na zaposlenega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'PRIHODKI IN STROŠKI'!$B$41:$L$41</c15:sqref>
                  </c15:fullRef>
                </c:ext>
              </c:extLst>
              <c:f>'PRIHODKI IN STROŠKI'!$B$41:$K$41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'PRIHODKI IN STROŠKI'!$B$47:$L$47</c15:sqref>
                  </c15:fullRef>
                </c:ext>
              </c:extLst>
              <c:f>'PRIHODKI IN STROŠKI'!$B$47:$K$47</c:f>
              <c:numCache>
                <c:formatCode>_-* #,##0\ "€"_-;\-* #,##0\ "€"_-;_-* "-"??\ "€"_-;_-@_-</c:formatCode>
                <c:ptCount val="10"/>
                <c:pt idx="0">
                  <c:v>82608.288954635107</c:v>
                </c:pt>
                <c:pt idx="1">
                  <c:v>86457.951310861419</c:v>
                </c:pt>
                <c:pt idx="2">
                  <c:v>97543.546040515648</c:v>
                </c:pt>
                <c:pt idx="3">
                  <c:v>98773.746938775512</c:v>
                </c:pt>
                <c:pt idx="4">
                  <c:v>110164.36837944663</c:v>
                </c:pt>
                <c:pt idx="5">
                  <c:v>120079.16153359684</c:v>
                </c:pt>
                <c:pt idx="6">
                  <c:v>130886.28607162056</c:v>
                </c:pt>
                <c:pt idx="7">
                  <c:v>142666.05181806642</c:v>
                </c:pt>
                <c:pt idx="8">
                  <c:v>155505.99648169242</c:v>
                </c:pt>
                <c:pt idx="9">
                  <c:v>169501.53616504476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E0-4B95-A788-FE890B270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4104696"/>
        <c:axId val="5241034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'PRIHODKI IN STROŠKI'!$A$42</c15:sqref>
                        </c15:formulaRef>
                      </c:ext>
                    </c:extLst>
                    <c:strCache>
                      <c:ptCount val="1"/>
                      <c:pt idx="0">
                        <c:v> Skupna vrednost 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'PRIHODKI IN STROŠKI'!$B$41:$L$41</c15:sqref>
                        </c15:fullRef>
                        <c15:formulaRef>
                          <c15:sqref>'PRIHODKI IN STROŠKI'!$B$41:$K$41</c15:sqref>
                        </c15:formulaRef>
                      </c:ext>
                    </c:extLst>
                    <c:strCache>
                      <c:ptCount val="10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  <c:pt idx="9">
                        <c:v>2022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'PRIHODKI IN STROŠKI'!$B$42:$L$42</c15:sqref>
                        </c15:fullRef>
                        <c15:formulaRef>
                          <c15:sqref>'PRIHODKI IN STROŠKI'!$B$42:$K$42</c15:sqref>
                        </c15:formulaRef>
                      </c:ext>
                    </c:extLst>
                    <c:numCache>
                      <c:formatCode>_-* #,##0\ "€"_-;\-* #,##0\ "€"_-;_-* "-"??\ "€"_-;_-@_-</c:formatCode>
                      <c:ptCount val="10"/>
                      <c:pt idx="0">
                        <c:v>22166278</c:v>
                      </c:pt>
                      <c:pt idx="1">
                        <c:v>24145924</c:v>
                      </c:pt>
                      <c:pt idx="2">
                        <c:v>26083022</c:v>
                      </c:pt>
                      <c:pt idx="3">
                        <c:v>30776943</c:v>
                      </c:pt>
                      <c:pt idx="4">
                        <c:v>34236712</c:v>
                      </c:pt>
                      <c:pt idx="5">
                        <c:v>37444004.587352239</c:v>
                      </c:pt>
                      <c:pt idx="6">
                        <c:v>40589351.180142321</c:v>
                      </c:pt>
                      <c:pt idx="7">
                        <c:v>43998911.1042201</c:v>
                      </c:pt>
                      <c:pt idx="8">
                        <c:v>47694878.63368886</c:v>
                      </c:pt>
                      <c:pt idx="9">
                        <c:v>51701312.391436085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AE0-4B95-A788-FE890B2706B2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'PRIHODKI IN STROŠKI'!$A$43</c15:sqref>
                        </c15:formulaRef>
                      </c:ext>
                    </c:extLst>
                    <c:strCache>
                      <c:ptCount val="1"/>
                      <c:pt idx="0">
                        <c:v>število zaposlenih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'PRIHODKI IN STROŠKI'!$B$41:$L$41</c15:sqref>
                        </c15:fullRef>
                        <c15:formulaRef>
                          <c15:sqref>'PRIHODKI IN STROŠKI'!$B$41:$K$41</c15:sqref>
                        </c15:formulaRef>
                      </c:ext>
                    </c:extLst>
                    <c:strCache>
                      <c:ptCount val="10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  <c:pt idx="9">
                        <c:v>2022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'PRIHODKI IN STROŠKI'!$B$43:$L$43</c15:sqref>
                        </c15:fullRef>
                        <c15:formulaRef>
                          <c15:sqref>'PRIHODKI IN STROŠKI'!$B$43:$K$43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1014</c:v>
                      </c:pt>
                      <c:pt idx="1">
                        <c:v>1068</c:v>
                      </c:pt>
                      <c:pt idx="2">
                        <c:v>1086</c:v>
                      </c:pt>
                      <c:pt idx="3">
                        <c:v>1225</c:v>
                      </c:pt>
                      <c:pt idx="4">
                        <c:v>1265</c:v>
                      </c:pt>
                      <c:pt idx="5">
                        <c:v>1311.4220183486239</c:v>
                      </c:pt>
                      <c:pt idx="6">
                        <c:v>1347.5162023398705</c:v>
                      </c:pt>
                      <c:pt idx="7">
                        <c:v>1384.6038042391328</c:v>
                      </c:pt>
                      <c:pt idx="8">
                        <c:v>1422.7121658236963</c:v>
                      </c:pt>
                      <c:pt idx="9">
                        <c:v>1461.8693813968255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AE0-4B95-A788-FE890B2706B2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'PRIHODKI IN STROŠKI'!$A$45</c15:sqref>
                        </c15:formulaRef>
                      </c:ext>
                    </c:extLst>
                    <c:strCache>
                      <c:ptCount val="1"/>
                      <c:pt idx="0">
                        <c:v> rast zaposlovanja 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'PRIHODKI IN STROŠKI'!$B$41:$L$41</c15:sqref>
                        </c15:fullRef>
                        <c15:formulaRef>
                          <c15:sqref>'PRIHODKI IN STROŠKI'!$B$41:$K$41</c15:sqref>
                        </c15:formulaRef>
                      </c:ext>
                    </c:extLst>
                    <c:strCache>
                      <c:ptCount val="10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  <c:pt idx="9">
                        <c:v>2022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'PRIHODKI IN STROŠKI'!$B$45:$L$45</c15:sqref>
                        </c15:fullRef>
                        <c15:formulaRef>
                          <c15:sqref>'PRIHODKI IN STROŠKI'!$B$45:$K$45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0"/>
                      <c:pt idx="1">
                        <c:v>1.0532544378698225</c:v>
                      </c:pt>
                      <c:pt idx="2">
                        <c:v>1.0168539325842696</c:v>
                      </c:pt>
                      <c:pt idx="3">
                        <c:v>1.1279926335174955</c:v>
                      </c:pt>
                      <c:pt idx="4">
                        <c:v>1.0326530612244897</c:v>
                      </c:pt>
                      <c:pt idx="5">
                        <c:v>1.036697247706422</c:v>
                      </c:pt>
                      <c:pt idx="6">
                        <c:v>1.0275229357798166</c:v>
                      </c:pt>
                      <c:pt idx="7">
                        <c:v>1.0275229357798163</c:v>
                      </c:pt>
                      <c:pt idx="8">
                        <c:v>1.0275229357798166</c:v>
                      </c:pt>
                      <c:pt idx="9">
                        <c:v>1.0275229357798163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AE0-4B95-A788-FE890B2706B2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'PRIHODKI IN STROŠKI'!$A$46</c15:sqref>
                        </c15:formulaRef>
                      </c:ext>
                    </c:extLst>
                    <c:strCache>
                      <c:ptCount val="1"/>
                      <c:pt idx="0">
                        <c:v>rast stroškov dela na zaposlenega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'PRIHODKI IN STROŠKI'!$B$41:$L$41</c15:sqref>
                        </c15:fullRef>
                        <c15:formulaRef>
                          <c15:sqref>'PRIHODKI IN STROŠKI'!$B$41:$K$41</c15:sqref>
                        </c15:formulaRef>
                      </c:ext>
                    </c:extLst>
                    <c:strCache>
                      <c:ptCount val="10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  <c:pt idx="9">
                        <c:v>2022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'PRIHODKI IN STROŠKI'!$B$46:$L$46</c15:sqref>
                        </c15:fullRef>
                        <c15:formulaRef>
                          <c15:sqref>'PRIHODKI IN STROŠKI'!$B$46:$K$46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1">
                        <c:v>1.0342314877652128</c:v>
                      </c:pt>
                      <c:pt idx="2">
                        <c:v>1.0623203617402275</c:v>
                      </c:pt>
                      <c:pt idx="3">
                        <c:v>1.0460713532663635</c:v>
                      </c:pt>
                      <c:pt idx="4">
                        <c:v>1.0772391598913471</c:v>
                      </c:pt>
                      <c:pt idx="5">
                        <c:v>1.0549655906657875</c:v>
                      </c:pt>
                      <c:pt idx="6">
                        <c:v>1.0549655906657875</c:v>
                      </c:pt>
                      <c:pt idx="7">
                        <c:v>1.0549655906657875</c:v>
                      </c:pt>
                      <c:pt idx="8">
                        <c:v>1.0549655906657875</c:v>
                      </c:pt>
                      <c:pt idx="9">
                        <c:v>1.0549655906657875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AE0-4B95-A788-FE890B2706B2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'PRIHODKI IN STROŠKI'!$A$48</c15:sqref>
                        </c15:formulaRef>
                      </c:ext>
                    </c:extLst>
                    <c:strCache>
                      <c:ptCount val="1"/>
                      <c:pt idx="0">
                        <c:v>ustvarjen čisti dobiček na zaposlenega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'PRIHODKI IN STROŠKI'!$B$41:$L$41</c15:sqref>
                        </c15:fullRef>
                        <c15:formulaRef>
                          <c15:sqref>'PRIHODKI IN STROŠKI'!$B$41:$K$41</c15:sqref>
                        </c15:formulaRef>
                      </c:ext>
                    </c:extLst>
                    <c:strCache>
                      <c:ptCount val="10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  <c:pt idx="9">
                        <c:v>2022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'PRIHODKI IN STROŠKI'!$B$48:$L$48</c15:sqref>
                        </c15:fullRef>
                        <c15:formulaRef>
                          <c15:sqref>'PRIHODKI IN STROŠKI'!$B$48:$K$48</c15:sqref>
                        </c15:formulaRef>
                      </c:ext>
                    </c:extLst>
                    <c:numCache>
                      <c:formatCode>_-* #,##0\ "€"_-;\-* #,##0\ "€"_-;_-* "-"??\ "€"_-;_-@_-</c:formatCode>
                      <c:ptCount val="10"/>
                      <c:pt idx="0">
                        <c:v>2845.3570019723866</c:v>
                      </c:pt>
                      <c:pt idx="1">
                        <c:v>5877.0917602996251</c:v>
                      </c:pt>
                      <c:pt idx="2">
                        <c:v>7726.1132596685084</c:v>
                      </c:pt>
                      <c:pt idx="3">
                        <c:v>8340.8873469387763</c:v>
                      </c:pt>
                      <c:pt idx="4">
                        <c:v>8572.9304347826092</c:v>
                      </c:pt>
                      <c:pt idx="5">
                        <c:v>9947.8483929255908</c:v>
                      </c:pt>
                      <c:pt idx="6">
                        <c:v>9253.4837560181459</c:v>
                      </c:pt>
                      <c:pt idx="7">
                        <c:v>11103.846640968723</c:v>
                      </c:pt>
                      <c:pt idx="8">
                        <c:v>11746.060463865857</c:v>
                      </c:pt>
                      <c:pt idx="9">
                        <c:v>14056.841211507584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AE0-4B95-A788-FE890B2706B2}"/>
                  </c:ext>
                </c:extLst>
              </c15:ser>
            </c15:filteredBarSeries>
          </c:ext>
        </c:extLst>
      </c:barChart>
      <c:catAx>
        <c:axId val="524104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24103416"/>
        <c:crosses val="autoZero"/>
        <c:auto val="1"/>
        <c:lblAlgn val="ctr"/>
        <c:lblOffset val="100"/>
        <c:noMultiLvlLbl val="0"/>
      </c:catAx>
      <c:valAx>
        <c:axId val="52410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&quot;€&quot;_-;\-* #,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24104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EBIT in EBITDA</a:t>
            </a:r>
            <a:endParaRPr lang="sl-SI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>
        <c:manualLayout>
          <c:layoutTarget val="inner"/>
          <c:xMode val="edge"/>
          <c:yMode val="edge"/>
          <c:x val="0.22869203849518807"/>
          <c:y val="0.13425925925925927"/>
          <c:w val="0.59908573928258968"/>
          <c:h val="0.66111913094196562"/>
        </c:manualLayout>
      </c:layout>
      <c:lineChart>
        <c:grouping val="standard"/>
        <c:varyColors val="0"/>
        <c:ser>
          <c:idx val="0"/>
          <c:order val="0"/>
          <c:tx>
            <c:v>EBIT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'KAZALNIKI - PODJETJE X'!$B$27:$F$27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'KAZALNIKI - PODJETJE X'!$B$28:$F$28</c:f>
              <c:numCache>
                <c:formatCode>_-* #,##0\ "€"_-;\-* #,##0\ "€"_-;_-* "-"??\ "€"_-;_-@_-</c:formatCode>
                <c:ptCount val="5"/>
                <c:pt idx="0">
                  <c:v>3011623</c:v>
                </c:pt>
                <c:pt idx="1">
                  <c:v>6487750</c:v>
                </c:pt>
                <c:pt idx="2">
                  <c:v>8547168</c:v>
                </c:pt>
                <c:pt idx="3">
                  <c:v>10861125</c:v>
                </c:pt>
                <c:pt idx="4">
                  <c:v>11548315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3B-487E-9439-9E7E46F2BF71}"/>
            </c:ext>
          </c:extLst>
        </c:ser>
        <c:ser>
          <c:idx val="1"/>
          <c:order val="1"/>
          <c:tx>
            <c:v>EBITDA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'KAZALNIKI - PODJETJE X'!$B$27:$F$27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'KAZALNIKI - PODJETJE X'!$B$29:$F$29</c:f>
              <c:numCache>
                <c:formatCode>_-* #,##0\ "€"_-;\-* #,##0\ "€"_-;_-* "-"??\ "€"_-;_-@_-</c:formatCode>
                <c:ptCount val="5"/>
                <c:pt idx="0">
                  <c:v>8575676</c:v>
                </c:pt>
                <c:pt idx="1">
                  <c:v>11734201</c:v>
                </c:pt>
                <c:pt idx="2">
                  <c:v>13977505</c:v>
                </c:pt>
                <c:pt idx="3">
                  <c:v>17080699</c:v>
                </c:pt>
                <c:pt idx="4">
                  <c:v>18953885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3B-487E-9439-9E7E46F2B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118544"/>
        <c:axId val="556119184"/>
      </c:lineChart>
      <c:catAx>
        <c:axId val="556118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56119184"/>
        <c:crosses val="autoZero"/>
        <c:auto val="1"/>
        <c:lblAlgn val="ctr"/>
        <c:lblOffset val="100"/>
        <c:noMultiLvlLbl val="0"/>
      </c:catAx>
      <c:valAx>
        <c:axId val="55611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-* #,##0\ &quot;€&quot;_-;\-* #,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5611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ROA</a:t>
            </a:r>
            <a:r>
              <a:rPr lang="sl-SI" baseline="0"/>
              <a:t> IN ROE dobičkonosnosti</a:t>
            </a:r>
            <a:endParaRPr lang="sl-S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'KAZALNIKI - PODJETJE X'!$A$55</c:f>
              <c:strCache>
                <c:ptCount val="1"/>
                <c:pt idx="0">
                  <c:v>ROA (dobičkonosnost sredstev)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'KAZALNIKI - PODJETJE X'!$B$54:$F$54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'KAZALNIKI - PODJETJE X'!$B$56:$F$56</c:f>
              <c:numCache>
                <c:formatCode>_(* #,##0.00_);_(* \(#,##0.00\);_(* "-"??_);_(@_)</c:formatCode>
                <c:ptCount val="5"/>
                <c:pt idx="0">
                  <c:v>3.7947073618181934E-2</c:v>
                </c:pt>
                <c:pt idx="1">
                  <c:v>8.2553842926136475E-2</c:v>
                </c:pt>
                <c:pt idx="2">
                  <c:v>0.11035562280454785</c:v>
                </c:pt>
                <c:pt idx="3">
                  <c:v>0.13438534630942367</c:v>
                </c:pt>
                <c:pt idx="4">
                  <c:v>0.14263410970579907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F7-4F56-9415-9A9117C5319E}"/>
            </c:ext>
          </c:extLst>
        </c:ser>
        <c:ser>
          <c:idx val="1"/>
          <c:order val="1"/>
          <c:tx>
            <c:strRef>
              <c:f>'KAZALNIKI - PODJETJE X'!$A$58</c:f>
              <c:strCache>
                <c:ptCount val="1"/>
                <c:pt idx="0">
                  <c:v>ROE (dobičkonosnost kapitala)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'KAZALNIKI - PODJETJE X'!$B$54:$F$54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'KAZALNIKI - PODJETJE X'!$B$59:$F$59</c:f>
              <c:numCache>
                <c:formatCode>_(* #,##0.00_);_(* \(#,##0.00\);_(* "-"??_);_(@_)</c:formatCode>
                <c:ptCount val="5"/>
                <c:pt idx="0">
                  <c:v>7.6440562317114547E-2</c:v>
                </c:pt>
                <c:pt idx="1">
                  <c:v>0.16629641163394035</c:v>
                </c:pt>
                <c:pt idx="2">
                  <c:v>0.22230030033180678</c:v>
                </c:pt>
                <c:pt idx="3">
                  <c:v>0.27070576093516113</c:v>
                </c:pt>
                <c:pt idx="4">
                  <c:v>0.28732206496914736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F7-4F56-9415-9A9117C53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307536"/>
        <c:axId val="504304016"/>
      </c:lineChart>
      <c:catAx>
        <c:axId val="504307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4304016"/>
        <c:crosses val="autoZero"/>
        <c:auto val="1"/>
        <c:lblAlgn val="ctr"/>
        <c:lblOffset val="100"/>
        <c:noMultiLvlLbl val="0"/>
      </c:catAx>
      <c:valAx>
        <c:axId val="50430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 koeficienta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430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Likvidnost</a:t>
            </a:r>
            <a:r>
              <a:rPr lang="sl-SI" baseline="0"/>
              <a:t> podjetja</a:t>
            </a:r>
            <a:endParaRPr lang="sl-S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'KAZALNIKI - PODJETJE X'!$A$36</c:f>
              <c:strCache>
                <c:ptCount val="1"/>
                <c:pt idx="0">
                  <c:v>KRATKOROČNI KOEFICIENT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'KAZALNIKI - PODJETJE X'!$B$35:$F$35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'KAZALNIKI - PODJETJE X'!$B$37:$F$37</c:f>
              <c:numCache>
                <c:formatCode>_(* #,##0.00_);_(* \(#,##0.00\);_(* "-"??_);_(@_)</c:formatCode>
                <c:ptCount val="5"/>
                <c:pt idx="0">
                  <c:v>1.5214517798186127</c:v>
                </c:pt>
                <c:pt idx="1">
                  <c:v>1.5995777469078718</c:v>
                </c:pt>
                <c:pt idx="2">
                  <c:v>1.5503669996803557</c:v>
                </c:pt>
                <c:pt idx="3">
                  <c:v>1.3700387485177719</c:v>
                </c:pt>
                <c:pt idx="4">
                  <c:v>1.261500923435332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B1-4C66-A626-AEF59756957A}"/>
            </c:ext>
          </c:extLst>
        </c:ser>
        <c:ser>
          <c:idx val="0"/>
          <c:order val="1"/>
          <c:tx>
            <c:strRef>
              <c:f>'KAZALNIKI - PODJETJE X'!$A$39</c:f>
              <c:strCache>
                <c:ptCount val="1"/>
                <c:pt idx="0">
                  <c:v>POSPEŠENI KOEFICIENT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'KAZALNIKI - PODJETJE X'!$B$40:$F$40</c:f>
              <c:numCache>
                <c:formatCode>_(* #,##0.00_);_(* \(#,##0.00\);_(* "-"??_);_(@_)</c:formatCode>
                <c:ptCount val="5"/>
                <c:pt idx="0">
                  <c:v>0.92093927984828095</c:v>
                </c:pt>
                <c:pt idx="1">
                  <c:v>0.96000790450061046</c:v>
                </c:pt>
                <c:pt idx="2">
                  <c:v>1.0241765790031805</c:v>
                </c:pt>
                <c:pt idx="3">
                  <c:v>0.82680750100789746</c:v>
                </c:pt>
                <c:pt idx="4">
                  <c:v>0.7613555611697832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B1-4C66-A626-AEF59756957A}"/>
            </c:ext>
          </c:extLst>
        </c:ser>
        <c:ser>
          <c:idx val="1"/>
          <c:order val="2"/>
          <c:tx>
            <c:strRef>
              <c:f>'KAZALNIKI - PODJETJE X'!$A$42</c:f>
              <c:strCache>
                <c:ptCount val="1"/>
                <c:pt idx="0">
                  <c:v>HITRI KOEFICIENT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'KAZALNIKI - PODJETJE X'!$B$43:$F$43</c:f>
              <c:numCache>
                <c:formatCode>_(* #,##0.00_);_(* \(#,##0.00\);_(* "-"??_);_(@_)</c:formatCode>
                <c:ptCount val="5"/>
                <c:pt idx="0">
                  <c:v>9.4144900519652935E-2</c:v>
                </c:pt>
                <c:pt idx="1">
                  <c:v>8.3581910409935734E-2</c:v>
                </c:pt>
                <c:pt idx="2">
                  <c:v>0.13090219755202809</c:v>
                </c:pt>
                <c:pt idx="3">
                  <c:v>0.10047632705706151</c:v>
                </c:pt>
                <c:pt idx="4">
                  <c:v>7.9552739882009185E-2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B1-4C66-A626-AEF597569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879760"/>
        <c:axId val="552880080"/>
      </c:lineChart>
      <c:catAx>
        <c:axId val="552879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52880080"/>
        <c:crosses val="autoZero"/>
        <c:auto val="1"/>
        <c:lblAlgn val="ctr"/>
        <c:lblOffset val="100"/>
        <c:noMultiLvlLbl val="0"/>
      </c:catAx>
      <c:valAx>
        <c:axId val="55288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 koeficienta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12109944590259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5287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sl-SI"/>
              <a:t>D</a:t>
            </a:r>
            <a:r>
              <a:rPr lang="en-US"/>
              <a:t>oba vezave terjatev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'KAZALNIKI - PODJETJE X'!$A$72</c:f>
              <c:strCache>
                <c:ptCount val="1"/>
                <c:pt idx="0">
                  <c:v> doba vezave terjatev (št. dni)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'KAZALNIKI - PODJETJE X'!$B$69:$F$69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'KAZALNIKI - PODJETJE X'!$B$72:$F$72</c:f>
              <c:numCache>
                <c:formatCode>_(* #,##0.00_);_(* \(#,##0.00\);_(* "-"??_);_(@_)</c:formatCode>
                <c:ptCount val="5"/>
                <c:pt idx="0">
                  <c:v>90.554859335015465</c:v>
                </c:pt>
                <c:pt idx="1">
                  <c:v>82.148029244845617</c:v>
                </c:pt>
                <c:pt idx="2">
                  <c:v>71.605268444538794</c:v>
                </c:pt>
                <c:pt idx="3">
                  <c:v>62.689632591788417</c:v>
                </c:pt>
                <c:pt idx="4">
                  <c:v>54.430417786211891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FD-4296-9558-65C2E8E46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793104"/>
        <c:axId val="535790224"/>
      </c:barChart>
      <c:catAx>
        <c:axId val="535793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35790224"/>
        <c:crosses val="autoZero"/>
        <c:auto val="1"/>
        <c:lblAlgn val="ctr"/>
        <c:lblOffset val="100"/>
        <c:noMultiLvlLbl val="0"/>
      </c:catAx>
      <c:valAx>
        <c:axId val="53579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število dni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3579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'KAZALNIKI - PODJETJE X'!$A$98</c:f>
              <c:strCache>
                <c:ptCount val="1"/>
                <c:pt idx="0">
                  <c:v>avtomobilska industrija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'KAZALNIKI - PODJETJE X'!$B$98:$F$98</c:f>
              <c:numCache>
                <c:formatCode>#,##0</c:formatCode>
                <c:ptCount val="5"/>
                <c:pt idx="0">
                  <c:v>5737566</c:v>
                </c:pt>
                <c:pt idx="1">
                  <c:v>8362320</c:v>
                </c:pt>
                <c:pt idx="2">
                  <c:v>13033474</c:v>
                </c:pt>
                <c:pt idx="3">
                  <c:v>21373193</c:v>
                </c:pt>
                <c:pt idx="4">
                  <c:v>22042907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7B-4B9B-97BA-8FBC8B74CC70}"/>
            </c:ext>
          </c:extLst>
        </c:ser>
        <c:ser>
          <c:idx val="1"/>
          <c:order val="1"/>
          <c:tx>
            <c:strRef>
              <c:f>'KAZALNIKI - PODJETJE X'!$A$99</c:f>
              <c:strCache>
                <c:ptCount val="1"/>
                <c:pt idx="0">
                  <c:v>sesalne enote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'KAZALNIKI - PODJETJE X'!$B$99:$F$99</c:f>
              <c:numCache>
                <c:formatCode>#,##0</c:formatCode>
                <c:ptCount val="5"/>
                <c:pt idx="0">
                  <c:v>49822017</c:v>
                </c:pt>
                <c:pt idx="1">
                  <c:v>49750276</c:v>
                </c:pt>
                <c:pt idx="2">
                  <c:v>50816115</c:v>
                </c:pt>
                <c:pt idx="3">
                  <c:v>52139088</c:v>
                </c:pt>
                <c:pt idx="4">
                  <c:v>58562104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7B-4B9B-97BA-8FBC8B74CC70}"/>
            </c:ext>
          </c:extLst>
        </c:ser>
        <c:ser>
          <c:idx val="2"/>
          <c:order val="2"/>
          <c:tx>
            <c:strRef>
              <c:f>'KAZALNIKI - PODJETJE X'!$A$100</c:f>
              <c:strCache>
                <c:ptCount val="1"/>
                <c:pt idx="0">
                  <c:v>ventilatorji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'KAZALNIKI - PODJETJE X'!$B$100:$F$100</c:f>
              <c:numCache>
                <c:formatCode>#,##0</c:formatCode>
                <c:ptCount val="5"/>
                <c:pt idx="0">
                  <c:v>6280570</c:v>
                </c:pt>
                <c:pt idx="1">
                  <c:v>8076665</c:v>
                </c:pt>
                <c:pt idx="2">
                  <c:v>10029807</c:v>
                </c:pt>
                <c:pt idx="3">
                  <c:v>13269198</c:v>
                </c:pt>
                <c:pt idx="4">
                  <c:v>19084478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7B-4B9B-97BA-8FBC8B74C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8869112"/>
        <c:axId val="538871992"/>
      </c:barChart>
      <c:lineChart>
        <c:grouping val="standard"/>
        <c:varyColors val="0"/>
        <c:ser>
          <c:idx val="3"/>
          <c:order val="3"/>
          <c:tx>
            <c:v>Delež avtom. Ind. V prihodkih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'KAZALNIKI - PODJETJE X'!$B$101:$F$101</c:f>
              <c:numCache>
                <c:formatCode>General</c:formatCode>
                <c:ptCount val="5"/>
                <c:pt idx="0">
                  <c:v>6.8496142264045143E-2</c:v>
                </c:pt>
                <c:pt idx="1">
                  <c:v>9.0562956000390396E-2</c:v>
                </c:pt>
                <c:pt idx="2">
                  <c:v>0.12303589280439521</c:v>
                </c:pt>
                <c:pt idx="3">
                  <c:v>0.17664111194051069</c:v>
                </c:pt>
                <c:pt idx="4">
                  <c:v>0.15817476359399896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7B-4B9B-97BA-8FBC8B74C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651256"/>
        <c:axId val="444647096"/>
      </c:lineChart>
      <c:catAx>
        <c:axId val="53886911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38871992"/>
        <c:crosses val="autoZero"/>
        <c:auto val="1"/>
        <c:lblAlgn val="ctr"/>
        <c:lblOffset val="100"/>
        <c:noMultiLvlLbl val="0"/>
      </c:catAx>
      <c:valAx>
        <c:axId val="53887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38869112"/>
        <c:crosses val="autoZero"/>
        <c:crossBetween val="between"/>
      </c:valAx>
      <c:valAx>
        <c:axId val="4446470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44651256"/>
        <c:crosses val="max"/>
        <c:crossBetween val="between"/>
      </c:valAx>
      <c:catAx>
        <c:axId val="444651256"/>
        <c:scaling>
          <c:orientation val="minMax"/>
        </c:scaling>
        <c:delete val="1"/>
        <c:axPos val="b"/>
        <c:majorTickMark val="out"/>
        <c:minorTickMark val="none"/>
        <c:tickLblPos val="nextTo"/>
        <c:crossAx val="444647096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accent1">
              <a:alpha val="93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Gibanje sredstev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>
        <c:manualLayout>
          <c:layoutTarget val="inner"/>
          <c:xMode val="edge"/>
          <c:yMode val="edge"/>
          <c:x val="0.23529422371821843"/>
          <c:y val="0.21296296296296297"/>
          <c:w val="0.45081685400012023"/>
          <c:h val="0.53148950131233597"/>
        </c:manualLayout>
      </c:layout>
      <c:lineChart>
        <c:grouping val="standard"/>
        <c:varyColors val="0"/>
        <c:ser>
          <c:idx val="0"/>
          <c:order val="0"/>
          <c:tx>
            <c:strRef>
              <c:f>AKTIVA!$A$6</c:f>
              <c:strCache>
                <c:ptCount val="1"/>
                <c:pt idx="0">
                  <c:v> dolgoročna sredstva skupaj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AKTIVA!$B$1:$K$1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AKTIVA!$B$6:$K$6</c:f>
              <c:numCache>
                <c:formatCode>_-* #,##0\ "€"_-;\-* #,##0\ "€"_-;_-* "-"??\ "€"_-;_-@_-</c:formatCode>
                <c:ptCount val="10"/>
                <c:pt idx="0">
                  <c:v>21945948</c:v>
                </c:pt>
                <c:pt idx="1">
                  <c:v>22753615</c:v>
                </c:pt>
                <c:pt idx="2">
                  <c:v>27856412</c:v>
                </c:pt>
                <c:pt idx="3">
                  <c:v>44902802</c:v>
                </c:pt>
                <c:pt idx="4">
                  <c:v>54286242</c:v>
                </c:pt>
                <c:pt idx="5">
                  <c:v>60042745.004806012</c:v>
                </c:pt>
                <c:pt idx="6">
                  <c:v>67681703.255457044</c:v>
                </c:pt>
                <c:pt idx="7">
                  <c:v>74261311.060252488</c:v>
                </c:pt>
                <c:pt idx="8">
                  <c:v>81941164.568726242</c:v>
                </c:pt>
                <c:pt idx="9">
                  <c:v>90924953.705389395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76-4FF8-B4DB-AB64E5A7D876}"/>
            </c:ext>
          </c:extLst>
        </c:ser>
        <c:ser>
          <c:idx val="1"/>
          <c:order val="1"/>
          <c:tx>
            <c:strRef>
              <c:f>AKTIVA!$A$11</c:f>
              <c:strCache>
                <c:ptCount val="1"/>
                <c:pt idx="0">
                  <c:v> kratkoročna sredstva skupaj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AKTIVA!$B$1:$K$1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AKTIVA!$B$11:$K$11</c:f>
              <c:numCache>
                <c:formatCode>_-* #,##0\ "€"_-;\-* #,##0\ "€"_-;_-* "-"??\ "€"_-;_-@_-</c:formatCode>
                <c:ptCount val="10"/>
                <c:pt idx="0">
                  <c:v>32692364</c:v>
                </c:pt>
                <c:pt idx="1">
                  <c:v>35769668</c:v>
                </c:pt>
                <c:pt idx="2">
                  <c:v>41426307</c:v>
                </c:pt>
                <c:pt idx="3">
                  <c:v>46257106</c:v>
                </c:pt>
                <c:pt idx="4">
                  <c:v>52269549</c:v>
                </c:pt>
                <c:pt idx="5">
                  <c:v>54516673.19340001</c:v>
                </c:pt>
                <c:pt idx="6">
                  <c:v>55415154.430080011</c:v>
                </c:pt>
                <c:pt idx="7">
                  <c:v>61964823.478233621</c:v>
                </c:pt>
                <c:pt idx="8">
                  <c:v>69292440.853489175</c:v>
                </c:pt>
                <c:pt idx="9">
                  <c:v>72324671.438511148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76-4FF8-B4DB-AB64E5A7D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652344"/>
        <c:axId val="511652664"/>
      </c:lineChart>
      <c:catAx>
        <c:axId val="511652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2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11652664"/>
        <c:crosses val="autoZero"/>
        <c:auto val="1"/>
        <c:lblAlgn val="ctr"/>
        <c:lblOffset val="100"/>
        <c:noMultiLvlLbl val="0"/>
      </c:catAx>
      <c:valAx>
        <c:axId val="51165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 </a:t>
                </a:r>
              </a:p>
            </c:rich>
          </c:tx>
          <c:layout>
            <c:manualLayout>
              <c:xMode val="edge"/>
              <c:yMode val="edge"/>
              <c:x val="2.2900763358778626E-2"/>
              <c:y val="0.335235491396908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-* #,##0\ &quot;€&quot;_-;\-* #,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11652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376590330788808"/>
          <c:y val="0.55171223388743074"/>
          <c:w val="0.34096692111959287"/>
          <c:h val="0.156251093613298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N</a:t>
            </a:r>
            <a:r>
              <a:rPr lang="en-US"/>
              <a:t>aložbe v osnovna sredstva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naložbe v osnovna sredstva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NALOŽBE!$B$1:$K$1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NALOŽBE!$B$5:$K$5</c:f>
              <c:numCache>
                <c:formatCode>_-* #,##0\ "€"_-;\-* #,##0\ "€"_-;_-* "-"??\ "€"_-;_-@_-</c:formatCode>
                <c:ptCount val="10"/>
                <c:pt idx="0">
                  <c:v>2786552</c:v>
                </c:pt>
                <c:pt idx="1">
                  <c:v>5944315</c:v>
                </c:pt>
                <c:pt idx="2">
                  <c:v>11102237</c:v>
                </c:pt>
                <c:pt idx="3">
                  <c:v>24382154</c:v>
                </c:pt>
                <c:pt idx="4">
                  <c:v>16617228</c:v>
                </c:pt>
                <c:pt idx="5">
                  <c:v>13216163.1984</c:v>
                </c:pt>
                <c:pt idx="6">
                  <c:v>14777374.514688</c:v>
                </c:pt>
                <c:pt idx="7">
                  <c:v>14458458.811587844</c:v>
                </c:pt>
                <c:pt idx="8">
                  <c:v>16168236.199147476</c:v>
                </c:pt>
                <c:pt idx="9">
                  <c:v>18081167.859627787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04-4FCF-AD7E-6FEDC7ACB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072184"/>
        <c:axId val="563072504"/>
      </c:lineChart>
      <c:catAx>
        <c:axId val="563072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63072504"/>
        <c:crosses val="autoZero"/>
        <c:auto val="1"/>
        <c:lblAlgn val="ctr"/>
        <c:lblOffset val="100"/>
        <c:noMultiLvlLbl val="0"/>
      </c:catAx>
      <c:valAx>
        <c:axId val="56307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</a:t>
                </a:r>
                <a:r>
                  <a:rPr lang="sl-SI" baseline="0"/>
                  <a:t> denarnega toka</a:t>
                </a:r>
                <a:endParaRPr lang="sl-SI"/>
              </a:p>
            </c:rich>
          </c:tx>
          <c:layout>
            <c:manualLayout>
              <c:xMode val="edge"/>
              <c:yMode val="edge"/>
              <c:x val="3.0555555555555555E-2"/>
              <c:y val="0.274120370370370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-* #,##0\ &quot;€&quot;_-;\-* #,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63072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Gibanje obratnega kapitala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NALOŽBE!$A$20</c:f>
              <c:strCache>
                <c:ptCount val="1"/>
                <c:pt idx="0">
                  <c:v> vrednost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NALOŽBE!$B$19:$K$19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NALOŽBE!$B$20:$K$20</c:f>
              <c:numCache>
                <c:formatCode>_-* #,##0\ "€"_-;\-* #,##0\ "€"_-;_-* "-"??\ "€"_-;_-@_-</c:formatCode>
                <c:ptCount val="10"/>
                <c:pt idx="0">
                  <c:v>16327961</c:v>
                </c:pt>
                <c:pt idx="1">
                  <c:v>20013329</c:v>
                </c:pt>
                <c:pt idx="2">
                  <c:v>19772097</c:v>
                </c:pt>
                <c:pt idx="3">
                  <c:v>19711480</c:v>
                </c:pt>
                <c:pt idx="4">
                  <c:v>22845703</c:v>
                </c:pt>
                <c:pt idx="5">
                  <c:v>24780305.997000005</c:v>
                </c:pt>
                <c:pt idx="6">
                  <c:v>22166061.772032011</c:v>
                </c:pt>
                <c:pt idx="7">
                  <c:v>26851423.507234558</c:v>
                </c:pt>
                <c:pt idx="8">
                  <c:v>30026724.369845308</c:v>
                </c:pt>
                <c:pt idx="9">
                  <c:v>30996287.759361923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2-4B76-A73E-CFC31A8C1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3080184"/>
        <c:axId val="563080504"/>
      </c:barChart>
      <c:lineChart>
        <c:grouping val="standard"/>
        <c:varyColors val="0"/>
        <c:ser>
          <c:idx val="1"/>
          <c:order val="1"/>
          <c:tx>
            <c:strRef>
              <c:f>NALOŽBE!$A$21</c:f>
              <c:strCache>
                <c:ptCount val="1"/>
                <c:pt idx="0">
                  <c:v>delež v letnih prihodkih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NALOŽBE!$B$21:$K$21</c:f>
              <c:numCache>
                <c:formatCode>0%</c:formatCode>
                <c:ptCount val="10"/>
                <c:pt idx="0">
                  <c:v>0.18794790395802333</c:v>
                </c:pt>
                <c:pt idx="1">
                  <c:v>0.20842355143456792</c:v>
                </c:pt>
                <c:pt idx="2">
                  <c:v>0.17662969259205374</c:v>
                </c:pt>
                <c:pt idx="3">
                  <c:v>0.15445327243300794</c:v>
                </c:pt>
                <c:pt idx="4">
                  <c:v>0.15592942626780612</c:v>
                </c:pt>
                <c:pt idx="5">
                  <c:v>0.15000000000000005</c:v>
                </c:pt>
                <c:pt idx="6">
                  <c:v>0.12000000000000005</c:v>
                </c:pt>
                <c:pt idx="7">
                  <c:v>0.12999999999999998</c:v>
                </c:pt>
                <c:pt idx="8">
                  <c:v>0.13</c:v>
                </c:pt>
                <c:pt idx="9">
                  <c:v>0.12000000000000001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32-4B76-A73E-CFC31A8C1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763000"/>
        <c:axId val="541056056"/>
      </c:lineChart>
      <c:catAx>
        <c:axId val="563080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63080504"/>
        <c:crosses val="autoZero"/>
        <c:auto val="1"/>
        <c:lblAlgn val="ctr"/>
        <c:lblOffset val="100"/>
        <c:noMultiLvlLbl val="0"/>
      </c:catAx>
      <c:valAx>
        <c:axId val="56308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&quot;€&quot;_-;\-* #,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63080184"/>
        <c:crosses val="autoZero"/>
        <c:crossBetween val="between"/>
      </c:valAx>
      <c:valAx>
        <c:axId val="541056056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58763000"/>
        <c:crosses val="max"/>
        <c:crossBetween val="between"/>
      </c:valAx>
      <c:catAx>
        <c:axId val="458763000"/>
        <c:scaling>
          <c:orientation val="minMax"/>
        </c:scaling>
        <c:delete val="1"/>
        <c:axPos val="b"/>
        <c:majorTickMark val="none"/>
        <c:minorTickMark val="none"/>
        <c:tickLblPos val="nextTo"/>
        <c:crossAx val="541056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Primerjava rasti čistih prihodkov od prodaje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ELEKTROINDUSTRIJA V SLO.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'MAKRO ANALIZA'!$C$72:$F$72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'MAKRO ANALIZA'!$C$73:$F$73</c:f>
              <c:numCache>
                <c:formatCode>_(* #,##0.00_);_(* \(#,##0.00\);_(* "-"??_);_(@_)</c:formatCode>
                <c:ptCount val="4"/>
                <c:pt idx="1">
                  <c:v>1.044</c:v>
                </c:pt>
                <c:pt idx="2">
                  <c:v>1.0760000000000001</c:v>
                </c:pt>
                <c:pt idx="3">
                  <c:v>1.111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2-4DED-A897-254271DBC752}"/>
            </c:ext>
          </c:extLst>
        </c:ser>
        <c:ser>
          <c:idx val="1"/>
          <c:order val="1"/>
          <c:tx>
            <c:v>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'MAKRO ANALIZA'!$C$85:$F$85</c:f>
              <c:numCache>
                <c:formatCode>_(* #,##0.00_);_(* \(#,##0.00\);_(* "-"??_);_(@_)</c:formatCode>
                <c:ptCount val="4"/>
                <c:pt idx="1">
                  <c:v>1.1472344288252005</c:v>
                </c:pt>
                <c:pt idx="2">
                  <c:v>1.1422186649394754</c:v>
                </c:pt>
                <c:pt idx="3">
                  <c:v>1.1517389566623668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2-4DED-A897-254271DBC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050928"/>
        <c:axId val="503053488"/>
      </c:barChart>
      <c:catAx>
        <c:axId val="50305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3053488"/>
        <c:crosses val="autoZero"/>
        <c:auto val="1"/>
        <c:lblAlgn val="ctr"/>
        <c:lblOffset val="100"/>
        <c:noMultiLvlLbl val="0"/>
      </c:catAx>
      <c:valAx>
        <c:axId val="50305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 koeficienta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305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Primerjava</a:t>
            </a:r>
            <a:r>
              <a:rPr lang="sl-SI" baseline="0"/>
              <a:t> rasti stroškov blaga, materiala in storitev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ELEKTROINDUSTRIJA V SLO.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'MAKRO ANALIZA'!$C$84:$F$84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'MAKRO ANALIZA'!$C$74:$F$74</c:f>
              <c:numCache>
                <c:formatCode>_(* #,##0.00_);_(* \(#,##0.00\);_(* "-"??_);_(@_)</c:formatCode>
                <c:ptCount val="4"/>
                <c:pt idx="1">
                  <c:v>1.04</c:v>
                </c:pt>
                <c:pt idx="2">
                  <c:v>1.08</c:v>
                </c:pt>
                <c:pt idx="3">
                  <c:v>1.133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76-4E8C-B381-0C3F0FFA1EBD}"/>
            </c:ext>
          </c:extLst>
        </c:ser>
        <c:ser>
          <c:idx val="1"/>
          <c:order val="1"/>
          <c:tx>
            <c:v>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'MAKRO ANALIZA'!$C$84:$F$84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'MAKRO ANALIZA'!$C$86:$F$86</c:f>
              <c:numCache>
                <c:formatCode>_(* #,##0.00_);_(* \(#,##0.00\);_(* "-"??_);_(@_)</c:formatCode>
                <c:ptCount val="4"/>
                <c:pt idx="1">
                  <c:v>1.1480646140270654</c:v>
                </c:pt>
                <c:pt idx="2">
                  <c:v>1.1456369739449577</c:v>
                </c:pt>
                <c:pt idx="3">
                  <c:v>1.1519952651333045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76-4E8C-B381-0C3F0FFA1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972216"/>
        <c:axId val="482970296"/>
      </c:barChart>
      <c:catAx>
        <c:axId val="482972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82970296"/>
        <c:crosses val="autoZero"/>
        <c:auto val="1"/>
        <c:lblAlgn val="ctr"/>
        <c:lblOffset val="100"/>
        <c:noMultiLvlLbl val="0"/>
      </c:catAx>
      <c:valAx>
        <c:axId val="48297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</a:t>
                </a:r>
                <a:r>
                  <a:rPr lang="sl-SI" baseline="0"/>
                  <a:t> </a:t>
                </a:r>
                <a:r>
                  <a:rPr lang="sl-SI"/>
                  <a:t>koeficienta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82972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Dobičkonosnost kapitala - ROE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Slovenija (EEI)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'MAKRO ANALIZA'!$B$84:$F$84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'MAKRO ANALIZA'!$B$78:$F$78</c:f>
              <c:numCache>
                <c:formatCode>0%</c:formatCode>
                <c:ptCount val="5"/>
                <c:pt idx="0">
                  <c:v>0.10730000000000001</c:v>
                </c:pt>
                <c:pt idx="1">
                  <c:v>9.74E-2</c:v>
                </c:pt>
                <c:pt idx="2">
                  <c:v>0.1249</c:v>
                </c:pt>
                <c:pt idx="3">
                  <c:v>0.14319999999999999</c:v>
                </c:pt>
                <c:pt idx="4">
                  <c:v>0.13200000000000001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E0-4789-A4D3-7ECAE5266165}"/>
            </c:ext>
          </c:extLst>
        </c:ser>
        <c:ser>
          <c:idx val="1"/>
          <c:order val="1"/>
          <c:tx>
            <c:v>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'KAZALNIKI - PODJETJE X'!$B$59:$F$59</c:f>
              <c:numCache>
                <c:formatCode>_(* #,##0.00_);_(* \(#,##0.00\);_(* "-"??_);_(@_)</c:formatCode>
                <c:ptCount val="5"/>
                <c:pt idx="0">
                  <c:v>7.6440562317114547E-2</c:v>
                </c:pt>
                <c:pt idx="1">
                  <c:v>0.16629641163394035</c:v>
                </c:pt>
                <c:pt idx="2">
                  <c:v>0.22230030033180678</c:v>
                </c:pt>
                <c:pt idx="3">
                  <c:v>0.27070576093516113</c:v>
                </c:pt>
                <c:pt idx="4">
                  <c:v>0.28732206496914736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E0-4789-A4D3-7ECAE5266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596280"/>
        <c:axId val="504597240"/>
      </c:lineChart>
      <c:catAx>
        <c:axId val="504596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4597240"/>
        <c:crosses val="autoZero"/>
        <c:auto val="1"/>
        <c:lblAlgn val="ctr"/>
        <c:lblOffset val="100"/>
        <c:noMultiLvlLbl val="0"/>
      </c:catAx>
      <c:valAx>
        <c:axId val="50459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delež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4596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EBIT in EBITDA slovenske EEI in podjetja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EBIT (EEI)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'MAKRO ANALIZA'!$D$72:$F$72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f>'MAKRO ANALIZA'!$D$75:$F$75</c:f>
              <c:numCache>
                <c:formatCode>_(* #,##0.00_);_(* \(#,##0.00\);_(* "-"??_);_(@_)</c:formatCode>
                <c:ptCount val="3"/>
                <c:pt idx="0">
                  <c:v>1.218</c:v>
                </c:pt>
                <c:pt idx="1">
                  <c:v>1.121</c:v>
                </c:pt>
                <c:pt idx="2">
                  <c:v>1.0640000000000001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C-46CB-B788-970354C629AA}"/>
            </c:ext>
          </c:extLst>
        </c:ser>
        <c:ser>
          <c:idx val="1"/>
          <c:order val="1"/>
          <c:tx>
            <c:v>EBIT (X)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'MAKRO ANALIZA'!$D$72:$F$72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f>'KAZALNIKI - PODJETJE X'!$D$30:$F$30</c:f>
              <c:numCache>
                <c:formatCode>_(* #,##0.00_);_(* \(#,##0.00\);_(* "-"??_);_(@_)</c:formatCode>
                <c:ptCount val="3"/>
                <c:pt idx="0">
                  <c:v>1.3174317752687759</c:v>
                </c:pt>
                <c:pt idx="1">
                  <c:v>1.2707279182999562</c:v>
                </c:pt>
                <c:pt idx="2">
                  <c:v>1.0632706096283764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C-46CB-B788-970354C629AA}"/>
            </c:ext>
          </c:extLst>
        </c:ser>
        <c:ser>
          <c:idx val="2"/>
          <c:order val="2"/>
          <c:tx>
            <c:v>EBITDA (EEI)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'MAKRO ANALIZA'!$D$72:$F$72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f>'MAKRO ANALIZA'!$D$76:$F$76</c:f>
              <c:numCache>
                <c:formatCode>_(* #,##0.00_);_(* \(#,##0.00\);_(* "-"??_);_(@_)</c:formatCode>
                <c:ptCount val="3"/>
                <c:pt idx="0">
                  <c:v>1.1579999999999999</c:v>
                </c:pt>
                <c:pt idx="1">
                  <c:v>1.0960000000000001</c:v>
                </c:pt>
                <c:pt idx="2">
                  <c:v>1.032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DC-46CB-B788-970354C629AA}"/>
            </c:ext>
          </c:extLst>
        </c:ser>
        <c:ser>
          <c:idx val="3"/>
          <c:order val="3"/>
          <c:tx>
            <c:v>EBITDA (X)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'MAKRO ANALIZA'!$D$72:$F$72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f>'KAZALNIKI - PODJETJE X'!$D$31:$F$31</c:f>
              <c:numCache>
                <c:formatCode>_(* #,##0.00_);_(* \(#,##0.00\);_(* "-"??_);_(@_)</c:formatCode>
                <c:ptCount val="3"/>
                <c:pt idx="0">
                  <c:v>1.1911765445299598</c:v>
                </c:pt>
                <c:pt idx="1">
                  <c:v>1.2220134423132025</c:v>
                </c:pt>
                <c:pt idx="2">
                  <c:v>1.1096668233542433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DC-46CB-B788-970354C62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052048"/>
        <c:axId val="587054288"/>
      </c:lineChart>
      <c:catAx>
        <c:axId val="587052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87054288"/>
        <c:crosses val="autoZero"/>
        <c:auto val="1"/>
        <c:lblAlgn val="ctr"/>
        <c:lblOffset val="100"/>
        <c:noMultiLvlLbl val="0"/>
      </c:catAx>
      <c:valAx>
        <c:axId val="587054288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rast v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8705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434340</xdr:colOff>
      <xdr:row>1</xdr:row>
      <xdr:rowOff>68580</xdr:rowOff>
    </xdr:from>
    <xdr:to>
      <xdr:col>15</xdr:col>
      <xdr:colOff>129540</xdr:colOff>
      <xdr:row>20</xdr:row>
      <xdr:rowOff>22860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996E920E-3E78-494C-9102-A39D83F8F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470646</xdr:colOff>
      <xdr:row>29</xdr:row>
      <xdr:rowOff>0</xdr:rowOff>
    </xdr:from>
    <xdr:to>
      <xdr:col>20</xdr:col>
      <xdr:colOff>165846</xdr:colOff>
      <xdr:row>47</xdr:row>
      <xdr:rowOff>89648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70182E4D-D5DB-48A1-9C1E-33259A4978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556260</xdr:colOff>
      <xdr:row>10</xdr:row>
      <xdr:rowOff>99060</xdr:rowOff>
    </xdr:from>
    <xdr:to>
      <xdr:col>20</xdr:col>
      <xdr:colOff>60960</xdr:colOff>
      <xdr:row>20</xdr:row>
      <xdr:rowOff>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A0F34307-4BC8-4987-A6DC-11B30EB37C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426720</xdr:colOff>
      <xdr:row>0</xdr:row>
      <xdr:rowOff>68580</xdr:rowOff>
    </xdr:from>
    <xdr:to>
      <xdr:col>19</xdr:col>
      <xdr:colOff>121920</xdr:colOff>
      <xdr:row>13</xdr:row>
      <xdr:rowOff>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64505B6C-D070-4117-8D0C-89B207411E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441960</xdr:colOff>
      <xdr:row>14</xdr:row>
      <xdr:rowOff>121920</xdr:rowOff>
    </xdr:from>
    <xdr:to>
      <xdr:col>19</xdr:col>
      <xdr:colOff>137160</xdr:colOff>
      <xdr:row>28</xdr:row>
      <xdr:rowOff>60960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5778823E-D874-4346-81E3-11078C3632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548640</xdr:colOff>
      <xdr:row>0</xdr:row>
      <xdr:rowOff>137160</xdr:rowOff>
    </xdr:from>
    <xdr:to>
      <xdr:col>24</xdr:col>
      <xdr:colOff>243840</xdr:colOff>
      <xdr:row>14</xdr:row>
      <xdr:rowOff>137160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093B56D9-4ECD-4CFF-B780-A6DF56BA17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533400</xdr:colOff>
      <xdr:row>16</xdr:row>
      <xdr:rowOff>7620</xdr:rowOff>
    </xdr:from>
    <xdr:to>
      <xdr:col>25</xdr:col>
      <xdr:colOff>350520</xdr:colOff>
      <xdr:row>32</xdr:row>
      <xdr:rowOff>129540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A75A7053-1AC7-4654-B97D-9CC15EF0A7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518160</xdr:colOff>
      <xdr:row>33</xdr:row>
      <xdr:rowOff>137160</xdr:rowOff>
    </xdr:from>
    <xdr:to>
      <xdr:col>24</xdr:col>
      <xdr:colOff>213360</xdr:colOff>
      <xdr:row>48</xdr:row>
      <xdr:rowOff>137160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id="{43E31C5E-D867-4AB6-BD13-401C98C3A7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388620</xdr:colOff>
      <xdr:row>70</xdr:row>
      <xdr:rowOff>53340</xdr:rowOff>
    </xdr:from>
    <xdr:to>
      <xdr:col>20</xdr:col>
      <xdr:colOff>83820</xdr:colOff>
      <xdr:row>85</xdr:row>
      <xdr:rowOff>53340</xdr:rowOff>
    </xdr:to>
    <xdr:graphicFrame macro="">
      <xdr:nvGraphicFramePr>
        <xdr:cNvPr id="5" name="Grafikon 4">
          <a:extLst>
            <a:ext uri="{FF2B5EF4-FFF2-40B4-BE49-F238E27FC236}">
              <a16:creationId xmlns:a16="http://schemas.microsoft.com/office/drawing/2014/main" id="{A4A45B47-C2E7-4D8F-94D0-FCD91D2782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4</xdr:row>
      <xdr:rowOff>137160</xdr:rowOff>
    </xdr:from>
    <xdr:to>
      <xdr:col>13</xdr:col>
      <xdr:colOff>525780</xdr:colOff>
      <xdr:row>18</xdr:row>
      <xdr:rowOff>137160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D67BD968-81AB-4B21-93CB-454166495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236220</xdr:colOff>
      <xdr:row>20</xdr:row>
      <xdr:rowOff>160020</xdr:rowOff>
    </xdr:from>
    <xdr:to>
      <xdr:col>13</xdr:col>
      <xdr:colOff>541020</xdr:colOff>
      <xdr:row>35</xdr:row>
      <xdr:rowOff>160020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92B995F3-B9E0-4A77-9280-65758E7CF6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266700</xdr:colOff>
      <xdr:row>37</xdr:row>
      <xdr:rowOff>0</xdr:rowOff>
    </xdr:from>
    <xdr:to>
      <xdr:col>13</xdr:col>
      <xdr:colOff>571500</xdr:colOff>
      <xdr:row>54</xdr:row>
      <xdr:rowOff>0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id="{A5DBAC87-6002-494C-96DD-FC7007E466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259080</xdr:colOff>
      <xdr:row>55</xdr:row>
      <xdr:rowOff>30480</xdr:rowOff>
    </xdr:from>
    <xdr:to>
      <xdr:col>13</xdr:col>
      <xdr:colOff>563880</xdr:colOff>
      <xdr:row>70</xdr:row>
      <xdr:rowOff>30480</xdr:rowOff>
    </xdr:to>
    <xdr:graphicFrame macro="">
      <xdr:nvGraphicFramePr>
        <xdr:cNvPr id="5" name="Grafikon 4">
          <a:extLst>
            <a:ext uri="{FF2B5EF4-FFF2-40B4-BE49-F238E27FC236}">
              <a16:creationId xmlns:a16="http://schemas.microsoft.com/office/drawing/2014/main" id="{22B1FE16-7A46-4EB4-A065-BD79F13CFA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198120</xdr:colOff>
      <xdr:row>37</xdr:row>
      <xdr:rowOff>15240</xdr:rowOff>
    </xdr:from>
    <xdr:to>
      <xdr:col>21</xdr:col>
      <xdr:colOff>502920</xdr:colOff>
      <xdr:row>54</xdr:row>
      <xdr:rowOff>15240</xdr:rowOff>
    </xdr:to>
    <xdr:graphicFrame macro="">
      <xdr:nvGraphicFramePr>
        <xdr:cNvPr id="6" name="Grafikon 5">
          <a:extLst>
            <a:ext uri="{FF2B5EF4-FFF2-40B4-BE49-F238E27FC236}">
              <a16:creationId xmlns:a16="http://schemas.microsoft.com/office/drawing/2014/main" id="{3BA8122A-530D-4827-9667-AAF5755B50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1</xdr:row>
      <xdr:rowOff>175260</xdr:rowOff>
    </xdr:from>
    <xdr:to>
      <xdr:col>14</xdr:col>
      <xdr:colOff>327660</xdr:colOff>
      <xdr:row>16</xdr:row>
      <xdr:rowOff>175260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FFFEFE28-5678-4227-8C8A-00EC7F335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487680</xdr:colOff>
      <xdr:row>1</xdr:row>
      <xdr:rowOff>167640</xdr:rowOff>
    </xdr:from>
    <xdr:to>
      <xdr:col>22</xdr:col>
      <xdr:colOff>312420</xdr:colOff>
      <xdr:row>16</xdr:row>
      <xdr:rowOff>167640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0D8D9AC0-DD1B-4F7C-9F20-C43348C891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</xdr:colOff>
      <xdr:row>17</xdr:row>
      <xdr:rowOff>91440</xdr:rowOff>
    </xdr:from>
    <xdr:to>
      <xdr:col>14</xdr:col>
      <xdr:colOff>342900</xdr:colOff>
      <xdr:row>33</xdr:row>
      <xdr:rowOff>91440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id="{F33E9F3A-A637-4954-BCFE-105BFEE0ED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586740</xdr:colOff>
      <xdr:row>34</xdr:row>
      <xdr:rowOff>160020</xdr:rowOff>
    </xdr:from>
    <xdr:to>
      <xdr:col>16</xdr:col>
      <xdr:colOff>64770</xdr:colOff>
      <xdr:row>53</xdr:row>
      <xdr:rowOff>179070</xdr:rowOff>
    </xdr:to>
    <xdr:graphicFrame macro="">
      <xdr:nvGraphicFramePr>
        <xdr:cNvPr id="5" name="Grafikon 4">
          <a:extLst>
            <a:ext uri="{FF2B5EF4-FFF2-40B4-BE49-F238E27FC236}">
              <a16:creationId xmlns:a16="http://schemas.microsoft.com/office/drawing/2014/main" id="{F3F02A51-F0CD-4DDE-B4BF-08DBC664DC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281940</xdr:colOff>
      <xdr:row>35</xdr:row>
      <xdr:rowOff>0</xdr:rowOff>
    </xdr:from>
    <xdr:to>
      <xdr:col>25</xdr:col>
      <xdr:colOff>15240</xdr:colOff>
      <xdr:row>54</xdr:row>
      <xdr:rowOff>91440</xdr:rowOff>
    </xdr:to>
    <xdr:graphicFrame macro="">
      <xdr:nvGraphicFramePr>
        <xdr:cNvPr id="6" name="Grafikon 5">
          <a:extLst>
            <a:ext uri="{FF2B5EF4-FFF2-40B4-BE49-F238E27FC236}">
              <a16:creationId xmlns:a16="http://schemas.microsoft.com/office/drawing/2014/main" id="{9FD02655-E9F8-42E9-992E-6433348B4E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83820</xdr:colOff>
      <xdr:row>17</xdr:row>
      <xdr:rowOff>114300</xdr:rowOff>
    </xdr:from>
    <xdr:to>
      <xdr:col>22</xdr:col>
      <xdr:colOff>388620</xdr:colOff>
      <xdr:row>33</xdr:row>
      <xdr:rowOff>114300</xdr:rowOff>
    </xdr:to>
    <xdr:graphicFrame macro="">
      <xdr:nvGraphicFramePr>
        <xdr:cNvPr id="7" name="Grafikon 6">
          <a:extLst>
            <a:ext uri="{FF2B5EF4-FFF2-40B4-BE49-F238E27FC236}">
              <a16:creationId xmlns:a16="http://schemas.microsoft.com/office/drawing/2014/main" id="{F81E4426-5DD8-42B3-BD7E-68B5AD4A4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83820</xdr:colOff>
      <xdr:row>55</xdr:row>
      <xdr:rowOff>53340</xdr:rowOff>
    </xdr:from>
    <xdr:to>
      <xdr:col>15</xdr:col>
      <xdr:colOff>388620</xdr:colOff>
      <xdr:row>70</xdr:row>
      <xdr:rowOff>53340</xdr:rowOff>
    </xdr:to>
    <xdr:graphicFrame macro="">
      <xdr:nvGraphicFramePr>
        <xdr:cNvPr id="8" name="Grafikon 7">
          <a:extLst>
            <a:ext uri="{FF2B5EF4-FFF2-40B4-BE49-F238E27FC236}">
              <a16:creationId xmlns:a16="http://schemas.microsoft.com/office/drawing/2014/main" id="{F14FD056-5955-4368-9802-0259AC55D1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99060</xdr:colOff>
      <xdr:row>55</xdr:row>
      <xdr:rowOff>76200</xdr:rowOff>
    </xdr:from>
    <xdr:to>
      <xdr:col>23</xdr:col>
      <xdr:colOff>403860</xdr:colOff>
      <xdr:row>70</xdr:row>
      <xdr:rowOff>76200</xdr:rowOff>
    </xdr:to>
    <xdr:graphicFrame macro="">
      <xdr:nvGraphicFramePr>
        <xdr:cNvPr id="9" name="Grafikon 8">
          <a:extLst>
            <a:ext uri="{FF2B5EF4-FFF2-40B4-BE49-F238E27FC236}">
              <a16:creationId xmlns:a16="http://schemas.microsoft.com/office/drawing/2014/main" id="{0FA5D153-699C-4A9D-9ADE-041353CDC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7620</xdr:colOff>
      <xdr:row>70</xdr:row>
      <xdr:rowOff>129540</xdr:rowOff>
    </xdr:from>
    <xdr:to>
      <xdr:col>15</xdr:col>
      <xdr:colOff>312420</xdr:colOff>
      <xdr:row>85</xdr:row>
      <xdr:rowOff>129540</xdr:rowOff>
    </xdr:to>
    <xdr:graphicFrame macro="">
      <xdr:nvGraphicFramePr>
        <xdr:cNvPr id="10" name="Grafikon 9">
          <a:extLst>
            <a:ext uri="{FF2B5EF4-FFF2-40B4-BE49-F238E27FC236}">
              <a16:creationId xmlns:a16="http://schemas.microsoft.com/office/drawing/2014/main" id="{3B67A008-74E2-46CC-A9A9-B040F8CD67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2499360</xdr:colOff>
      <xdr:row>102</xdr:row>
      <xdr:rowOff>38100</xdr:rowOff>
    </xdr:from>
    <xdr:to>
      <xdr:col>6</xdr:col>
      <xdr:colOff>594360</xdr:colOff>
      <xdr:row>119</xdr:row>
      <xdr:rowOff>68580</xdr:rowOff>
    </xdr:to>
    <xdr:graphicFrame macro="">
      <xdr:nvGraphicFramePr>
        <xdr:cNvPr id="11" name="Grafikon 10">
          <a:extLst>
            <a:ext uri="{FF2B5EF4-FFF2-40B4-BE49-F238E27FC236}">
              <a16:creationId xmlns:a16="http://schemas.microsoft.com/office/drawing/2014/main" id="{C41A9C96-6461-47A4-AED0-A1F457A793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e&#382;a/Documents/GitHub/Diplomska-naloga-/analiza%20ra&#269;unovodskih%20izkazov%20-%20graf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1"/>
    </sheetNames>
    <sheetDataSet>
      <sheetData sheetId="0">
        <row r="51">
          <cell r="B51">
            <v>2013</v>
          </cell>
          <cell r="C51">
            <v>2014</v>
          </cell>
          <cell r="D51">
            <v>2015</v>
          </cell>
          <cell r="E51">
            <v>2016</v>
          </cell>
          <cell r="F51">
            <v>2017</v>
          </cell>
        </row>
        <row r="52">
          <cell r="A52" t="str">
            <v>financiranje</v>
          </cell>
          <cell r="B52">
            <v>-5230700</v>
          </cell>
          <cell r="C52">
            <v>-2239693</v>
          </cell>
          <cell r="D52">
            <v>-3437619</v>
          </cell>
          <cell r="E52">
            <v>7341469</v>
          </cell>
          <cell r="F52">
            <v>1397655</v>
          </cell>
        </row>
        <row r="53">
          <cell r="A53" t="str">
            <v>poslovanje</v>
          </cell>
          <cell r="B53">
            <v>9315030</v>
          </cell>
          <cell r="C53">
            <v>7550620</v>
          </cell>
          <cell r="D53">
            <v>15131458</v>
          </cell>
          <cell r="E53">
            <v>16893333</v>
          </cell>
          <cell r="F53">
            <v>15428908</v>
          </cell>
        </row>
        <row r="54">
          <cell r="A54" t="str">
            <v>naložbenje</v>
          </cell>
          <cell r="B54">
            <v>-4096778</v>
          </cell>
          <cell r="C54">
            <v>-5464822</v>
          </cell>
          <cell r="D54">
            <v>-10065144</v>
          </cell>
          <cell r="E54">
            <v>-24344004</v>
          </cell>
          <cell r="F54">
            <v>-16922760</v>
          </cell>
        </row>
        <row r="55">
          <cell r="A55" t="str">
            <v>denarni izid</v>
          </cell>
          <cell r="B55">
            <v>-12448</v>
          </cell>
          <cell r="C55">
            <v>-152895</v>
          </cell>
          <cell r="D55">
            <v>1628695</v>
          </cell>
          <cell r="E55">
            <v>-109202</v>
          </cell>
          <cell r="F55">
            <v>-96197</v>
          </cell>
        </row>
        <row r="100">
          <cell r="B100">
            <v>2013</v>
          </cell>
          <cell r="C100">
            <v>2014</v>
          </cell>
          <cell r="D100">
            <v>2015</v>
          </cell>
          <cell r="E100">
            <v>2016</v>
          </cell>
          <cell r="F100">
            <v>2017</v>
          </cell>
        </row>
        <row r="102">
          <cell r="A102" t="str">
            <v>izid iz poslovanja</v>
          </cell>
          <cell r="B102">
            <v>3011623</v>
          </cell>
          <cell r="C102">
            <v>6487750</v>
          </cell>
          <cell r="D102">
            <v>8547168</v>
          </cell>
          <cell r="E102">
            <v>10861125</v>
          </cell>
          <cell r="F102">
            <v>11548315</v>
          </cell>
        </row>
        <row r="103">
          <cell r="A103" t="str">
            <v>Poslovni prihodki</v>
          </cell>
          <cell r="B103">
            <v>86991224</v>
          </cell>
          <cell r="C103">
            <v>96894219</v>
          </cell>
          <cell r="D103">
            <v>110468653</v>
          </cell>
          <cell r="E103">
            <v>128950664</v>
          </cell>
          <cell r="F103">
            <v>147072684</v>
          </cell>
        </row>
        <row r="104">
          <cell r="A104" t="str">
            <v>Poslovni odhodki</v>
          </cell>
          <cell r="B104">
            <v>83979601</v>
          </cell>
          <cell r="C104">
            <v>90406469</v>
          </cell>
          <cell r="D104">
            <v>101921485</v>
          </cell>
          <cell r="E104">
            <v>118089539</v>
          </cell>
          <cell r="F104">
            <v>135524369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Habjan, Neža" id="{9E3F9255-AD16-4057-9554-F2E19AAB363A}" userId="Habjan, Neža" providerId="None"/>
</personList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0-02-03T20:29:35.17" personId="{9E3F9255-AD16-4057-9554-F2E19AAB363A}" id="{A59F881F-3E98-422C-B64D-7C62B0F32404}">
    <text>poslovni izid iz poslovanja zmanjšan še za finančni izid</text>
  </threadedComment>
  <threadedComment ref="A3" dT="2019-11-02T16:32:15.02" personId="{9E3F9255-AD16-4057-9554-F2E19AAB363A}" id="{1A0A7E2F-99F1-433D-AED3-412F0529C2E5}">
    <text>poslovni prihodki - (amortizacija, stroški dela, stroški blaga, drugi poslovni odhodki)</text>
  </threadedComment>
  <threadedComment ref="G7" dT="2019-11-03T11:43:31.01" personId="{9E3F9255-AD16-4057-9554-F2E19AAB363A}" id="{2013695E-7707-40B7-AB1A-FABC39E45A30}">
    <text>vzeto povprečje obdavčitev zadnjih 5 let</text>
  </threadedComment>
  <threadedComment ref="G11" dT="2019-11-25T16:28:45.34" personId="{9E3F9255-AD16-4057-9554-F2E19AAB363A}" id="{4531FE1B-DC6B-4EAD-9F7C-0781091D8AB0}">
    <text>porast amortizacije zaradi velikih investicij v preteklih letih - manjši dobiček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9" dT="2020-02-04T21:34:09.95" personId="{9E3F9255-AD16-4057-9554-F2E19AAB363A}" id="{497480D6-1D60-4EAD-8D84-478B2B5D1F68}">
    <text>iz strani damodaran, glede na panogo</text>
  </threadedComment>
  <threadedComment ref="C12" dT="2020-03-02T20:09:47.92" personId="{9E3F9255-AD16-4057-9554-F2E19AAB363A}" id="{6F88DAD5-E337-4A7B-8404-AE3F38B0E3E5}">
    <text>vzeto iz strani Duff and Phelps, širši razred</text>
  </threadedComment>
  <threadedComment ref="F12" dT="2020-02-10T20:18:16.87" personId="{9E3F9255-AD16-4057-9554-F2E19AAB363A}" id="{06EFC22D-7008-4436-8E16-A6DBF639F22C}">
    <text>vir:
https://tradingeconomics.com/slovenia/government-bond-yield</text>
  </threadedComment>
  <threadedComment ref="C13" dT="2020-03-02T20:15:21.49" personId="{9E3F9255-AD16-4057-9554-F2E19AAB363A}" id="{B1E8BB49-198B-435A-B9DA-5A9645914429}">
    <text>vzeto iz strani Damodaran:
http://pages.stern.nyu.edu/~adamodar/New_Home_Page/datafile/ctryprem.html</text>
  </threadedComment>
  <threadedComment ref="C14" dT="2020-03-02T20:16:59.46" personId="{9E3F9255-AD16-4057-9554-F2E19AAB363A}" id="{F6FF03ED-F182-4BE9-8DC9-0DE9416043F6}">
    <text>Duff and Phelps:
https://www.duffandphelps.com/-/media/assets/pdfs/publications/valuation/coc/us-normalized-risk-free-rate-november-2016.ashx</text>
  </threadedComment>
  <threadedComment ref="C15" dT="2020-03-02T20:19:45.16" personId="{9E3F9255-AD16-4057-9554-F2E19AAB363A}" id="{CC4B3AF5-BB5C-4315-B370-B2C6876417BD}">
    <text>vzeto iz strani Duff and Phelps, objavljena na dan 2. septembra 2017:
https://www.duffandphelps.com/insights/publications/valuation-insights/valuation-insights-first-quarter-2019/us-equity-risk-premium-recommendation</text>
  </threadedComment>
  <threadedComment ref="F26" dT="2020-02-13T21:29:26.66" personId="{9E3F9255-AD16-4057-9554-F2E19AAB363A}" id="{9467D0CF-F058-4ABF-BD48-4110E57393EB}">
    <text>pridobljeno s spletne strani Damodaran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4" dT="2019-11-02T19:03:02.75" personId="{9E3F9255-AD16-4057-9554-F2E19AAB363A}" id="{83CD7CC0-628D-4BE5-951D-5983173DE0CC}">
    <text>(odprava rezervacij, subvencije, izterjane terjatve, prodaja osnovnih sredstev) + usredstveni lastni proizvodi in storitve + finančni prihodki iz poslovnih terjatev</text>
  </threadedComment>
  <threadedComment ref="A22" dT="2019-11-02T19:17:42.06" personId="{9E3F9255-AD16-4057-9554-F2E19AAB363A}" id="{DAE52481-0334-426B-A2C0-4EC3FDED3A67}">
    <text>dodani finančni odhodki iz poslovnih obveznosti</text>
  </threadedComment>
  <threadedComment ref="G30" dT="2019-11-19T17:12:08.13" personId="{9E3F9255-AD16-4057-9554-F2E19AAB363A}" id="{BC1AF11F-074C-47D5-BA8B-09E877F26250}">
    <text>povprečje dosedanjih vrednosti</text>
  </threadedComment>
  <threadedComment ref="G31" dT="2019-12-19T15:55:21.04" personId="{9E3F9255-AD16-4057-9554-F2E19AAB363A}" id="{4387FBB5-2C20-4791-B80A-2A7FE7F3E401}">
    <text>rast stroškov materiala, napovedana v prihodnosti - predvsem avtomobilska industrija</text>
  </threadedComment>
  <threadedComment ref="G37" dT="2019-11-19T17:11:27.96" personId="{9E3F9255-AD16-4057-9554-F2E19AAB363A}" id="{F653A037-95C1-43CF-AC48-95CC017F2BF6}">
    <text>povprečje dosedanjih vrednosti</text>
  </threadedComment>
  <threadedComment ref="G45" dT="2019-11-19T17:12:58.67" personId="{9E3F9255-AD16-4057-9554-F2E19AAB363A}" id="{135BDBC4-4DD4-47DF-A225-407D77F85FC6}">
    <text>se po napovedih zniža, a po politiki podjetja sklepamo da ne preveč</text>
  </threadedComment>
  <threadedComment ref="G46" dT="2019-11-19T17:19:51.37" personId="{9E3F9255-AD16-4057-9554-F2E19AAB363A}" id="{E15D6C3A-C6F7-4508-A8D9-F1DA6E899820}">
    <text>vzeto povprečje dosedanjih rasti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2" dT="2019-11-03T11:18:54.58" personId="{9E3F9255-AD16-4057-9554-F2E19AAB363A}" id="{0D60E299-A915-44F1-B99E-B8BF4859DA93}">
    <text>vrednosti iz lista investicije so dodana še zemljišča in investicije v teku</text>
  </threadedComment>
  <threadedComment ref="G2" dT="2019-11-03T11:03:53.48" personId="{9E3F9255-AD16-4057-9554-F2E19AAB363A}" id="{341677C5-3B67-4CC3-A980-78C68EBCADA3}">
    <text>dobljeno iz povečanja za investicije in zmanjšanja za amortizacijo</text>
  </threadedComment>
  <threadedComment ref="A3" dT="2019-11-03T11:25:56.24" personId="{9E3F9255-AD16-4057-9554-F2E19AAB363A}" id="{41AA2636-E567-45B7-86FD-4B9F7FA8E4A8}">
    <text>znotraj teh tudi dolgoročne aktivne časovne razmejitve</text>
  </threadedComment>
  <threadedComment ref="A4" dT="2019-11-02T19:29:49.11" personId="{9E3F9255-AD16-4057-9554-F2E19AAB363A}" id="{C890C6DF-49B7-43D1-A1E1-11FEF82B7B91}">
    <text>dolgoročne poslovne terjatve + dolgoročno dani depoziti</text>
  </threadedComment>
  <threadedComment ref="A5" dT="2019-11-02T19:30:58.00" personId="{9E3F9255-AD16-4057-9554-F2E19AAB363A}" id="{9552F858-F6BD-4899-AA3E-C17CA0DEF43C}">
    <text>brez dolgoročnih danih posojil</text>
  </threadedComment>
  <threadedComment ref="A5" dT="2019-11-02T19:48:11.52" personId="{9E3F9255-AD16-4057-9554-F2E19AAB363A}" id="{CB74B473-F513-4694-9DC1-27FFDD850981}" parentId="{9552F858-F6BD-4899-AA3E-C17CA0DEF43C}">
    <text>spremembe so posledica prevrednotovanj</text>
  </threadedComment>
  <threadedComment ref="G5" dT="2019-11-03T11:04:37.79" personId="{9E3F9255-AD16-4057-9554-F2E19AAB363A}" id="{46125344-CCB5-4D63-B1C0-A90596CA8A1B}">
    <text>finančnih naložb naj ne bi imeli, upoštevam vedno enako vrednost iz 2017</text>
  </threadedComment>
  <threadedComment ref="A11" dT="2019-11-03T11:23:17.04" personId="{9E3F9255-AD16-4057-9554-F2E19AAB363A}" id="{B3E6D552-EF77-4149-9D87-D3AA4FFC58BD}">
    <text>dodane kratkoročne aktivne časovne razmejitve</text>
  </threadedComment>
  <threadedComment ref="G18" dT="2019-11-03T11:30:42.02" personId="{9E3F9255-AD16-4057-9554-F2E19AAB363A}" id="{31E95EBE-8588-420E-B40A-F3AB2E6D01B0}">
    <text>rast sredstev usklajena z rastjo prihodkov</text>
  </threadedComment>
  <threadedComment ref="G29" dT="2019-11-24T19:12:43.72" personId="{9E3F9255-AD16-4057-9554-F2E19AAB363A}" id="{997EF94F-B3A6-4ED2-9C06-F1C924A763A6}">
    <text>POVPREČJE ZADNJIH 5 LET</text>
  </threadedComment>
  <threadedComment ref="G31" dT="2019-11-19T17:24:56.58" personId="{9E3F9255-AD16-4057-9554-F2E19AAB363A}" id="{37F94105-BFD4-4F18-B3C4-9BBC2825217A}">
    <text>kot dosedanje vrednosti</text>
  </threadedComment>
  <threadedComment ref="G34" dT="2019-11-03T11:31:41.98" personId="{9E3F9255-AD16-4057-9554-F2E19AAB363A}" id="{51ACD78B-4965-4E57-A737-33EF28A831AD}">
    <text>po rahlem upadu prodaje se zaloge manj kopičijo</text>
  </threadedComment>
  <threadedComment ref="G35" dT="2019-11-19T17:22:33.99" personId="{9E3F9255-AD16-4057-9554-F2E19AAB363A}" id="{66649B0E-9077-4C86-9D04-912BA4202A1F}">
    <text>finančnih naložb naj podjetje ne bi imelo</text>
  </threadedComment>
  <threadedComment ref="G36" dT="2019-11-03T11:32:12.63" personId="{9E3F9255-AD16-4057-9554-F2E19AAB363A}" id="{39427A4A-4864-4E63-8F66-70ADFF8CFCBC}">
    <text>umirjanje porasta prodaje</text>
  </threadedComment>
  <threadedComment ref="G37" dT="2019-11-19T17:25:15.83" personId="{9E3F9255-AD16-4057-9554-F2E19AAB363A}" id="{A8034037-AF09-4232-A22F-A8B6A4FC6905}">
    <text>po dosedanjih vrednostih, z upoštevanjem umirjanja porasta prihodkov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3" dT="2019-11-02T19:49:41.17" personId="{9E3F9255-AD16-4057-9554-F2E19AAB363A}" id="{A1714CF8-2995-4680-AFC8-079E09211D55}">
    <text>finančne + poslovne</text>
  </threadedComment>
  <threadedComment ref="G4" dT="2019-11-03T11:34:29.66" personId="{9E3F9255-AD16-4057-9554-F2E19AAB363A}" id="{CF80DFD8-9E1C-4450-87AA-72F4679203CC}">
    <text>vzeta povprečna vrednost pasivnih časovnih razmejitev v zadnjih 5 letih</text>
  </threadedComment>
  <threadedComment ref="A8" dT="2019-11-03T08:05:22.07" personId="{9E3F9255-AD16-4057-9554-F2E19AAB363A}" id="{4258617A-FFC8-4E1E-BF5C-A89D86273B6E}">
    <text>prištete kratkoročne pasivne časovne razmejitve</text>
  </threadedComment>
  <threadedComment ref="G14" dT="2019-11-03T11:35:12.07" personId="{9E3F9255-AD16-4057-9554-F2E19AAB363A}" id="{4397BC86-26CF-43C3-8D9A-7A102E329022}">
    <text>v skladu z ne pretiranimi investicijami</text>
  </threadedComment>
  <threadedComment ref="G15" dT="2019-11-03T11:36:04.93" personId="{9E3F9255-AD16-4057-9554-F2E19AAB363A}" id="{E5AAF829-4EF6-4D36-83B8-7F4075F62D45}">
    <text>hkrati z umirjenim investiranjem sklepamo na ne pretirano zadolževanje, finančnih naložb tudi ne bo</text>
  </threadedComment>
  <threadedComment ref="G18" dT="2019-11-03T11:38:43.96" personId="{9E3F9255-AD16-4057-9554-F2E19AAB363A}" id="{16BE0CE0-7689-4AD7-91D6-8A4FCDDC8E0E}">
    <text>zadolževanje upada, ostaja razdelitev dividend v znesku 1000000 letno</text>
  </threadedComment>
  <threadedComment ref="G19" dT="2019-11-03T11:39:56.32" personId="{9E3F9255-AD16-4057-9554-F2E19AAB363A}" id="{57A6FA17-C387-463B-A756-01A0AA4BDED7}">
    <text>umiritev prodaje in hkrati poslovnih obveznosti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2" dT="2019-11-03T09:55:47.45" personId="{9E3F9255-AD16-4057-9554-F2E19AAB363A}" id="{0520480E-BD66-4C31-90D2-D7A7C5E90B15}">
    <text>vzeto iz IPI, izdatki pri naložbenju</text>
  </threadedComment>
  <threadedComment ref="A5" dT="2019-11-03T09:56:44.86" personId="{9E3F9255-AD16-4057-9554-F2E19AAB363A}" id="{76E100D2-8948-42F6-A81C-DE38C710C14B}">
    <text>prejemki, zmanjšani za nakupe osn. sredstev</text>
  </threadedComment>
  <threadedComment ref="G9" dT="2019-11-19T17:28:44.64" personId="{9E3F9255-AD16-4057-9554-F2E19AAB363A}" id="{A09A11F3-8DE3-4BF8-9331-59E7F00A4E0D}">
    <text>kot dosedanje vrednosti</text>
  </threadedComment>
  <threadedComment ref="G10" dT="2019-11-19T17:29:31.79" personId="{9E3F9255-AD16-4057-9554-F2E19AAB363A}" id="{3F205234-515B-4BCC-AB18-BE1B32F06CF2}">
    <text>upoštevane vrednosti investicij</text>
  </threadedComment>
  <threadedComment ref="G11" dT="2019-11-19T17:29:02.01" personId="{9E3F9255-AD16-4057-9554-F2E19AAB363A}" id="{1EB25CE9-8E16-4203-87FE-AE0A112339B5}">
    <text>kot dosedanje vrednosti</text>
  </threadedComment>
  <threadedComment ref="A20" dT="2019-11-02T18:05:34.50" personId="{9E3F9255-AD16-4057-9554-F2E19AAB363A}" id="{51CD0081-D084-4A22-B670-1D91CCF8A395}">
    <text>zaloge + vse terjatve + denarna sredstva - kratkoročne poslovne obveznosti</text>
  </threadedComment>
  <threadedComment ref="A22" dT="2019-11-02T18:22:16.12" personId="{9E3F9255-AD16-4057-9554-F2E19AAB363A}" id="{AE3EC869-39BE-4B34-964B-98F3A07DC904}">
    <text>izračunano le kot razlika med tekočima letoma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G16" dT="2019-11-03T11:40:48.12" personId="{9E3F9255-AD16-4057-9554-F2E19AAB363A}" id="{9A790A48-4BFE-4F5C-A7E2-46ECB47B203E}">
    <text>zmerno investiranje, za slovensko gospodarstvo napovedano rahlo povečanje</text>
  </threadedComment>
  <threadedComment ref="G19" dT="2019-11-03T11:41:11.75" personId="{9E3F9255-AD16-4057-9554-F2E19AAB363A}" id="{F720F85E-7F37-4B16-AF11-8AEA92E116F0}">
    <text>podjetje v prihodnosti napoveduje zmerne investicije</text>
  </threadedComment>
  <threadedComment ref="G21" dT="2019-11-03T11:41:31.94" personId="{9E3F9255-AD16-4057-9554-F2E19AAB363A}" id="{19E26C38-DDB4-4196-ACE7-99971F8DA698}">
    <text>odstotek je povprečje zadnjih 5 let</text>
  </threadedComment>
  <threadedComment ref="G22" dT="2019-11-03T11:41:47.38" personId="{9E3F9255-AD16-4057-9554-F2E19AAB363A}" id="{F06FC1D1-7683-48AF-91AA-30DEC5CEB779}">
    <text>odstotek je povprečje zadnjih 5 let</text>
  </threadedComment>
  <threadedComment ref="G23" dT="2019-11-03T11:41:58.69" personId="{9E3F9255-AD16-4057-9554-F2E19AAB363A}" id="{2453D39F-1E3C-4F46-82DF-7AF567CCB2DF}">
    <text>odstotek je povprečje zadnjih 5 let</text>
  </threadedComment>
  <threadedComment ref="A28" dT="2019-11-03T10:03:25.62" personId="{9E3F9255-AD16-4057-9554-F2E19AAB363A}" id="{38D0C558-C5B5-4BA9-A031-39B4102D95F4}">
    <text>v letih 18 - 22 izračunano kot vrednost v preteklem letu, povečana za investicije in zmanjšana za amortizacijo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24" dT="2019-11-19T17:35:55.57" personId="{9E3F9255-AD16-4057-9554-F2E19AAB363A}" id="{004DA307-EE52-4AC4-8614-885AF783F445}">
    <text>predpisana</text>
  </threadedComment>
  <threadedComment ref="C24" dT="2019-11-19T17:36:03.66" personId="{9E3F9255-AD16-4057-9554-F2E19AAB363A}" id="{633554F2-1BD0-4956-A841-637F04420044}">
    <text>vzeta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7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7.x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hyperlink" Target="http://people.stern.nyu.edu/adamodar/pc/implprem/" TargetMode="External"/><Relationship Id="rId7" Type="http://schemas.openxmlformats.org/officeDocument/2006/relationships/vmlDrawing" Target="../drawings/vmlDrawing2.vml"/><Relationship Id="rId2" Type="http://schemas.openxmlformats.org/officeDocument/2006/relationships/hyperlink" Target="http://www.fm-kp.si/zalozba/ISSN/1854-4231/4_021-038.pdf" TargetMode="External"/><Relationship Id="rId1" Type="http://schemas.openxmlformats.org/officeDocument/2006/relationships/hyperlink" Target="https://www.agen-rs.si/documents/10926/125031/%C5%A0tudija-WACC/ec762d70-ebdc-4613-920e-df6b182d29fc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duffandphelps.com/insights/publications/valuation-insights/valuation-insights-first-quarter-2019/us-equity-risk-premium-recommendation" TargetMode="External"/><Relationship Id="rId4" Type="http://schemas.openxmlformats.org/officeDocument/2006/relationships/hyperlink" Target="https://www.duffandphelps.com/-/media/assets/pdfs/publications/valuation/coc/us-normalized-risk-free-rate-november-2016.ashx" TargetMode="External"/><Relationship Id="rId9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researchgate.net/publication/46555514_The_Discount_for_Lack_of_Marketability_in_Privately_Owned_Companies_A_Multiples_Approach" TargetMode="External"/><Relationship Id="rId1" Type="http://schemas.openxmlformats.org/officeDocument/2006/relationships/hyperlink" Target="http://www.cek.ef.uni-lj.si/u_diplome/pfajfar4276.pdf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5EDC4-66DD-4E01-AC29-B4059588DA9F}">
  <dimension ref="A1:B5"/>
  <sheetViews>
    <sheetView workbookViewId="0">
      <selection activeCell="L9" sqref="L9"/>
    </sheetView>
  </sheetViews>
  <sheetFormatPr defaultRowHeight="14.4" x14ac:dyDescent="0.3"/>
  <cols>
    <col min="2" max="2" width="51.88671875" customWidth="1"/>
  </cols>
  <sheetData>
    <row r="1" spans="1:2" x14ac:dyDescent="0.3">
      <c r="A1" t="s">
        <v>20</v>
      </c>
    </row>
    <row r="2" spans="1:2" x14ac:dyDescent="0.3">
      <c r="A2" s="12"/>
      <c r="B2" t="s">
        <v>21</v>
      </c>
    </row>
    <row r="3" spans="1:2" x14ac:dyDescent="0.3">
      <c r="A3" s="13"/>
      <c r="B3" t="s">
        <v>22</v>
      </c>
    </row>
    <row r="4" spans="1:2" x14ac:dyDescent="0.3">
      <c r="A4" s="14"/>
      <c r="B4" t="s">
        <v>23</v>
      </c>
    </row>
    <row r="5" spans="1:2" x14ac:dyDescent="0.3">
      <c r="A5" s="16"/>
      <c r="B5" t="s">
        <v>220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1C778-FC23-422B-B147-5A05207312FC}">
  <dimension ref="A1:K25"/>
  <sheetViews>
    <sheetView workbookViewId="0">
      <selection activeCell="F25" sqref="F25"/>
    </sheetView>
  </sheetViews>
  <sheetFormatPr defaultRowHeight="14.4" x14ac:dyDescent="0.3"/>
  <cols>
    <col min="1" max="1" width="35.33203125" customWidth="1"/>
    <col min="2" max="2" width="15.6640625" bestFit="1" customWidth="1"/>
    <col min="3" max="3" width="12.6640625" customWidth="1"/>
    <col min="4" max="4" width="15.44140625" customWidth="1"/>
    <col min="5" max="5" width="14.5546875" customWidth="1"/>
    <col min="6" max="6" width="15.77734375" customWidth="1"/>
    <col min="7" max="7" width="15.5546875" bestFit="1" customWidth="1"/>
    <col min="8" max="8" width="12.88671875" customWidth="1"/>
    <col min="9" max="9" width="13.33203125" customWidth="1"/>
    <col min="10" max="10" width="13.44140625" customWidth="1"/>
    <col min="11" max="11" width="13.21875" customWidth="1"/>
  </cols>
  <sheetData>
    <row r="1" spans="1:11" s="31" customFormat="1" x14ac:dyDescent="0.3">
      <c r="A1" s="59" t="s">
        <v>33</v>
      </c>
      <c r="B1" s="60">
        <v>2013</v>
      </c>
      <c r="C1" s="60">
        <v>2014</v>
      </c>
      <c r="D1" s="60">
        <v>2015</v>
      </c>
      <c r="E1" s="60">
        <v>2016</v>
      </c>
      <c r="F1" s="301">
        <v>2017</v>
      </c>
      <c r="G1" s="61">
        <v>2018</v>
      </c>
      <c r="H1" s="60">
        <v>2019</v>
      </c>
      <c r="I1" s="60">
        <v>2020</v>
      </c>
      <c r="J1" s="60">
        <v>2021</v>
      </c>
      <c r="K1" s="62">
        <v>2022</v>
      </c>
    </row>
    <row r="2" spans="1:11" s="3" customFormat="1" x14ac:dyDescent="0.3">
      <c r="A2" s="48" t="s">
        <v>234</v>
      </c>
      <c r="B2" s="7">
        <v>38833</v>
      </c>
      <c r="C2" s="7">
        <v>0</v>
      </c>
      <c r="D2" s="7">
        <v>232554</v>
      </c>
      <c r="E2" s="7">
        <v>0</v>
      </c>
      <c r="F2" s="23">
        <v>0</v>
      </c>
      <c r="G2" s="33">
        <f>G9*'PRIHODKI IN STROŠKI'!G$6</f>
        <v>0</v>
      </c>
      <c r="H2" s="33">
        <f>H9*'PRIHODKI IN STROŠKI'!H$6</f>
        <v>0</v>
      </c>
      <c r="I2" s="33">
        <f>I9*'PRIHODKI IN STROŠKI'!I$6</f>
        <v>0</v>
      </c>
      <c r="J2" s="33">
        <f>J9*'PRIHODKI IN STROŠKI'!J$6</f>
        <v>0</v>
      </c>
      <c r="K2" s="284">
        <f>K9*'PRIHODKI IN STROŠKI'!K$6</f>
        <v>0</v>
      </c>
    </row>
    <row r="3" spans="1:11" s="3" customFormat="1" x14ac:dyDescent="0.3">
      <c r="A3" s="48" t="s">
        <v>235</v>
      </c>
      <c r="B3" s="7">
        <v>2747719</v>
      </c>
      <c r="C3" s="7">
        <v>5973615</v>
      </c>
      <c r="D3" s="7">
        <v>10869683</v>
      </c>
      <c r="E3" s="7">
        <v>24581401</v>
      </c>
      <c r="F3" s="23">
        <v>16697295</v>
      </c>
      <c r="G3" s="33">
        <f>G10*'PRIHODKI IN STROŠKI'!G$6</f>
        <v>13216163.1984</v>
      </c>
      <c r="H3" s="33">
        <f>H10*'PRIHODKI IN STROŠKI'!H$6</f>
        <v>14777374.514688</v>
      </c>
      <c r="I3" s="33">
        <f>I10*'PRIHODKI IN STROŠKI'!I$6</f>
        <v>14458458.811587844</v>
      </c>
      <c r="J3" s="33">
        <f>J10*'PRIHODKI IN STROŠKI'!J$6</f>
        <v>16168236.199147476</v>
      </c>
      <c r="K3" s="284">
        <f>K10*'PRIHODKI IN STROŠKI'!K$6</f>
        <v>18081167.859627787</v>
      </c>
    </row>
    <row r="4" spans="1:11" s="3" customFormat="1" x14ac:dyDescent="0.3">
      <c r="A4" s="48" t="s">
        <v>236</v>
      </c>
      <c r="B4" s="7">
        <v>0</v>
      </c>
      <c r="C4" s="7">
        <v>29300</v>
      </c>
      <c r="D4" s="7">
        <v>0</v>
      </c>
      <c r="E4" s="7">
        <v>199247</v>
      </c>
      <c r="F4" s="23">
        <v>80067</v>
      </c>
      <c r="G4" s="33">
        <f>G11*'PRIHODKI IN STROŠKI'!G$6</f>
        <v>0</v>
      </c>
      <c r="H4" s="33">
        <f>H11*'PRIHODKI IN STROŠKI'!H$6</f>
        <v>0</v>
      </c>
      <c r="I4" s="33">
        <f>I11*'PRIHODKI IN STROŠKI'!I$6</f>
        <v>0</v>
      </c>
      <c r="J4" s="33">
        <f>J11*'PRIHODKI IN STROŠKI'!J$6</f>
        <v>0</v>
      </c>
      <c r="K4" s="284">
        <f>K11*'PRIHODKI IN STROŠKI'!K$6</f>
        <v>0</v>
      </c>
    </row>
    <row r="5" spans="1:11" s="51" customFormat="1" ht="15" thickBot="1" x14ac:dyDescent="0.35">
      <c r="A5" s="63" t="s">
        <v>37</v>
      </c>
      <c r="B5" s="64">
        <f>B2+B3-B4</f>
        <v>2786552</v>
      </c>
      <c r="C5" s="64">
        <f t="shared" ref="C5:K5" si="0">C2+C3-C4</f>
        <v>5944315</v>
      </c>
      <c r="D5" s="64">
        <f t="shared" si="0"/>
        <v>11102237</v>
      </c>
      <c r="E5" s="64">
        <f t="shared" si="0"/>
        <v>24382154</v>
      </c>
      <c r="F5" s="64">
        <f t="shared" si="0"/>
        <v>16617228</v>
      </c>
      <c r="G5" s="64">
        <f t="shared" si="0"/>
        <v>13216163.1984</v>
      </c>
      <c r="H5" s="64">
        <f t="shared" si="0"/>
        <v>14777374.514688</v>
      </c>
      <c r="I5" s="64">
        <f t="shared" si="0"/>
        <v>14458458.811587844</v>
      </c>
      <c r="J5" s="64">
        <f t="shared" si="0"/>
        <v>16168236.199147476</v>
      </c>
      <c r="K5" s="64">
        <f t="shared" si="0"/>
        <v>18081167.859627787</v>
      </c>
    </row>
    <row r="6" spans="1:11" x14ac:dyDescent="0.3">
      <c r="A6" s="135"/>
      <c r="B6" s="285"/>
      <c r="C6" s="285"/>
      <c r="D6" s="285"/>
      <c r="E6" s="285"/>
      <c r="F6" s="404"/>
    </row>
    <row r="7" spans="1:11" ht="15" thickBot="1" x14ac:dyDescent="0.35">
      <c r="A7" s="135"/>
      <c r="B7" s="135"/>
      <c r="C7" s="135"/>
      <c r="D7" s="135"/>
      <c r="E7" s="135"/>
      <c r="F7" s="27"/>
    </row>
    <row r="8" spans="1:11" s="31" customFormat="1" x14ac:dyDescent="0.3">
      <c r="A8" s="191" t="s">
        <v>38</v>
      </c>
      <c r="B8" s="60">
        <v>2013</v>
      </c>
      <c r="C8" s="60">
        <v>2014</v>
      </c>
      <c r="D8" s="60">
        <v>2015</v>
      </c>
      <c r="E8" s="60">
        <v>2016</v>
      </c>
      <c r="F8" s="301">
        <v>2017</v>
      </c>
      <c r="G8" s="61">
        <v>2018</v>
      </c>
      <c r="H8" s="60">
        <v>2019</v>
      </c>
      <c r="I8" s="60">
        <v>2020</v>
      </c>
      <c r="J8" s="60">
        <v>2021</v>
      </c>
      <c r="K8" s="62">
        <v>2022</v>
      </c>
    </row>
    <row r="9" spans="1:11" x14ac:dyDescent="0.3">
      <c r="A9" s="341" t="s">
        <v>34</v>
      </c>
      <c r="B9" s="15">
        <f>B2/'PRIHODKI IN STROŠKI'!B$6</f>
        <v>4.4699892132287188E-4</v>
      </c>
      <c r="C9" s="15">
        <f>C2/'PRIHODKI IN STROŠKI'!C$6</f>
        <v>0</v>
      </c>
      <c r="D9" s="15">
        <f>D2/'PRIHODKI IN STROŠKI'!D$6</f>
        <v>2.0774701606537977E-3</v>
      </c>
      <c r="E9" s="15">
        <f>E2/'PRIHODKI IN STROŠKI'!E$6</f>
        <v>0</v>
      </c>
      <c r="F9" s="30">
        <f>F2/'PRIHODKI IN STROŠKI'!F$6</f>
        <v>0</v>
      </c>
      <c r="G9" s="36">
        <v>0</v>
      </c>
      <c r="H9" s="37">
        <v>0</v>
      </c>
      <c r="I9" s="37">
        <v>0</v>
      </c>
      <c r="J9" s="37">
        <v>0</v>
      </c>
      <c r="K9" s="342">
        <v>0</v>
      </c>
    </row>
    <row r="10" spans="1:11" x14ac:dyDescent="0.3">
      <c r="A10" s="341" t="s">
        <v>35</v>
      </c>
      <c r="B10" s="15">
        <f>B3/'PRIHODKI IN STROŠKI'!B$6</f>
        <v>3.1628445628675617E-2</v>
      </c>
      <c r="C10" s="15">
        <f>C3/'PRIHODKI IN STROŠKI'!C$6</f>
        <v>6.2210642377527818E-2</v>
      </c>
      <c r="D10" s="15">
        <f>D3/'PRIHODKI IN STROŠKI'!D$6</f>
        <v>9.7101929393886371E-2</v>
      </c>
      <c r="E10" s="15">
        <f>E3/'PRIHODKI IN STROŠKI'!E$6</f>
        <v>0.19261251947788871</v>
      </c>
      <c r="F10" s="30">
        <f>F3/'PRIHODKI IN STROŠKI'!F$6</f>
        <v>0.11396452232502137</v>
      </c>
      <c r="G10" s="22">
        <f>INVESTICIJE!G19</f>
        <v>0.08</v>
      </c>
      <c r="H10" s="22">
        <f>INVESTICIJE!H19</f>
        <v>0.08</v>
      </c>
      <c r="I10" s="22">
        <f>INVESTICIJE!I19</f>
        <v>7.0000000000000007E-2</v>
      </c>
      <c r="J10" s="22">
        <f>INVESTICIJE!J19</f>
        <v>7.0000000000000007E-2</v>
      </c>
      <c r="K10" s="343">
        <f>INVESTICIJE!K19</f>
        <v>7.0000000000000007E-2</v>
      </c>
    </row>
    <row r="11" spans="1:11" x14ac:dyDescent="0.3">
      <c r="A11" s="341" t="s">
        <v>36</v>
      </c>
      <c r="B11" s="15">
        <f>B4/'PRIHODKI IN STROŠKI'!B$6</f>
        <v>0</v>
      </c>
      <c r="C11" s="15">
        <f>C4/'PRIHODKI IN STROŠKI'!C$6</f>
        <v>3.0513714420188863E-4</v>
      </c>
      <c r="D11" s="15">
        <f>D4/'PRIHODKI IN STROŠKI'!D$6</f>
        <v>0</v>
      </c>
      <c r="E11" s="15">
        <f>E4/'PRIHODKI IN STROŠKI'!E$6</f>
        <v>1.5612400069634311E-3</v>
      </c>
      <c r="F11" s="30">
        <f>F4/'PRIHODKI IN STROŠKI'!F$6</f>
        <v>5.4648357168017255E-4</v>
      </c>
      <c r="G11" s="65">
        <v>0</v>
      </c>
      <c r="H11" s="66">
        <v>0</v>
      </c>
      <c r="I11" s="66">
        <v>0</v>
      </c>
      <c r="J11" s="66">
        <v>0</v>
      </c>
      <c r="K11" s="344">
        <v>0</v>
      </c>
    </row>
    <row r="12" spans="1:11" ht="15" thickBot="1" x14ac:dyDescent="0.35">
      <c r="A12" s="345" t="s">
        <v>37</v>
      </c>
      <c r="B12" s="346">
        <f>B5/'PRIHODKI IN STROŠKI'!B$6</f>
        <v>3.2075444549998486E-2</v>
      </c>
      <c r="C12" s="346">
        <f>C5/'PRIHODKI IN STROŠKI'!C$6</f>
        <v>6.1905505233325928E-2</v>
      </c>
      <c r="D12" s="346">
        <f>D5/'PRIHODKI IN STROŠKI'!D$6</f>
        <v>9.9179399554540165E-2</v>
      </c>
      <c r="E12" s="346">
        <f>E5/'PRIHODKI IN STROŠKI'!E$6</f>
        <v>0.19105127947092529</v>
      </c>
      <c r="F12" s="347">
        <f>F5/'PRIHODKI IN STROŠKI'!F$6</f>
        <v>0.11341803875334121</v>
      </c>
      <c r="G12" s="348">
        <f>G5/'PRIHODKI IN STROŠKI'!G$6</f>
        <v>0.08</v>
      </c>
      <c r="H12" s="348">
        <f>H5/'PRIHODKI IN STROŠKI'!H$6</f>
        <v>0.08</v>
      </c>
      <c r="I12" s="348">
        <f>I5/'PRIHODKI IN STROŠKI'!I$6</f>
        <v>7.0000000000000007E-2</v>
      </c>
      <c r="J12" s="348">
        <f>J5/'PRIHODKI IN STROŠKI'!J$6</f>
        <v>7.0000000000000007E-2</v>
      </c>
      <c r="K12" s="349">
        <f>K5/'PRIHODKI IN STROŠKI'!K$6</f>
        <v>7.0000000000000007E-2</v>
      </c>
    </row>
    <row r="13" spans="1:11" x14ac:dyDescent="0.3">
      <c r="F13" s="27"/>
    </row>
    <row r="14" spans="1:11" x14ac:dyDescent="0.3">
      <c r="F14" s="27"/>
    </row>
    <row r="15" spans="1:11" x14ac:dyDescent="0.3">
      <c r="E15" s="135"/>
      <c r="F15" s="27"/>
    </row>
    <row r="16" spans="1:11" x14ac:dyDescent="0.3">
      <c r="F16" s="27"/>
    </row>
    <row r="17" spans="1:11" x14ac:dyDescent="0.3">
      <c r="F17" s="27"/>
    </row>
    <row r="18" spans="1:11" ht="15" thickBot="1" x14ac:dyDescent="0.35">
      <c r="F18" s="27"/>
      <c r="G18" s="450"/>
    </row>
    <row r="19" spans="1:11" s="31" customFormat="1" x14ac:dyDescent="0.3">
      <c r="A19" s="191" t="s">
        <v>40</v>
      </c>
      <c r="B19" s="60">
        <v>2013</v>
      </c>
      <c r="C19" s="60">
        <v>2014</v>
      </c>
      <c r="D19" s="60">
        <v>2015</v>
      </c>
      <c r="E19" s="60">
        <v>2016</v>
      </c>
      <c r="F19" s="279">
        <v>2017</v>
      </c>
      <c r="G19" s="191">
        <v>2018</v>
      </c>
      <c r="H19" s="60">
        <v>2019</v>
      </c>
      <c r="I19" s="60">
        <v>2020</v>
      </c>
      <c r="J19" s="60">
        <v>2021</v>
      </c>
      <c r="K19" s="62">
        <v>2022</v>
      </c>
    </row>
    <row r="20" spans="1:11" s="3" customFormat="1" x14ac:dyDescent="0.3">
      <c r="A20" s="48" t="s">
        <v>39</v>
      </c>
      <c r="B20" s="34">
        <f>AKTIVA!B7+AKTIVA!B9+AKTIVA!B10-PASIVA!B7</f>
        <v>16327961</v>
      </c>
      <c r="C20" s="34">
        <f>AKTIVA!C7+AKTIVA!C9+AKTIVA!C10-PASIVA!C7</f>
        <v>20013329</v>
      </c>
      <c r="D20" s="34">
        <f>AKTIVA!D7+AKTIVA!D9+AKTIVA!D10-PASIVA!D7</f>
        <v>19772097</v>
      </c>
      <c r="E20" s="34">
        <f>AKTIVA!E7+AKTIVA!E9+AKTIVA!E10-PASIVA!E7</f>
        <v>19711480</v>
      </c>
      <c r="F20" s="280">
        <f>AKTIVA!F7+AKTIVA!F9+AKTIVA!F10-PASIVA!F7</f>
        <v>22845703</v>
      </c>
      <c r="G20" s="444">
        <f>AKTIVA!G7+AKTIVA!G9+AKTIVA!G10-PASIVA!G7</f>
        <v>24780305.997000005</v>
      </c>
      <c r="H20" s="34">
        <f>AKTIVA!H7+AKTIVA!H9+AKTIVA!H10-PASIVA!H7</f>
        <v>22166061.772032011</v>
      </c>
      <c r="I20" s="34">
        <f>AKTIVA!I7+AKTIVA!I9+AKTIVA!I10-PASIVA!I7</f>
        <v>26851423.507234558</v>
      </c>
      <c r="J20" s="34">
        <f>AKTIVA!J7+AKTIVA!J9+AKTIVA!J10-PASIVA!J7</f>
        <v>30026724.369845308</v>
      </c>
      <c r="K20" s="69">
        <f>AKTIVA!K7+AKTIVA!K9+AKTIVA!K10-PASIVA!K7</f>
        <v>30996287.759361923</v>
      </c>
    </row>
    <row r="21" spans="1:11" ht="15" thickBot="1" x14ac:dyDescent="0.35">
      <c r="A21" s="91" t="s">
        <v>41</v>
      </c>
      <c r="B21" s="346">
        <f>B20/'PRIHODKI IN STROŠKI'!B$6</f>
        <v>0.18794790395802333</v>
      </c>
      <c r="C21" s="346">
        <f>C20/'PRIHODKI IN STROŠKI'!C$6</f>
        <v>0.20842355143456792</v>
      </c>
      <c r="D21" s="346">
        <f>D20/'PRIHODKI IN STROŠKI'!D$6</f>
        <v>0.17662969259205374</v>
      </c>
      <c r="E21" s="346">
        <f>E20/'PRIHODKI IN STROŠKI'!E$6</f>
        <v>0.15445327243300794</v>
      </c>
      <c r="F21" s="411">
        <f>F20/'PRIHODKI IN STROŠKI'!F$6</f>
        <v>0.15592942626780612</v>
      </c>
      <c r="G21" s="568">
        <f>G20/'PRIHODKI IN STROŠKI'!G$6</f>
        <v>0.15000000000000005</v>
      </c>
      <c r="H21" s="346">
        <f>H20/'PRIHODKI IN STROŠKI'!H$6</f>
        <v>0.12000000000000005</v>
      </c>
      <c r="I21" s="346">
        <f>I20/'PRIHODKI IN STROŠKI'!I$6</f>
        <v>0.12999999999999998</v>
      </c>
      <c r="J21" s="346">
        <f>J20/'PRIHODKI IN STROŠKI'!J$6</f>
        <v>0.13</v>
      </c>
      <c r="K21" s="566">
        <f>K20/'PRIHODKI IN STROŠKI'!K$6</f>
        <v>0.12000000000000001</v>
      </c>
    </row>
    <row r="22" spans="1:11" s="6" customFormat="1" ht="15" thickBot="1" x14ac:dyDescent="0.35">
      <c r="A22" s="563" t="s">
        <v>224</v>
      </c>
      <c r="B22" s="564"/>
      <c r="C22" s="565">
        <f>C20-B20</f>
        <v>3685368</v>
      </c>
      <c r="D22" s="565">
        <f t="shared" ref="D22:K22" si="1">D20-C20</f>
        <v>-241232</v>
      </c>
      <c r="E22" s="565">
        <f t="shared" si="1"/>
        <v>-60617</v>
      </c>
      <c r="F22" s="569">
        <f t="shared" si="1"/>
        <v>3134223</v>
      </c>
      <c r="G22" s="570">
        <f t="shared" si="1"/>
        <v>1934602.9970000051</v>
      </c>
      <c r="H22" s="565">
        <f t="shared" si="1"/>
        <v>-2614244.2249679938</v>
      </c>
      <c r="I22" s="565">
        <f t="shared" si="1"/>
        <v>4685361.7352025472</v>
      </c>
      <c r="J22" s="565">
        <f t="shared" si="1"/>
        <v>3175300.8626107499</v>
      </c>
      <c r="K22" s="567">
        <f t="shared" si="1"/>
        <v>969563.38951661438</v>
      </c>
    </row>
    <row r="23" spans="1:11" x14ac:dyDescent="0.3">
      <c r="F23" s="27"/>
    </row>
    <row r="24" spans="1:11" x14ac:dyDescent="0.3">
      <c r="F24" s="27"/>
    </row>
    <row r="25" spans="1:11" x14ac:dyDescent="0.3">
      <c r="B25" s="429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3876C-D9A5-4827-B21A-157B2F90BC90}">
  <dimension ref="A1:L38"/>
  <sheetViews>
    <sheetView topLeftCell="A22" workbookViewId="0">
      <selection activeCell="D41" sqref="D41"/>
    </sheetView>
  </sheetViews>
  <sheetFormatPr defaultRowHeight="14.4" x14ac:dyDescent="0.3"/>
  <cols>
    <col min="1" max="1" width="34.21875" customWidth="1"/>
    <col min="2" max="5" width="15.77734375" customWidth="1"/>
    <col min="6" max="6" width="20.77734375" customWidth="1"/>
    <col min="7" max="11" width="15.77734375" customWidth="1"/>
    <col min="13" max="13" width="11" bestFit="1" customWidth="1"/>
  </cols>
  <sheetData>
    <row r="1" spans="1:12" s="12" customFormat="1" x14ac:dyDescent="0.3">
      <c r="A1" s="59" t="s">
        <v>45</v>
      </c>
      <c r="B1" s="60">
        <v>2013</v>
      </c>
      <c r="C1" s="60">
        <v>2014</v>
      </c>
      <c r="D1" s="60">
        <v>2015</v>
      </c>
      <c r="E1" s="60">
        <v>2016</v>
      </c>
      <c r="F1" s="301">
        <v>2017</v>
      </c>
      <c r="G1" s="61">
        <v>2018</v>
      </c>
      <c r="H1" s="60">
        <v>2019</v>
      </c>
      <c r="I1" s="60">
        <v>2020</v>
      </c>
      <c r="J1" s="60">
        <v>2021</v>
      </c>
      <c r="K1" s="62">
        <v>2022</v>
      </c>
      <c r="L1" s="116" t="s">
        <v>46</v>
      </c>
    </row>
    <row r="2" spans="1:12" s="4" customFormat="1" x14ac:dyDescent="0.3">
      <c r="A2" s="248" t="s">
        <v>42</v>
      </c>
      <c r="B2" s="39">
        <f>B4</f>
        <v>146030</v>
      </c>
      <c r="C2" s="39">
        <f>C4</f>
        <v>128464</v>
      </c>
      <c r="D2" s="39">
        <f>D4</f>
        <v>460181</v>
      </c>
      <c r="E2" s="39">
        <f>E4</f>
        <v>30645</v>
      </c>
      <c r="F2" s="43">
        <f>F4</f>
        <v>125857</v>
      </c>
      <c r="G2" s="38">
        <f>G16*'PRIHODKI IN STROŠKI'!G$6</f>
        <v>214762.65197399998</v>
      </c>
      <c r="H2" s="39">
        <f>H16*'PRIHODKI IN STROŠKI'!H$6</f>
        <v>240132.33586368</v>
      </c>
      <c r="I2" s="39">
        <f>I16*'PRIHODKI IN STROŠKI'!I$6</f>
        <v>268514.23507234565</v>
      </c>
      <c r="J2" s="39">
        <f>J16*'PRIHODKI IN STROŠKI'!J$6</f>
        <v>300267.24369845307</v>
      </c>
      <c r="K2" s="104">
        <f>K16*'PRIHODKI IN STROŠKI'!K$6</f>
        <v>335793.11739308748</v>
      </c>
    </row>
    <row r="3" spans="1:12" s="3" customFormat="1" x14ac:dyDescent="0.3">
      <c r="A3" s="48" t="s">
        <v>43</v>
      </c>
      <c r="B3" s="2"/>
      <c r="C3" s="2"/>
      <c r="D3" s="2"/>
      <c r="E3" s="2"/>
      <c r="F3" s="49"/>
      <c r="G3" s="21"/>
      <c r="H3" s="2"/>
      <c r="I3" s="2"/>
      <c r="J3" s="2"/>
      <c r="K3" s="50"/>
    </row>
    <row r="4" spans="1:12" s="73" customFormat="1" x14ac:dyDescent="0.3">
      <c r="A4" s="298" t="s">
        <v>47</v>
      </c>
      <c r="B4" s="95">
        <v>146030</v>
      </c>
      <c r="C4" s="95">
        <v>128464</v>
      </c>
      <c r="D4" s="95">
        <v>460181</v>
      </c>
      <c r="E4" s="95">
        <v>30645</v>
      </c>
      <c r="F4" s="146">
        <v>125857</v>
      </c>
      <c r="G4" s="267">
        <f>G2</f>
        <v>214762.65197399998</v>
      </c>
      <c r="H4" s="117">
        <f>H2</f>
        <v>240132.33586368</v>
      </c>
      <c r="I4" s="117">
        <f>I2</f>
        <v>268514.23507234565</v>
      </c>
      <c r="J4" s="117">
        <f>J2</f>
        <v>300267.24369845307</v>
      </c>
      <c r="K4" s="334">
        <f>K2</f>
        <v>335793.11739308748</v>
      </c>
    </row>
    <row r="5" spans="1:12" s="4" customFormat="1" x14ac:dyDescent="0.3">
      <c r="A5" s="248" t="s">
        <v>44</v>
      </c>
      <c r="B5" s="39">
        <f>B7+B8+B9</f>
        <v>1208645</v>
      </c>
      <c r="C5" s="39">
        <f>C7+C8+C9</f>
        <v>3838174</v>
      </c>
      <c r="D5" s="39">
        <f>D7+D8+D9</f>
        <v>8524069</v>
      </c>
      <c r="E5" s="39">
        <f>E7+E8+E9</f>
        <v>20961802</v>
      </c>
      <c r="F5" s="43">
        <f>F7+F8+F9</f>
        <v>16054474</v>
      </c>
      <c r="G5" s="38">
        <f>G19*'PRIHODKI IN STROŠKI'!G$6</f>
        <v>13216163.1984</v>
      </c>
      <c r="H5" s="39">
        <f>H19*'PRIHODKI IN STROŠKI'!H$6</f>
        <v>14777374.514688</v>
      </c>
      <c r="I5" s="39">
        <f>I19*'PRIHODKI IN STROŠKI'!I$6</f>
        <v>14458458.811587844</v>
      </c>
      <c r="J5" s="39">
        <f>J19*'PRIHODKI IN STROŠKI'!J$6</f>
        <v>16168236.199147476</v>
      </c>
      <c r="K5" s="104">
        <f>K19*'PRIHODKI IN STROŠKI'!K$6</f>
        <v>18081167.859627787</v>
      </c>
    </row>
    <row r="6" spans="1:12" s="3" customFormat="1" x14ac:dyDescent="0.3">
      <c r="A6" s="48" t="s">
        <v>43</v>
      </c>
      <c r="B6" s="2"/>
      <c r="C6" s="2"/>
      <c r="D6" s="2"/>
      <c r="E6" s="2"/>
      <c r="F6" s="49"/>
      <c r="G6" s="21"/>
      <c r="H6" s="2"/>
      <c r="I6" s="2"/>
      <c r="J6" s="2"/>
      <c r="K6" s="50"/>
    </row>
    <row r="7" spans="1:12" s="73" customFormat="1" x14ac:dyDescent="0.3">
      <c r="A7" s="298" t="s">
        <v>48</v>
      </c>
      <c r="B7" s="95">
        <v>166123</v>
      </c>
      <c r="C7" s="95">
        <v>1015251</v>
      </c>
      <c r="D7" s="95">
        <v>1758500</v>
      </c>
      <c r="E7" s="95">
        <v>8312984</v>
      </c>
      <c r="F7" s="146">
        <v>4082310</v>
      </c>
      <c r="G7" s="267">
        <f>G21*G5</f>
        <v>3436202.4315840001</v>
      </c>
      <c r="H7" s="117">
        <f>H21*H5</f>
        <v>3842117.3738188799</v>
      </c>
      <c r="I7" s="117">
        <f>I21*I5</f>
        <v>3759199.2910128394</v>
      </c>
      <c r="J7" s="117">
        <f>J21*J5</f>
        <v>4203741.4117783438</v>
      </c>
      <c r="K7" s="334">
        <f>K21*K5</f>
        <v>4701103.6435032245</v>
      </c>
    </row>
    <row r="8" spans="1:12" s="73" customFormat="1" x14ac:dyDescent="0.3">
      <c r="A8" s="298" t="s">
        <v>49</v>
      </c>
      <c r="B8" s="95">
        <v>410054</v>
      </c>
      <c r="C8" s="95">
        <v>1822419</v>
      </c>
      <c r="D8" s="95">
        <v>5117011</v>
      </c>
      <c r="E8" s="95">
        <v>9931729</v>
      </c>
      <c r="F8" s="146">
        <v>8598383</v>
      </c>
      <c r="G8" s="267">
        <f>G22*G5</f>
        <v>6475919.967216</v>
      </c>
      <c r="H8" s="117">
        <f>H22*H5</f>
        <v>7240913.5121971201</v>
      </c>
      <c r="I8" s="117">
        <f>I22*I5</f>
        <v>7084644.8176780436</v>
      </c>
      <c r="J8" s="117">
        <f>J22*J5</f>
        <v>7922435.7375822626</v>
      </c>
      <c r="K8" s="334">
        <f>K22*K5</f>
        <v>8859772.2512176149</v>
      </c>
    </row>
    <row r="9" spans="1:12" s="73" customFormat="1" x14ac:dyDescent="0.3">
      <c r="A9" s="298" t="s">
        <v>50</v>
      </c>
      <c r="B9" s="95">
        <v>632468</v>
      </c>
      <c r="C9" s="95">
        <v>1000504</v>
      </c>
      <c r="D9" s="95">
        <v>1648558</v>
      </c>
      <c r="E9" s="95">
        <v>2717089</v>
      </c>
      <c r="F9" s="146">
        <v>3373781</v>
      </c>
      <c r="G9" s="267">
        <f>G23*G5</f>
        <v>3304040.7996</v>
      </c>
      <c r="H9" s="117">
        <f>H23*H5</f>
        <v>3694343.628672</v>
      </c>
      <c r="I9" s="117">
        <f>I23*I5</f>
        <v>3614614.702896961</v>
      </c>
      <c r="J9" s="117">
        <f>J23*J5</f>
        <v>4042059.049786869</v>
      </c>
      <c r="K9" s="334">
        <f>K23*K5</f>
        <v>4520291.9649069468</v>
      </c>
    </row>
    <row r="10" spans="1:12" s="73" customFormat="1" ht="15" thickBot="1" x14ac:dyDescent="0.35">
      <c r="A10" s="335" t="s">
        <v>51</v>
      </c>
      <c r="B10" s="336">
        <f t="shared" ref="B10:F10" si="0">B5+B2</f>
        <v>1354675</v>
      </c>
      <c r="C10" s="336">
        <f t="shared" si="0"/>
        <v>3966638</v>
      </c>
      <c r="D10" s="336">
        <f t="shared" si="0"/>
        <v>8984250</v>
      </c>
      <c r="E10" s="336">
        <f t="shared" si="0"/>
        <v>20992447</v>
      </c>
      <c r="F10" s="337">
        <f t="shared" si="0"/>
        <v>16180331</v>
      </c>
      <c r="G10" s="336">
        <f>G5+G2</f>
        <v>13430925.850374</v>
      </c>
      <c r="H10" s="338">
        <f>H5+H2</f>
        <v>15017506.85055168</v>
      </c>
      <c r="I10" s="338">
        <f>I5+I2</f>
        <v>14726973.04666019</v>
      </c>
      <c r="J10" s="338">
        <f>J5+J2</f>
        <v>16468503.442845929</v>
      </c>
      <c r="K10" s="339">
        <f>K5+K2</f>
        <v>18416960.977020875</v>
      </c>
    </row>
    <row r="11" spans="1:12" s="73" customFormat="1" x14ac:dyDescent="0.3">
      <c r="A11" s="133"/>
      <c r="B11" s="99"/>
      <c r="C11" s="99"/>
      <c r="D11" s="99"/>
      <c r="E11" s="99"/>
      <c r="F11" s="268"/>
      <c r="G11" s="266"/>
      <c r="H11" s="266"/>
      <c r="I11" s="266"/>
      <c r="J11" s="266"/>
      <c r="K11" s="266"/>
    </row>
    <row r="12" spans="1:12" s="75" customFormat="1" x14ac:dyDescent="0.3">
      <c r="A12" s="134"/>
      <c r="B12" s="134"/>
      <c r="C12" s="134"/>
      <c r="D12" s="134"/>
      <c r="E12" s="134"/>
      <c r="F12" s="269"/>
      <c r="G12" s="134"/>
      <c r="H12" s="134"/>
      <c r="I12" s="134"/>
      <c r="J12" s="134"/>
      <c r="K12" s="134"/>
    </row>
    <row r="13" spans="1:12" x14ac:dyDescent="0.3">
      <c r="A13" s="135"/>
      <c r="B13" s="135"/>
      <c r="C13" s="135"/>
      <c r="D13" s="135"/>
      <c r="E13" s="135"/>
      <c r="F13" s="27"/>
      <c r="G13" s="135"/>
      <c r="H13" s="135"/>
      <c r="I13" s="135"/>
      <c r="J13" s="135"/>
      <c r="K13" s="135"/>
    </row>
    <row r="14" spans="1:12" ht="15" thickBot="1" x14ac:dyDescent="0.35">
      <c r="A14" s="135"/>
      <c r="B14" s="135"/>
      <c r="C14" s="135"/>
      <c r="D14" s="135"/>
      <c r="E14" s="135"/>
      <c r="F14" s="27"/>
      <c r="G14" s="135"/>
      <c r="H14" s="135"/>
      <c r="I14" s="135"/>
      <c r="J14" s="135"/>
      <c r="K14" s="135"/>
    </row>
    <row r="15" spans="1:12" s="31" customFormat="1" x14ac:dyDescent="0.3">
      <c r="A15" s="191" t="s">
        <v>53</v>
      </c>
      <c r="B15" s="60">
        <v>2013</v>
      </c>
      <c r="C15" s="60">
        <v>2014</v>
      </c>
      <c r="D15" s="60">
        <v>2015</v>
      </c>
      <c r="E15" s="60">
        <v>2016</v>
      </c>
      <c r="F15" s="301">
        <v>2017</v>
      </c>
      <c r="G15" s="61">
        <v>2018</v>
      </c>
      <c r="H15" s="60">
        <v>2019</v>
      </c>
      <c r="I15" s="60">
        <v>2020</v>
      </c>
      <c r="J15" s="60">
        <v>2021</v>
      </c>
      <c r="K15" s="62">
        <v>2022</v>
      </c>
    </row>
    <row r="16" spans="1:12" s="77" customFormat="1" x14ac:dyDescent="0.3">
      <c r="A16" s="314" t="s">
        <v>42</v>
      </c>
      <c r="B16" s="118">
        <f>B2/'PRIHODKI IN STROŠKI'!B$6</f>
        <v>1.6809222177214991E-3</v>
      </c>
      <c r="C16" s="118">
        <f>C2/'PRIHODKI IN STROŠKI'!C$6</f>
        <v>1.3378545424147243E-3</v>
      </c>
      <c r="D16" s="118">
        <f>D2/'PRIHODKI IN STROŠKI'!D$6</f>
        <v>4.1109260472828903E-3</v>
      </c>
      <c r="E16" s="118">
        <f>E2/'PRIHODKI IN STROŠKI'!E$6</f>
        <v>2.4012507095913288E-4</v>
      </c>
      <c r="F16" s="270">
        <f>F2/'PRIHODKI IN STROŠKI'!F$6</f>
        <v>8.5901536064735126E-4</v>
      </c>
      <c r="G16" s="124">
        <f>0.13%</f>
        <v>1.2999999999999999E-3</v>
      </c>
      <c r="H16" s="124">
        <f t="shared" ref="H16:K16" si="1">0.13%</f>
        <v>1.2999999999999999E-3</v>
      </c>
      <c r="I16" s="124">
        <f t="shared" si="1"/>
        <v>1.2999999999999999E-3</v>
      </c>
      <c r="J16" s="124">
        <f t="shared" si="1"/>
        <v>1.2999999999999999E-3</v>
      </c>
      <c r="K16" s="124">
        <f t="shared" si="1"/>
        <v>1.2999999999999999E-3</v>
      </c>
    </row>
    <row r="17" spans="1:11" x14ac:dyDescent="0.3">
      <c r="A17" s="55" t="s">
        <v>43</v>
      </c>
      <c r="B17" s="5"/>
      <c r="C17" s="5"/>
      <c r="D17" s="5"/>
      <c r="E17" s="5"/>
      <c r="F17" s="52"/>
      <c r="G17" s="78"/>
      <c r="H17" s="79"/>
      <c r="I17" s="79"/>
      <c r="J17" s="79"/>
      <c r="K17" s="325"/>
    </row>
    <row r="18" spans="1:11" x14ac:dyDescent="0.3">
      <c r="A18" s="172" t="s">
        <v>47</v>
      </c>
      <c r="B18" s="120">
        <f t="shared" ref="B18:K18" si="2">B4/B2</f>
        <v>1</v>
      </c>
      <c r="C18" s="120">
        <f t="shared" si="2"/>
        <v>1</v>
      </c>
      <c r="D18" s="120">
        <f t="shared" si="2"/>
        <v>1</v>
      </c>
      <c r="E18" s="120">
        <f t="shared" si="2"/>
        <v>1</v>
      </c>
      <c r="F18" s="121">
        <f t="shared" si="2"/>
        <v>1</v>
      </c>
      <c r="G18" s="125">
        <f t="shared" si="2"/>
        <v>1</v>
      </c>
      <c r="H18" s="126">
        <f t="shared" si="2"/>
        <v>1</v>
      </c>
      <c r="I18" s="126">
        <f t="shared" si="2"/>
        <v>1</v>
      </c>
      <c r="J18" s="126">
        <f t="shared" si="2"/>
        <v>1</v>
      </c>
      <c r="K18" s="326">
        <f t="shared" si="2"/>
        <v>1</v>
      </c>
    </row>
    <row r="19" spans="1:11" x14ac:dyDescent="0.3">
      <c r="A19" s="90" t="s">
        <v>44</v>
      </c>
      <c r="B19" s="119">
        <f>B5/'PRIHODKI IN STROŠKI'!B$6</f>
        <v>1.3912471641703769E-2</v>
      </c>
      <c r="C19" s="119">
        <f>C5/'PRIHODKI IN STROŠKI'!C$6</f>
        <v>3.9971653696584973E-2</v>
      </c>
      <c r="D19" s="119">
        <f>D5/'PRIHODKI IN STROŠKI'!D$6</f>
        <v>7.6147901110512201E-2</v>
      </c>
      <c r="E19" s="119">
        <f>E5/'PRIHODKI IN STROŠKI'!E$6</f>
        <v>0.16425042234234927</v>
      </c>
      <c r="F19" s="271">
        <f>F5/'PRIHODKI IN STROŠKI'!F$6</f>
        <v>0.10957705787610959</v>
      </c>
      <c r="G19" s="127">
        <v>0.08</v>
      </c>
      <c r="H19" s="128">
        <v>0.08</v>
      </c>
      <c r="I19" s="128">
        <v>7.0000000000000007E-2</v>
      </c>
      <c r="J19" s="128">
        <v>7.0000000000000007E-2</v>
      </c>
      <c r="K19" s="128">
        <v>7.0000000000000007E-2</v>
      </c>
    </row>
    <row r="20" spans="1:11" x14ac:dyDescent="0.3">
      <c r="A20" s="55" t="s">
        <v>43</v>
      </c>
      <c r="B20" s="5"/>
      <c r="C20" s="5"/>
      <c r="D20" s="5"/>
      <c r="E20" s="5"/>
      <c r="F20" s="52"/>
      <c r="G20" s="131"/>
      <c r="H20" s="132"/>
      <c r="I20" s="132"/>
      <c r="J20" s="132"/>
      <c r="K20" s="327"/>
    </row>
    <row r="21" spans="1:11" s="80" customFormat="1" x14ac:dyDescent="0.3">
      <c r="A21" s="319" t="s">
        <v>48</v>
      </c>
      <c r="B21" s="122">
        <f>B7/B5</f>
        <v>0.13744565194908348</v>
      </c>
      <c r="C21" s="122">
        <f>C7/C5</f>
        <v>0.26451406319776016</v>
      </c>
      <c r="D21" s="122">
        <f>D7/D5</f>
        <v>0.20629818928026039</v>
      </c>
      <c r="E21" s="122">
        <f>E7/E5</f>
        <v>0.39657773697127757</v>
      </c>
      <c r="F21" s="123">
        <f>F7/F5</f>
        <v>0.25427865154598028</v>
      </c>
      <c r="G21" s="129">
        <v>0.26</v>
      </c>
      <c r="H21" s="130">
        <v>0.26</v>
      </c>
      <c r="I21" s="130">
        <v>0.26</v>
      </c>
      <c r="J21" s="130">
        <v>0.26</v>
      </c>
      <c r="K21" s="328">
        <v>0.26</v>
      </c>
    </row>
    <row r="22" spans="1:11" s="80" customFormat="1" x14ac:dyDescent="0.3">
      <c r="A22" s="319" t="s">
        <v>49</v>
      </c>
      <c r="B22" s="122">
        <f>B8/B5</f>
        <v>0.33926752685858957</v>
      </c>
      <c r="C22" s="122">
        <f>C8/C5</f>
        <v>0.47481406522997655</v>
      </c>
      <c r="D22" s="122">
        <f>D8/D5</f>
        <v>0.60030145227590248</v>
      </c>
      <c r="E22" s="122">
        <f>E8/E5</f>
        <v>0.47380129818991706</v>
      </c>
      <c r="F22" s="123">
        <f>F8/F5</f>
        <v>0.5355755037505433</v>
      </c>
      <c r="G22" s="129">
        <v>0.49</v>
      </c>
      <c r="H22" s="130">
        <v>0.49</v>
      </c>
      <c r="I22" s="130">
        <v>0.49</v>
      </c>
      <c r="J22" s="130">
        <v>0.49</v>
      </c>
      <c r="K22" s="328">
        <v>0.49</v>
      </c>
    </row>
    <row r="23" spans="1:11" s="80" customFormat="1" ht="15" thickBot="1" x14ac:dyDescent="0.35">
      <c r="A23" s="320" t="s">
        <v>50</v>
      </c>
      <c r="B23" s="329">
        <f>B9/B5</f>
        <v>0.52328682119232695</v>
      </c>
      <c r="C23" s="329">
        <f>C9/C5</f>
        <v>0.26067187157226329</v>
      </c>
      <c r="D23" s="329">
        <f>D9/D5</f>
        <v>0.1934003584438371</v>
      </c>
      <c r="E23" s="329">
        <f>E9/E5</f>
        <v>0.12962096483880536</v>
      </c>
      <c r="F23" s="330">
        <f>F9/F5</f>
        <v>0.21014584470347641</v>
      </c>
      <c r="G23" s="331">
        <v>0.25</v>
      </c>
      <c r="H23" s="332">
        <v>0.25</v>
      </c>
      <c r="I23" s="332">
        <v>0.25</v>
      </c>
      <c r="J23" s="332">
        <v>0.25</v>
      </c>
      <c r="K23" s="333">
        <v>0.25</v>
      </c>
    </row>
    <row r="24" spans="1:11" x14ac:dyDescent="0.3">
      <c r="F24" s="27"/>
    </row>
    <row r="25" spans="1:11" x14ac:dyDescent="0.3">
      <c r="D25" s="495"/>
      <c r="F25" s="27"/>
    </row>
    <row r="26" spans="1:11" x14ac:dyDescent="0.3">
      <c r="A26" s="81"/>
      <c r="F26" s="27"/>
    </row>
    <row r="27" spans="1:11" ht="15" thickBot="1" x14ac:dyDescent="0.35">
      <c r="A27" s="81" t="s">
        <v>244</v>
      </c>
      <c r="F27" s="27"/>
    </row>
    <row r="28" spans="1:11" s="163" customFormat="1" x14ac:dyDescent="0.3">
      <c r="A28" s="59" t="s">
        <v>221</v>
      </c>
      <c r="B28" s="141">
        <v>2013</v>
      </c>
      <c r="C28" s="141">
        <v>2014</v>
      </c>
      <c r="D28" s="141">
        <v>2015</v>
      </c>
      <c r="E28" s="141">
        <v>2016</v>
      </c>
      <c r="F28" s="149">
        <v>2017</v>
      </c>
      <c r="G28" s="144">
        <v>2018</v>
      </c>
      <c r="H28" s="144">
        <v>2019</v>
      </c>
      <c r="I28" s="144">
        <v>2020</v>
      </c>
      <c r="J28" s="144">
        <v>2021</v>
      </c>
      <c r="K28" s="313">
        <v>2022</v>
      </c>
    </row>
    <row r="29" spans="1:11" x14ac:dyDescent="0.3">
      <c r="A29" s="314" t="s">
        <v>42</v>
      </c>
      <c r="B29" s="292">
        <f>B31</f>
        <v>240390</v>
      </c>
      <c r="C29" s="292">
        <f t="shared" ref="C29:K29" si="3">C31</f>
        <v>211090</v>
      </c>
      <c r="D29" s="292">
        <f t="shared" si="3"/>
        <v>443644</v>
      </c>
      <c r="E29" s="292">
        <f t="shared" si="3"/>
        <v>244397</v>
      </c>
      <c r="F29" s="297">
        <f t="shared" si="3"/>
        <v>164330</v>
      </c>
      <c r="G29" s="296">
        <f t="shared" si="3"/>
        <v>190386.58589503999</v>
      </c>
      <c r="H29" s="292">
        <f t="shared" si="3"/>
        <v>232207.56224521276</v>
      </c>
      <c r="I29" s="292">
        <f t="shared" si="3"/>
        <v>102678.73466403742</v>
      </c>
      <c r="J29" s="292">
        <f t="shared" si="3"/>
        <v>0</v>
      </c>
      <c r="K29" s="315">
        <f t="shared" si="3"/>
        <v>0</v>
      </c>
    </row>
    <row r="30" spans="1:11" x14ac:dyDescent="0.3">
      <c r="A30" s="55" t="s">
        <v>43</v>
      </c>
      <c r="B30" s="293"/>
      <c r="C30" s="293"/>
      <c r="D30" s="293"/>
      <c r="E30" s="293"/>
      <c r="F30" s="294"/>
      <c r="G30" s="295"/>
      <c r="H30" s="293"/>
      <c r="I30" s="293"/>
      <c r="J30" s="293"/>
      <c r="K30" s="316"/>
    </row>
    <row r="31" spans="1:11" x14ac:dyDescent="0.3">
      <c r="A31" s="172" t="s">
        <v>47</v>
      </c>
      <c r="B31" s="289">
        <v>240390</v>
      </c>
      <c r="C31" s="289">
        <v>211090</v>
      </c>
      <c r="D31" s="289">
        <v>443644</v>
      </c>
      <c r="E31" s="289">
        <v>244397</v>
      </c>
      <c r="F31" s="290">
        <v>164330</v>
      </c>
      <c r="G31" s="291">
        <f>AKTIVA!G3</f>
        <v>190386.58589503999</v>
      </c>
      <c r="H31" s="291">
        <f>AKTIVA!H3</f>
        <v>232207.56224521276</v>
      </c>
      <c r="I31" s="291">
        <f>AKTIVA!I3</f>
        <v>102678.73466403742</v>
      </c>
      <c r="J31" s="291">
        <f>AKTIVA!J3</f>
        <v>0</v>
      </c>
      <c r="K31" s="291">
        <f>AKTIVA!K3</f>
        <v>0</v>
      </c>
    </row>
    <row r="32" spans="1:11" x14ac:dyDescent="0.3">
      <c r="A32" s="90" t="s">
        <v>44</v>
      </c>
      <c r="B32" s="292">
        <f>SUM(B34:B36)</f>
        <v>16819374</v>
      </c>
      <c r="C32" s="292">
        <f t="shared" ref="C32:F32" si="4">SUM(C34:C36)</f>
        <v>17401687</v>
      </c>
      <c r="D32" s="292">
        <f t="shared" si="4"/>
        <v>20044610</v>
      </c>
      <c r="E32" s="292">
        <f t="shared" si="4"/>
        <v>34209780</v>
      </c>
      <c r="F32" s="297">
        <f t="shared" si="4"/>
        <v>42855483</v>
      </c>
      <c r="G32" s="296">
        <f>AKTIVA!G2</f>
        <v>57650135.418910973</v>
      </c>
      <c r="H32" s="296">
        <f>AKTIVA!H2</f>
        <v>65247272.693211831</v>
      </c>
      <c r="I32" s="296">
        <f>AKTIVA!I2</f>
        <v>71956409.32558845</v>
      </c>
      <c r="J32" s="296">
        <f>AKTIVA!J2</f>
        <v>79738941.568726242</v>
      </c>
      <c r="K32" s="296">
        <f>AKTIVA!K2</f>
        <v>88722730.705389395</v>
      </c>
    </row>
    <row r="33" spans="1:11" x14ac:dyDescent="0.3">
      <c r="A33" s="55" t="s">
        <v>43</v>
      </c>
      <c r="B33" s="286"/>
      <c r="C33" s="286"/>
      <c r="D33" s="286"/>
      <c r="E33" s="286"/>
      <c r="F33" s="287"/>
      <c r="G33" s="288"/>
      <c r="H33" s="286"/>
      <c r="I33" s="286"/>
      <c r="J33" s="286"/>
      <c r="K33" s="318"/>
    </row>
    <row r="34" spans="1:11" x14ac:dyDescent="0.3">
      <c r="A34" s="319" t="s">
        <v>48</v>
      </c>
      <c r="B34" s="289">
        <v>5971597</v>
      </c>
      <c r="C34" s="289">
        <v>6288588</v>
      </c>
      <c r="D34" s="289">
        <v>7301671</v>
      </c>
      <c r="E34" s="289">
        <v>14551903</v>
      </c>
      <c r="F34" s="290">
        <v>17529047</v>
      </c>
      <c r="G34" s="291">
        <f>F34+G7-AMORTIZACIJA!G56</f>
        <v>19782271.298636481</v>
      </c>
      <c r="H34" s="291">
        <f>G34+H7-AMORTIZACIJA!H56</f>
        <v>22326147.018293276</v>
      </c>
      <c r="I34" s="291">
        <f>H34+I7-AMORTIZACIJA!I56</f>
        <v>24674328.676413644</v>
      </c>
      <c r="J34" s="291">
        <f>I34+J7-AMORTIZACIJA!J56</f>
        <v>27340940.212946165</v>
      </c>
      <c r="K34" s="317">
        <f>J34+K7-AMORTIZACIJA!K56</f>
        <v>30363880.871898469</v>
      </c>
    </row>
    <row r="35" spans="1:11" x14ac:dyDescent="0.3">
      <c r="A35" s="319" t="s">
        <v>49</v>
      </c>
      <c r="B35" s="289">
        <v>8700466</v>
      </c>
      <c r="C35" s="289">
        <v>8648021</v>
      </c>
      <c r="D35" s="289">
        <v>9792792</v>
      </c>
      <c r="E35" s="289">
        <v>15525706</v>
      </c>
      <c r="F35" s="290">
        <v>19716853</v>
      </c>
      <c r="G35" s="291">
        <f>F35+G8-AMORTIZACIJA!G68</f>
        <v>21681689.952658497</v>
      </c>
      <c r="H35" s="291">
        <f>G35+H8-AMORTIZACIJA!H68</f>
        <v>24092920.255761445</v>
      </c>
      <c r="I35" s="291">
        <f>H35+I8-AMORTIZACIJA!I68</f>
        <v>26036157.492367476</v>
      </c>
      <c r="J35" s="291">
        <f>I35+J8-AMORTIZACIJA!J68</f>
        <v>28468598.476424113</v>
      </c>
      <c r="K35" s="317">
        <f>J35+K8-AMORTIZACIJA!K68</f>
        <v>31448545.995062526</v>
      </c>
    </row>
    <row r="36" spans="1:11" ht="15" thickBot="1" x14ac:dyDescent="0.35">
      <c r="A36" s="320" t="s">
        <v>50</v>
      </c>
      <c r="B36" s="321">
        <v>2147311</v>
      </c>
      <c r="C36" s="321">
        <v>2465078</v>
      </c>
      <c r="D36" s="321">
        <v>2950147</v>
      </c>
      <c r="E36" s="321">
        <v>4132171</v>
      </c>
      <c r="F36" s="322">
        <v>5609583</v>
      </c>
      <c r="G36" s="323">
        <f>F36+G9-AMORTIZACIJA!G80</f>
        <v>8009085.1676159995</v>
      </c>
      <c r="H36" s="323">
        <f>G36+H9-AMORTIZACIJA!H80</f>
        <v>10651116.419157118</v>
      </c>
      <c r="I36" s="323">
        <f>H36+I9-AMORTIZACIJA!I80</f>
        <v>13068834.156807318</v>
      </c>
      <c r="J36" s="323">
        <f>I36+J9-AMORTIZACIJA!J80</f>
        <v>15752313.879355954</v>
      </c>
      <c r="K36" s="324">
        <f>J36+K9-AMORTIZACIJA!K80</f>
        <v>18733214.838428389</v>
      </c>
    </row>
    <row r="37" spans="1:11" x14ac:dyDescent="0.3">
      <c r="F37" s="27"/>
    </row>
    <row r="38" spans="1:11" x14ac:dyDescent="0.3">
      <c r="F38" s="27"/>
    </row>
  </sheetData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B39DD-43BF-4414-9258-52BD9D95E4C8}">
  <dimension ref="A1:L94"/>
  <sheetViews>
    <sheetView topLeftCell="A22" workbookViewId="0">
      <selection activeCell="E100" sqref="E100"/>
    </sheetView>
  </sheetViews>
  <sheetFormatPr defaultRowHeight="14.4" x14ac:dyDescent="0.3"/>
  <cols>
    <col min="1" max="1" width="36.109375" customWidth="1"/>
    <col min="2" max="2" width="13.5546875" bestFit="1" customWidth="1"/>
    <col min="3" max="5" width="12.5546875" bestFit="1" customWidth="1"/>
    <col min="6" max="6" width="38" customWidth="1"/>
    <col min="7" max="11" width="12.88671875" bestFit="1" customWidth="1"/>
  </cols>
  <sheetData>
    <row r="1" spans="1:12" s="12" customFormat="1" x14ac:dyDescent="0.3">
      <c r="A1" s="191" t="s">
        <v>68</v>
      </c>
      <c r="B1" s="60">
        <v>2013</v>
      </c>
      <c r="C1" s="60">
        <v>2014</v>
      </c>
      <c r="D1" s="60">
        <v>2015</v>
      </c>
      <c r="E1" s="60">
        <v>2016</v>
      </c>
      <c r="F1" s="301">
        <v>2017</v>
      </c>
      <c r="G1" s="96"/>
      <c r="H1" s="96"/>
      <c r="I1" s="96"/>
      <c r="J1" s="96"/>
      <c r="K1" s="96"/>
    </row>
    <row r="2" spans="1:12" x14ac:dyDescent="0.3">
      <c r="A2" s="248" t="s">
        <v>42</v>
      </c>
      <c r="B2" s="39">
        <f>B4</f>
        <v>107197</v>
      </c>
      <c r="C2" s="39">
        <f>C4</f>
        <v>157764</v>
      </c>
      <c r="D2" s="39">
        <f>D4</f>
        <v>227677</v>
      </c>
      <c r="E2" s="39">
        <f>E4</f>
        <v>229868</v>
      </c>
      <c r="F2" s="43">
        <f>F4</f>
        <v>202012</v>
      </c>
      <c r="G2" s="97"/>
      <c r="H2" s="97"/>
      <c r="I2" s="97"/>
      <c r="J2" s="97"/>
      <c r="K2" s="97"/>
    </row>
    <row r="3" spans="1:12" x14ac:dyDescent="0.3">
      <c r="A3" s="48" t="s">
        <v>43</v>
      </c>
      <c r="B3" s="2"/>
      <c r="C3" s="2"/>
      <c r="D3" s="2"/>
      <c r="E3" s="2"/>
      <c r="F3" s="49"/>
      <c r="G3" s="98"/>
      <c r="H3" s="98"/>
      <c r="I3" s="98"/>
      <c r="J3" s="98"/>
      <c r="K3" s="98"/>
    </row>
    <row r="4" spans="1:12" x14ac:dyDescent="0.3">
      <c r="A4" s="298" t="s">
        <v>47</v>
      </c>
      <c r="B4" s="95">
        <v>107197</v>
      </c>
      <c r="C4" s="95">
        <v>157764</v>
      </c>
      <c r="D4" s="95">
        <v>227677</v>
      </c>
      <c r="E4" s="95">
        <v>229868</v>
      </c>
      <c r="F4" s="146">
        <v>202012</v>
      </c>
      <c r="G4" s="238"/>
      <c r="H4" s="238"/>
      <c r="I4" s="238"/>
      <c r="J4" s="238"/>
      <c r="K4" s="238"/>
      <c r="L4" s="452"/>
    </row>
    <row r="5" spans="1:12" x14ac:dyDescent="0.3">
      <c r="A5" s="248" t="s">
        <v>44</v>
      </c>
      <c r="B5" s="39">
        <f>B7+B8+B9</f>
        <v>5456856</v>
      </c>
      <c r="C5" s="39">
        <f>C7+C8+C9</f>
        <v>5088687</v>
      </c>
      <c r="D5" s="39">
        <f>D7+D8+D9</f>
        <v>5202660</v>
      </c>
      <c r="E5" s="39">
        <f>E7+E8+E9</f>
        <v>5989706</v>
      </c>
      <c r="F5" s="43">
        <f>F7+F8+F9</f>
        <v>7203558</v>
      </c>
      <c r="G5" s="97"/>
      <c r="H5" s="97"/>
      <c r="I5" s="97"/>
      <c r="J5" s="97"/>
      <c r="K5" s="97"/>
    </row>
    <row r="6" spans="1:12" x14ac:dyDescent="0.3">
      <c r="A6" s="48" t="s">
        <v>43</v>
      </c>
      <c r="B6" s="2"/>
      <c r="C6" s="2"/>
      <c r="D6" s="2"/>
      <c r="E6" s="2"/>
      <c r="F6" s="49"/>
      <c r="G6" s="98"/>
      <c r="H6" s="98"/>
      <c r="I6" s="98"/>
      <c r="J6" s="98"/>
      <c r="K6" s="98"/>
    </row>
    <row r="7" spans="1:12" x14ac:dyDescent="0.3">
      <c r="A7" s="298" t="s">
        <v>48</v>
      </c>
      <c r="B7" s="95">
        <v>773576</v>
      </c>
      <c r="C7" s="95">
        <v>707981</v>
      </c>
      <c r="D7" s="95">
        <v>744985</v>
      </c>
      <c r="E7" s="95">
        <v>738768</v>
      </c>
      <c r="F7" s="146">
        <v>1105166</v>
      </c>
      <c r="G7" s="238"/>
      <c r="H7" s="238"/>
      <c r="I7" s="238"/>
      <c r="J7" s="238"/>
      <c r="K7" s="238"/>
    </row>
    <row r="8" spans="1:12" x14ac:dyDescent="0.3">
      <c r="A8" s="298" t="s">
        <v>49</v>
      </c>
      <c r="B8" s="95">
        <v>3689628</v>
      </c>
      <c r="C8" s="95">
        <v>3329485</v>
      </c>
      <c r="D8" s="95">
        <v>3318631</v>
      </c>
      <c r="E8" s="95">
        <v>3876816</v>
      </c>
      <c r="F8" s="146">
        <v>4262598</v>
      </c>
      <c r="G8" s="238"/>
      <c r="H8" s="238"/>
      <c r="I8" s="238"/>
      <c r="J8" s="238"/>
      <c r="K8" s="238"/>
      <c r="L8" s="452"/>
    </row>
    <row r="9" spans="1:12" ht="15" thickBot="1" x14ac:dyDescent="0.35">
      <c r="A9" s="299" t="s">
        <v>50</v>
      </c>
      <c r="B9" s="300">
        <v>993652</v>
      </c>
      <c r="C9" s="300">
        <v>1051221</v>
      </c>
      <c r="D9" s="300">
        <v>1139044</v>
      </c>
      <c r="E9" s="300">
        <v>1374122</v>
      </c>
      <c r="F9" s="405">
        <v>1835794</v>
      </c>
      <c r="G9" s="238"/>
      <c r="H9" s="238"/>
      <c r="I9" s="238"/>
      <c r="J9" s="238"/>
      <c r="K9" s="238"/>
    </row>
    <row r="10" spans="1:12" x14ac:dyDescent="0.3">
      <c r="F10" s="27"/>
    </row>
    <row r="11" spans="1:12" ht="15" thickBot="1" x14ac:dyDescent="0.35">
      <c r="F11" s="27"/>
    </row>
    <row r="12" spans="1:12" s="12" customFormat="1" x14ac:dyDescent="0.3">
      <c r="A12" s="191" t="s">
        <v>52</v>
      </c>
      <c r="B12" s="60">
        <v>2013</v>
      </c>
      <c r="C12" s="60">
        <v>2014</v>
      </c>
      <c r="D12" s="60">
        <v>2015</v>
      </c>
      <c r="E12" s="60">
        <v>2016</v>
      </c>
      <c r="F12" s="301">
        <v>2017</v>
      </c>
      <c r="G12" s="61">
        <v>2018</v>
      </c>
      <c r="H12" s="60">
        <v>2019</v>
      </c>
      <c r="I12" s="60">
        <v>2020</v>
      </c>
      <c r="J12" s="60">
        <v>2021</v>
      </c>
      <c r="K12" s="62">
        <v>2022</v>
      </c>
    </row>
    <row r="13" spans="1:12" x14ac:dyDescent="0.3">
      <c r="A13" s="90" t="s">
        <v>42</v>
      </c>
      <c r="B13" s="101">
        <f>B2/'PRIHODKI IN STROŠKI'!B$6</f>
        <v>1.2339232963986273E-3</v>
      </c>
      <c r="C13" s="101">
        <f>C2/'PRIHODKI IN STROŠKI'!C$6</f>
        <v>1.6429916866166131E-3</v>
      </c>
      <c r="D13" s="101">
        <f>D2/'PRIHODKI IN STROŠKI'!D$6</f>
        <v>2.0339025506642527E-3</v>
      </c>
      <c r="E13" s="101">
        <f>E2/'PRIHODKI IN STROŠKI'!E$6</f>
        <v>1.8011770210877454E-3</v>
      </c>
      <c r="F13" s="147">
        <f>F2/'PRIHODKI IN STROŠKI'!F$6</f>
        <v>1.3787982474959099E-3</v>
      </c>
      <c r="G13" s="154">
        <f>G44/'PRIHODKI IN STROŠKI'!G6</f>
        <v>1.1422744301571911E-3</v>
      </c>
      <c r="H13" s="154">
        <f>H44/'PRIHODKI IN STROŠKI'!H6</f>
        <v>1.073594551272394E-3</v>
      </c>
      <c r="I13" s="154">
        <f>I44/'PRIHODKI IN STROŠKI'!I6</f>
        <v>1.9271081896651008E-3</v>
      </c>
      <c r="J13" s="154">
        <f>J44/'PRIHODKI IN STROŠKI'!J6</f>
        <v>1.8347826815978499E-3</v>
      </c>
      <c r="K13" s="302">
        <f>K44/'PRIHODKI IN STROŠKI'!K6</f>
        <v>1.7521752574652307E-3</v>
      </c>
    </row>
    <row r="14" spans="1:12" x14ac:dyDescent="0.3">
      <c r="A14" s="55" t="s">
        <v>43</v>
      </c>
      <c r="B14" s="76"/>
      <c r="C14" s="76"/>
      <c r="D14" s="76"/>
      <c r="E14" s="76"/>
      <c r="F14" s="148"/>
      <c r="G14" s="53"/>
      <c r="H14" s="5"/>
      <c r="I14" s="5"/>
      <c r="J14" s="5"/>
      <c r="K14" s="54"/>
    </row>
    <row r="15" spans="1:12" x14ac:dyDescent="0.3">
      <c r="A15" s="172" t="s">
        <v>47</v>
      </c>
      <c r="B15" s="101">
        <f>B4/B2</f>
        <v>1</v>
      </c>
      <c r="C15" s="101">
        <f t="shared" ref="C15:F15" si="0">C4/C2</f>
        <v>1</v>
      </c>
      <c r="D15" s="101">
        <f t="shared" si="0"/>
        <v>1</v>
      </c>
      <c r="E15" s="101">
        <f t="shared" si="0"/>
        <v>1</v>
      </c>
      <c r="F15" s="147">
        <f t="shared" si="0"/>
        <v>1</v>
      </c>
      <c r="G15" s="40">
        <f>100%</f>
        <v>1</v>
      </c>
      <c r="H15" s="15">
        <f>100%</f>
        <v>1</v>
      </c>
      <c r="I15" s="15">
        <f>100%</f>
        <v>1</v>
      </c>
      <c r="J15" s="15">
        <f>100%</f>
        <v>1</v>
      </c>
      <c r="K15" s="303">
        <f>100%</f>
        <v>1</v>
      </c>
    </row>
    <row r="16" spans="1:12" x14ac:dyDescent="0.3">
      <c r="A16" s="90" t="s">
        <v>44</v>
      </c>
      <c r="B16" s="101">
        <f>B5/'PRIHODKI IN STROŠKI'!B$6</f>
        <v>6.2812781546989452E-2</v>
      </c>
      <c r="C16" s="101">
        <f>C5/'PRIHODKI IN STROŠKI'!C$6</f>
        <v>5.2994792454514543E-2</v>
      </c>
      <c r="D16" s="101">
        <f>D5/'PRIHODKI IN STROŠKI'!D$6</f>
        <v>4.6476822183351335E-2</v>
      </c>
      <c r="E16" s="101">
        <f>E5/'PRIHODKI IN STROŠKI'!E$6</f>
        <v>4.693354799394172E-2</v>
      </c>
      <c r="F16" s="147">
        <f>F5/'PRIHODKI IN STROŠKI'!F$6</f>
        <v>4.9166649239328064E-2</v>
      </c>
      <c r="G16" s="153">
        <f>(G80+G68+G56)/'PRIHODKI IN STROŠKI'!G6</f>
        <v>3.994260470565543E-2</v>
      </c>
      <c r="H16" s="153">
        <f>(H80+H68+H56)/'PRIHODKI IN STROŠKI'!H6</f>
        <v>3.8871517985825325E-2</v>
      </c>
      <c r="I16" s="153">
        <f>(I80+I68+I56)/'PRIHODKI IN STROŠKI'!I6</f>
        <v>3.7518006560286636E-2</v>
      </c>
      <c r="J16" s="153">
        <f>(J80+J68+J56)/'PRIHODKI IN STROŠKI'!J6</f>
        <v>3.6305708902968005E-2</v>
      </c>
      <c r="K16" s="304">
        <f>(K80+K68+K56)/'PRIHODKI IN STROŠKI'!K6</f>
        <v>3.5219877142417824E-2</v>
      </c>
    </row>
    <row r="17" spans="1:12" x14ac:dyDescent="0.3">
      <c r="A17" s="55" t="s">
        <v>43</v>
      </c>
      <c r="B17" s="76"/>
      <c r="C17" s="76"/>
      <c r="D17" s="76"/>
      <c r="E17" s="76"/>
      <c r="F17" s="148"/>
      <c r="G17" s="53"/>
      <c r="H17" s="5"/>
      <c r="I17" s="5"/>
      <c r="J17" s="5"/>
      <c r="K17" s="54"/>
    </row>
    <row r="18" spans="1:12" x14ac:dyDescent="0.3">
      <c r="A18" s="172" t="s">
        <v>48</v>
      </c>
      <c r="B18" s="101">
        <f>B7/B$5</f>
        <v>0.14176221619188778</v>
      </c>
      <c r="C18" s="101">
        <f t="shared" ref="C18:F18" si="1">C7/C$5</f>
        <v>0.13912842350099347</v>
      </c>
      <c r="D18" s="101">
        <f t="shared" si="1"/>
        <v>0.14319309737711094</v>
      </c>
      <c r="E18" s="101">
        <f t="shared" si="1"/>
        <v>0.12333960965696814</v>
      </c>
      <c r="F18" s="147">
        <f t="shared" si="1"/>
        <v>0.15341946299314865</v>
      </c>
      <c r="G18" s="152">
        <f>G56/(G56+G68+G80)</f>
        <v>0.17927714552785418</v>
      </c>
      <c r="H18" s="152">
        <f t="shared" ref="H18:K18" si="2">H56/(H56+H68+H80)</f>
        <v>0.18080762664216485</v>
      </c>
      <c r="I18" s="152">
        <f t="shared" si="2"/>
        <v>0.18208271643134746</v>
      </c>
      <c r="J18" s="152">
        <f t="shared" si="2"/>
        <v>0.18330361807540618</v>
      </c>
      <c r="K18" s="305">
        <f t="shared" si="2"/>
        <v>0.18446665085127317</v>
      </c>
    </row>
    <row r="19" spans="1:12" x14ac:dyDescent="0.3">
      <c r="A19" s="172" t="s">
        <v>49</v>
      </c>
      <c r="B19" s="101">
        <f t="shared" ref="B19:F19" si="3">B8/B$5</f>
        <v>0.67614538481499242</v>
      </c>
      <c r="C19" s="101">
        <f t="shared" si="3"/>
        <v>0.65429156872882921</v>
      </c>
      <c r="D19" s="101">
        <f t="shared" si="3"/>
        <v>0.63787197318294875</v>
      </c>
      <c r="E19" s="101">
        <f t="shared" si="3"/>
        <v>0.6472464591751248</v>
      </c>
      <c r="F19" s="147">
        <f t="shared" si="3"/>
        <v>0.59173508424586851</v>
      </c>
      <c r="G19" s="152">
        <f>G68/(G56+G68+G80)</f>
        <v>0.68364246435731379</v>
      </c>
      <c r="H19" s="152">
        <f t="shared" ref="H19:K19" si="4">H68/(H56+H68+H80)</f>
        <v>0.67263560344891471</v>
      </c>
      <c r="I19" s="152">
        <f t="shared" si="4"/>
        <v>0.66346545700017923</v>
      </c>
      <c r="J19" s="152">
        <f t="shared" si="4"/>
        <v>0.6546850189710286</v>
      </c>
      <c r="K19" s="305">
        <f t="shared" si="4"/>
        <v>0.64632076025775254</v>
      </c>
    </row>
    <row r="20" spans="1:12" ht="15" thickBot="1" x14ac:dyDescent="0.35">
      <c r="A20" s="306" t="s">
        <v>50</v>
      </c>
      <c r="B20" s="307">
        <f t="shared" ref="B20:F20" si="5">B9/B$5</f>
        <v>0.18209239899311985</v>
      </c>
      <c r="C20" s="307">
        <f t="shared" si="5"/>
        <v>0.20658000777017727</v>
      </c>
      <c r="D20" s="307">
        <f t="shared" si="5"/>
        <v>0.21893492943994033</v>
      </c>
      <c r="E20" s="307">
        <f t="shared" si="5"/>
        <v>0.22941393116790706</v>
      </c>
      <c r="F20" s="308">
        <f t="shared" si="5"/>
        <v>0.25484545276098286</v>
      </c>
      <c r="G20" s="309">
        <f>G80/(G80+G68+G56)</f>
        <v>0.13708039011483203</v>
      </c>
      <c r="H20" s="309">
        <f t="shared" ref="H20:K20" si="6">H80/(H80+H68+H56)</f>
        <v>0.14655676990892039</v>
      </c>
      <c r="I20" s="309">
        <f t="shared" si="6"/>
        <v>0.15445182656847334</v>
      </c>
      <c r="J20" s="309">
        <f t="shared" si="6"/>
        <v>0.16201136295356527</v>
      </c>
      <c r="K20" s="310">
        <f t="shared" si="6"/>
        <v>0.16921258889097424</v>
      </c>
    </row>
    <row r="21" spans="1:12" x14ac:dyDescent="0.3">
      <c r="B21" s="100"/>
      <c r="F21" s="27"/>
    </row>
    <row r="22" spans="1:12" ht="15" thickBot="1" x14ac:dyDescent="0.35">
      <c r="F22" s="27"/>
    </row>
    <row r="23" spans="1:12" s="12" customFormat="1" x14ac:dyDescent="0.3">
      <c r="A23" s="59" t="s">
        <v>54</v>
      </c>
      <c r="B23" s="60" t="s">
        <v>55</v>
      </c>
      <c r="C23" s="102"/>
      <c r="D23" s="102"/>
      <c r="E23" s="102"/>
      <c r="F23" s="301" t="s">
        <v>241</v>
      </c>
      <c r="G23" s="61">
        <v>2018</v>
      </c>
      <c r="H23" s="60">
        <v>2019</v>
      </c>
      <c r="I23" s="61">
        <v>2020</v>
      </c>
      <c r="J23" s="60">
        <v>2021</v>
      </c>
      <c r="K23" s="311">
        <v>2022</v>
      </c>
    </row>
    <row r="24" spans="1:12" x14ac:dyDescent="0.3">
      <c r="A24" s="82" t="s">
        <v>42</v>
      </c>
      <c r="B24" s="110" t="s">
        <v>227</v>
      </c>
      <c r="C24" s="114">
        <v>0.04</v>
      </c>
      <c r="D24" s="105"/>
      <c r="E24" s="106"/>
      <c r="F24" s="43">
        <f>F26</f>
        <v>4502889</v>
      </c>
      <c r="G24" s="38">
        <f>$F24*$C$24</f>
        <v>180115.56</v>
      </c>
      <c r="H24" s="38">
        <f>$F24*$C$24</f>
        <v>180115.56</v>
      </c>
      <c r="I24" s="38">
        <f>$F24*$C$24</f>
        <v>180115.56</v>
      </c>
      <c r="J24" s="38">
        <f>$F24*$C$24</f>
        <v>180115.56</v>
      </c>
      <c r="K24" s="38">
        <f>$F24*$C$24</f>
        <v>180115.56</v>
      </c>
    </row>
    <row r="25" spans="1:12" x14ac:dyDescent="0.3">
      <c r="A25" s="83" t="s">
        <v>43</v>
      </c>
      <c r="B25" s="5"/>
      <c r="C25" s="5"/>
      <c r="D25" s="5"/>
      <c r="E25" s="5"/>
      <c r="F25" s="49"/>
      <c r="G25" s="72"/>
      <c r="H25" s="2"/>
      <c r="I25" s="2"/>
      <c r="J25" s="2"/>
      <c r="K25" s="50"/>
    </row>
    <row r="26" spans="1:12" x14ac:dyDescent="0.3">
      <c r="A26" s="84" t="s">
        <v>47</v>
      </c>
      <c r="B26" s="5"/>
      <c r="C26" s="5"/>
      <c r="D26" s="5"/>
      <c r="E26" s="5"/>
      <c r="F26" s="23">
        <v>4502889</v>
      </c>
      <c r="G26" s="33">
        <f>G24</f>
        <v>180115.56</v>
      </c>
      <c r="H26" s="34">
        <f>H24</f>
        <v>180115.56</v>
      </c>
      <c r="I26" s="34">
        <f>I24</f>
        <v>180115.56</v>
      </c>
      <c r="J26" s="34">
        <f>J24</f>
        <v>180115.56</v>
      </c>
      <c r="K26" s="69">
        <f>K24</f>
        <v>180115.56</v>
      </c>
      <c r="L26" s="429"/>
    </row>
    <row r="27" spans="1:12" x14ac:dyDescent="0.3">
      <c r="A27" s="82" t="s">
        <v>44</v>
      </c>
      <c r="B27" s="1"/>
      <c r="C27" s="1"/>
      <c r="D27" s="1"/>
      <c r="E27" s="1"/>
      <c r="F27" s="43">
        <f t="shared" ref="F27:K27" si="7">SUM(F29:F31)</f>
        <v>151354521</v>
      </c>
      <c r="G27" s="38">
        <f t="shared" si="7"/>
        <v>6078411.595999999</v>
      </c>
      <c r="H27" s="39">
        <f t="shared" si="7"/>
        <v>6078411.595999999</v>
      </c>
      <c r="I27" s="39">
        <f t="shared" si="7"/>
        <v>6078411.595999999</v>
      </c>
      <c r="J27" s="39">
        <f t="shared" si="7"/>
        <v>6078411.595999999</v>
      </c>
      <c r="K27" s="104">
        <f t="shared" si="7"/>
        <v>6078411.595999999</v>
      </c>
      <c r="L27" s="429"/>
    </row>
    <row r="28" spans="1:12" x14ac:dyDescent="0.3">
      <c r="A28" s="83" t="s">
        <v>43</v>
      </c>
      <c r="B28" s="5"/>
      <c r="C28" s="5"/>
      <c r="D28" s="5"/>
      <c r="E28" s="5"/>
      <c r="F28" s="49"/>
      <c r="G28" s="72"/>
      <c r="H28" s="2"/>
      <c r="I28" s="2"/>
      <c r="J28" s="2"/>
      <c r="K28" s="50"/>
      <c r="L28" s="429"/>
    </row>
    <row r="29" spans="1:12" x14ac:dyDescent="0.3">
      <c r="A29" s="84" t="s">
        <v>48</v>
      </c>
      <c r="B29" s="111">
        <v>3.5000000000000003E-2</v>
      </c>
      <c r="C29" s="66">
        <v>0.03</v>
      </c>
      <c r="D29" s="5"/>
      <c r="E29" s="5"/>
      <c r="F29" s="23">
        <v>35996402</v>
      </c>
      <c r="G29" s="33">
        <f>$F29*$C$29</f>
        <v>1079892.06</v>
      </c>
      <c r="H29" s="33">
        <f t="shared" ref="H29:K29" si="8">$F29*$C$29</f>
        <v>1079892.06</v>
      </c>
      <c r="I29" s="33">
        <f t="shared" si="8"/>
        <v>1079892.06</v>
      </c>
      <c r="J29" s="33">
        <f t="shared" si="8"/>
        <v>1079892.06</v>
      </c>
      <c r="K29" s="33">
        <f t="shared" si="8"/>
        <v>1079892.06</v>
      </c>
    </row>
    <row r="30" spans="1:12" x14ac:dyDescent="0.3">
      <c r="A30" s="84" t="s">
        <v>49</v>
      </c>
      <c r="B30" s="112">
        <v>0.15</v>
      </c>
      <c r="C30" s="66">
        <v>4.3999999999999997E-2</v>
      </c>
      <c r="D30" s="5"/>
      <c r="E30" s="5"/>
      <c r="F30" s="23">
        <v>96048694</v>
      </c>
      <c r="G30" s="33">
        <f>$F30*$C$30</f>
        <v>4226142.5359999994</v>
      </c>
      <c r="H30" s="33">
        <f t="shared" ref="H30:K30" si="9">$F30*$C$30</f>
        <v>4226142.5359999994</v>
      </c>
      <c r="I30" s="33">
        <f t="shared" si="9"/>
        <v>4226142.5359999994</v>
      </c>
      <c r="J30" s="33">
        <f t="shared" si="9"/>
        <v>4226142.5359999994</v>
      </c>
      <c r="K30" s="33">
        <f t="shared" si="9"/>
        <v>4226142.5359999994</v>
      </c>
    </row>
    <row r="31" spans="1:12" ht="15" thickBot="1" x14ac:dyDescent="0.35">
      <c r="A31" s="85" t="s">
        <v>50</v>
      </c>
      <c r="B31" s="113">
        <v>0.125</v>
      </c>
      <c r="C31" s="115">
        <v>0.04</v>
      </c>
      <c r="D31" s="86"/>
      <c r="E31" s="86"/>
      <c r="F31" s="103">
        <v>19309425</v>
      </c>
      <c r="G31" s="107">
        <f>$F31*$C$31</f>
        <v>772377</v>
      </c>
      <c r="H31" s="107">
        <f t="shared" ref="H31:K31" si="10">$F31*$C$31</f>
        <v>772377</v>
      </c>
      <c r="I31" s="107">
        <f t="shared" si="10"/>
        <v>772377</v>
      </c>
      <c r="J31" s="107">
        <f t="shared" si="10"/>
        <v>772377</v>
      </c>
      <c r="K31" s="107">
        <f t="shared" si="10"/>
        <v>772377</v>
      </c>
    </row>
    <row r="32" spans="1:12" x14ac:dyDescent="0.3">
      <c r="F32" s="27"/>
    </row>
    <row r="33" spans="1:11" ht="15" thickBot="1" x14ac:dyDescent="0.35">
      <c r="F33" s="27"/>
    </row>
    <row r="34" spans="1:11" s="12" customFormat="1" x14ac:dyDescent="0.3">
      <c r="A34" s="136" t="s">
        <v>60</v>
      </c>
      <c r="B34" s="137"/>
      <c r="C34" s="137"/>
      <c r="D34" s="137"/>
      <c r="E34" s="137"/>
      <c r="F34" s="138"/>
      <c r="G34" s="137"/>
      <c r="H34" s="137"/>
      <c r="I34" s="137"/>
      <c r="J34" s="137"/>
      <c r="K34" s="139"/>
    </row>
    <row r="35" spans="1:11" x14ac:dyDescent="0.3">
      <c r="A35" s="90" t="s">
        <v>61</v>
      </c>
      <c r="B35" s="1"/>
      <c r="C35" s="1"/>
      <c r="D35" s="1"/>
      <c r="E35" s="1"/>
      <c r="F35" s="56" t="s">
        <v>39</v>
      </c>
      <c r="G35" s="57">
        <v>2018</v>
      </c>
      <c r="H35" s="1">
        <v>2019</v>
      </c>
      <c r="I35" s="1">
        <v>2020</v>
      </c>
      <c r="J35" s="1">
        <v>2021</v>
      </c>
      <c r="K35" s="58">
        <v>2022</v>
      </c>
    </row>
    <row r="36" spans="1:11" x14ac:dyDescent="0.3">
      <c r="A36" s="55"/>
      <c r="B36" s="5"/>
      <c r="C36" s="5"/>
      <c r="D36" s="5"/>
      <c r="E36" s="5">
        <v>2018</v>
      </c>
      <c r="F36" s="67">
        <f>INVESTICIJE!G2</f>
        <v>214762.65197399998</v>
      </c>
      <c r="G36" s="33">
        <f>$F$36*$C$24</f>
        <v>8590.5060789599993</v>
      </c>
      <c r="H36" s="33">
        <f>$F$36*$C$24</f>
        <v>8590.5060789599993</v>
      </c>
      <c r="I36" s="34">
        <f>F36-G36-H36</f>
        <v>197581.63981607999</v>
      </c>
      <c r="J36" s="34">
        <f>F36-G36-H36-I36</f>
        <v>0</v>
      </c>
      <c r="K36" s="69">
        <v>0</v>
      </c>
    </row>
    <row r="37" spans="1:11" x14ac:dyDescent="0.3">
      <c r="A37" s="55"/>
      <c r="B37" s="5"/>
      <c r="C37" s="5"/>
      <c r="D37" s="5"/>
      <c r="E37" s="5">
        <v>2019</v>
      </c>
      <c r="F37" s="67">
        <f>INVESTICIJE!H2</f>
        <v>240132.33586368</v>
      </c>
      <c r="G37" s="33"/>
      <c r="H37" s="34">
        <f>$F37*$C$24</f>
        <v>9605.2934345472004</v>
      </c>
      <c r="I37" s="34">
        <f>$F37*$C$24</f>
        <v>9605.2934345472004</v>
      </c>
      <c r="J37" s="34">
        <f>F37-H37-I37</f>
        <v>220921.74899458559</v>
      </c>
      <c r="K37" s="69">
        <f>F37-H37-I37-J37</f>
        <v>0</v>
      </c>
    </row>
    <row r="38" spans="1:11" x14ac:dyDescent="0.3">
      <c r="A38" s="55"/>
      <c r="B38" s="5"/>
      <c r="C38" s="5"/>
      <c r="D38" s="5"/>
      <c r="E38" s="5">
        <v>2020</v>
      </c>
      <c r="F38" s="67">
        <f>INVESTICIJE!I2</f>
        <v>268514.23507234565</v>
      </c>
      <c r="G38" s="33"/>
      <c r="H38" s="34"/>
      <c r="I38" s="34">
        <f>$F38*$C$24</f>
        <v>10740.569402893827</v>
      </c>
      <c r="J38" s="34">
        <f>$F38*$C$24</f>
        <v>10740.569402893827</v>
      </c>
      <c r="K38" s="69">
        <f>F38-I38-J38</f>
        <v>247033.09626655799</v>
      </c>
    </row>
    <row r="39" spans="1:11" x14ac:dyDescent="0.3">
      <c r="A39" s="55"/>
      <c r="B39" s="5"/>
      <c r="C39" s="5"/>
      <c r="D39" s="5"/>
      <c r="E39" s="5">
        <v>2021</v>
      </c>
      <c r="F39" s="67">
        <f>INVESTICIJE!J2</f>
        <v>300267.24369845307</v>
      </c>
      <c r="G39" s="33"/>
      <c r="H39" s="34"/>
      <c r="I39" s="34"/>
      <c r="J39" s="34">
        <f>$F39*$C$24</f>
        <v>12010.689747938122</v>
      </c>
      <c r="K39" s="34">
        <f>$F39*$C$24</f>
        <v>12010.689747938122</v>
      </c>
    </row>
    <row r="40" spans="1:11" x14ac:dyDescent="0.3">
      <c r="A40" s="55"/>
      <c r="B40" s="5"/>
      <c r="C40" s="5"/>
      <c r="D40" s="5"/>
      <c r="E40" s="5">
        <v>2022</v>
      </c>
      <c r="F40" s="67">
        <f>INVESTICIJE!K2</f>
        <v>335793.11739308748</v>
      </c>
      <c r="G40" s="33"/>
      <c r="H40" s="34"/>
      <c r="I40" s="34"/>
      <c r="J40" s="34"/>
      <c r="K40" s="69">
        <f>F40*C24</f>
        <v>13431.7246957235</v>
      </c>
    </row>
    <row r="41" spans="1:11" x14ac:dyDescent="0.3">
      <c r="A41" s="55"/>
      <c r="B41" s="5"/>
      <c r="C41" s="5"/>
      <c r="D41" s="5"/>
      <c r="E41" s="5"/>
      <c r="F41" s="49"/>
      <c r="G41" s="72"/>
      <c r="H41" s="2"/>
      <c r="I41" s="2"/>
      <c r="J41" s="2"/>
      <c r="K41" s="50"/>
    </row>
    <row r="42" spans="1:11" x14ac:dyDescent="0.3">
      <c r="A42" s="55" t="s">
        <v>62</v>
      </c>
      <c r="B42" s="5"/>
      <c r="C42" s="5"/>
      <c r="D42" s="5"/>
      <c r="E42" s="5"/>
      <c r="F42" s="49"/>
      <c r="G42" s="33">
        <f>SUM(G36:G40)</f>
        <v>8590.5060789599993</v>
      </c>
      <c r="H42" s="34">
        <f>SUM(H36:H40)</f>
        <v>18195.799513507198</v>
      </c>
      <c r="I42" s="34">
        <f>SUM(I36:I40)</f>
        <v>217927.50265352102</v>
      </c>
      <c r="J42" s="34">
        <f>SUM(J36:J40)</f>
        <v>243673.00814541755</v>
      </c>
      <c r="K42" s="69">
        <f>SUM(K36:K40)</f>
        <v>272475.51071021962</v>
      </c>
    </row>
    <row r="43" spans="1:11" x14ac:dyDescent="0.3">
      <c r="A43" s="55" t="s">
        <v>63</v>
      </c>
      <c r="B43" s="5"/>
      <c r="C43" s="5"/>
      <c r="D43" s="5"/>
      <c r="E43" s="5"/>
      <c r="F43" s="49"/>
      <c r="G43" s="33">
        <f>G24</f>
        <v>180115.56</v>
      </c>
      <c r="H43" s="33">
        <f t="shared" ref="H43:K43" si="11">H24</f>
        <v>180115.56</v>
      </c>
      <c r="I43" s="33">
        <f t="shared" si="11"/>
        <v>180115.56</v>
      </c>
      <c r="J43" s="33">
        <f t="shared" si="11"/>
        <v>180115.56</v>
      </c>
      <c r="K43" s="33">
        <f t="shared" si="11"/>
        <v>180115.56</v>
      </c>
    </row>
    <row r="44" spans="1:11" x14ac:dyDescent="0.3">
      <c r="A44" s="90" t="s">
        <v>56</v>
      </c>
      <c r="B44" s="1"/>
      <c r="C44" s="1"/>
      <c r="D44" s="1"/>
      <c r="E44" s="1"/>
      <c r="F44" s="71"/>
      <c r="G44" s="38">
        <f>G42+G43</f>
        <v>188706.06607895999</v>
      </c>
      <c r="H44" s="39">
        <f>H42+H43</f>
        <v>198311.3595135072</v>
      </c>
      <c r="I44" s="39">
        <f>I42+I43</f>
        <v>398043.06265352102</v>
      </c>
      <c r="J44" s="39">
        <f>J42+J43</f>
        <v>423788.56814541755</v>
      </c>
      <c r="K44" s="104">
        <f>K42+K43</f>
        <v>452591.07071021962</v>
      </c>
    </row>
    <row r="45" spans="1:11" x14ac:dyDescent="0.3">
      <c r="A45" s="55"/>
      <c r="B45" s="5"/>
      <c r="C45" s="5"/>
      <c r="D45" s="5"/>
      <c r="E45" s="5"/>
      <c r="F45" s="52"/>
      <c r="G45" s="53"/>
      <c r="H45" s="5"/>
      <c r="I45" s="5"/>
      <c r="J45" s="5"/>
      <c r="K45" s="54"/>
    </row>
    <row r="46" spans="1:11" x14ac:dyDescent="0.3">
      <c r="A46" s="55"/>
      <c r="B46" s="5"/>
      <c r="C46" s="5"/>
      <c r="D46" s="5"/>
      <c r="E46" s="5"/>
      <c r="F46" s="52"/>
      <c r="G46" s="53"/>
      <c r="H46" s="5"/>
      <c r="I46" s="5"/>
      <c r="J46" s="5"/>
      <c r="K46" s="54"/>
    </row>
    <row r="47" spans="1:11" x14ac:dyDescent="0.3">
      <c r="A47" s="90" t="s">
        <v>64</v>
      </c>
      <c r="B47" s="1"/>
      <c r="C47" s="1"/>
      <c r="D47" s="1"/>
      <c r="E47" s="1"/>
      <c r="F47" s="56" t="s">
        <v>39</v>
      </c>
      <c r="G47" s="57">
        <v>2018</v>
      </c>
      <c r="H47" s="1">
        <v>2019</v>
      </c>
      <c r="I47" s="1">
        <v>2020</v>
      </c>
      <c r="J47" s="1">
        <v>2021</v>
      </c>
      <c r="K47" s="58">
        <v>2022</v>
      </c>
    </row>
    <row r="48" spans="1:11" x14ac:dyDescent="0.3">
      <c r="A48" s="55"/>
      <c r="B48" s="5"/>
      <c r="C48" s="5"/>
      <c r="D48" s="5"/>
      <c r="E48" s="5">
        <v>2018</v>
      </c>
      <c r="F48" s="67">
        <f>INVESTICIJE!G7</f>
        <v>3436202.4315840001</v>
      </c>
      <c r="G48" s="33">
        <f>$F48*$C$29</f>
        <v>103086.07294752001</v>
      </c>
      <c r="H48" s="33">
        <f t="shared" ref="H48:K50" si="12">$F48*$C$29</f>
        <v>103086.07294752001</v>
      </c>
      <c r="I48" s="33">
        <f t="shared" si="12"/>
        <v>103086.07294752001</v>
      </c>
      <c r="J48" s="33">
        <f t="shared" si="12"/>
        <v>103086.07294752001</v>
      </c>
      <c r="K48" s="33">
        <f t="shared" si="12"/>
        <v>103086.07294752001</v>
      </c>
    </row>
    <row r="49" spans="1:11" x14ac:dyDescent="0.3">
      <c r="A49" s="55"/>
      <c r="B49" s="5"/>
      <c r="C49" s="5"/>
      <c r="D49" s="5"/>
      <c r="E49" s="5">
        <v>2019</v>
      </c>
      <c r="F49" s="67">
        <f>INVESTICIJE!H7</f>
        <v>3842117.3738188799</v>
      </c>
      <c r="G49" s="33"/>
      <c r="H49" s="34">
        <f>$F49*$C$29</f>
        <v>115263.5212145664</v>
      </c>
      <c r="I49" s="34">
        <f t="shared" si="12"/>
        <v>115263.5212145664</v>
      </c>
      <c r="J49" s="34">
        <f t="shared" si="12"/>
        <v>115263.5212145664</v>
      </c>
      <c r="K49" s="34">
        <f t="shared" si="12"/>
        <v>115263.5212145664</v>
      </c>
    </row>
    <row r="50" spans="1:11" x14ac:dyDescent="0.3">
      <c r="A50" s="55"/>
      <c r="B50" s="5"/>
      <c r="C50" s="5"/>
      <c r="D50" s="5"/>
      <c r="E50" s="5">
        <v>2020</v>
      </c>
      <c r="F50" s="67">
        <f>INVESTICIJE!I7</f>
        <v>3759199.2910128394</v>
      </c>
      <c r="G50" s="33"/>
      <c r="H50" s="34"/>
      <c r="I50" s="34">
        <f>$F50*$C$29</f>
        <v>112775.97873038518</v>
      </c>
      <c r="J50" s="34">
        <f t="shared" si="12"/>
        <v>112775.97873038518</v>
      </c>
      <c r="K50" s="34">
        <f t="shared" si="12"/>
        <v>112775.97873038518</v>
      </c>
    </row>
    <row r="51" spans="1:11" x14ac:dyDescent="0.3">
      <c r="A51" s="55"/>
      <c r="B51" s="5"/>
      <c r="C51" s="5"/>
      <c r="D51" s="5"/>
      <c r="E51" s="5">
        <v>2021</v>
      </c>
      <c r="F51" s="67">
        <f>INVESTICIJE!J7</f>
        <v>4203741.4117783438</v>
      </c>
      <c r="G51" s="33"/>
      <c r="H51" s="34"/>
      <c r="I51" s="34"/>
      <c r="J51" s="34">
        <f>$F51*$C$29</f>
        <v>126112.24235335032</v>
      </c>
      <c r="K51" s="34">
        <f>$F51*$C$29</f>
        <v>126112.24235335032</v>
      </c>
    </row>
    <row r="52" spans="1:11" x14ac:dyDescent="0.3">
      <c r="A52" s="55"/>
      <c r="B52" s="5"/>
      <c r="C52" s="5"/>
      <c r="D52" s="5"/>
      <c r="E52" s="5">
        <v>2022</v>
      </c>
      <c r="F52" s="67">
        <f>INVESTICIJE!K7</f>
        <v>4701103.6435032245</v>
      </c>
      <c r="G52" s="33"/>
      <c r="H52" s="34"/>
      <c r="I52" s="34"/>
      <c r="J52" s="34"/>
      <c r="K52" s="69">
        <f>F52*C29</f>
        <v>141033.10930509673</v>
      </c>
    </row>
    <row r="53" spans="1:11" x14ac:dyDescent="0.3">
      <c r="A53" s="55"/>
      <c r="B53" s="5"/>
      <c r="C53" s="5"/>
      <c r="D53" s="5"/>
      <c r="E53" s="5"/>
      <c r="F53" s="49"/>
      <c r="G53" s="72"/>
      <c r="H53" s="2"/>
      <c r="I53" s="2"/>
      <c r="J53" s="2"/>
      <c r="K53" s="50"/>
    </row>
    <row r="54" spans="1:11" x14ac:dyDescent="0.3">
      <c r="A54" s="55" t="s">
        <v>65</v>
      </c>
      <c r="B54" s="5"/>
      <c r="C54" s="5"/>
      <c r="D54" s="5"/>
      <c r="E54" s="5"/>
      <c r="F54" s="49"/>
      <c r="G54" s="33">
        <f>SUM(G48:G52)</f>
        <v>103086.07294752001</v>
      </c>
      <c r="H54" s="34">
        <f>SUM(H48:H52)</f>
        <v>218349.5941620864</v>
      </c>
      <c r="I54" s="34">
        <f>SUM(I48:I52)</f>
        <v>331125.57289247157</v>
      </c>
      <c r="J54" s="34">
        <f>SUM(J48:J52)</f>
        <v>457237.8152458219</v>
      </c>
      <c r="K54" s="69">
        <f>SUM(K48:K52)</f>
        <v>598270.92455091863</v>
      </c>
    </row>
    <row r="55" spans="1:11" x14ac:dyDescent="0.3">
      <c r="A55" s="55" t="s">
        <v>63</v>
      </c>
      <c r="B55" s="5"/>
      <c r="C55" s="5"/>
      <c r="D55" s="5"/>
      <c r="E55" s="5"/>
      <c r="F55" s="49"/>
      <c r="G55" s="33">
        <f>G29</f>
        <v>1079892.06</v>
      </c>
      <c r="H55" s="33">
        <f t="shared" ref="H55:K55" si="13">H29</f>
        <v>1079892.06</v>
      </c>
      <c r="I55" s="33">
        <f t="shared" si="13"/>
        <v>1079892.06</v>
      </c>
      <c r="J55" s="33">
        <f t="shared" si="13"/>
        <v>1079892.06</v>
      </c>
      <c r="K55" s="33">
        <f t="shared" si="13"/>
        <v>1079892.06</v>
      </c>
    </row>
    <row r="56" spans="1:11" x14ac:dyDescent="0.3">
      <c r="A56" s="90" t="s">
        <v>56</v>
      </c>
      <c r="B56" s="1"/>
      <c r="C56" s="1"/>
      <c r="D56" s="1"/>
      <c r="E56" s="1"/>
      <c r="F56" s="71"/>
      <c r="G56" s="38">
        <f>SUM(G54:G55)</f>
        <v>1182978.1329475201</v>
      </c>
      <c r="H56" s="39">
        <f>SUM(H54:H55)</f>
        <v>1298241.6541620865</v>
      </c>
      <c r="I56" s="39">
        <f>SUM(I54:I55)</f>
        <v>1411017.6328924717</v>
      </c>
      <c r="J56" s="39">
        <f>SUM(J54:J55)</f>
        <v>1537129.8752458219</v>
      </c>
      <c r="K56" s="104">
        <f>SUM(K54:K55)</f>
        <v>1678162.9845509187</v>
      </c>
    </row>
    <row r="57" spans="1:11" x14ac:dyDescent="0.3">
      <c r="A57" s="55"/>
      <c r="B57" s="5"/>
      <c r="C57" s="5"/>
      <c r="D57" s="5"/>
      <c r="E57" s="5"/>
      <c r="F57" s="52"/>
      <c r="G57" s="53"/>
      <c r="H57" s="5"/>
      <c r="I57" s="5"/>
      <c r="J57" s="5"/>
      <c r="K57" s="54"/>
    </row>
    <row r="58" spans="1:11" x14ac:dyDescent="0.3">
      <c r="A58" s="55"/>
      <c r="B58" s="5"/>
      <c r="C58" s="5"/>
      <c r="D58" s="5"/>
      <c r="E58" s="5"/>
      <c r="F58" s="52"/>
      <c r="G58" s="53"/>
      <c r="H58" s="5"/>
      <c r="I58" s="5"/>
      <c r="J58" s="5"/>
      <c r="K58" s="54"/>
    </row>
    <row r="59" spans="1:11" x14ac:dyDescent="0.3">
      <c r="A59" s="90" t="s">
        <v>49</v>
      </c>
      <c r="B59" s="1"/>
      <c r="C59" s="1"/>
      <c r="D59" s="1"/>
      <c r="E59" s="1"/>
      <c r="F59" s="56" t="s">
        <v>39</v>
      </c>
      <c r="G59" s="57">
        <v>2018</v>
      </c>
      <c r="H59" s="1">
        <v>2019</v>
      </c>
      <c r="I59" s="1">
        <v>2020</v>
      </c>
      <c r="J59" s="1">
        <v>2021</v>
      </c>
      <c r="K59" s="58">
        <v>2022</v>
      </c>
    </row>
    <row r="60" spans="1:11" x14ac:dyDescent="0.3">
      <c r="A60" s="55"/>
      <c r="B60" s="5"/>
      <c r="C60" s="5"/>
      <c r="D60" s="5"/>
      <c r="E60" s="5">
        <v>2018</v>
      </c>
      <c r="F60" s="67">
        <f>INVESTICIJE!G8</f>
        <v>6475919.967216</v>
      </c>
      <c r="G60" s="33">
        <f>$F60*$C$30</f>
        <v>284940.47855750396</v>
      </c>
      <c r="H60" s="33">
        <f t="shared" ref="H60:K62" si="14">$F60*$C$30</f>
        <v>284940.47855750396</v>
      </c>
      <c r="I60" s="33">
        <f t="shared" si="14"/>
        <v>284940.47855750396</v>
      </c>
      <c r="J60" s="33">
        <f t="shared" si="14"/>
        <v>284940.47855750396</v>
      </c>
      <c r="K60" s="33">
        <f t="shared" si="14"/>
        <v>284940.47855750396</v>
      </c>
    </row>
    <row r="61" spans="1:11" x14ac:dyDescent="0.3">
      <c r="A61" s="55"/>
      <c r="B61" s="5"/>
      <c r="C61" s="5"/>
      <c r="D61" s="5"/>
      <c r="E61" s="5">
        <v>2019</v>
      </c>
      <c r="F61" s="67">
        <f>INVESTICIJE!H8</f>
        <v>7240913.5121971201</v>
      </c>
      <c r="G61" s="33"/>
      <c r="H61" s="34">
        <f>$F61*$C$30</f>
        <v>318600.19453667325</v>
      </c>
      <c r="I61" s="34">
        <f t="shared" si="14"/>
        <v>318600.19453667325</v>
      </c>
      <c r="J61" s="34">
        <f t="shared" si="14"/>
        <v>318600.19453667325</v>
      </c>
      <c r="K61" s="34">
        <f t="shared" si="14"/>
        <v>318600.19453667325</v>
      </c>
    </row>
    <row r="62" spans="1:11" x14ac:dyDescent="0.3">
      <c r="A62" s="55"/>
      <c r="B62" s="5"/>
      <c r="C62" s="5"/>
      <c r="D62" s="5"/>
      <c r="E62" s="5">
        <v>2020</v>
      </c>
      <c r="F62" s="67">
        <f>INVESTICIJE!I8</f>
        <v>7084644.8176780436</v>
      </c>
      <c r="G62" s="33"/>
      <c r="H62" s="34"/>
      <c r="I62" s="34">
        <f>$F62*$C$30</f>
        <v>311724.37197783391</v>
      </c>
      <c r="J62" s="34">
        <f t="shared" si="14"/>
        <v>311724.37197783391</v>
      </c>
      <c r="K62" s="34">
        <f t="shared" si="14"/>
        <v>311724.37197783391</v>
      </c>
    </row>
    <row r="63" spans="1:11" x14ac:dyDescent="0.3">
      <c r="A63" s="55"/>
      <c r="B63" s="5"/>
      <c r="C63" s="5"/>
      <c r="D63" s="5"/>
      <c r="E63" s="5">
        <v>2021</v>
      </c>
      <c r="F63" s="67">
        <f>INVESTICIJE!J8</f>
        <v>7922435.7375822626</v>
      </c>
      <c r="G63" s="33"/>
      <c r="H63" s="34"/>
      <c r="I63" s="34"/>
      <c r="J63" s="34">
        <f>$F63*$C$30</f>
        <v>348587.17245361954</v>
      </c>
      <c r="K63" s="34">
        <f>$F63*$C$30</f>
        <v>348587.17245361954</v>
      </c>
    </row>
    <row r="64" spans="1:11" x14ac:dyDescent="0.3">
      <c r="A64" s="55"/>
      <c r="B64" s="5"/>
      <c r="C64" s="5"/>
      <c r="D64" s="5"/>
      <c r="E64" s="5">
        <v>2022</v>
      </c>
      <c r="F64" s="67">
        <f>INVESTICIJE!K8</f>
        <v>8859772.2512176149</v>
      </c>
      <c r="G64" s="33"/>
      <c r="H64" s="34"/>
      <c r="I64" s="34"/>
      <c r="J64" s="34"/>
      <c r="K64" s="69">
        <f>$F64*C30</f>
        <v>389829.97905357502</v>
      </c>
    </row>
    <row r="65" spans="1:11" x14ac:dyDescent="0.3">
      <c r="A65" s="55"/>
      <c r="B65" s="5"/>
      <c r="C65" s="5"/>
      <c r="D65" s="5"/>
      <c r="E65" s="5"/>
      <c r="F65" s="49"/>
      <c r="G65" s="72"/>
      <c r="H65" s="2"/>
      <c r="I65" s="2"/>
      <c r="J65" s="2"/>
      <c r="K65" s="50"/>
    </row>
    <row r="66" spans="1:11" x14ac:dyDescent="0.3">
      <c r="A66" s="55" t="s">
        <v>66</v>
      </c>
      <c r="B66" s="5"/>
      <c r="C66" s="5"/>
      <c r="D66" s="5"/>
      <c r="E66" s="5"/>
      <c r="F66" s="49"/>
      <c r="G66" s="33">
        <f>SUM(G60:G64)</f>
        <v>284940.47855750396</v>
      </c>
      <c r="H66" s="34">
        <f>SUM(H60:H64)</f>
        <v>603540.67309417715</v>
      </c>
      <c r="I66" s="34">
        <f>SUM(I60:I64)</f>
        <v>915265.04507201107</v>
      </c>
      <c r="J66" s="34">
        <f>SUM(J60:J64)</f>
        <v>1263852.2175256307</v>
      </c>
      <c r="K66" s="69">
        <f>SUM(K60:K64)</f>
        <v>1653682.1965792058</v>
      </c>
    </row>
    <row r="67" spans="1:11" x14ac:dyDescent="0.3">
      <c r="A67" s="55" t="s">
        <v>63</v>
      </c>
      <c r="B67" s="5"/>
      <c r="C67" s="5"/>
      <c r="D67" s="5"/>
      <c r="E67" s="5"/>
      <c r="F67" s="49"/>
      <c r="G67" s="33">
        <f>G30</f>
        <v>4226142.5359999994</v>
      </c>
      <c r="H67" s="33">
        <f t="shared" ref="H67:K67" si="15">H30</f>
        <v>4226142.5359999994</v>
      </c>
      <c r="I67" s="33">
        <f t="shared" si="15"/>
        <v>4226142.5359999994</v>
      </c>
      <c r="J67" s="33">
        <f t="shared" si="15"/>
        <v>4226142.5359999994</v>
      </c>
      <c r="K67" s="33">
        <f t="shared" si="15"/>
        <v>4226142.5359999994</v>
      </c>
    </row>
    <row r="68" spans="1:11" x14ac:dyDescent="0.3">
      <c r="A68" s="90" t="s">
        <v>56</v>
      </c>
      <c r="B68" s="1"/>
      <c r="C68" s="1"/>
      <c r="D68" s="1"/>
      <c r="E68" s="1"/>
      <c r="F68" s="71"/>
      <c r="G68" s="38">
        <f>SUM(G66:G67)</f>
        <v>4511083.0145575032</v>
      </c>
      <c r="H68" s="39">
        <f>SUM(H66:H67)</f>
        <v>4829683.2090941761</v>
      </c>
      <c r="I68" s="39">
        <f>SUM(I66:I67)</f>
        <v>5141407.5810720101</v>
      </c>
      <c r="J68" s="39">
        <f>SUM(J66:J67)</f>
        <v>5489994.7535256296</v>
      </c>
      <c r="K68" s="104">
        <f>SUM(K66:K67)</f>
        <v>5879824.7325792052</v>
      </c>
    </row>
    <row r="69" spans="1:11" x14ac:dyDescent="0.3">
      <c r="A69" s="55"/>
      <c r="B69" s="5"/>
      <c r="C69" s="5"/>
      <c r="D69" s="5"/>
      <c r="E69" s="5"/>
      <c r="F69" s="52"/>
      <c r="G69" s="53"/>
      <c r="H69" s="5"/>
      <c r="I69" s="5"/>
      <c r="J69" s="5"/>
      <c r="K69" s="54"/>
    </row>
    <row r="70" spans="1:11" x14ac:dyDescent="0.3">
      <c r="A70" s="55"/>
      <c r="B70" s="5"/>
      <c r="C70" s="5"/>
      <c r="D70" s="5"/>
      <c r="E70" s="5"/>
      <c r="F70" s="52"/>
      <c r="G70" s="53"/>
      <c r="H70" s="5"/>
      <c r="I70" s="5"/>
      <c r="J70" s="5"/>
      <c r="K70" s="54"/>
    </row>
    <row r="71" spans="1:11" x14ac:dyDescent="0.3">
      <c r="A71" s="90" t="s">
        <v>50</v>
      </c>
      <c r="B71" s="1"/>
      <c r="C71" s="1"/>
      <c r="D71" s="1"/>
      <c r="E71" s="1"/>
      <c r="F71" s="56" t="s">
        <v>39</v>
      </c>
      <c r="G71" s="57">
        <v>2018</v>
      </c>
      <c r="H71" s="1">
        <v>2019</v>
      </c>
      <c r="I71" s="1">
        <v>2020</v>
      </c>
      <c r="J71" s="1">
        <v>2021</v>
      </c>
      <c r="K71" s="58">
        <v>2022</v>
      </c>
    </row>
    <row r="72" spans="1:11" x14ac:dyDescent="0.3">
      <c r="A72" s="55"/>
      <c r="B72" s="5"/>
      <c r="C72" s="5"/>
      <c r="D72" s="5"/>
      <c r="E72" s="5">
        <v>2018</v>
      </c>
      <c r="F72" s="67">
        <f>INVESTICIJE!G9</f>
        <v>3304040.7996</v>
      </c>
      <c r="G72" s="33">
        <f>$F72*$C$31</f>
        <v>132161.63198400001</v>
      </c>
      <c r="H72" s="33">
        <f t="shared" ref="H72:K74" si="16">$F72*$C$31</f>
        <v>132161.63198400001</v>
      </c>
      <c r="I72" s="33">
        <f t="shared" si="16"/>
        <v>132161.63198400001</v>
      </c>
      <c r="J72" s="33">
        <f t="shared" si="16"/>
        <v>132161.63198400001</v>
      </c>
      <c r="K72" s="33">
        <f t="shared" si="16"/>
        <v>132161.63198400001</v>
      </c>
    </row>
    <row r="73" spans="1:11" x14ac:dyDescent="0.3">
      <c r="A73" s="55"/>
      <c r="B73" s="5"/>
      <c r="C73" s="5"/>
      <c r="D73" s="5"/>
      <c r="E73" s="5">
        <v>2019</v>
      </c>
      <c r="F73" s="67">
        <f>INVESTICIJE!H9</f>
        <v>3694343.628672</v>
      </c>
      <c r="G73" s="33"/>
      <c r="H73" s="34">
        <f>$F73*$C$31</f>
        <v>147773.74514688001</v>
      </c>
      <c r="I73" s="34">
        <f t="shared" si="16"/>
        <v>147773.74514688001</v>
      </c>
      <c r="J73" s="34">
        <f t="shared" si="16"/>
        <v>147773.74514688001</v>
      </c>
      <c r="K73" s="34">
        <f t="shared" si="16"/>
        <v>147773.74514688001</v>
      </c>
    </row>
    <row r="74" spans="1:11" x14ac:dyDescent="0.3">
      <c r="A74" s="55"/>
      <c r="B74" s="5"/>
      <c r="C74" s="5"/>
      <c r="D74" s="5"/>
      <c r="E74" s="5">
        <v>2020</v>
      </c>
      <c r="F74" s="67">
        <f>INVESTICIJE!I9</f>
        <v>3614614.702896961</v>
      </c>
      <c r="G74" s="33"/>
      <c r="H74" s="34"/>
      <c r="I74" s="34">
        <f>$F74*$C$31</f>
        <v>144584.58811587843</v>
      </c>
      <c r="J74" s="34">
        <f t="shared" si="16"/>
        <v>144584.58811587843</v>
      </c>
      <c r="K74" s="34">
        <f t="shared" si="16"/>
        <v>144584.58811587843</v>
      </c>
    </row>
    <row r="75" spans="1:11" x14ac:dyDescent="0.3">
      <c r="A75" s="55"/>
      <c r="B75" s="5"/>
      <c r="C75" s="5"/>
      <c r="D75" s="5"/>
      <c r="E75" s="5">
        <v>2021</v>
      </c>
      <c r="F75" s="67">
        <f>INVESTICIJE!J9</f>
        <v>4042059.049786869</v>
      </c>
      <c r="G75" s="33"/>
      <c r="H75" s="34"/>
      <c r="I75" s="34"/>
      <c r="J75" s="34">
        <f>$F75*$C$31</f>
        <v>161682.36199147475</v>
      </c>
      <c r="K75" s="34">
        <f>$F75*$C$31</f>
        <v>161682.36199147475</v>
      </c>
    </row>
    <row r="76" spans="1:11" x14ac:dyDescent="0.3">
      <c r="A76" s="55"/>
      <c r="B76" s="5"/>
      <c r="C76" s="5"/>
      <c r="D76" s="5"/>
      <c r="E76" s="5">
        <v>2022</v>
      </c>
      <c r="F76" s="67">
        <f>INVESTICIJE!K9</f>
        <v>4520291.9649069468</v>
      </c>
      <c r="G76" s="33"/>
      <c r="H76" s="34"/>
      <c r="I76" s="34"/>
      <c r="J76" s="34"/>
      <c r="K76" s="69">
        <f>$F76*C31</f>
        <v>180811.67859627787</v>
      </c>
    </row>
    <row r="77" spans="1:11" x14ac:dyDescent="0.3">
      <c r="A77" s="55"/>
      <c r="B77" s="5"/>
      <c r="C77" s="5"/>
      <c r="D77" s="5"/>
      <c r="E77" s="5"/>
      <c r="F77" s="49"/>
      <c r="G77" s="72"/>
      <c r="H77" s="2"/>
      <c r="I77" s="2"/>
      <c r="J77" s="2"/>
      <c r="K77" s="50"/>
    </row>
    <row r="78" spans="1:11" x14ac:dyDescent="0.3">
      <c r="A78" s="55" t="s">
        <v>67</v>
      </c>
      <c r="B78" s="5"/>
      <c r="C78" s="5"/>
      <c r="D78" s="5"/>
      <c r="E78" s="5"/>
      <c r="F78" s="49"/>
      <c r="G78" s="33">
        <f>SUM(G72:G76)</f>
        <v>132161.63198400001</v>
      </c>
      <c r="H78" s="34">
        <f>SUM(H72:H76)</f>
        <v>279935.37713088002</v>
      </c>
      <c r="I78" s="34">
        <f>SUM(I72:I76)</f>
        <v>424519.96524675842</v>
      </c>
      <c r="J78" s="34">
        <f>SUM(J72:J76)</f>
        <v>586202.32723823318</v>
      </c>
      <c r="K78" s="69">
        <f>SUM(K72:K76)</f>
        <v>767014.00583451102</v>
      </c>
    </row>
    <row r="79" spans="1:11" x14ac:dyDescent="0.3">
      <c r="A79" s="55" t="s">
        <v>63</v>
      </c>
      <c r="B79" s="5"/>
      <c r="C79" s="5"/>
      <c r="D79" s="5"/>
      <c r="E79" s="5"/>
      <c r="F79" s="49"/>
      <c r="G79" s="33">
        <f>G31</f>
        <v>772377</v>
      </c>
      <c r="H79" s="33">
        <f t="shared" ref="H79:K79" si="17">H31</f>
        <v>772377</v>
      </c>
      <c r="I79" s="33">
        <f t="shared" si="17"/>
        <v>772377</v>
      </c>
      <c r="J79" s="33">
        <f t="shared" si="17"/>
        <v>772377</v>
      </c>
      <c r="K79" s="33">
        <f t="shared" si="17"/>
        <v>772377</v>
      </c>
    </row>
    <row r="80" spans="1:11" x14ac:dyDescent="0.3">
      <c r="A80" s="90" t="s">
        <v>56</v>
      </c>
      <c r="B80" s="1"/>
      <c r="C80" s="1"/>
      <c r="D80" s="1"/>
      <c r="E80" s="1"/>
      <c r="F80" s="71"/>
      <c r="G80" s="38">
        <f>G78+G79</f>
        <v>904538.63198399998</v>
      </c>
      <c r="H80" s="39">
        <f>H78+H79</f>
        <v>1052312.37713088</v>
      </c>
      <c r="I80" s="39">
        <f>I78+I79</f>
        <v>1196896.9652467584</v>
      </c>
      <c r="J80" s="39">
        <f>J78+J79</f>
        <v>1358579.3272382333</v>
      </c>
      <c r="K80" s="104">
        <f>K78+K79</f>
        <v>1539391.005834511</v>
      </c>
    </row>
    <row r="81" spans="1:11" x14ac:dyDescent="0.3">
      <c r="A81" s="55"/>
      <c r="B81" s="5"/>
      <c r="C81" s="5"/>
      <c r="D81" s="5"/>
      <c r="E81" s="5"/>
      <c r="F81" s="52"/>
      <c r="G81" s="53"/>
      <c r="H81" s="5"/>
      <c r="I81" s="5"/>
      <c r="J81" s="5"/>
      <c r="K81" s="54"/>
    </row>
    <row r="82" spans="1:11" x14ac:dyDescent="0.3">
      <c r="A82" s="55"/>
      <c r="B82" s="5"/>
      <c r="C82" s="5"/>
      <c r="D82" s="5"/>
      <c r="E82" s="5"/>
      <c r="F82" s="52"/>
      <c r="G82" s="53"/>
      <c r="H82" s="5"/>
      <c r="I82" s="5"/>
      <c r="J82" s="5"/>
      <c r="K82" s="54"/>
    </row>
    <row r="83" spans="1:11" x14ac:dyDescent="0.3">
      <c r="A83" s="55"/>
      <c r="B83" s="5"/>
      <c r="C83" s="5"/>
      <c r="D83" s="5"/>
      <c r="E83" s="5"/>
      <c r="F83" s="52"/>
      <c r="G83" s="53"/>
      <c r="H83" s="5"/>
      <c r="I83" s="5"/>
      <c r="J83" s="5"/>
      <c r="K83" s="54"/>
    </row>
    <row r="84" spans="1:11" ht="15" thickBot="1" x14ac:dyDescent="0.35">
      <c r="A84" s="91"/>
      <c r="B84" s="86"/>
      <c r="C84" s="86"/>
      <c r="D84" s="86"/>
      <c r="E84" s="86"/>
      <c r="F84" s="92"/>
      <c r="G84" s="93"/>
      <c r="H84" s="86"/>
      <c r="I84" s="86"/>
      <c r="J84" s="86"/>
      <c r="K84" s="94"/>
    </row>
    <row r="85" spans="1:11" x14ac:dyDescent="0.3">
      <c r="F85" s="27"/>
    </row>
    <row r="86" spans="1:11" x14ac:dyDescent="0.3">
      <c r="F86" s="27"/>
    </row>
    <row r="87" spans="1:11" ht="15" thickBot="1" x14ac:dyDescent="0.35">
      <c r="F87" s="27"/>
      <c r="H87" s="272"/>
      <c r="I87" s="272"/>
      <c r="J87" s="272"/>
      <c r="K87" s="272"/>
    </row>
    <row r="88" spans="1:11" s="12" customFormat="1" x14ac:dyDescent="0.3">
      <c r="A88" s="140" t="s">
        <v>56</v>
      </c>
      <c r="B88" s="141">
        <v>2013</v>
      </c>
      <c r="C88" s="141">
        <v>2014</v>
      </c>
      <c r="D88" s="141">
        <v>2015</v>
      </c>
      <c r="E88" s="141">
        <v>2016</v>
      </c>
      <c r="F88" s="149">
        <v>2017</v>
      </c>
      <c r="G88" s="144">
        <v>2018</v>
      </c>
      <c r="H88" s="141">
        <v>2019</v>
      </c>
      <c r="I88" s="141">
        <v>2020</v>
      </c>
      <c r="J88" s="141">
        <v>2021</v>
      </c>
      <c r="K88" s="142">
        <v>2022</v>
      </c>
    </row>
    <row r="89" spans="1:11" x14ac:dyDescent="0.3">
      <c r="A89" s="87" t="s">
        <v>57</v>
      </c>
      <c r="B89" s="143">
        <f>B2+B5</f>
        <v>5564053</v>
      </c>
      <c r="C89" s="143">
        <f t="shared" ref="C89:F89" si="18">C2+C5</f>
        <v>5246451</v>
      </c>
      <c r="D89" s="143">
        <f t="shared" si="18"/>
        <v>5430337</v>
      </c>
      <c r="E89" s="143">
        <f t="shared" si="18"/>
        <v>6219574</v>
      </c>
      <c r="F89" s="150">
        <f t="shared" si="18"/>
        <v>7405570</v>
      </c>
      <c r="G89" s="145">
        <f>G91+G90</f>
        <v>6787305.8455679826</v>
      </c>
      <c r="H89" s="143">
        <f t="shared" ref="H89:K89" si="19">H91+H90</f>
        <v>7378548.5999006499</v>
      </c>
      <c r="I89" s="143">
        <f t="shared" si="19"/>
        <v>8147365.2418647613</v>
      </c>
      <c r="J89" s="143">
        <f t="shared" si="19"/>
        <v>8809492.5241551027</v>
      </c>
      <c r="K89" s="312">
        <f t="shared" si="19"/>
        <v>9549969.7936748527</v>
      </c>
    </row>
    <row r="90" spans="1:11" x14ac:dyDescent="0.3">
      <c r="A90" s="48" t="s">
        <v>58</v>
      </c>
      <c r="B90" s="2"/>
      <c r="C90" s="2"/>
      <c r="D90" s="2"/>
      <c r="E90" s="2"/>
      <c r="F90" s="49"/>
      <c r="G90" s="33">
        <f>G27+G24</f>
        <v>6258527.1559999986</v>
      </c>
      <c r="H90" s="34">
        <f t="shared" ref="H90:K90" si="20">H27+H24</f>
        <v>6258527.1559999986</v>
      </c>
      <c r="I90" s="34">
        <f t="shared" si="20"/>
        <v>6258527.1559999986</v>
      </c>
      <c r="J90" s="34">
        <f t="shared" si="20"/>
        <v>6258527.1559999986</v>
      </c>
      <c r="K90" s="69">
        <f t="shared" si="20"/>
        <v>6258527.1559999986</v>
      </c>
    </row>
    <row r="91" spans="1:11" ht="15" thickBot="1" x14ac:dyDescent="0.35">
      <c r="A91" s="88" t="s">
        <v>59</v>
      </c>
      <c r="B91" s="89"/>
      <c r="C91" s="89"/>
      <c r="D91" s="89"/>
      <c r="E91" s="89"/>
      <c r="F91" s="151"/>
      <c r="G91" s="107">
        <f>G78+G66+G54+G42</f>
        <v>528778.68956798397</v>
      </c>
      <c r="H91" s="108">
        <f t="shared" ref="H91:K91" si="21">H78+H66+H54+H42</f>
        <v>1120021.4439006508</v>
      </c>
      <c r="I91" s="108">
        <f t="shared" si="21"/>
        <v>1888838.0858647623</v>
      </c>
      <c r="J91" s="108">
        <f t="shared" si="21"/>
        <v>2550965.3681551036</v>
      </c>
      <c r="K91" s="109">
        <f t="shared" si="21"/>
        <v>3291442.6376748551</v>
      </c>
    </row>
    <row r="92" spans="1:11" x14ac:dyDescent="0.3">
      <c r="F92" s="27"/>
    </row>
    <row r="93" spans="1:11" x14ac:dyDescent="0.3">
      <c r="F93" s="27"/>
      <c r="G93" s="135"/>
    </row>
    <row r="94" spans="1:11" x14ac:dyDescent="0.3">
      <c r="F94" s="135"/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E449A-96AB-4A84-BE80-DE3A976793FE}">
  <dimension ref="A1:K87"/>
  <sheetViews>
    <sheetView topLeftCell="A64" workbookViewId="0">
      <selection activeCell="F74" sqref="F74"/>
    </sheetView>
  </sheetViews>
  <sheetFormatPr defaultRowHeight="14.4" x14ac:dyDescent="0.3"/>
  <cols>
    <col min="1" max="1" width="49.44140625" customWidth="1"/>
    <col min="2" max="2" width="9.33203125" customWidth="1"/>
    <col min="3" max="5" width="10.77734375" bestFit="1" customWidth="1"/>
    <col min="6" max="7" width="9.77734375" bestFit="1" customWidth="1"/>
  </cols>
  <sheetData>
    <row r="1" spans="1:9" s="163" customFormat="1" x14ac:dyDescent="0.3">
      <c r="A1" s="59" t="s">
        <v>69</v>
      </c>
      <c r="B1" s="141">
        <v>2016</v>
      </c>
      <c r="C1" s="141">
        <v>2017</v>
      </c>
      <c r="D1" s="141">
        <v>2018</v>
      </c>
      <c r="E1" s="141">
        <v>2019</v>
      </c>
      <c r="F1" s="141">
        <v>2020</v>
      </c>
      <c r="G1" s="141">
        <v>2021</v>
      </c>
      <c r="H1" s="142">
        <v>2022</v>
      </c>
      <c r="I1" s="164" t="s">
        <v>70</v>
      </c>
    </row>
    <row r="2" spans="1:9" s="155" customFormat="1" x14ac:dyDescent="0.3">
      <c r="A2" s="170" t="s">
        <v>71</v>
      </c>
      <c r="B2" s="196">
        <v>3.1E-2</v>
      </c>
      <c r="C2" s="196">
        <v>4.3999999999999997E-2</v>
      </c>
      <c r="D2" s="165">
        <v>3.9E-2</v>
      </c>
      <c r="E2" s="165">
        <v>3.2000000000000001E-2</v>
      </c>
      <c r="F2" s="165"/>
      <c r="G2" s="165"/>
      <c r="H2" s="171"/>
    </row>
    <row r="3" spans="1:9" s="3" customFormat="1" x14ac:dyDescent="0.3">
      <c r="A3" s="48" t="s">
        <v>72</v>
      </c>
      <c r="B3" s="7">
        <v>8136.4</v>
      </c>
      <c r="C3" s="7">
        <v>8766.1</v>
      </c>
      <c r="D3" s="2">
        <v>9419.1</v>
      </c>
      <c r="E3" s="2">
        <v>9923.5</v>
      </c>
      <c r="F3" s="2"/>
      <c r="G3" s="2"/>
      <c r="H3" s="50"/>
    </row>
    <row r="4" spans="1:9" s="75" customFormat="1" x14ac:dyDescent="0.3">
      <c r="A4" s="172" t="s">
        <v>73</v>
      </c>
      <c r="B4" s="197">
        <v>0.20100000000000001</v>
      </c>
      <c r="C4" s="198">
        <v>0.20499999999999999</v>
      </c>
      <c r="D4" s="166">
        <v>0.20799999999999999</v>
      </c>
      <c r="E4" s="166">
        <v>0.20899999999999999</v>
      </c>
      <c r="F4" s="74"/>
      <c r="G4" s="74"/>
      <c r="H4" s="195"/>
    </row>
    <row r="5" spans="1:9" x14ac:dyDescent="0.3">
      <c r="A5" s="55" t="s">
        <v>74</v>
      </c>
      <c r="B5" s="199">
        <v>4.9000000000000002E-2</v>
      </c>
      <c r="C5" s="200">
        <v>6.5000000000000002E-2</v>
      </c>
      <c r="D5" s="167">
        <v>0.06</v>
      </c>
      <c r="E5" s="167">
        <v>0.05</v>
      </c>
      <c r="F5" s="5"/>
      <c r="G5" s="5"/>
      <c r="H5" s="54"/>
    </row>
    <row r="6" spans="1:9" x14ac:dyDescent="0.3">
      <c r="A6" s="55" t="s">
        <v>75</v>
      </c>
      <c r="B6" s="111">
        <v>6.4000000000000001E-2</v>
      </c>
      <c r="C6" s="111">
        <v>8.7999999999999995E-2</v>
      </c>
      <c r="D6" s="168">
        <v>7.4999999999999997E-2</v>
      </c>
      <c r="E6" s="168">
        <v>6.0999999999999999E-2</v>
      </c>
      <c r="F6" s="5"/>
      <c r="G6" s="5"/>
      <c r="H6" s="54"/>
    </row>
    <row r="7" spans="1:9" s="75" customFormat="1" x14ac:dyDescent="0.3">
      <c r="A7" s="172" t="s">
        <v>76</v>
      </c>
      <c r="B7" s="201">
        <v>6.2E-2</v>
      </c>
      <c r="C7" s="201">
        <v>0.09</v>
      </c>
      <c r="D7" s="169">
        <v>0.08</v>
      </c>
      <c r="E7" s="169">
        <v>6.4000000000000001E-2</v>
      </c>
      <c r="F7" s="74"/>
      <c r="G7" s="74"/>
      <c r="H7" s="195"/>
    </row>
    <row r="8" spans="1:9" s="75" customFormat="1" x14ac:dyDescent="0.3">
      <c r="A8" s="172" t="s">
        <v>77</v>
      </c>
      <c r="B8" s="201">
        <v>7.5999999999999998E-2</v>
      </c>
      <c r="C8" s="201">
        <v>0.08</v>
      </c>
      <c r="D8" s="169">
        <v>5.5E-2</v>
      </c>
      <c r="E8" s="169">
        <v>4.7E-2</v>
      </c>
      <c r="F8" s="74"/>
      <c r="G8" s="74"/>
      <c r="H8" s="195"/>
    </row>
    <row r="9" spans="1:9" x14ac:dyDescent="0.3">
      <c r="A9" s="55" t="s">
        <v>78</v>
      </c>
      <c r="B9" s="111">
        <v>6.6000000000000003E-2</v>
      </c>
      <c r="C9" s="111">
        <v>8.8999999999999996E-2</v>
      </c>
      <c r="D9" s="168">
        <v>7.6999999999999999E-2</v>
      </c>
      <c r="E9" s="168">
        <v>6.3E-2</v>
      </c>
      <c r="F9" s="5"/>
      <c r="G9" s="5"/>
      <c r="H9" s="54"/>
    </row>
    <row r="10" spans="1:9" s="75" customFormat="1" x14ac:dyDescent="0.3">
      <c r="A10" s="172" t="s">
        <v>79</v>
      </c>
      <c r="B10" s="201">
        <v>7.0000000000000007E-2</v>
      </c>
      <c r="C10" s="201">
        <v>9.4E-2</v>
      </c>
      <c r="D10" s="169">
        <v>8.2000000000000003E-2</v>
      </c>
      <c r="E10" s="169">
        <v>6.6000000000000003E-2</v>
      </c>
      <c r="F10" s="74"/>
      <c r="G10" s="74"/>
      <c r="H10" s="195"/>
    </row>
    <row r="11" spans="1:9" s="75" customFormat="1" x14ac:dyDescent="0.3">
      <c r="A11" s="172" t="s">
        <v>80</v>
      </c>
      <c r="B11" s="201">
        <v>4.2000000000000003E-2</v>
      </c>
      <c r="C11" s="201">
        <v>0.06</v>
      </c>
      <c r="D11" s="169">
        <v>4.8000000000000001E-2</v>
      </c>
      <c r="E11" s="169">
        <v>4.3999999999999997E-2</v>
      </c>
      <c r="F11" s="74"/>
      <c r="G11" s="74"/>
      <c r="H11" s="195"/>
    </row>
    <row r="12" spans="1:9" x14ac:dyDescent="0.3">
      <c r="A12" s="55" t="s">
        <v>81</v>
      </c>
      <c r="B12" s="111">
        <v>-3.5999999999999997E-2</v>
      </c>
      <c r="C12" s="111">
        <v>0.09</v>
      </c>
      <c r="D12" s="168">
        <v>0.08</v>
      </c>
      <c r="E12" s="168">
        <v>7.0000000000000007E-2</v>
      </c>
      <c r="F12" s="5"/>
      <c r="G12" s="5"/>
      <c r="H12" s="54"/>
    </row>
    <row r="13" spans="1:9" x14ac:dyDescent="0.3">
      <c r="A13" s="55" t="s">
        <v>82</v>
      </c>
      <c r="B13" s="111">
        <v>2.5000000000000001E-2</v>
      </c>
      <c r="C13" s="111">
        <v>1.0999999999999999E-2</v>
      </c>
      <c r="D13" s="168">
        <v>8.9999999999999993E-3</v>
      </c>
      <c r="E13" s="168">
        <v>8.9999999999999993E-3</v>
      </c>
      <c r="F13" s="5"/>
      <c r="G13" s="5"/>
      <c r="H13" s="54"/>
    </row>
    <row r="14" spans="1:9" x14ac:dyDescent="0.3">
      <c r="A14" s="55" t="s">
        <v>83</v>
      </c>
      <c r="B14" s="111">
        <v>4.2000000000000003E-2</v>
      </c>
      <c r="C14" s="111">
        <v>3.3000000000000002E-2</v>
      </c>
      <c r="D14" s="168">
        <v>0.03</v>
      </c>
      <c r="E14" s="168">
        <v>2.3E-2</v>
      </c>
      <c r="F14" s="5"/>
      <c r="G14" s="5"/>
      <c r="H14" s="54"/>
    </row>
    <row r="15" spans="1:9" x14ac:dyDescent="0.3">
      <c r="A15" s="55"/>
      <c r="B15" s="202"/>
      <c r="C15" s="202"/>
      <c r="D15" s="5"/>
      <c r="E15" s="5"/>
      <c r="F15" s="5"/>
      <c r="G15" s="5"/>
      <c r="H15" s="54"/>
    </row>
    <row r="16" spans="1:9" x14ac:dyDescent="0.3">
      <c r="A16" s="55" t="s">
        <v>84</v>
      </c>
      <c r="B16" s="111">
        <v>1.9E-2</v>
      </c>
      <c r="C16" s="111">
        <v>2.7E-2</v>
      </c>
      <c r="D16" s="168">
        <v>1.7000000000000001E-2</v>
      </c>
      <c r="E16" s="168">
        <v>8.9999999999999993E-3</v>
      </c>
      <c r="F16" s="5"/>
      <c r="G16" s="5"/>
      <c r="H16" s="54"/>
    </row>
    <row r="17" spans="1:9" x14ac:dyDescent="0.3">
      <c r="A17" s="55" t="s">
        <v>85</v>
      </c>
      <c r="B17" s="111">
        <v>1.9E-2</v>
      </c>
      <c r="C17" s="111">
        <v>1.2999999999999999E-2</v>
      </c>
      <c r="D17" s="168">
        <v>1.7999999999999999E-2</v>
      </c>
      <c r="E17" s="168">
        <v>1.9E-2</v>
      </c>
      <c r="F17" s="5"/>
      <c r="G17" s="5"/>
      <c r="H17" s="54"/>
    </row>
    <row r="18" spans="1:9" x14ac:dyDescent="0.3">
      <c r="A18" s="55"/>
      <c r="B18" s="202"/>
      <c r="C18" s="202"/>
      <c r="D18" s="5"/>
      <c r="E18" s="5"/>
      <c r="F18" s="5"/>
      <c r="G18" s="5"/>
      <c r="H18" s="54"/>
    </row>
    <row r="19" spans="1:9" ht="15" thickBot="1" x14ac:dyDescent="0.35">
      <c r="A19" s="91" t="s">
        <v>86</v>
      </c>
      <c r="B19" s="113">
        <v>-1E-3</v>
      </c>
      <c r="C19" s="113">
        <v>1.4999999999999999E-2</v>
      </c>
      <c r="D19" s="173">
        <v>1.6E-2</v>
      </c>
      <c r="E19" s="173">
        <v>2.1000000000000001E-2</v>
      </c>
      <c r="F19" s="86"/>
      <c r="G19" s="86"/>
      <c r="H19" s="94"/>
    </row>
    <row r="20" spans="1:9" ht="15" thickBot="1" x14ac:dyDescent="0.35"/>
    <row r="21" spans="1:9" s="163" customFormat="1" x14ac:dyDescent="0.3">
      <c r="A21" s="59" t="s">
        <v>87</v>
      </c>
      <c r="B21" s="141">
        <v>2016</v>
      </c>
      <c r="C21" s="141">
        <v>2017</v>
      </c>
      <c r="D21" s="141">
        <v>2018</v>
      </c>
      <c r="E21" s="141">
        <v>2019</v>
      </c>
      <c r="F21" s="141">
        <v>2020</v>
      </c>
      <c r="G21" s="141">
        <v>2021</v>
      </c>
      <c r="H21" s="142">
        <v>2022</v>
      </c>
    </row>
    <row r="22" spans="1:9" x14ac:dyDescent="0.3">
      <c r="A22" s="55" t="s">
        <v>88</v>
      </c>
      <c r="B22" s="111">
        <v>1.7999999999999999E-2</v>
      </c>
      <c r="C22" s="111">
        <v>1.9E-2</v>
      </c>
      <c r="D22" s="168">
        <v>1.7999999999999999E-2</v>
      </c>
      <c r="E22" s="168">
        <v>1.4999999999999999E-2</v>
      </c>
      <c r="F22" s="5"/>
      <c r="G22" s="5"/>
      <c r="H22" s="54"/>
    </row>
    <row r="23" spans="1:9" x14ac:dyDescent="0.3">
      <c r="A23" s="55" t="s">
        <v>89</v>
      </c>
      <c r="B23" s="203">
        <v>1.1100000000000001</v>
      </c>
      <c r="C23" s="203">
        <v>1.1299999999999999</v>
      </c>
      <c r="D23" s="174">
        <v>1.18</v>
      </c>
      <c r="E23" s="174">
        <v>1.18</v>
      </c>
      <c r="F23" s="5"/>
      <c r="G23" s="5"/>
      <c r="H23" s="54"/>
    </row>
    <row r="24" spans="1:9" x14ac:dyDescent="0.3">
      <c r="A24" s="55" t="s">
        <v>90</v>
      </c>
      <c r="B24" s="111">
        <v>3.9E-2</v>
      </c>
      <c r="C24" s="111">
        <v>4.5999999999999999E-2</v>
      </c>
      <c r="D24" s="168">
        <v>4.7E-2</v>
      </c>
      <c r="E24" s="168">
        <v>4.7E-2</v>
      </c>
      <c r="F24" s="5"/>
      <c r="G24" s="5"/>
      <c r="H24" s="54"/>
    </row>
    <row r="25" spans="1:9" x14ac:dyDescent="0.3">
      <c r="A25" s="55"/>
      <c r="B25" s="202"/>
      <c r="C25" s="202"/>
      <c r="D25" s="5"/>
      <c r="E25" s="5"/>
      <c r="F25" s="5"/>
      <c r="G25" s="5"/>
      <c r="H25" s="54"/>
    </row>
    <row r="26" spans="1:9" x14ac:dyDescent="0.3">
      <c r="A26" s="55" t="s">
        <v>91</v>
      </c>
      <c r="B26" s="204">
        <v>-0.02</v>
      </c>
      <c r="C26" s="205">
        <v>7.4999999999999997E-2</v>
      </c>
      <c r="D26" s="165">
        <v>2.1000000000000001E-2</v>
      </c>
      <c r="E26" s="175">
        <v>0.08</v>
      </c>
      <c r="F26" s="5"/>
      <c r="G26" s="5"/>
      <c r="H26" s="54"/>
    </row>
    <row r="27" spans="1:9" ht="15" thickBot="1" x14ac:dyDescent="0.35">
      <c r="A27" s="91" t="s">
        <v>92</v>
      </c>
      <c r="B27" s="206">
        <v>45</v>
      </c>
      <c r="C27" s="206">
        <v>51</v>
      </c>
      <c r="D27" s="86">
        <v>52</v>
      </c>
      <c r="E27" s="86">
        <v>52</v>
      </c>
      <c r="F27" s="86"/>
      <c r="G27" s="86"/>
      <c r="H27" s="94"/>
    </row>
    <row r="29" spans="1:9" ht="15" thickBot="1" x14ac:dyDescent="0.35"/>
    <row r="30" spans="1:9" s="163" customFormat="1" x14ac:dyDescent="0.3">
      <c r="A30" s="59" t="s">
        <v>93</v>
      </c>
      <c r="B30" s="141">
        <v>2016</v>
      </c>
      <c r="C30" s="141">
        <v>2017</v>
      </c>
      <c r="D30" s="141">
        <v>2018</v>
      </c>
      <c r="E30" s="141">
        <v>2019</v>
      </c>
      <c r="F30" s="141">
        <v>2020</v>
      </c>
      <c r="G30" s="141">
        <v>2021</v>
      </c>
      <c r="H30" s="142">
        <v>2022</v>
      </c>
    </row>
    <row r="31" spans="1:9" s="156" customFormat="1" x14ac:dyDescent="0.3">
      <c r="A31" s="178" t="s">
        <v>94</v>
      </c>
      <c r="B31" s="177">
        <v>2.2000000000000002</v>
      </c>
      <c r="C31" s="177">
        <v>2.5</v>
      </c>
      <c r="D31" s="176">
        <v>1.5</v>
      </c>
      <c r="E31" s="176">
        <v>1.2</v>
      </c>
      <c r="F31" s="176">
        <v>1.8</v>
      </c>
      <c r="G31" s="176"/>
      <c r="H31" s="179"/>
      <c r="I31" s="156" t="s">
        <v>95</v>
      </c>
    </row>
    <row r="32" spans="1:9" x14ac:dyDescent="0.3">
      <c r="A32" s="178" t="s">
        <v>96</v>
      </c>
      <c r="B32" s="177">
        <v>4</v>
      </c>
      <c r="C32" s="177">
        <v>5.3</v>
      </c>
      <c r="D32" s="176">
        <v>3.3</v>
      </c>
      <c r="E32" s="176">
        <v>3.1</v>
      </c>
      <c r="F32" s="176">
        <v>3.1</v>
      </c>
      <c r="G32" s="5"/>
      <c r="H32" s="54"/>
      <c r="I32" t="s">
        <v>97</v>
      </c>
    </row>
    <row r="33" spans="1:9" x14ac:dyDescent="0.3">
      <c r="A33" s="178" t="s">
        <v>98</v>
      </c>
      <c r="B33" s="5"/>
      <c r="C33" s="5"/>
      <c r="D33" s="176">
        <v>1.9</v>
      </c>
      <c r="E33" s="176">
        <v>1.3</v>
      </c>
      <c r="F33" s="176">
        <v>1.6</v>
      </c>
      <c r="G33" s="176">
        <v>1.4</v>
      </c>
      <c r="H33" s="54"/>
    </row>
    <row r="34" spans="1:9" x14ac:dyDescent="0.3">
      <c r="A34" s="178" t="s">
        <v>99</v>
      </c>
      <c r="B34" s="5"/>
      <c r="C34" s="5"/>
      <c r="D34" s="176">
        <v>0.9</v>
      </c>
      <c r="E34" s="176">
        <v>1.2</v>
      </c>
      <c r="F34" s="176">
        <v>2</v>
      </c>
      <c r="G34" s="176">
        <v>1</v>
      </c>
      <c r="H34" s="54"/>
      <c r="I34" t="s">
        <v>100</v>
      </c>
    </row>
    <row r="35" spans="1:9" x14ac:dyDescent="0.3">
      <c r="A35" s="178" t="s">
        <v>101</v>
      </c>
      <c r="B35" s="5"/>
      <c r="C35" s="5"/>
      <c r="D35" s="176">
        <v>3.1</v>
      </c>
      <c r="E35" s="176">
        <v>2.4</v>
      </c>
      <c r="F35" s="176">
        <v>2.1</v>
      </c>
      <c r="G35" s="176">
        <v>1.8</v>
      </c>
      <c r="H35" s="54"/>
      <c r="I35" t="s">
        <v>102</v>
      </c>
    </row>
    <row r="36" spans="1:9" x14ac:dyDescent="0.3">
      <c r="A36" s="178" t="s">
        <v>103</v>
      </c>
      <c r="B36" s="5"/>
      <c r="C36" s="5"/>
      <c r="D36" s="176">
        <v>0.9</v>
      </c>
      <c r="E36" s="176">
        <v>2.7</v>
      </c>
      <c r="F36" s="176">
        <v>1.9</v>
      </c>
      <c r="G36" s="176">
        <v>2.9</v>
      </c>
      <c r="H36" s="179">
        <v>2.4</v>
      </c>
      <c r="I36" t="s">
        <v>104</v>
      </c>
    </row>
    <row r="37" spans="1:9" ht="15" thickBot="1" x14ac:dyDescent="0.35">
      <c r="A37" s="180" t="s">
        <v>105</v>
      </c>
      <c r="B37" s="86">
        <v>0.4</v>
      </c>
      <c r="C37" s="86">
        <v>1.7</v>
      </c>
      <c r="D37" s="181">
        <v>1.9</v>
      </c>
      <c r="E37" s="181">
        <v>1.7</v>
      </c>
      <c r="F37" s="181">
        <v>1.5</v>
      </c>
      <c r="G37" s="181"/>
      <c r="H37" s="182"/>
    </row>
    <row r="38" spans="1:9" ht="15" thickBot="1" x14ac:dyDescent="0.35"/>
    <row r="39" spans="1:9" s="163" customFormat="1" x14ac:dyDescent="0.3">
      <c r="A39" s="59" t="s">
        <v>106</v>
      </c>
      <c r="B39" s="141">
        <v>2016</v>
      </c>
      <c r="C39" s="141">
        <v>2017</v>
      </c>
      <c r="D39" s="141">
        <v>2018</v>
      </c>
      <c r="E39" s="141">
        <v>2019</v>
      </c>
      <c r="F39" s="141">
        <v>2020</v>
      </c>
      <c r="G39" s="141">
        <v>2021</v>
      </c>
      <c r="H39" s="142">
        <v>2022</v>
      </c>
      <c r="I39" s="163" t="s">
        <v>107</v>
      </c>
    </row>
    <row r="40" spans="1:9" x14ac:dyDescent="0.3">
      <c r="A40" s="55" t="s">
        <v>108</v>
      </c>
      <c r="B40" s="5">
        <v>4.8</v>
      </c>
      <c r="C40" s="5">
        <v>7</v>
      </c>
      <c r="D40" s="5">
        <v>4.3</v>
      </c>
      <c r="E40" s="5">
        <v>3.8</v>
      </c>
      <c r="F40" s="5">
        <v>3.7</v>
      </c>
      <c r="G40" s="5"/>
      <c r="H40" s="54"/>
      <c r="I40" t="s">
        <v>109</v>
      </c>
    </row>
    <row r="41" spans="1:9" x14ac:dyDescent="0.3">
      <c r="A41" s="55" t="s">
        <v>110</v>
      </c>
      <c r="B41" s="5">
        <v>9.8000000000000007</v>
      </c>
      <c r="C41" s="5">
        <v>11.2</v>
      </c>
      <c r="D41" s="5">
        <v>8.6</v>
      </c>
      <c r="E41" s="5">
        <v>3.6</v>
      </c>
      <c r="F41" s="5">
        <v>3.5</v>
      </c>
      <c r="G41" s="5"/>
      <c r="H41" s="54"/>
      <c r="I41" t="s">
        <v>111</v>
      </c>
    </row>
    <row r="42" spans="1:9" x14ac:dyDescent="0.3">
      <c r="A42" s="55" t="s">
        <v>83</v>
      </c>
      <c r="B42" s="5"/>
      <c r="C42" s="5"/>
      <c r="D42" s="5">
        <v>5</v>
      </c>
      <c r="E42" s="5">
        <v>3.8</v>
      </c>
      <c r="F42" s="5">
        <v>3.2</v>
      </c>
      <c r="G42" s="5">
        <v>4.2</v>
      </c>
      <c r="H42" s="54"/>
    </row>
    <row r="43" spans="1:9" x14ac:dyDescent="0.3">
      <c r="A43" s="55" t="s">
        <v>112</v>
      </c>
      <c r="B43" s="5"/>
      <c r="C43" s="5"/>
      <c r="D43" s="5">
        <v>6.5</v>
      </c>
      <c r="E43" s="5">
        <v>4</v>
      </c>
      <c r="F43" s="5">
        <v>5.5</v>
      </c>
      <c r="G43" s="5">
        <v>3</v>
      </c>
      <c r="H43" s="54"/>
    </row>
    <row r="44" spans="1:9" x14ac:dyDescent="0.3">
      <c r="A44" s="55" t="s">
        <v>113</v>
      </c>
      <c r="B44" s="5"/>
      <c r="C44" s="5"/>
      <c r="D44" s="5">
        <v>-0.5</v>
      </c>
      <c r="E44" s="5">
        <v>5</v>
      </c>
      <c r="F44" s="5">
        <v>6</v>
      </c>
      <c r="G44" s="5">
        <v>4</v>
      </c>
      <c r="H44" s="54"/>
    </row>
    <row r="45" spans="1:9" ht="15" thickBot="1" x14ac:dyDescent="0.35">
      <c r="A45" s="91" t="s">
        <v>114</v>
      </c>
      <c r="B45" s="86">
        <v>-1.6</v>
      </c>
      <c r="C45" s="86">
        <v>1.3</v>
      </c>
      <c r="D45" s="86">
        <v>4.5999999999999996</v>
      </c>
      <c r="E45" s="86">
        <v>3.1</v>
      </c>
      <c r="F45" s="86">
        <v>3</v>
      </c>
      <c r="G45" s="86"/>
      <c r="H45" s="94"/>
    </row>
    <row r="46" spans="1:9" ht="15" thickBot="1" x14ac:dyDescent="0.35"/>
    <row r="47" spans="1:9" s="163" customFormat="1" x14ac:dyDescent="0.3">
      <c r="A47" s="59" t="s">
        <v>115</v>
      </c>
      <c r="B47" s="141">
        <v>2016</v>
      </c>
      <c r="C47" s="141">
        <v>2017</v>
      </c>
      <c r="D47" s="141">
        <v>2018</v>
      </c>
      <c r="E47" s="141">
        <v>2019</v>
      </c>
      <c r="F47" s="141">
        <v>2020</v>
      </c>
      <c r="G47" s="141">
        <v>2021</v>
      </c>
      <c r="H47" s="142">
        <v>2022</v>
      </c>
      <c r="I47" s="163" t="s">
        <v>107</v>
      </c>
    </row>
    <row r="48" spans="1:9" x14ac:dyDescent="0.3">
      <c r="A48" s="55" t="s">
        <v>108</v>
      </c>
      <c r="B48" s="5">
        <v>2.2000000000000002</v>
      </c>
      <c r="C48" s="5">
        <v>4.4000000000000004</v>
      </c>
      <c r="D48" s="5">
        <v>4.7</v>
      </c>
      <c r="E48" s="5">
        <v>3.1</v>
      </c>
      <c r="F48" s="5">
        <v>1.8</v>
      </c>
      <c r="G48" s="5"/>
      <c r="H48" s="54"/>
    </row>
    <row r="49" spans="1:9" x14ac:dyDescent="0.3">
      <c r="A49" s="55" t="s">
        <v>110</v>
      </c>
      <c r="B49" s="5">
        <v>3.9</v>
      </c>
      <c r="C49" s="5">
        <v>7.7</v>
      </c>
      <c r="D49" s="5">
        <v>7.6</v>
      </c>
      <c r="E49" s="5">
        <v>5.7</v>
      </c>
      <c r="F49" s="5">
        <v>2.6</v>
      </c>
      <c r="G49" s="5"/>
      <c r="H49" s="54"/>
    </row>
    <row r="50" spans="1:9" x14ac:dyDescent="0.3">
      <c r="A50" s="55" t="s">
        <v>83</v>
      </c>
      <c r="B50" s="5"/>
      <c r="C50" s="5"/>
      <c r="D50" s="5">
        <v>5.2</v>
      </c>
      <c r="E50" s="5">
        <v>3.4</v>
      </c>
      <c r="F50" s="5">
        <v>1.8</v>
      </c>
      <c r="G50" s="5">
        <v>2.1</v>
      </c>
      <c r="H50" s="54"/>
    </row>
    <row r="51" spans="1:9" x14ac:dyDescent="0.3">
      <c r="A51" s="55" t="s">
        <v>112</v>
      </c>
      <c r="B51" s="5"/>
      <c r="C51" s="5"/>
      <c r="D51" s="5">
        <v>2.1</v>
      </c>
      <c r="E51" s="5">
        <v>0.5</v>
      </c>
      <c r="F51" s="5">
        <v>1.2</v>
      </c>
      <c r="G51" s="5">
        <v>1.5</v>
      </c>
      <c r="H51" s="54"/>
    </row>
    <row r="52" spans="1:9" x14ac:dyDescent="0.3">
      <c r="A52" s="55" t="s">
        <v>113</v>
      </c>
      <c r="B52" s="5"/>
      <c r="C52" s="5"/>
      <c r="D52" s="5">
        <v>15.5</v>
      </c>
      <c r="E52" s="5">
        <v>4.5</v>
      </c>
      <c r="F52" s="5">
        <v>1.5</v>
      </c>
      <c r="G52" s="5">
        <v>3</v>
      </c>
      <c r="H52" s="54"/>
    </row>
    <row r="53" spans="1:9" ht="15" thickBot="1" x14ac:dyDescent="0.35">
      <c r="A53" s="91" t="s">
        <v>105</v>
      </c>
      <c r="B53" s="86">
        <v>0.4</v>
      </c>
      <c r="C53" s="86">
        <v>2.2999999999999998</v>
      </c>
      <c r="D53" s="86">
        <v>2.9</v>
      </c>
      <c r="E53" s="86">
        <v>3.5</v>
      </c>
      <c r="F53" s="86">
        <v>2.6</v>
      </c>
      <c r="G53" s="86"/>
      <c r="H53" s="94"/>
    </row>
    <row r="54" spans="1:9" ht="15" thickBot="1" x14ac:dyDescent="0.35"/>
    <row r="55" spans="1:9" s="163" customFormat="1" x14ac:dyDescent="0.3">
      <c r="A55" s="59" t="s">
        <v>116</v>
      </c>
      <c r="B55" s="141">
        <v>2016</v>
      </c>
      <c r="C55" s="141">
        <v>2017</v>
      </c>
      <c r="D55" s="141">
        <v>2018</v>
      </c>
      <c r="E55" s="141">
        <v>2019</v>
      </c>
      <c r="F55" s="141">
        <v>2020</v>
      </c>
      <c r="G55" s="141">
        <v>2021</v>
      </c>
      <c r="H55" s="142">
        <v>2022</v>
      </c>
      <c r="I55" s="163" t="s">
        <v>107</v>
      </c>
    </row>
    <row r="56" spans="1:9" x14ac:dyDescent="0.3">
      <c r="A56" s="55" t="s">
        <v>108</v>
      </c>
      <c r="B56" s="5">
        <v>2.1</v>
      </c>
      <c r="C56" s="5">
        <v>2.7</v>
      </c>
      <c r="D56" s="5">
        <v>2.7</v>
      </c>
      <c r="E56" s="5">
        <v>1.3</v>
      </c>
      <c r="F56" s="5">
        <v>1.6</v>
      </c>
      <c r="G56" s="5"/>
      <c r="H56" s="54"/>
    </row>
    <row r="57" spans="1:9" x14ac:dyDescent="0.3">
      <c r="A57" s="55" t="s">
        <v>110</v>
      </c>
      <c r="B57" s="5">
        <v>3.4</v>
      </c>
      <c r="C57" s="5">
        <v>5.0999999999999996</v>
      </c>
      <c r="D57" s="5">
        <v>2.5</v>
      </c>
      <c r="E57" s="5">
        <v>2.4</v>
      </c>
      <c r="F57" s="5">
        <v>2.2999999999999998</v>
      </c>
      <c r="G57" s="5"/>
      <c r="H57" s="54"/>
    </row>
    <row r="58" spans="1:9" x14ac:dyDescent="0.3">
      <c r="A58" s="55" t="s">
        <v>105</v>
      </c>
      <c r="B58" s="5">
        <v>1</v>
      </c>
      <c r="C58" s="5">
        <v>2.2000000000000002</v>
      </c>
      <c r="D58" s="5">
        <v>2.1</v>
      </c>
      <c r="E58" s="5">
        <v>2</v>
      </c>
      <c r="F58" s="5">
        <v>2</v>
      </c>
      <c r="G58" s="5"/>
      <c r="H58" s="54"/>
    </row>
    <row r="59" spans="1:9" x14ac:dyDescent="0.3">
      <c r="A59" s="55" t="s">
        <v>83</v>
      </c>
      <c r="B59" s="5"/>
      <c r="C59" s="5"/>
      <c r="D59" s="5">
        <v>1.7</v>
      </c>
      <c r="E59" s="5">
        <v>0.9</v>
      </c>
      <c r="F59" s="5">
        <v>1.3</v>
      </c>
      <c r="G59" s="5">
        <v>1.2</v>
      </c>
      <c r="H59" s="54"/>
    </row>
    <row r="60" spans="1:9" x14ac:dyDescent="0.3">
      <c r="A60" s="55" t="s">
        <v>112</v>
      </c>
      <c r="B60" s="5"/>
      <c r="C60" s="5"/>
      <c r="D60" s="5">
        <v>1.1000000000000001</v>
      </c>
      <c r="E60" s="5">
        <v>1.3</v>
      </c>
      <c r="F60" s="5">
        <v>1.3</v>
      </c>
      <c r="G60" s="5">
        <v>1.2</v>
      </c>
      <c r="H60" s="54"/>
    </row>
    <row r="61" spans="1:9" ht="15" thickBot="1" x14ac:dyDescent="0.35">
      <c r="A61" s="91" t="s">
        <v>113</v>
      </c>
      <c r="B61" s="86"/>
      <c r="C61" s="86"/>
      <c r="D61" s="86">
        <v>3.6</v>
      </c>
      <c r="E61" s="86">
        <v>2.4</v>
      </c>
      <c r="F61" s="86">
        <v>1.4</v>
      </c>
      <c r="G61" s="86">
        <v>0.8</v>
      </c>
      <c r="H61" s="94"/>
    </row>
    <row r="62" spans="1:9" ht="15" thickBot="1" x14ac:dyDescent="0.35"/>
    <row r="63" spans="1:9" s="163" customFormat="1" x14ac:dyDescent="0.3">
      <c r="A63" s="59" t="s">
        <v>117</v>
      </c>
      <c r="B63" s="141">
        <v>2016</v>
      </c>
      <c r="C63" s="141">
        <v>2017</v>
      </c>
      <c r="D63" s="141">
        <v>2018</v>
      </c>
      <c r="E63" s="141">
        <v>2019</v>
      </c>
      <c r="F63" s="141">
        <v>2020</v>
      </c>
      <c r="G63" s="141">
        <v>2021</v>
      </c>
      <c r="H63" s="142">
        <v>2022</v>
      </c>
      <c r="I63" s="163" t="s">
        <v>107</v>
      </c>
    </row>
    <row r="64" spans="1:9" x14ac:dyDescent="0.3">
      <c r="A64" s="55" t="s">
        <v>108</v>
      </c>
      <c r="B64" s="5">
        <v>1.6</v>
      </c>
      <c r="C64" s="5">
        <v>2.2000000000000002</v>
      </c>
      <c r="D64" s="5">
        <v>2.9</v>
      </c>
      <c r="E64" s="5">
        <v>2.2999999999999998</v>
      </c>
      <c r="F64" s="5">
        <v>1.5</v>
      </c>
      <c r="G64" s="5"/>
      <c r="H64" s="54"/>
    </row>
    <row r="65" spans="1:11" x14ac:dyDescent="0.3">
      <c r="A65" s="55" t="s">
        <v>110</v>
      </c>
      <c r="B65" s="5">
        <v>1.9</v>
      </c>
      <c r="C65" s="5">
        <v>4.5999999999999996</v>
      </c>
      <c r="D65" s="5">
        <v>4.0999999999999996</v>
      </c>
      <c r="E65" s="5">
        <v>2.9</v>
      </c>
      <c r="F65" s="5">
        <v>1</v>
      </c>
      <c r="G65" s="5"/>
      <c r="H65" s="54"/>
      <c r="I65" t="s">
        <v>118</v>
      </c>
    </row>
    <row r="66" spans="1:11" x14ac:dyDescent="0.3">
      <c r="A66" s="55" t="s">
        <v>105</v>
      </c>
      <c r="B66" s="5">
        <v>1.3</v>
      </c>
      <c r="C66" s="5">
        <v>2.1</v>
      </c>
      <c r="D66" s="5">
        <v>2.4</v>
      </c>
      <c r="E66" s="5">
        <v>2.2000000000000002</v>
      </c>
      <c r="F66" s="5">
        <v>1.4</v>
      </c>
      <c r="G66" s="5"/>
      <c r="H66" s="54"/>
    </row>
    <row r="67" spans="1:11" x14ac:dyDescent="0.3">
      <c r="A67" s="55" t="s">
        <v>83</v>
      </c>
      <c r="B67" s="5"/>
      <c r="C67" s="5"/>
      <c r="D67" s="5">
        <v>2.6</v>
      </c>
      <c r="E67" s="5">
        <v>2.2999999999999998</v>
      </c>
      <c r="F67" s="5">
        <v>1.7</v>
      </c>
      <c r="G67" s="5">
        <v>1.9</v>
      </c>
      <c r="H67" s="54"/>
      <c r="I67" t="s">
        <v>119</v>
      </c>
    </row>
    <row r="68" spans="1:11" x14ac:dyDescent="0.3">
      <c r="A68" s="55" t="s">
        <v>112</v>
      </c>
      <c r="B68" s="5"/>
      <c r="C68" s="5"/>
      <c r="D68" s="5">
        <v>1.6</v>
      </c>
      <c r="E68" s="5">
        <v>2.2000000000000002</v>
      </c>
      <c r="F68" s="5">
        <v>1.5</v>
      </c>
      <c r="G68" s="5">
        <v>0.9</v>
      </c>
      <c r="H68" s="54"/>
    </row>
    <row r="69" spans="1:11" ht="15" thickBot="1" x14ac:dyDescent="0.35">
      <c r="A69" s="91" t="s">
        <v>113</v>
      </c>
      <c r="B69" s="86"/>
      <c r="C69" s="86"/>
      <c r="D69" s="86">
        <v>5.6</v>
      </c>
      <c r="E69" s="86">
        <v>2.5</v>
      </c>
      <c r="F69" s="86">
        <v>-0.4</v>
      </c>
      <c r="G69" s="86">
        <v>2.2000000000000002</v>
      </c>
      <c r="H69" s="94"/>
    </row>
    <row r="71" spans="1:11" ht="15" thickBot="1" x14ac:dyDescent="0.35"/>
    <row r="72" spans="1:11" s="163" customFormat="1" x14ac:dyDescent="0.3">
      <c r="A72" s="59" t="s">
        <v>120</v>
      </c>
      <c r="B72" s="141">
        <v>2013</v>
      </c>
      <c r="C72" s="141">
        <v>2014</v>
      </c>
      <c r="D72" s="141">
        <v>2015</v>
      </c>
      <c r="E72" s="141">
        <v>2016</v>
      </c>
      <c r="F72" s="141">
        <v>2017</v>
      </c>
      <c r="G72" s="141">
        <v>2018</v>
      </c>
      <c r="H72" s="141">
        <v>2019</v>
      </c>
      <c r="I72" s="141">
        <v>2020</v>
      </c>
      <c r="J72" s="141">
        <v>2021</v>
      </c>
      <c r="K72" s="142">
        <v>2022</v>
      </c>
    </row>
    <row r="73" spans="1:11" s="157" customFormat="1" x14ac:dyDescent="0.3">
      <c r="A73" s="185" t="s">
        <v>121</v>
      </c>
      <c r="B73" s="183"/>
      <c r="C73" s="183"/>
      <c r="D73" s="183">
        <v>1.044</v>
      </c>
      <c r="E73" s="183">
        <v>1.0760000000000001</v>
      </c>
      <c r="F73" s="183">
        <v>1.111</v>
      </c>
      <c r="G73" s="183"/>
      <c r="H73" s="183"/>
      <c r="I73" s="183"/>
      <c r="J73" s="183"/>
      <c r="K73" s="186"/>
    </row>
    <row r="74" spans="1:11" s="157" customFormat="1" x14ac:dyDescent="0.3">
      <c r="A74" s="185" t="s">
        <v>122</v>
      </c>
      <c r="B74" s="183"/>
      <c r="C74" s="183"/>
      <c r="D74" s="183">
        <v>1.04</v>
      </c>
      <c r="E74" s="183">
        <v>1.08</v>
      </c>
      <c r="F74" s="183">
        <v>1.133</v>
      </c>
      <c r="G74" s="183"/>
      <c r="H74" s="183"/>
      <c r="I74" s="183"/>
      <c r="J74" s="183"/>
      <c r="K74" s="186"/>
    </row>
    <row r="75" spans="1:11" s="157" customFormat="1" x14ac:dyDescent="0.3">
      <c r="A75" s="185" t="s">
        <v>123</v>
      </c>
      <c r="B75" s="183"/>
      <c r="C75" s="183"/>
      <c r="D75" s="183">
        <v>1.218</v>
      </c>
      <c r="E75" s="183">
        <v>1.121</v>
      </c>
      <c r="F75" s="183">
        <v>1.0640000000000001</v>
      </c>
      <c r="G75" s="183"/>
      <c r="H75" s="183"/>
      <c r="I75" s="183"/>
      <c r="J75" s="183"/>
      <c r="K75" s="186"/>
    </row>
    <row r="76" spans="1:11" s="157" customFormat="1" x14ac:dyDescent="0.3">
      <c r="A76" s="185" t="s">
        <v>124</v>
      </c>
      <c r="B76" s="183"/>
      <c r="C76" s="183"/>
      <c r="D76" s="183">
        <v>1.1579999999999999</v>
      </c>
      <c r="E76" s="183">
        <v>1.0960000000000001</v>
      </c>
      <c r="F76" s="183">
        <v>1.032</v>
      </c>
      <c r="G76" s="183"/>
      <c r="H76" s="183"/>
      <c r="I76" s="183"/>
      <c r="J76" s="183"/>
      <c r="K76" s="186"/>
    </row>
    <row r="77" spans="1:11" s="158" customFormat="1" x14ac:dyDescent="0.3">
      <c r="A77" s="83" t="s">
        <v>125</v>
      </c>
      <c r="B77" s="184">
        <v>0.8</v>
      </c>
      <c r="C77" s="184">
        <v>0.79300000000000004</v>
      </c>
      <c r="D77" s="184">
        <v>0.79900000000000004</v>
      </c>
      <c r="E77" s="184">
        <v>0.80300000000000005</v>
      </c>
      <c r="F77" s="184"/>
      <c r="G77" s="184"/>
      <c r="H77" s="184"/>
      <c r="I77" s="184"/>
      <c r="J77" s="184"/>
      <c r="K77" s="187"/>
    </row>
    <row r="78" spans="1:11" s="158" customFormat="1" x14ac:dyDescent="0.3">
      <c r="A78" s="83" t="s">
        <v>126</v>
      </c>
      <c r="B78" s="184">
        <v>0.10730000000000001</v>
      </c>
      <c r="C78" s="184">
        <v>9.74E-2</v>
      </c>
      <c r="D78" s="184">
        <v>0.1249</v>
      </c>
      <c r="E78" s="184">
        <v>0.14319999999999999</v>
      </c>
      <c r="F78" s="184">
        <v>0.13200000000000001</v>
      </c>
      <c r="G78" s="184"/>
      <c r="H78" s="184"/>
      <c r="I78" s="184"/>
      <c r="J78" s="184"/>
      <c r="K78" s="187"/>
    </row>
    <row r="79" spans="1:11" s="157" customFormat="1" x14ac:dyDescent="0.3">
      <c r="A79" s="185" t="s">
        <v>127</v>
      </c>
      <c r="B79" s="183"/>
      <c r="C79" s="183"/>
      <c r="D79" s="183">
        <v>1.0269999999999999</v>
      </c>
      <c r="E79" s="183">
        <v>1.0429999999999999</v>
      </c>
      <c r="F79" s="183">
        <v>1.077</v>
      </c>
      <c r="G79" s="183"/>
      <c r="H79" s="183"/>
      <c r="I79" s="183"/>
      <c r="J79" s="183"/>
      <c r="K79" s="186"/>
    </row>
    <row r="80" spans="1:11" s="157" customFormat="1" x14ac:dyDescent="0.3">
      <c r="A80" s="185" t="s">
        <v>128</v>
      </c>
      <c r="B80" s="183">
        <v>0.94899999999999995</v>
      </c>
      <c r="C80" s="183">
        <v>0.97</v>
      </c>
      <c r="D80" s="183">
        <v>1</v>
      </c>
      <c r="E80" s="183">
        <v>1.02</v>
      </c>
      <c r="F80" s="183">
        <v>1.0569999999999999</v>
      </c>
      <c r="G80" s="183">
        <v>1.075</v>
      </c>
      <c r="H80" s="183"/>
      <c r="I80" s="183"/>
      <c r="J80" s="183"/>
      <c r="K80" s="186"/>
    </row>
    <row r="81" spans="1:11" s="157" customFormat="1" ht="15" thickBot="1" x14ac:dyDescent="0.35">
      <c r="A81" s="188" t="s">
        <v>129</v>
      </c>
      <c r="B81" s="189">
        <v>0.99</v>
      </c>
      <c r="C81" s="189">
        <v>1.0169999999999999</v>
      </c>
      <c r="D81" s="189">
        <v>1.052</v>
      </c>
      <c r="E81" s="189">
        <v>1.0780000000000001</v>
      </c>
      <c r="F81" s="189">
        <v>1.08</v>
      </c>
      <c r="G81" s="189"/>
      <c r="H81" s="189"/>
      <c r="I81" s="189"/>
      <c r="J81" s="189"/>
      <c r="K81" s="190"/>
    </row>
    <row r="83" spans="1:11" ht="15" thickBot="1" x14ac:dyDescent="0.35"/>
    <row r="84" spans="1:11" s="31" customFormat="1" x14ac:dyDescent="0.3">
      <c r="A84" s="191" t="s">
        <v>130</v>
      </c>
      <c r="B84" s="60">
        <v>2013</v>
      </c>
      <c r="C84" s="60">
        <v>2014</v>
      </c>
      <c r="D84" s="60">
        <v>2015</v>
      </c>
      <c r="E84" s="60">
        <v>2016</v>
      </c>
      <c r="F84" s="62">
        <v>2017</v>
      </c>
    </row>
    <row r="85" spans="1:11" s="157" customFormat="1" x14ac:dyDescent="0.3">
      <c r="A85" s="185" t="s">
        <v>131</v>
      </c>
      <c r="B85" s="183"/>
      <c r="C85" s="183"/>
      <c r="D85" s="183">
        <f>'PRIHODKI IN STROŠKI'!D3</f>
        <v>1.1472344288252005</v>
      </c>
      <c r="E85" s="183">
        <f>'PRIHODKI IN STROŠKI'!E3</f>
        <v>1.1422186649394754</v>
      </c>
      <c r="F85" s="183">
        <f>'PRIHODKI IN STROŠKI'!F3</f>
        <v>1.1517389566623668</v>
      </c>
    </row>
    <row r="86" spans="1:11" s="157" customFormat="1" x14ac:dyDescent="0.3">
      <c r="A86" s="185" t="s">
        <v>132</v>
      </c>
      <c r="B86" s="183"/>
      <c r="C86" s="183"/>
      <c r="D86" s="183">
        <f>'PRIHODKI IN STROŠKI'!D17</f>
        <v>1.1480646140270654</v>
      </c>
      <c r="E86" s="183">
        <f>'PRIHODKI IN STROŠKI'!E17</f>
        <v>1.1456369739449577</v>
      </c>
      <c r="F86" s="183">
        <f>'PRIHODKI IN STROŠKI'!F17</f>
        <v>1.1519952651333045</v>
      </c>
    </row>
    <row r="87" spans="1:11" s="158" customFormat="1" ht="15" thickBot="1" x14ac:dyDescent="0.35">
      <c r="A87" s="192" t="s">
        <v>125</v>
      </c>
      <c r="B87" s="193">
        <f>12118924/15822263</f>
        <v>0.76594125631712728</v>
      </c>
      <c r="C87" s="193">
        <f>14513067/18331340</f>
        <v>0.79170791660620554</v>
      </c>
      <c r="D87" s="193">
        <f>(93647948+3603017)/105932291</f>
        <v>0.91804835033729237</v>
      </c>
      <c r="E87" s="193">
        <f>(111317256+3368395)/120997840</f>
        <v>0.9478322175007422</v>
      </c>
      <c r="F87" s="194">
        <f>21978284/25008015</f>
        <v>0.87884960081797781</v>
      </c>
      <c r="G87" s="158" t="s">
        <v>133</v>
      </c>
    </row>
  </sheetData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CC69F-E9DD-4E05-8C72-E6D15378301D}">
  <dimension ref="A1:F63"/>
  <sheetViews>
    <sheetView topLeftCell="A49" workbookViewId="0">
      <selection activeCell="B71" sqref="B71"/>
    </sheetView>
  </sheetViews>
  <sheetFormatPr defaultRowHeight="14.4" x14ac:dyDescent="0.3"/>
  <cols>
    <col min="1" max="1" width="51.77734375" bestFit="1" customWidth="1"/>
    <col min="2" max="2" width="28.109375" customWidth="1"/>
    <col min="3" max="6" width="16.44140625" bestFit="1" customWidth="1"/>
  </cols>
  <sheetData>
    <row r="1" spans="1:6" s="224" customFormat="1" x14ac:dyDescent="0.3">
      <c r="A1" s="224" t="s">
        <v>240</v>
      </c>
    </row>
    <row r="2" spans="1:6" s="6" customFormat="1" x14ac:dyDescent="0.3"/>
    <row r="3" spans="1:6" s="3" customFormat="1" ht="15" thickBot="1" x14ac:dyDescent="0.35"/>
    <row r="4" spans="1:6" s="31" customFormat="1" x14ac:dyDescent="0.3">
      <c r="A4" s="225" t="s">
        <v>174</v>
      </c>
      <c r="B4" s="226">
        <v>2013</v>
      </c>
      <c r="C4" s="226">
        <v>2014</v>
      </c>
      <c r="D4" s="226">
        <v>2015</v>
      </c>
      <c r="E4" s="226">
        <v>2016</v>
      </c>
      <c r="F4" s="227">
        <v>2017</v>
      </c>
    </row>
    <row r="5" spans="1:6" s="3" customFormat="1" x14ac:dyDescent="0.3">
      <c r="A5" s="417" t="s">
        <v>14</v>
      </c>
      <c r="B5" s="98">
        <v>122185320</v>
      </c>
      <c r="C5" s="98">
        <v>128922570</v>
      </c>
      <c r="D5" s="98">
        <v>127995087</v>
      </c>
      <c r="E5" s="98">
        <v>118838556</v>
      </c>
      <c r="F5" s="209">
        <v>122945814</v>
      </c>
    </row>
    <row r="6" spans="1:6" s="157" customFormat="1" x14ac:dyDescent="0.3">
      <c r="A6" s="420" t="s">
        <v>175</v>
      </c>
      <c r="B6" s="214"/>
      <c r="C6" s="214">
        <f>C5/B5</f>
        <v>1.0551396026953157</v>
      </c>
      <c r="D6" s="214">
        <f>D5/C5</f>
        <v>0.99280589116397544</v>
      </c>
      <c r="E6" s="214">
        <f>E5/D5</f>
        <v>0.92846185572732176</v>
      </c>
      <c r="F6" s="215">
        <f>F5/E5</f>
        <v>1.0345616619575888</v>
      </c>
    </row>
    <row r="7" spans="1:6" s="3" customFormat="1" x14ac:dyDescent="0.3">
      <c r="A7" s="426" t="s">
        <v>176</v>
      </c>
      <c r="B7" s="98">
        <v>75500194</v>
      </c>
      <c r="C7" s="98">
        <v>92459528</v>
      </c>
      <c r="D7" s="98">
        <v>90138355</v>
      </c>
      <c r="E7" s="98">
        <v>85824942</v>
      </c>
      <c r="F7" s="209">
        <v>78916554</v>
      </c>
    </row>
    <row r="8" spans="1:6" s="157" customFormat="1" x14ac:dyDescent="0.3">
      <c r="A8" s="420" t="s">
        <v>175</v>
      </c>
      <c r="B8" s="214"/>
      <c r="C8" s="214">
        <f>C7/B7</f>
        <v>1.2246263632117289</v>
      </c>
      <c r="D8" s="214">
        <f>D7/C7</f>
        <v>0.97489525362924201</v>
      </c>
      <c r="E8" s="214">
        <f>E7/D7</f>
        <v>0.95214675262267656</v>
      </c>
      <c r="F8" s="215">
        <f>F7/E7</f>
        <v>0.91950605687563414</v>
      </c>
    </row>
    <row r="9" spans="1:6" s="3" customFormat="1" x14ac:dyDescent="0.3">
      <c r="A9" s="417" t="s">
        <v>177</v>
      </c>
      <c r="B9" s="98">
        <v>106853026</v>
      </c>
      <c r="C9" s="98">
        <v>111638223</v>
      </c>
      <c r="D9" s="98">
        <v>109179226</v>
      </c>
      <c r="E9" s="98">
        <v>102826891</v>
      </c>
      <c r="F9" s="209">
        <v>110471179</v>
      </c>
    </row>
    <row r="10" spans="1:6" s="157" customFormat="1" x14ac:dyDescent="0.3">
      <c r="A10" s="420" t="s">
        <v>175</v>
      </c>
      <c r="B10" s="214"/>
      <c r="C10" s="214">
        <f>C9/B9</f>
        <v>1.0447829806897559</v>
      </c>
      <c r="D10" s="214">
        <f>D9/C9</f>
        <v>0.97797352077164468</v>
      </c>
      <c r="E10" s="214">
        <f>E9/D9</f>
        <v>0.94181736551237316</v>
      </c>
      <c r="F10" s="215">
        <f>F9/E9</f>
        <v>1.074341331588057</v>
      </c>
    </row>
    <row r="11" spans="1:6" s="158" customFormat="1" x14ac:dyDescent="0.3">
      <c r="A11" s="427" t="s">
        <v>178</v>
      </c>
      <c r="B11" s="234">
        <f>B9/B5</f>
        <v>0.87451607116141283</v>
      </c>
      <c r="C11" s="234">
        <f>C9/C5</f>
        <v>0.86593234218027149</v>
      </c>
      <c r="D11" s="234">
        <f>D9/D5</f>
        <v>0.85299544348917078</v>
      </c>
      <c r="E11" s="234">
        <f>E9/E5</f>
        <v>0.86526540258533602</v>
      </c>
      <c r="F11" s="235">
        <f>F9/F5</f>
        <v>0.89853550442961805</v>
      </c>
    </row>
    <row r="12" spans="1:6" s="3" customFormat="1" x14ac:dyDescent="0.3">
      <c r="A12" s="417" t="s">
        <v>179</v>
      </c>
      <c r="B12" s="98">
        <v>16291964</v>
      </c>
      <c r="C12" s="98">
        <v>16866641</v>
      </c>
      <c r="D12" s="98">
        <v>18373591</v>
      </c>
      <c r="E12" s="98">
        <v>17099318</v>
      </c>
      <c r="F12" s="209">
        <v>13357337</v>
      </c>
    </row>
    <row r="13" spans="1:6" s="157" customFormat="1" x14ac:dyDescent="0.3">
      <c r="A13" s="420" t="s">
        <v>175</v>
      </c>
      <c r="B13" s="214"/>
      <c r="C13" s="214">
        <f>C12/B12</f>
        <v>1.0352736477934765</v>
      </c>
      <c r="D13" s="214">
        <f>D12/C12</f>
        <v>1.0893449976198581</v>
      </c>
      <c r="E13" s="214">
        <f>E12/D12</f>
        <v>0.93064649147790435</v>
      </c>
      <c r="F13" s="215">
        <f>F12/E12</f>
        <v>0.78116197382842989</v>
      </c>
    </row>
    <row r="14" spans="1:6" s="3" customFormat="1" x14ac:dyDescent="0.3">
      <c r="A14" s="417" t="s">
        <v>180</v>
      </c>
      <c r="B14" s="98">
        <v>14238415</v>
      </c>
      <c r="C14" s="98">
        <v>15960623</v>
      </c>
      <c r="D14" s="98">
        <v>16271767</v>
      </c>
      <c r="E14" s="98">
        <v>16472358</v>
      </c>
      <c r="F14" s="209">
        <v>11560178</v>
      </c>
    </row>
    <row r="15" spans="1:6" s="3" customFormat="1" x14ac:dyDescent="0.3">
      <c r="A15" s="417" t="s">
        <v>169</v>
      </c>
      <c r="B15" s="98">
        <f>SUM(B7:F7)/5</f>
        <v>84567914.599999994</v>
      </c>
      <c r="C15" s="98"/>
      <c r="D15" s="98"/>
      <c r="E15" s="98"/>
      <c r="F15" s="209"/>
    </row>
    <row r="16" spans="1:6" s="31" customFormat="1" x14ac:dyDescent="0.3">
      <c r="A16" s="236" t="s">
        <v>181</v>
      </c>
      <c r="B16" s="96">
        <v>2013</v>
      </c>
      <c r="C16" s="96">
        <v>2014</v>
      </c>
      <c r="D16" s="96">
        <v>2015</v>
      </c>
      <c r="E16" s="96">
        <v>2016</v>
      </c>
      <c r="F16" s="237">
        <v>2017</v>
      </c>
    </row>
    <row r="17" spans="1:6" s="3" customFormat="1" x14ac:dyDescent="0.3">
      <c r="A17" s="417" t="s">
        <v>14</v>
      </c>
      <c r="B17" s="98">
        <v>31484000</v>
      </c>
      <c r="C17" s="98">
        <v>35158000</v>
      </c>
      <c r="D17" s="98">
        <v>33246000</v>
      </c>
      <c r="E17" s="98">
        <v>34144000</v>
      </c>
      <c r="F17" s="209">
        <v>40655000</v>
      </c>
    </row>
    <row r="18" spans="1:6" s="157" customFormat="1" x14ac:dyDescent="0.3">
      <c r="A18" s="420" t="s">
        <v>175</v>
      </c>
      <c r="B18" s="214"/>
      <c r="C18" s="214">
        <f>C17/B17</f>
        <v>1.1166941938762547</v>
      </c>
      <c r="D18" s="214">
        <f>D17/C17</f>
        <v>0.9456169292906309</v>
      </c>
      <c r="E18" s="214">
        <f>E17/D17</f>
        <v>1.0270107682127174</v>
      </c>
      <c r="F18" s="215">
        <f>F17/E17</f>
        <v>1.1906923617619494</v>
      </c>
    </row>
    <row r="19" spans="1:6" s="3" customFormat="1" x14ac:dyDescent="0.3">
      <c r="A19" s="426" t="s">
        <v>12</v>
      </c>
      <c r="B19" s="98">
        <v>9102000</v>
      </c>
      <c r="C19" s="98">
        <v>10518000</v>
      </c>
      <c r="D19" s="98">
        <v>11197000</v>
      </c>
      <c r="E19" s="98">
        <v>11421000</v>
      </c>
      <c r="F19" s="209">
        <v>11670000</v>
      </c>
    </row>
    <row r="20" spans="1:6" s="157" customFormat="1" x14ac:dyDescent="0.3">
      <c r="A20" s="420" t="s">
        <v>175</v>
      </c>
      <c r="B20" s="214"/>
      <c r="C20" s="214">
        <f>C19/B19</f>
        <v>1.1555702043506921</v>
      </c>
      <c r="D20" s="214">
        <f>D19/C19</f>
        <v>1.0645559992393991</v>
      </c>
      <c r="E20" s="214">
        <f>E19/D19</f>
        <v>1.0200053585781905</v>
      </c>
      <c r="F20" s="215">
        <f>F19/E19</f>
        <v>1.0218019437877595</v>
      </c>
    </row>
    <row r="21" spans="1:6" s="3" customFormat="1" x14ac:dyDescent="0.3">
      <c r="A21" s="417" t="s">
        <v>177</v>
      </c>
      <c r="B21" s="98">
        <f>(22811+6564+1186+79)*1000</f>
        <v>30640000</v>
      </c>
      <c r="C21" s="98">
        <f>(26533+6633+1213+128)*1000</f>
        <v>34507000</v>
      </c>
      <c r="D21" s="98">
        <f>(25268+7237+1204+93)*1000</f>
        <v>33802000</v>
      </c>
      <c r="E21" s="98">
        <f>(24017+7398+1519+97)*1000</f>
        <v>33031000</v>
      </c>
      <c r="F21" s="209">
        <f>(29081+8237+1879+105)*1000</f>
        <v>39302000</v>
      </c>
    </row>
    <row r="22" spans="1:6" s="157" customFormat="1" x14ac:dyDescent="0.3">
      <c r="A22" s="420" t="s">
        <v>175</v>
      </c>
      <c r="B22" s="214"/>
      <c r="C22" s="214">
        <f>C21/B21</f>
        <v>1.1262075718015665</v>
      </c>
      <c r="D22" s="214">
        <f>D21/C21</f>
        <v>0.97956936273799522</v>
      </c>
      <c r="E22" s="214">
        <f>E21/D21</f>
        <v>0.97719069877522036</v>
      </c>
      <c r="F22" s="215">
        <f>F21/E21</f>
        <v>1.1898519572522781</v>
      </c>
    </row>
    <row r="23" spans="1:6" s="158" customFormat="1" x14ac:dyDescent="0.3">
      <c r="A23" s="427" t="s">
        <v>178</v>
      </c>
      <c r="B23" s="234">
        <f>B21/B17</f>
        <v>0.97319273281666874</v>
      </c>
      <c r="C23" s="234">
        <f>C21/C17</f>
        <v>0.98148358837248995</v>
      </c>
      <c r="D23" s="234">
        <f>D21/D17</f>
        <v>1.0167238163989654</v>
      </c>
      <c r="E23" s="234">
        <f>E21/E17</f>
        <v>0.96740276476101217</v>
      </c>
      <c r="F23" s="235">
        <f>F21/F17</f>
        <v>0.96671996064444721</v>
      </c>
    </row>
    <row r="24" spans="1:6" s="3" customFormat="1" x14ac:dyDescent="0.3">
      <c r="A24" s="417" t="s">
        <v>182</v>
      </c>
      <c r="B24" s="98">
        <v>990000</v>
      </c>
      <c r="C24" s="98">
        <v>736000</v>
      </c>
      <c r="D24" s="98">
        <v>89000</v>
      </c>
      <c r="E24" s="98">
        <v>1072000</v>
      </c>
      <c r="F24" s="209">
        <v>1025000</v>
      </c>
    </row>
    <row r="25" spans="1:6" s="157" customFormat="1" x14ac:dyDescent="0.3">
      <c r="A25" s="420" t="s">
        <v>175</v>
      </c>
      <c r="B25" s="214"/>
      <c r="C25" s="214">
        <f>C24/B24</f>
        <v>0.74343434343434345</v>
      </c>
      <c r="D25" s="214">
        <f>D24/C24</f>
        <v>0.12092391304347826</v>
      </c>
      <c r="E25" s="214">
        <f>E24/D24</f>
        <v>12.044943820224718</v>
      </c>
      <c r="F25" s="215">
        <f>F24/E24</f>
        <v>0.95615671641791045</v>
      </c>
    </row>
    <row r="26" spans="1:6" s="3" customFormat="1" x14ac:dyDescent="0.3">
      <c r="A26" s="417" t="s">
        <v>169</v>
      </c>
      <c r="B26" s="98">
        <f>SUM(B19:F19)/5</f>
        <v>10781600</v>
      </c>
      <c r="C26" s="98"/>
      <c r="D26" s="98"/>
      <c r="E26" s="98"/>
      <c r="F26" s="209"/>
    </row>
    <row r="27" spans="1:6" s="31" customFormat="1" x14ac:dyDescent="0.3">
      <c r="A27" s="236" t="s">
        <v>183</v>
      </c>
      <c r="B27" s="96">
        <v>2013</v>
      </c>
      <c r="C27" s="96">
        <v>2014</v>
      </c>
      <c r="D27" s="96">
        <v>2015</v>
      </c>
      <c r="E27" s="96">
        <v>2016</v>
      </c>
      <c r="F27" s="237">
        <v>2017</v>
      </c>
    </row>
    <row r="28" spans="1:6" s="3" customFormat="1" x14ac:dyDescent="0.3">
      <c r="A28" s="417" t="s">
        <v>14</v>
      </c>
      <c r="B28" s="98">
        <v>65869587</v>
      </c>
      <c r="C28" s="98">
        <v>68007206</v>
      </c>
      <c r="D28" s="98">
        <v>68116130</v>
      </c>
      <c r="E28" s="98">
        <v>72659574</v>
      </c>
      <c r="F28" s="209">
        <v>79508462</v>
      </c>
    </row>
    <row r="29" spans="1:6" s="157" customFormat="1" x14ac:dyDescent="0.3">
      <c r="A29" s="420" t="s">
        <v>175</v>
      </c>
      <c r="B29" s="214"/>
      <c r="C29" s="214">
        <f>C28/B28</f>
        <v>1.0324522909184173</v>
      </c>
      <c r="D29" s="214">
        <f>D28/C28</f>
        <v>1.0016016538012162</v>
      </c>
      <c r="E29" s="214">
        <f>E28/D28</f>
        <v>1.0667014406132587</v>
      </c>
      <c r="F29" s="215">
        <f>F28/E28</f>
        <v>1.0942599525838124</v>
      </c>
    </row>
    <row r="30" spans="1:6" s="3" customFormat="1" x14ac:dyDescent="0.3">
      <c r="A30" s="426" t="s">
        <v>12</v>
      </c>
      <c r="B30" s="98">
        <v>23815443</v>
      </c>
      <c r="C30" s="98">
        <v>24898691</v>
      </c>
      <c r="D30" s="98">
        <v>25448171</v>
      </c>
      <c r="E30" s="98">
        <v>26941232</v>
      </c>
      <c r="F30" s="209">
        <v>29813664</v>
      </c>
    </row>
    <row r="31" spans="1:6" s="157" customFormat="1" x14ac:dyDescent="0.3">
      <c r="A31" s="420" t="s">
        <v>175</v>
      </c>
      <c r="B31" s="214"/>
      <c r="C31" s="214">
        <f>C30/B30</f>
        <v>1.0454851081292085</v>
      </c>
      <c r="D31" s="214">
        <f>D30/C30</f>
        <v>1.022068630033603</v>
      </c>
      <c r="E31" s="214">
        <f>E30/D30</f>
        <v>1.058670660457288</v>
      </c>
      <c r="F31" s="215">
        <f>F30/E30</f>
        <v>1.1066184352668058</v>
      </c>
    </row>
    <row r="32" spans="1:6" s="3" customFormat="1" x14ac:dyDescent="0.3">
      <c r="A32" s="417" t="s">
        <v>177</v>
      </c>
      <c r="B32" s="98">
        <f>52639585+9175984+2509426+254591</f>
        <v>64579586</v>
      </c>
      <c r="C32" s="98">
        <f>52605568+9364094+2255999+285025</f>
        <v>64510686</v>
      </c>
      <c r="D32" s="98">
        <f>55431948+9134321+2430202+294576</f>
        <v>67291047</v>
      </c>
      <c r="E32" s="98">
        <f>59968496+9376812+2403348+289926</f>
        <v>72038582</v>
      </c>
      <c r="F32" s="209">
        <f>67099481+10035906+2407055+317524</f>
        <v>79859966</v>
      </c>
    </row>
    <row r="33" spans="1:6" s="157" customFormat="1" x14ac:dyDescent="0.3">
      <c r="A33" s="420" t="s">
        <v>175</v>
      </c>
      <c r="B33" s="214"/>
      <c r="C33" s="214">
        <f>C32/B32</f>
        <v>0.99893309938530728</v>
      </c>
      <c r="D33" s="214">
        <f>D32/C32</f>
        <v>1.0430992316528769</v>
      </c>
      <c r="E33" s="214">
        <f>E32/D32</f>
        <v>1.0705522534075</v>
      </c>
      <c r="F33" s="215">
        <f>F32/E32</f>
        <v>1.1085721537383955</v>
      </c>
    </row>
    <row r="34" spans="1:6" x14ac:dyDescent="0.3">
      <c r="A34" s="427" t="s">
        <v>178</v>
      </c>
      <c r="B34" s="234">
        <f>B32/B28</f>
        <v>0.98041583287898859</v>
      </c>
      <c r="C34" s="234">
        <f>C32/C28</f>
        <v>0.94858603660323881</v>
      </c>
      <c r="D34" s="234">
        <f>D32/D28</f>
        <v>0.98788711278811636</v>
      </c>
      <c r="E34" s="234">
        <f>E32/E28</f>
        <v>0.99145340433732798</v>
      </c>
      <c r="F34" s="235">
        <f>F32/F28</f>
        <v>1.0044209633938084</v>
      </c>
    </row>
    <row r="35" spans="1:6" s="3" customFormat="1" x14ac:dyDescent="0.3">
      <c r="A35" s="417" t="s">
        <v>179</v>
      </c>
      <c r="B35" s="98">
        <v>1285286</v>
      </c>
      <c r="C35" s="98">
        <v>1614831</v>
      </c>
      <c r="D35" s="98">
        <v>1278828</v>
      </c>
      <c r="E35" s="98">
        <v>1016561</v>
      </c>
      <c r="F35" s="209">
        <v>506580</v>
      </c>
    </row>
    <row r="36" spans="1:6" s="157" customFormat="1" x14ac:dyDescent="0.3">
      <c r="A36" s="420" t="s">
        <v>175</v>
      </c>
      <c r="B36" s="214"/>
      <c r="C36" s="214">
        <f>C35/B35</f>
        <v>1.2563981868626906</v>
      </c>
      <c r="D36" s="214">
        <f>D35/C35</f>
        <v>0.79192683321041024</v>
      </c>
      <c r="E36" s="214">
        <f>E35/D35</f>
        <v>0.79491612632816921</v>
      </c>
      <c r="F36" s="215">
        <f>F35/E35</f>
        <v>0.4983272031880035</v>
      </c>
    </row>
    <row r="37" spans="1:6" s="3" customFormat="1" x14ac:dyDescent="0.3">
      <c r="A37" s="417" t="s">
        <v>169</v>
      </c>
      <c r="B37" s="98">
        <f>SUM(B30:F30)/5</f>
        <v>26183440.199999999</v>
      </c>
      <c r="C37" s="98"/>
      <c r="D37" s="98"/>
      <c r="E37" s="98"/>
      <c r="F37" s="209"/>
    </row>
    <row r="38" spans="1:6" s="12" customFormat="1" x14ac:dyDescent="0.3">
      <c r="A38" s="236" t="s">
        <v>130</v>
      </c>
      <c r="B38" s="96">
        <v>2013</v>
      </c>
      <c r="C38" s="96">
        <v>2014</v>
      </c>
      <c r="D38" s="96">
        <v>2015</v>
      </c>
      <c r="E38" s="96">
        <v>2016</v>
      </c>
      <c r="F38" s="237">
        <v>2017</v>
      </c>
    </row>
    <row r="39" spans="1:6" s="3" customFormat="1" x14ac:dyDescent="0.3">
      <c r="A39" s="417" t="s">
        <v>14</v>
      </c>
      <c r="B39" s="98">
        <f>'PRIHODKI IN STROŠKI'!B2</f>
        <v>83764805</v>
      </c>
      <c r="C39" s="98">
        <f>'PRIHODKI IN STROŠKI'!C2</f>
        <v>92337092</v>
      </c>
      <c r="D39" s="98">
        <f>'PRIHODKI IN STROŠKI'!D2</f>
        <v>105932291</v>
      </c>
      <c r="E39" s="98">
        <f>'PRIHODKI IN STROŠKI'!E2</f>
        <v>120997840</v>
      </c>
      <c r="F39" s="209">
        <f>'PRIHODKI IN STROŠKI'!F2</f>
        <v>139357926</v>
      </c>
    </row>
    <row r="40" spans="1:6" s="157" customFormat="1" x14ac:dyDescent="0.3">
      <c r="A40" s="428" t="s">
        <v>184</v>
      </c>
      <c r="B40" s="238"/>
      <c r="C40" s="238">
        <f>'PRIHODKI IN STROŠKI'!C3</f>
        <v>1.1023375748322939</v>
      </c>
      <c r="D40" s="238">
        <f>'PRIHODKI IN STROŠKI'!D3</f>
        <v>1.1472344288252005</v>
      </c>
      <c r="E40" s="238">
        <f>'PRIHODKI IN STROŠKI'!E3</f>
        <v>1.1422186649394754</v>
      </c>
      <c r="F40" s="239">
        <f>'PRIHODKI IN STROŠKI'!F3</f>
        <v>1.1517389566623668</v>
      </c>
    </row>
    <row r="41" spans="1:6" s="157" customFormat="1" x14ac:dyDescent="0.3">
      <c r="A41" s="531" t="s">
        <v>318</v>
      </c>
      <c r="B41" s="532">
        <f>'FCF - KONČNI_IZRAČUN'!B5</f>
        <v>2885192</v>
      </c>
      <c r="C41" s="532">
        <f>'FCF - KONČNI_IZRAČUN'!C5</f>
        <v>6276734</v>
      </c>
      <c r="D41" s="532">
        <f>'FCF - KONČNI_IZRAČUN'!D5</f>
        <v>8390559</v>
      </c>
      <c r="E41" s="532">
        <f>'FCF - KONČNI_IZRAČUN'!E5</f>
        <v>10217587</v>
      </c>
      <c r="F41" s="533">
        <f>'FCF - KONČNI_IZRAČUN'!F5</f>
        <v>10844757</v>
      </c>
    </row>
    <row r="42" spans="1:6" x14ac:dyDescent="0.3">
      <c r="A42" s="422" t="s">
        <v>185</v>
      </c>
      <c r="B42" s="240">
        <f>'PRIHODKI IN STROŠKI'!B38</f>
        <v>0.96991077863314534</v>
      </c>
      <c r="C42" s="240">
        <f>'PRIHODKI IN STROŠKI'!C38</f>
        <v>0.94702056854506556</v>
      </c>
      <c r="D42" s="240">
        <f>'PRIHODKI IN STROŠKI'!D38</f>
        <v>0.91556833022636808</v>
      </c>
      <c r="E42" s="240">
        <f>'PRIHODKI IN STROŠKI'!E38</f>
        <v>0.92531437206416345</v>
      </c>
      <c r="F42" s="241">
        <f>'PRIHODKI IN STROŠKI'!F38</f>
        <v>0.92499832915959945</v>
      </c>
    </row>
    <row r="43" spans="1:6" s="157" customFormat="1" x14ac:dyDescent="0.3">
      <c r="A43" s="420" t="s">
        <v>186</v>
      </c>
      <c r="B43" s="214"/>
      <c r="C43" s="214">
        <f>'PRIHODKI IN STROŠKI'!C24</f>
        <v>1.0792093550449853</v>
      </c>
      <c r="D43" s="214">
        <f>'PRIHODKI IN STROŠKI'!D24</f>
        <v>1.1270620497445516</v>
      </c>
      <c r="E43" s="214">
        <f>'PRIHODKI IN STROŠKI'!E24</f>
        <v>1.1522100155414798</v>
      </c>
      <c r="F43" s="215">
        <f>'PRIHODKI IN STROŠKI'!F24</f>
        <v>1.1476407660461778</v>
      </c>
    </row>
    <row r="44" spans="1:6" s="3" customFormat="1" x14ac:dyDescent="0.3">
      <c r="A44" s="417" t="s">
        <v>12</v>
      </c>
      <c r="B44" s="98">
        <f>AKTIVA!B17</f>
        <v>54638312</v>
      </c>
      <c r="C44" s="98">
        <f>AKTIVA!C17</f>
        <v>58523283</v>
      </c>
      <c r="D44" s="98">
        <f>AKTIVA!D17</f>
        <v>69282719</v>
      </c>
      <c r="E44" s="98">
        <f>AKTIVA!E17</f>
        <v>91159908</v>
      </c>
      <c r="F44" s="209">
        <f>AKTIVA!F17</f>
        <v>106555791</v>
      </c>
    </row>
    <row r="45" spans="1:6" s="3" customFormat="1" x14ac:dyDescent="0.3">
      <c r="A45" s="417" t="s">
        <v>169</v>
      </c>
      <c r="B45" s="98">
        <f>SUM(B44:F44)/5</f>
        <v>76032002.599999994</v>
      </c>
      <c r="C45" s="98"/>
      <c r="D45" s="98"/>
      <c r="E45" s="98"/>
      <c r="F45" s="209"/>
    </row>
    <row r="46" spans="1:6" s="157" customFormat="1" ht="15" thickBot="1" x14ac:dyDescent="0.35">
      <c r="A46" s="421" t="s">
        <v>187</v>
      </c>
      <c r="B46" s="216"/>
      <c r="C46" s="216">
        <f>AKTIVA!C18</f>
        <v>1.0711034228143799</v>
      </c>
      <c r="D46" s="216">
        <f>AKTIVA!D18</f>
        <v>1.1838488110791734</v>
      </c>
      <c r="E46" s="216">
        <f>AKTIVA!E18</f>
        <v>1.3157668941947847</v>
      </c>
      <c r="F46" s="217">
        <f>AKTIVA!F18</f>
        <v>1.1688887509627588</v>
      </c>
    </row>
    <row r="49" spans="1:6" ht="15" thickBot="1" x14ac:dyDescent="0.35"/>
    <row r="50" spans="1:6" s="31" customFormat="1" x14ac:dyDescent="0.3">
      <c r="A50" s="225" t="s">
        <v>188</v>
      </c>
      <c r="B50" s="226">
        <v>2013</v>
      </c>
      <c r="C50" s="226">
        <v>2014</v>
      </c>
      <c r="D50" s="226">
        <v>2015</v>
      </c>
      <c r="E50" s="226">
        <v>2016</v>
      </c>
      <c r="F50" s="227">
        <v>2017</v>
      </c>
    </row>
    <row r="51" spans="1:6" s="223" customFormat="1" x14ac:dyDescent="0.3">
      <c r="A51" s="228" t="s">
        <v>189</v>
      </c>
      <c r="B51" s="229">
        <f>B35/$B37</f>
        <v>4.908774363423795E-2</v>
      </c>
      <c r="C51" s="229">
        <f>C35/$B37</f>
        <v>6.1673752099237138E-2</v>
      </c>
      <c r="D51" s="229">
        <f>D35/$B37</f>
        <v>4.8841099192152758E-2</v>
      </c>
      <c r="E51" s="229">
        <f>E35/$B37</f>
        <v>3.8824577375435945E-2</v>
      </c>
      <c r="F51" s="230">
        <f>F35/$B37</f>
        <v>1.9347343058457232E-2</v>
      </c>
    </row>
    <row r="52" spans="1:6" s="223" customFormat="1" x14ac:dyDescent="0.3">
      <c r="A52" s="228" t="s">
        <v>190</v>
      </c>
      <c r="B52" s="229">
        <f>B24/$B26</f>
        <v>9.182310603249981E-2</v>
      </c>
      <c r="C52" s="229">
        <f>C24/$B26</f>
        <v>6.8264450545373598E-2</v>
      </c>
      <c r="D52" s="229">
        <f>D24/$B26</f>
        <v>8.2548044817095795E-3</v>
      </c>
      <c r="E52" s="229">
        <f>E24/$B26</f>
        <v>9.9428656229131107E-2</v>
      </c>
      <c r="F52" s="230">
        <f>F24/$B26</f>
        <v>9.5069377457891222E-2</v>
      </c>
    </row>
    <row r="53" spans="1:6" s="223" customFormat="1" x14ac:dyDescent="0.3">
      <c r="A53" s="228" t="s">
        <v>191</v>
      </c>
      <c r="B53" s="229">
        <f>B14/$B15</f>
        <v>0.16836663251478595</v>
      </c>
      <c r="C53" s="229">
        <f t="shared" ref="C53:F53" si="0">C14/$B15</f>
        <v>0.18873142462472406</v>
      </c>
      <c r="D53" s="229">
        <f t="shared" si="0"/>
        <v>0.19241064506514391</v>
      </c>
      <c r="E53" s="229">
        <f t="shared" si="0"/>
        <v>0.19478259666107459</v>
      </c>
      <c r="F53" s="230">
        <f t="shared" si="0"/>
        <v>0.13669697372435857</v>
      </c>
    </row>
    <row r="54" spans="1:6" s="223" customFormat="1" ht="15" thickBot="1" x14ac:dyDescent="0.35">
      <c r="A54" s="231" t="s">
        <v>192</v>
      </c>
      <c r="B54" s="232">
        <f>B41/$B$45</f>
        <v>3.7947073618181934E-2</v>
      </c>
      <c r="C54" s="232">
        <f t="shared" ref="C54:F54" si="1">C41/$B$45</f>
        <v>8.2553842926136475E-2</v>
      </c>
      <c r="D54" s="232">
        <f t="shared" si="1"/>
        <v>0.11035562280454785</v>
      </c>
      <c r="E54" s="232">
        <f t="shared" si="1"/>
        <v>0.13438534630942367</v>
      </c>
      <c r="F54" s="233">
        <f t="shared" si="1"/>
        <v>0.14263410970579907</v>
      </c>
    </row>
    <row r="55" spans="1:6" ht="15" thickBot="1" x14ac:dyDescent="0.35">
      <c r="B55" s="534">
        <f>AVERAGE(B54:F54)</f>
        <v>0.1015751990728178</v>
      </c>
    </row>
    <row r="59" spans="1:6" ht="15" thickBot="1" x14ac:dyDescent="0.35"/>
    <row r="60" spans="1:6" x14ac:dyDescent="0.3">
      <c r="A60" s="434" t="s">
        <v>351</v>
      </c>
      <c r="B60" s="477" t="s">
        <v>352</v>
      </c>
    </row>
    <row r="61" spans="1:6" x14ac:dyDescent="0.3">
      <c r="A61" s="55" t="s">
        <v>353</v>
      </c>
      <c r="B61" s="601" t="s">
        <v>354</v>
      </c>
      <c r="C61" s="229"/>
    </row>
    <row r="62" spans="1:6" x14ac:dyDescent="0.3">
      <c r="A62" s="55">
        <v>2011</v>
      </c>
      <c r="B62" s="538">
        <v>333923</v>
      </c>
    </row>
    <row r="63" spans="1:6" ht="15" thickBot="1" x14ac:dyDescent="0.35">
      <c r="A63" s="91">
        <v>2016</v>
      </c>
      <c r="B63" s="558">
        <v>12230</v>
      </c>
    </row>
  </sheetData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C1896-62AA-4E45-8BD7-018962592130}">
  <dimension ref="A1:F103"/>
  <sheetViews>
    <sheetView topLeftCell="A94" workbookViewId="0">
      <selection activeCell="C96" sqref="C96"/>
    </sheetView>
  </sheetViews>
  <sheetFormatPr defaultRowHeight="14.4" x14ac:dyDescent="0.3"/>
  <cols>
    <col min="1" max="1" width="43.77734375" bestFit="1" customWidth="1"/>
    <col min="2" max="2" width="22.21875" customWidth="1"/>
    <col min="3" max="6" width="15.44140625" bestFit="1" customWidth="1"/>
  </cols>
  <sheetData>
    <row r="1" spans="1:6" ht="15" thickBot="1" x14ac:dyDescent="0.35"/>
    <row r="2" spans="1:6" s="6" customFormat="1" x14ac:dyDescent="0.3">
      <c r="A2" s="424" t="s">
        <v>134</v>
      </c>
      <c r="B2" s="207">
        <v>2013</v>
      </c>
      <c r="C2" s="207">
        <v>2014</v>
      </c>
      <c r="D2" s="207">
        <v>2015</v>
      </c>
      <c r="E2" s="207">
        <v>2016</v>
      </c>
      <c r="F2" s="208">
        <v>2017</v>
      </c>
    </row>
    <row r="3" spans="1:6" s="3" customFormat="1" x14ac:dyDescent="0.3">
      <c r="A3" s="417" t="s">
        <v>135</v>
      </c>
      <c r="B3" s="98">
        <f>AKTIVA!B3</f>
        <v>240390</v>
      </c>
      <c r="C3" s="98">
        <f>AKTIVA!C3</f>
        <v>211090</v>
      </c>
      <c r="D3" s="98">
        <f>AKTIVA!D3</f>
        <v>443644</v>
      </c>
      <c r="E3" s="98">
        <f>AKTIVA!E3</f>
        <v>244397</v>
      </c>
      <c r="F3" s="209">
        <f>AKTIVA!F3</f>
        <v>164330</v>
      </c>
    </row>
    <row r="4" spans="1:6" s="3" customFormat="1" x14ac:dyDescent="0.3">
      <c r="A4" s="417" t="s">
        <v>136</v>
      </c>
      <c r="B4" s="98">
        <f>AKTIVA!B2</f>
        <v>18476071</v>
      </c>
      <c r="C4" s="98">
        <f>AKTIVA!C2</f>
        <v>19178194</v>
      </c>
      <c r="D4" s="98">
        <f>AKTIVA!D2</f>
        <v>24573144</v>
      </c>
      <c r="E4" s="98">
        <f>AKTIVA!E2</f>
        <v>41740919</v>
      </c>
      <c r="F4" s="209">
        <f>AKTIVA!F2</f>
        <v>51032572</v>
      </c>
    </row>
    <row r="5" spans="1:6" s="3" customFormat="1" x14ac:dyDescent="0.3">
      <c r="A5" s="417" t="s">
        <v>137</v>
      </c>
      <c r="B5" s="98">
        <f>AKTIVA!B5</f>
        <v>2203353</v>
      </c>
      <c r="C5" s="98">
        <f>AKTIVA!C5</f>
        <v>2211131</v>
      </c>
      <c r="D5" s="98">
        <f>AKTIVA!D5</f>
        <v>2200624</v>
      </c>
      <c r="E5" s="98">
        <f>AKTIVA!E5</f>
        <v>2200931</v>
      </c>
      <c r="F5" s="209">
        <f>AKTIVA!F5</f>
        <v>2202223</v>
      </c>
    </row>
    <row r="6" spans="1:6" s="3" customFormat="1" x14ac:dyDescent="0.3">
      <c r="A6" s="417" t="s">
        <v>138</v>
      </c>
      <c r="B6" s="98">
        <f>AKTIVA!B4</f>
        <v>245074</v>
      </c>
      <c r="C6" s="98">
        <f>AKTIVA!C4</f>
        <v>545058</v>
      </c>
      <c r="D6" s="98">
        <f>AKTIVA!D4</f>
        <v>305011</v>
      </c>
      <c r="E6" s="98">
        <f>AKTIVA!E4</f>
        <v>304768</v>
      </c>
      <c r="F6" s="209">
        <f>AKTIVA!F4</f>
        <v>105298</v>
      </c>
    </row>
    <row r="7" spans="1:6" s="3" customFormat="1" ht="15" thickBot="1" x14ac:dyDescent="0.35">
      <c r="A7" s="418" t="s">
        <v>139</v>
      </c>
      <c r="B7" s="210">
        <v>781060</v>
      </c>
      <c r="C7" s="210">
        <v>608142</v>
      </c>
      <c r="D7" s="210">
        <v>333989</v>
      </c>
      <c r="E7" s="210">
        <v>411787</v>
      </c>
      <c r="F7" s="211">
        <v>455819</v>
      </c>
    </row>
    <row r="9" spans="1:6" ht="15" thickBot="1" x14ac:dyDescent="0.35"/>
    <row r="10" spans="1:6" s="6" customFormat="1" x14ac:dyDescent="0.3">
      <c r="A10" s="424" t="s">
        <v>140</v>
      </c>
      <c r="B10" s="207">
        <v>2013</v>
      </c>
      <c r="C10" s="207">
        <v>2014</v>
      </c>
      <c r="D10" s="207">
        <v>2015</v>
      </c>
      <c r="E10" s="207">
        <v>2016</v>
      </c>
      <c r="F10" s="208">
        <v>2017</v>
      </c>
    </row>
    <row r="11" spans="1:6" s="3" customFormat="1" x14ac:dyDescent="0.3">
      <c r="A11" s="417" t="s">
        <v>4</v>
      </c>
      <c r="B11" s="98">
        <f>AKTIVA!B7</f>
        <v>12903579</v>
      </c>
      <c r="C11" s="98">
        <f>AKTIVA!C7</f>
        <v>14302025</v>
      </c>
      <c r="D11" s="98">
        <f>AKTIVA!D7</f>
        <v>14059978</v>
      </c>
      <c r="E11" s="98">
        <f>AKTIVA!E7</f>
        <v>18341310</v>
      </c>
      <c r="F11" s="209">
        <f>AKTIVA!F7</f>
        <v>20723229</v>
      </c>
    </row>
    <row r="12" spans="1:6" s="3" customFormat="1" x14ac:dyDescent="0.3">
      <c r="A12" s="417" t="s">
        <v>137</v>
      </c>
      <c r="B12" s="98">
        <f>AKTIVA!B8</f>
        <v>1440000</v>
      </c>
      <c r="C12" s="98">
        <f>AKTIVA!C8</f>
        <v>750000</v>
      </c>
      <c r="D12" s="98">
        <f>AKTIVA!D8</f>
        <v>0</v>
      </c>
      <c r="E12" s="98">
        <f>AKTIVA!E8</f>
        <v>0</v>
      </c>
      <c r="F12" s="209">
        <f>AKTIVA!F8</f>
        <v>400000</v>
      </c>
    </row>
    <row r="13" spans="1:6" s="3" customFormat="1" x14ac:dyDescent="0.3">
      <c r="A13" s="417" t="s">
        <v>141</v>
      </c>
      <c r="B13" s="98">
        <f>AKTIVA!B9</f>
        <v>15817189</v>
      </c>
      <c r="C13" s="98">
        <f>AKTIVA!C9</f>
        <v>18326282</v>
      </c>
      <c r="D13" s="98">
        <f>AKTIVA!D9</f>
        <v>22009373</v>
      </c>
      <c r="E13" s="98">
        <f>AKTIVA!E9</f>
        <v>21242290</v>
      </c>
      <c r="F13" s="209">
        <f>AKTIVA!F9</f>
        <v>25008015</v>
      </c>
    </row>
    <row r="14" spans="1:6" s="3" customFormat="1" x14ac:dyDescent="0.3">
      <c r="A14" s="417" t="s">
        <v>142</v>
      </c>
      <c r="B14" s="98">
        <f>508647+295624</f>
        <v>804271</v>
      </c>
      <c r="C14" s="98">
        <f>522307+388906</f>
        <v>911213</v>
      </c>
      <c r="D14" s="98">
        <f>1859207+1772747</f>
        <v>3631954</v>
      </c>
      <c r="E14" s="98">
        <v>3281088</v>
      </c>
      <c r="F14" s="209">
        <v>2842084</v>
      </c>
    </row>
    <row r="15" spans="1:6" s="3" customFormat="1" ht="15" thickBot="1" x14ac:dyDescent="0.35">
      <c r="A15" s="418" t="s">
        <v>143</v>
      </c>
      <c r="B15" s="210">
        <f>AKTIVA!B10</f>
        <v>2022949</v>
      </c>
      <c r="C15" s="210">
        <f>AKTIVA!C10</f>
        <v>1869054</v>
      </c>
      <c r="D15" s="210">
        <f>AKTIVA!D10</f>
        <v>3497749</v>
      </c>
      <c r="E15" s="210">
        <f>AKTIVA!E10</f>
        <v>3392418</v>
      </c>
      <c r="F15" s="211">
        <f>AKTIVA!F10</f>
        <v>3296221</v>
      </c>
    </row>
    <row r="19" spans="1:6" ht="15" thickBot="1" x14ac:dyDescent="0.35"/>
    <row r="20" spans="1:6" s="6" customFormat="1" x14ac:dyDescent="0.3">
      <c r="A20" s="424" t="s">
        <v>144</v>
      </c>
      <c r="B20" s="207">
        <v>2013</v>
      </c>
      <c r="C20" s="207">
        <v>2014</v>
      </c>
      <c r="D20" s="207">
        <v>2015</v>
      </c>
      <c r="E20" s="207">
        <v>2016</v>
      </c>
      <c r="F20" s="208">
        <v>2017</v>
      </c>
    </row>
    <row r="21" spans="1:6" s="3" customFormat="1" x14ac:dyDescent="0.3">
      <c r="A21" s="417" t="s">
        <v>145</v>
      </c>
      <c r="B21" s="98">
        <f>AKTIVA!B11</f>
        <v>32692364</v>
      </c>
      <c r="C21" s="98">
        <f>AKTIVA!C11</f>
        <v>35769668</v>
      </c>
      <c r="D21" s="98">
        <f>AKTIVA!D11</f>
        <v>41426307</v>
      </c>
      <c r="E21" s="98">
        <f>AKTIVA!E11</f>
        <v>46257106</v>
      </c>
      <c r="F21" s="209">
        <f>AKTIVA!F11</f>
        <v>52269549</v>
      </c>
    </row>
    <row r="22" spans="1:6" s="3" customFormat="1" x14ac:dyDescent="0.3">
      <c r="A22" s="417" t="s">
        <v>146</v>
      </c>
      <c r="B22" s="98">
        <f>PASIVA!B8</f>
        <v>21487611</v>
      </c>
      <c r="C22" s="98">
        <f>PASIVA!C8</f>
        <v>22361944</v>
      </c>
      <c r="D22" s="98">
        <f>PASIVA!D8</f>
        <v>26720323</v>
      </c>
      <c r="E22" s="98">
        <f>PASIVA!E8</f>
        <v>33763356</v>
      </c>
      <c r="F22" s="209">
        <f>PASIVA!F8</f>
        <v>41434412</v>
      </c>
    </row>
    <row r="23" spans="1:6" s="4" customFormat="1" ht="15" thickBot="1" x14ac:dyDescent="0.35">
      <c r="A23" s="419" t="s">
        <v>147</v>
      </c>
      <c r="B23" s="212">
        <f>B21-B22</f>
        <v>11204753</v>
      </c>
      <c r="C23" s="212">
        <f>C21-C22</f>
        <v>13407724</v>
      </c>
      <c r="D23" s="212">
        <f>D21-D22</f>
        <v>14705984</v>
      </c>
      <c r="E23" s="212">
        <f>E21-E22</f>
        <v>12493750</v>
      </c>
      <c r="F23" s="213">
        <f>F21-F22</f>
        <v>10835137</v>
      </c>
    </row>
    <row r="26" spans="1:6" ht="15" thickBot="1" x14ac:dyDescent="0.35"/>
    <row r="27" spans="1:6" s="6" customFormat="1" x14ac:dyDescent="0.3">
      <c r="A27" s="424" t="s">
        <v>148</v>
      </c>
      <c r="B27" s="207">
        <v>2013</v>
      </c>
      <c r="C27" s="207">
        <v>2014</v>
      </c>
      <c r="D27" s="207">
        <v>2015</v>
      </c>
      <c r="E27" s="207">
        <v>2016</v>
      </c>
      <c r="F27" s="208">
        <v>2017</v>
      </c>
    </row>
    <row r="28" spans="1:6" s="3" customFormat="1" x14ac:dyDescent="0.3">
      <c r="A28" s="417" t="s">
        <v>149</v>
      </c>
      <c r="B28" s="98">
        <f>'FCF - KONČNI_IZRAČUN'!B3</f>
        <v>3011623</v>
      </c>
      <c r="C28" s="98">
        <f>'FCF - KONČNI_IZRAČUN'!C3</f>
        <v>6487750</v>
      </c>
      <c r="D28" s="98">
        <f>'FCF - KONČNI_IZRAČUN'!D3</f>
        <v>8547168</v>
      </c>
      <c r="E28" s="98">
        <f>'FCF - KONČNI_IZRAČUN'!E3</f>
        <v>10861125</v>
      </c>
      <c r="F28" s="209">
        <f>'FCF - KONČNI_IZRAČUN'!F3</f>
        <v>11548315</v>
      </c>
    </row>
    <row r="29" spans="1:6" s="3" customFormat="1" x14ac:dyDescent="0.3">
      <c r="A29" s="417" t="s">
        <v>150</v>
      </c>
      <c r="B29" s="98">
        <f>B28+AMORTIZACIJA!B89</f>
        <v>8575676</v>
      </c>
      <c r="C29" s="98">
        <f>C28+AMORTIZACIJA!C89</f>
        <v>11734201</v>
      </c>
      <c r="D29" s="98">
        <f>D28+AMORTIZACIJA!D89</f>
        <v>13977505</v>
      </c>
      <c r="E29" s="98">
        <f>E28+AMORTIZACIJA!E89</f>
        <v>17080699</v>
      </c>
      <c r="F29" s="209">
        <f>F28+AMORTIZACIJA!F89</f>
        <v>18953885</v>
      </c>
    </row>
    <row r="30" spans="1:6" s="157" customFormat="1" x14ac:dyDescent="0.3">
      <c r="A30" s="420" t="s">
        <v>151</v>
      </c>
      <c r="B30" s="214"/>
      <c r="C30" s="214">
        <f t="shared" ref="C30:F31" si="0">C28/B28</f>
        <v>2.1542371007260868</v>
      </c>
      <c r="D30" s="214">
        <f t="shared" si="0"/>
        <v>1.3174317752687759</v>
      </c>
      <c r="E30" s="214">
        <f t="shared" si="0"/>
        <v>1.2707279182999562</v>
      </c>
      <c r="F30" s="215">
        <f t="shared" si="0"/>
        <v>1.0632706096283764</v>
      </c>
    </row>
    <row r="31" spans="1:6" s="157" customFormat="1" ht="15" thickBot="1" x14ac:dyDescent="0.35">
      <c r="A31" s="421" t="s">
        <v>152</v>
      </c>
      <c r="B31" s="216"/>
      <c r="C31" s="216">
        <f t="shared" si="0"/>
        <v>1.368312072424378</v>
      </c>
      <c r="D31" s="216">
        <f t="shared" si="0"/>
        <v>1.1911765445299598</v>
      </c>
      <c r="E31" s="216">
        <f t="shared" si="0"/>
        <v>1.2220134423132025</v>
      </c>
      <c r="F31" s="217">
        <f t="shared" si="0"/>
        <v>1.1096668233542433</v>
      </c>
    </row>
    <row r="32" spans="1:6" s="157" customFormat="1" ht="15" thickBot="1" x14ac:dyDescent="0.35">
      <c r="A32" s="543" t="s">
        <v>330</v>
      </c>
      <c r="B32" s="544">
        <f>(PASIVA!B3+PASIVA!B6)/'KAZALNIKI - PODJETJE X'!B29</f>
        <v>1.5654143183581095</v>
      </c>
      <c r="C32" s="544">
        <f>(PASIVA!C3+PASIVA!C6)/'KAZALNIKI - PODJETJE X'!C29</f>
        <v>1.015625861530751</v>
      </c>
      <c r="D32" s="544">
        <f>(PASIVA!D3+PASIVA!D6)/'KAZALNIKI - PODJETJE X'!D29</f>
        <v>0.65281307357786678</v>
      </c>
      <c r="E32" s="544">
        <f>(PASIVA!E3+PASIVA!E6)/'KAZALNIKI - PODJETJE X'!E29</f>
        <v>1.0233419604197698</v>
      </c>
      <c r="F32" s="545">
        <f>(PASIVA!F3+PASIVA!F6)/'KAZALNIKI - PODJETJE X'!F29</f>
        <v>1.0543419990149776</v>
      </c>
    </row>
    <row r="33" spans="1:6" x14ac:dyDescent="0.3">
      <c r="C33" s="452"/>
    </row>
    <row r="34" spans="1:6" ht="15" thickBot="1" x14ac:dyDescent="0.35"/>
    <row r="35" spans="1:6" s="6" customFormat="1" x14ac:dyDescent="0.3">
      <c r="A35" s="225" t="s">
        <v>153</v>
      </c>
      <c r="B35" s="207">
        <v>2013</v>
      </c>
      <c r="C35" s="207">
        <v>2014</v>
      </c>
      <c r="D35" s="207">
        <v>2015</v>
      </c>
      <c r="E35" s="207">
        <v>2016</v>
      </c>
      <c r="F35" s="208">
        <v>2017</v>
      </c>
    </row>
    <row r="36" spans="1:6" s="6" customFormat="1" x14ac:dyDescent="0.3">
      <c r="A36" s="425" t="s">
        <v>154</v>
      </c>
      <c r="B36" s="218"/>
      <c r="C36" s="218"/>
      <c r="D36" s="218"/>
      <c r="E36" s="218"/>
      <c r="F36" s="219"/>
    </row>
    <row r="37" spans="1:6" s="157" customFormat="1" x14ac:dyDescent="0.3">
      <c r="A37" s="420" t="s">
        <v>155</v>
      </c>
      <c r="B37" s="214">
        <f>B21/B22</f>
        <v>1.5214517798186127</v>
      </c>
      <c r="C37" s="214">
        <f>C21/C22</f>
        <v>1.5995777469078718</v>
      </c>
      <c r="D37" s="214">
        <f>D21/D22</f>
        <v>1.5503669996803557</v>
      </c>
      <c r="E37" s="214">
        <f>E21/E22</f>
        <v>1.3700387485177719</v>
      </c>
      <c r="F37" s="215">
        <f>F21/F22</f>
        <v>1.261500923435332</v>
      </c>
    </row>
    <row r="38" spans="1:6" x14ac:dyDescent="0.3">
      <c r="A38" s="422"/>
      <c r="B38" s="135"/>
      <c r="C38" s="135"/>
      <c r="D38" s="135"/>
      <c r="E38" s="135"/>
      <c r="F38" s="220"/>
    </row>
    <row r="39" spans="1:6" x14ac:dyDescent="0.3">
      <c r="A39" s="425" t="s">
        <v>156</v>
      </c>
      <c r="B39" s="135"/>
      <c r="C39" s="135"/>
      <c r="D39" s="135"/>
      <c r="E39" s="135"/>
      <c r="F39" s="220"/>
    </row>
    <row r="40" spans="1:6" s="157" customFormat="1" x14ac:dyDescent="0.3">
      <c r="A40" s="420" t="s">
        <v>157</v>
      </c>
      <c r="B40" s="214">
        <f>(B21-B11)/B22</f>
        <v>0.92093927984828095</v>
      </c>
      <c r="C40" s="214">
        <f>(C21-C11)/C22</f>
        <v>0.96000790450061046</v>
      </c>
      <c r="D40" s="214">
        <f>(D21-D11)/D22</f>
        <v>1.0241765790031805</v>
      </c>
      <c r="E40" s="214">
        <f>(E21-E11)/E22</f>
        <v>0.82680750100789746</v>
      </c>
      <c r="F40" s="215">
        <f>(F21-F11)/F22</f>
        <v>0.7613555611697832</v>
      </c>
    </row>
    <row r="41" spans="1:6" x14ac:dyDescent="0.3">
      <c r="A41" s="422"/>
      <c r="B41" s="135"/>
      <c r="C41" s="135"/>
      <c r="D41" s="135"/>
      <c r="E41" s="135"/>
      <c r="F41" s="220"/>
    </row>
    <row r="42" spans="1:6" s="6" customFormat="1" x14ac:dyDescent="0.3">
      <c r="A42" s="425" t="s">
        <v>158</v>
      </c>
      <c r="B42" s="218"/>
      <c r="C42" s="218"/>
      <c r="D42" s="218"/>
      <c r="E42" s="218"/>
      <c r="F42" s="219"/>
    </row>
    <row r="43" spans="1:6" s="157" customFormat="1" ht="15" thickBot="1" x14ac:dyDescent="0.35">
      <c r="A43" s="421" t="s">
        <v>159</v>
      </c>
      <c r="B43" s="216">
        <f>B15/B22</f>
        <v>9.4144900519652935E-2</v>
      </c>
      <c r="C43" s="216">
        <f>C15/C22</f>
        <v>8.3581910409935734E-2</v>
      </c>
      <c r="D43" s="216">
        <f>D15/D22</f>
        <v>0.13090219755202809</v>
      </c>
      <c r="E43" s="216">
        <f>E15/E22</f>
        <v>0.10047632705706151</v>
      </c>
      <c r="F43" s="217">
        <f>F15/F22</f>
        <v>7.9552739882009185E-2</v>
      </c>
    </row>
    <row r="47" spans="1:6" ht="15" thickBot="1" x14ac:dyDescent="0.35"/>
    <row r="48" spans="1:6" s="6" customFormat="1" x14ac:dyDescent="0.3">
      <c r="A48" s="225" t="s">
        <v>160</v>
      </c>
      <c r="B48" s="207">
        <v>2013</v>
      </c>
      <c r="C48" s="207">
        <v>2014</v>
      </c>
      <c r="D48" s="207">
        <v>2015</v>
      </c>
      <c r="E48" s="207">
        <v>2016</v>
      </c>
      <c r="F48" s="208">
        <v>2017</v>
      </c>
    </row>
    <row r="49" spans="1:6" s="6" customFormat="1" x14ac:dyDescent="0.3">
      <c r="A49" s="425" t="s">
        <v>161</v>
      </c>
      <c r="B49" s="218"/>
      <c r="C49" s="218"/>
      <c r="D49" s="218"/>
      <c r="E49" s="218"/>
      <c r="F49" s="219"/>
    </row>
    <row r="50" spans="1:6" s="158" customFormat="1" ht="15" thickBot="1" x14ac:dyDescent="0.35">
      <c r="A50" s="423" t="s">
        <v>162</v>
      </c>
      <c r="B50" s="221">
        <f>(PASIVA!B5+PASIVA!B8)/AKTIVA!B17</f>
        <v>0.57886713264494705</v>
      </c>
      <c r="C50" s="221">
        <f>(PASIVA!C5+PASIVA!C8)/AKTIVA!C17</f>
        <v>0.5115651321201512</v>
      </c>
      <c r="D50" s="221">
        <f>(PASIVA!D5+PASIVA!D8)/AKTIVA!D17</f>
        <v>0.47652037155181509</v>
      </c>
      <c r="E50" s="221">
        <f>(PASIVA!E5+PASIVA!E8)/AKTIVA!E17</f>
        <v>0.49957310180699172</v>
      </c>
      <c r="F50" s="222">
        <f>(PASIVA!F5+PASIVA!F8)/AKTIVA!F17</f>
        <v>0.47849730663629536</v>
      </c>
    </row>
    <row r="53" spans="1:6" ht="15" thickBot="1" x14ac:dyDescent="0.35"/>
    <row r="54" spans="1:6" s="6" customFormat="1" x14ac:dyDescent="0.3">
      <c r="A54" s="225" t="s">
        <v>163</v>
      </c>
      <c r="B54" s="207">
        <v>2013</v>
      </c>
      <c r="C54" s="207">
        <v>2014</v>
      </c>
      <c r="D54" s="207">
        <v>2015</v>
      </c>
      <c r="E54" s="207">
        <v>2016</v>
      </c>
      <c r="F54" s="208">
        <v>2017</v>
      </c>
    </row>
    <row r="55" spans="1:6" x14ac:dyDescent="0.3">
      <c r="A55" s="425" t="s">
        <v>164</v>
      </c>
      <c r="B55" s="135"/>
      <c r="C55" s="135"/>
      <c r="D55" s="135"/>
      <c r="E55" s="135"/>
      <c r="F55" s="220"/>
    </row>
    <row r="56" spans="1:6" s="157" customFormat="1" x14ac:dyDescent="0.3">
      <c r="A56" s="420" t="s">
        <v>165</v>
      </c>
      <c r="B56" s="214">
        <f>'FCF - KONČNI_IZRAČUN'!B5/'KAZALNIKI - PODJETJE X'!$B$62</f>
        <v>3.7947073618181934E-2</v>
      </c>
      <c r="C56" s="214">
        <f>'FCF - KONČNI_IZRAČUN'!C5/'KAZALNIKI - PODJETJE X'!$B$62</f>
        <v>8.2553842926136475E-2</v>
      </c>
      <c r="D56" s="214">
        <f>'FCF - KONČNI_IZRAČUN'!D5/'KAZALNIKI - PODJETJE X'!$B$62</f>
        <v>0.11035562280454785</v>
      </c>
      <c r="E56" s="214">
        <f>'FCF - KONČNI_IZRAČUN'!E5/'KAZALNIKI - PODJETJE X'!$B$62</f>
        <v>0.13438534630942367</v>
      </c>
      <c r="F56" s="215">
        <f>'FCF - KONČNI_IZRAČUN'!F5/'KAZALNIKI - PODJETJE X'!$B$62</f>
        <v>0.14263410970579907</v>
      </c>
    </row>
    <row r="57" spans="1:6" x14ac:dyDescent="0.3">
      <c r="A57" s="422"/>
      <c r="B57" s="135"/>
      <c r="C57" s="135"/>
      <c r="D57" s="135"/>
      <c r="E57" s="135"/>
      <c r="F57" s="220"/>
    </row>
    <row r="58" spans="1:6" x14ac:dyDescent="0.3">
      <c r="A58" s="425" t="s">
        <v>166</v>
      </c>
      <c r="B58" s="135"/>
      <c r="C58" s="135"/>
      <c r="D58" s="135"/>
      <c r="E58" s="135"/>
      <c r="F58" s="220"/>
    </row>
    <row r="59" spans="1:6" s="157" customFormat="1" ht="15" thickBot="1" x14ac:dyDescent="0.35">
      <c r="A59" s="421" t="s">
        <v>167</v>
      </c>
      <c r="B59" s="216">
        <f>'FCF - KONČNI_IZRAČUN'!B5/'KAZALNIKI - PODJETJE X'!$B$65</f>
        <v>7.6440562317114547E-2</v>
      </c>
      <c r="C59" s="216">
        <f>'FCF - KONČNI_IZRAČUN'!C5/'KAZALNIKI - PODJETJE X'!$B$65</f>
        <v>0.16629641163394035</v>
      </c>
      <c r="D59" s="216">
        <f>'FCF - KONČNI_IZRAČUN'!D5/'KAZALNIKI - PODJETJE X'!$B$65</f>
        <v>0.22230030033180678</v>
      </c>
      <c r="E59" s="216">
        <f>'FCF - KONČNI_IZRAČUN'!E5/'KAZALNIKI - PODJETJE X'!$B$65</f>
        <v>0.27070576093516113</v>
      </c>
      <c r="F59" s="217">
        <f>'FCF - KONČNI_IZRAČUN'!F5/'KAZALNIKI - PODJETJE X'!$B$65</f>
        <v>0.28732206496914736</v>
      </c>
    </row>
    <row r="61" spans="1:6" x14ac:dyDescent="0.3">
      <c r="A61" s="159"/>
      <c r="B61" s="160" t="s">
        <v>168</v>
      </c>
    </row>
    <row r="62" spans="1:6" s="3" customFormat="1" x14ac:dyDescent="0.3">
      <c r="A62" s="161" t="s">
        <v>169</v>
      </c>
      <c r="B62" s="162">
        <f>SUM(AKTIVA!B17:F17)/5</f>
        <v>76032002.599999994</v>
      </c>
    </row>
    <row r="64" spans="1:6" x14ac:dyDescent="0.3">
      <c r="A64" s="159"/>
      <c r="B64" s="160" t="s">
        <v>168</v>
      </c>
    </row>
    <row r="65" spans="1:6" s="3" customFormat="1" x14ac:dyDescent="0.3">
      <c r="A65" s="161" t="s">
        <v>170</v>
      </c>
      <c r="B65" s="162">
        <f>SUM(PASIVA!B25:F25)/5</f>
        <v>37744254</v>
      </c>
    </row>
    <row r="68" spans="1:6" ht="15" thickBot="1" x14ac:dyDescent="0.35"/>
    <row r="69" spans="1:6" s="6" customFormat="1" x14ac:dyDescent="0.3">
      <c r="A69" s="225" t="s">
        <v>171</v>
      </c>
      <c r="B69" s="207">
        <v>2013</v>
      </c>
      <c r="C69" s="207">
        <v>2014</v>
      </c>
      <c r="D69" s="207">
        <v>2015</v>
      </c>
      <c r="E69" s="207">
        <v>2016</v>
      </c>
      <c r="F69" s="208">
        <v>2017</v>
      </c>
    </row>
    <row r="70" spans="1:6" s="6" customFormat="1" x14ac:dyDescent="0.3">
      <c r="A70" s="425" t="s">
        <v>239</v>
      </c>
      <c r="B70" s="218"/>
      <c r="C70" s="218"/>
      <c r="D70" s="218"/>
      <c r="E70" s="218"/>
      <c r="F70" s="219"/>
    </row>
    <row r="71" spans="1:6" s="157" customFormat="1" x14ac:dyDescent="0.3">
      <c r="A71" s="420" t="s">
        <v>172</v>
      </c>
      <c r="B71" s="214">
        <f>'PRIHODKI IN STROŠKI'!B2/'KAZALNIKI - PODJETJE X'!$B$76</f>
        <v>4.0307058360021433</v>
      </c>
      <c r="C71" s="214">
        <f>'PRIHODKI IN STROŠKI'!C2/'KAZALNIKI - PODJETJE X'!$B$76</f>
        <v>4.4431984961209761</v>
      </c>
      <c r="D71" s="214">
        <f>'PRIHODKI IN STROŠKI'!D2/'KAZALNIKI - PODJETJE X'!$B$76</f>
        <v>5.0973902888543376</v>
      </c>
      <c r="E71" s="214">
        <f>'PRIHODKI IN STROŠKI'!E2/'KAZALNIKI - PODJETJE X'!$B$76</f>
        <v>5.8223343304106487</v>
      </c>
      <c r="F71" s="215">
        <f>'PRIHODKI IN STROŠKI'!F2/'KAZALNIKI - PODJETJE X'!$B$76</f>
        <v>6.7058092670466412</v>
      </c>
    </row>
    <row r="72" spans="1:6" s="157" customFormat="1" ht="15" thickBot="1" x14ac:dyDescent="0.35">
      <c r="A72" s="421" t="s">
        <v>173</v>
      </c>
      <c r="B72" s="216">
        <f>365/B71</f>
        <v>90.554859335015465</v>
      </c>
      <c r="C72" s="216">
        <f>365/C71</f>
        <v>82.148029244845617</v>
      </c>
      <c r="D72" s="216">
        <f>365/D71</f>
        <v>71.605268444538794</v>
      </c>
      <c r="E72" s="216">
        <f>365/E71</f>
        <v>62.689632591788417</v>
      </c>
      <c r="F72" s="217">
        <f>365/F71</f>
        <v>54.430417786211891</v>
      </c>
    </row>
    <row r="74" spans="1:6" x14ac:dyDescent="0.3">
      <c r="F74" s="135"/>
    </row>
    <row r="75" spans="1:6" x14ac:dyDescent="0.3">
      <c r="A75" s="416"/>
      <c r="B75" s="160" t="s">
        <v>168</v>
      </c>
      <c r="C75" s="6"/>
      <c r="D75" s="6"/>
      <c r="E75" s="6"/>
      <c r="F75" s="218"/>
    </row>
    <row r="76" spans="1:6" x14ac:dyDescent="0.3">
      <c r="A76" s="161" t="s">
        <v>238</v>
      </c>
      <c r="B76" s="162">
        <f>SUM(AKTIVA!B4:F4,AKTIVA!B9:F9)/5</f>
        <v>20781671.600000001</v>
      </c>
      <c r="C76" s="3"/>
      <c r="D76" s="3"/>
      <c r="E76" s="3"/>
      <c r="F76" s="98"/>
    </row>
    <row r="77" spans="1:6" x14ac:dyDescent="0.3">
      <c r="F77" s="135"/>
    </row>
    <row r="78" spans="1:6" ht="15" thickBot="1" x14ac:dyDescent="0.35"/>
    <row r="79" spans="1:6" s="6" customFormat="1" x14ac:dyDescent="0.3">
      <c r="A79" s="424" t="s">
        <v>319</v>
      </c>
      <c r="B79" s="207">
        <v>2013</v>
      </c>
      <c r="C79" s="207">
        <v>2014</v>
      </c>
      <c r="D79" s="207">
        <v>2015</v>
      </c>
      <c r="E79" s="207">
        <v>2016</v>
      </c>
      <c r="F79" s="208">
        <v>2017</v>
      </c>
    </row>
    <row r="80" spans="1:6" x14ac:dyDescent="0.3">
      <c r="A80" s="422" t="s">
        <v>320</v>
      </c>
      <c r="B80" s="135">
        <f>'FCF - KONČNI_IZRAČUN'!B5/'PRIHODKI IN STROŠKI'!B2</f>
        <v>3.4443964860898318E-2</v>
      </c>
      <c r="C80" s="135">
        <f>'FCF - KONČNI_IZRAČUN'!C5/'PRIHODKI IN STROŠKI'!C2</f>
        <v>6.7976301441245307E-2</v>
      </c>
      <c r="D80" s="135">
        <f>'FCF - KONČNI_IZRAČUN'!D5/'PRIHODKI IN STROŠKI'!D2</f>
        <v>7.9206811452798662E-2</v>
      </c>
      <c r="E80" s="135">
        <f>'FCF - KONČNI_IZRAČUN'!E5/'PRIHODKI IN STROŠKI'!E2</f>
        <v>8.4444375205375566E-2</v>
      </c>
      <c r="F80" s="220">
        <f>'FCF - KONČNI_IZRAČUN'!F5/'PRIHODKI IN STROŠKI'!F2</f>
        <v>7.7819448891626009E-2</v>
      </c>
    </row>
    <row r="81" spans="1:6" ht="15" thickBot="1" x14ac:dyDescent="0.35">
      <c r="A81" s="535"/>
      <c r="B81" s="524"/>
      <c r="C81" s="524"/>
      <c r="D81" s="524"/>
      <c r="E81" s="524"/>
      <c r="F81" s="525"/>
    </row>
    <row r="82" spans="1:6" ht="15" thickBot="1" x14ac:dyDescent="0.35">
      <c r="B82" s="534">
        <f>AVERAGE(B80:F80)</f>
        <v>6.877818037038877E-2</v>
      </c>
    </row>
    <row r="87" spans="1:6" ht="15" thickBot="1" x14ac:dyDescent="0.35"/>
    <row r="88" spans="1:6" x14ac:dyDescent="0.3">
      <c r="A88" s="623" t="s">
        <v>322</v>
      </c>
      <c r="B88" s="624"/>
    </row>
    <row r="89" spans="1:6" x14ac:dyDescent="0.3">
      <c r="A89" s="55" t="s">
        <v>323</v>
      </c>
      <c r="B89" s="538">
        <f>AVERAGE(AKTIVA!B17:F17)</f>
        <v>76032002.599999994</v>
      </c>
    </row>
    <row r="90" spans="1:6" x14ac:dyDescent="0.3">
      <c r="A90" s="55" t="s">
        <v>324</v>
      </c>
      <c r="B90" s="538">
        <f>AVERAGE(PASIVA!B25:F25)</f>
        <v>37744254</v>
      </c>
    </row>
    <row r="91" spans="1:6" x14ac:dyDescent="0.3">
      <c r="A91" s="55"/>
      <c r="B91" s="538"/>
    </row>
    <row r="92" spans="1:6" x14ac:dyDescent="0.3">
      <c r="A92" s="55" t="s">
        <v>327</v>
      </c>
      <c r="B92" s="538">
        <f>'ANALIZA DELNICE'!G3*'ANALIZA DELNICE'!G11</f>
        <v>2145767.7735000001</v>
      </c>
    </row>
    <row r="93" spans="1:6" x14ac:dyDescent="0.3">
      <c r="A93" s="55" t="s">
        <v>325</v>
      </c>
      <c r="B93" s="538">
        <f>AVERAGE('FCF - KONČNI_IZRAČUN'!B5:F5)</f>
        <v>7722965.7999999998</v>
      </c>
    </row>
    <row r="94" spans="1:6" x14ac:dyDescent="0.3">
      <c r="A94" s="55" t="s">
        <v>326</v>
      </c>
      <c r="B94" s="187">
        <f>B82</f>
        <v>6.877818037038877E-2</v>
      </c>
    </row>
    <row r="96" spans="1:6" ht="15" thickBot="1" x14ac:dyDescent="0.35"/>
    <row r="97" spans="1:6" x14ac:dyDescent="0.3">
      <c r="A97" s="553" t="s">
        <v>332</v>
      </c>
      <c r="B97" s="554">
        <v>2013</v>
      </c>
      <c r="C97" s="554">
        <v>2014</v>
      </c>
      <c r="D97" s="554">
        <v>2015</v>
      </c>
      <c r="E97" s="554">
        <v>2016</v>
      </c>
      <c r="F97" s="555">
        <v>2017</v>
      </c>
    </row>
    <row r="98" spans="1:6" x14ac:dyDescent="0.3">
      <c r="A98" s="55" t="s">
        <v>333</v>
      </c>
      <c r="B98" s="556">
        <v>5737566</v>
      </c>
      <c r="C98" s="556">
        <v>8362320</v>
      </c>
      <c r="D98" s="556">
        <v>13033474</v>
      </c>
      <c r="E98" s="556">
        <v>21373193</v>
      </c>
      <c r="F98" s="538">
        <v>22042907</v>
      </c>
    </row>
    <row r="99" spans="1:6" x14ac:dyDescent="0.3">
      <c r="A99" s="55" t="s">
        <v>334</v>
      </c>
      <c r="B99" s="556">
        <f>26884665+18702714+4234638</f>
        <v>49822017</v>
      </c>
      <c r="C99" s="557">
        <f>25530200 + 5232518 + 18987558</f>
        <v>49750276</v>
      </c>
      <c r="D99" s="556">
        <f>25671415 + 5043891 + 20100809</f>
        <v>50816115</v>
      </c>
      <c r="E99" s="556">
        <f>6525151 +23389264 + 22224673</f>
        <v>52139088</v>
      </c>
      <c r="F99" s="538">
        <f>8346219 + 23726024 +26489861</f>
        <v>58562104</v>
      </c>
    </row>
    <row r="100" spans="1:6" ht="15" thickBot="1" x14ac:dyDescent="0.35">
      <c r="A100" s="91" t="s">
        <v>335</v>
      </c>
      <c r="B100" s="559">
        <v>6280570</v>
      </c>
      <c r="C100" s="559">
        <v>8076665</v>
      </c>
      <c r="D100" s="559">
        <v>10029807</v>
      </c>
      <c r="E100" s="559">
        <v>13269198</v>
      </c>
      <c r="F100" s="558">
        <v>19084478</v>
      </c>
    </row>
    <row r="101" spans="1:6" ht="15" thickBot="1" x14ac:dyDescent="0.35">
      <c r="A101" s="562" t="s">
        <v>336</v>
      </c>
      <c r="B101" s="493">
        <f>B98/'PRIHODKI IN STROŠKI'!B2</f>
        <v>6.8496142264045143E-2</v>
      </c>
      <c r="C101" s="493">
        <f>C98/'PRIHODKI IN STROŠKI'!C2</f>
        <v>9.0562956000390396E-2</v>
      </c>
      <c r="D101" s="493">
        <f>D98/'PRIHODKI IN STROŠKI'!D2</f>
        <v>0.12303589280439521</v>
      </c>
      <c r="E101" s="493">
        <f>E98/'PRIHODKI IN STROŠKI'!E2</f>
        <v>0.17664111194051069</v>
      </c>
      <c r="F101" s="494">
        <f>F98/'PRIHODKI IN STROŠKI'!F2</f>
        <v>0.15817476359399896</v>
      </c>
    </row>
    <row r="103" spans="1:6" x14ac:dyDescent="0.3">
      <c r="B103" s="557"/>
    </row>
  </sheetData>
  <mergeCells count="1">
    <mergeCell ref="A88:B88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0A014-21B1-400C-BD7B-7D9025677110}">
  <dimension ref="A1:L23"/>
  <sheetViews>
    <sheetView workbookViewId="0">
      <selection activeCell="L6" sqref="L6"/>
    </sheetView>
  </sheetViews>
  <sheetFormatPr defaultRowHeight="14.4" x14ac:dyDescent="0.3"/>
  <cols>
    <col min="1" max="1" width="23.21875" bestFit="1" customWidth="1"/>
    <col min="2" max="2" width="11.77734375" customWidth="1"/>
    <col min="3" max="5" width="12.88671875" bestFit="1" customWidth="1"/>
    <col min="6" max="6" width="14" bestFit="1" customWidth="1"/>
    <col min="7" max="7" width="15" bestFit="1" customWidth="1"/>
    <col min="8" max="11" width="13.109375" bestFit="1" customWidth="1"/>
    <col min="12" max="12" width="19.109375" bestFit="1" customWidth="1"/>
  </cols>
  <sheetData>
    <row r="1" spans="1:12" x14ac:dyDescent="0.3">
      <c r="A1" s="191" t="s">
        <v>215</v>
      </c>
      <c r="B1" s="60">
        <v>2013</v>
      </c>
      <c r="C1" s="60">
        <v>2014</v>
      </c>
      <c r="D1" s="60">
        <v>2015</v>
      </c>
      <c r="E1" s="60">
        <v>2016</v>
      </c>
      <c r="F1" s="301">
        <v>2017</v>
      </c>
      <c r="G1" s="61">
        <v>2018</v>
      </c>
      <c r="H1" s="60">
        <v>2019</v>
      </c>
      <c r="I1" s="60">
        <v>2020</v>
      </c>
      <c r="J1" s="60">
        <v>2021</v>
      </c>
      <c r="K1" s="279">
        <v>2022</v>
      </c>
      <c r="L1" s="281" t="s">
        <v>222</v>
      </c>
    </row>
    <row r="2" spans="1:12" s="429" customFormat="1" x14ac:dyDescent="0.3">
      <c r="A2" s="459" t="s">
        <v>252</v>
      </c>
      <c r="B2" s="455"/>
      <c r="C2" s="455"/>
      <c r="D2" s="455"/>
      <c r="E2" s="455"/>
      <c r="F2" s="460">
        <v>11421674</v>
      </c>
      <c r="G2" s="456"/>
      <c r="H2" s="455"/>
      <c r="I2" s="455"/>
      <c r="J2" s="455"/>
      <c r="K2" s="457"/>
      <c r="L2" s="458"/>
    </row>
    <row r="3" spans="1:12" ht="15" thickBot="1" x14ac:dyDescent="0.35">
      <c r="A3" s="48" t="s">
        <v>216</v>
      </c>
      <c r="B3" s="7">
        <v>3011623</v>
      </c>
      <c r="C3" s="7">
        <v>6487750</v>
      </c>
      <c r="D3" s="7">
        <v>8547168</v>
      </c>
      <c r="E3" s="7">
        <v>10861125</v>
      </c>
      <c r="F3" s="23">
        <v>11548315</v>
      </c>
      <c r="G3" s="33">
        <f>'PRIHODKI IN STROŠKI'!G6-'PRIHODKI IN STROŠKI'!G23</f>
        <v>13589403.560079783</v>
      </c>
      <c r="H3" s="34">
        <f>'PRIHODKI IN STROŠKI'!H6-'PRIHODKI IN STROŠKI'!H23</f>
        <v>12988770.093045056</v>
      </c>
      <c r="I3" s="34">
        <f>'PRIHODKI IN STROŠKI'!I6-'PRIHODKI IN STROŠKI'!I23</f>
        <v>16015029.479972094</v>
      </c>
      <c r="J3" s="34">
        <f>'PRIHODKI IN STROŠKI'!J6-'PRIHODKI IN STROŠKI'!J23</f>
        <v>17407565.752544463</v>
      </c>
      <c r="K3" s="280">
        <f>'PRIHODKI IN STROŠKI'!K6-'PRIHODKI IN STROŠKI'!K23</f>
        <v>21405485.173187494</v>
      </c>
      <c r="L3" s="282">
        <f>SUM(B7:F7)/5</f>
        <v>4.2600746460226123E-2</v>
      </c>
    </row>
    <row r="4" spans="1:12" x14ac:dyDescent="0.3">
      <c r="A4" s="48" t="s">
        <v>229</v>
      </c>
      <c r="B4" s="7">
        <v>126431</v>
      </c>
      <c r="C4" s="7">
        <v>211016</v>
      </c>
      <c r="D4" s="7">
        <v>156609</v>
      </c>
      <c r="E4" s="7">
        <v>643538</v>
      </c>
      <c r="F4" s="23">
        <v>703558</v>
      </c>
      <c r="G4" s="33">
        <f>G3*G7</f>
        <v>543576.1424031913</v>
      </c>
      <c r="H4" s="34">
        <f t="shared" ref="H4:K4" si="0">H3*H7</f>
        <v>519550.80372180225</v>
      </c>
      <c r="I4" s="34">
        <f t="shared" si="0"/>
        <v>640601.17919888382</v>
      </c>
      <c r="J4" s="34">
        <f t="shared" si="0"/>
        <v>696302.63010177854</v>
      </c>
      <c r="K4" s="34">
        <f t="shared" si="0"/>
        <v>856219.4069274998</v>
      </c>
    </row>
    <row r="5" spans="1:12" x14ac:dyDescent="0.3">
      <c r="A5" s="253" t="s">
        <v>218</v>
      </c>
      <c r="B5" s="68">
        <f t="shared" ref="B5:G5" si="1">B3-B4</f>
        <v>2885192</v>
      </c>
      <c r="C5" s="68">
        <f t="shared" si="1"/>
        <v>6276734</v>
      </c>
      <c r="D5" s="68">
        <f t="shared" si="1"/>
        <v>8390559</v>
      </c>
      <c r="E5" s="68">
        <f t="shared" si="1"/>
        <v>10217587</v>
      </c>
      <c r="F5" s="68">
        <f t="shared" si="1"/>
        <v>10844757</v>
      </c>
      <c r="G5" s="70">
        <f t="shared" si="1"/>
        <v>13045827.417676592</v>
      </c>
      <c r="H5" s="68">
        <f t="shared" ref="H5:K5" si="2">H3-H4</f>
        <v>12469219.289323254</v>
      </c>
      <c r="I5" s="68">
        <f t="shared" si="2"/>
        <v>15374428.300773211</v>
      </c>
      <c r="J5" s="68">
        <f t="shared" si="2"/>
        <v>16711263.122442685</v>
      </c>
      <c r="K5" s="68">
        <f t="shared" si="2"/>
        <v>20549265.766259994</v>
      </c>
    </row>
    <row r="6" spans="1:12" x14ac:dyDescent="0.3">
      <c r="A6" s="274" t="s">
        <v>175</v>
      </c>
      <c r="B6" s="273"/>
      <c r="C6" s="273">
        <f t="shared" ref="C6:K6" si="3">C5/B5</f>
        <v>2.1754995854695287</v>
      </c>
      <c r="D6" s="273">
        <f t="shared" si="3"/>
        <v>1.3367714801997344</v>
      </c>
      <c r="E6" s="273">
        <f t="shared" si="3"/>
        <v>1.2177480666067659</v>
      </c>
      <c r="F6" s="389">
        <f t="shared" si="3"/>
        <v>1.0613814200945879</v>
      </c>
      <c r="G6" s="386">
        <f>G5/F5</f>
        <v>1.2029617093012404</v>
      </c>
      <c r="H6" s="273">
        <f t="shared" si="3"/>
        <v>0.95580133709479731</v>
      </c>
      <c r="I6" s="273">
        <f t="shared" si="3"/>
        <v>1.2329904498461695</v>
      </c>
      <c r="J6" s="273">
        <f t="shared" si="3"/>
        <v>1.0869518394776503</v>
      </c>
      <c r="K6" s="275">
        <f t="shared" si="3"/>
        <v>1.2296656222630471</v>
      </c>
    </row>
    <row r="7" spans="1:12" ht="15" thickBot="1" x14ac:dyDescent="0.35">
      <c r="A7" s="254" t="s">
        <v>223</v>
      </c>
      <c r="B7" s="249">
        <f t="shared" ref="B7:E7" si="4">B4/B3</f>
        <v>4.1981018208454381E-2</v>
      </c>
      <c r="C7" s="249">
        <f t="shared" si="4"/>
        <v>3.2525297676390119E-2</v>
      </c>
      <c r="D7" s="249">
        <f t="shared" si="4"/>
        <v>1.8322911167769254E-2</v>
      </c>
      <c r="E7" s="249">
        <f t="shared" si="4"/>
        <v>5.9251504793472132E-2</v>
      </c>
      <c r="F7" s="390">
        <f>F4/F3</f>
        <v>6.0923000455044743E-2</v>
      </c>
      <c r="G7" s="387">
        <v>0.04</v>
      </c>
      <c r="H7" s="278">
        <v>0.04</v>
      </c>
      <c r="I7" s="278">
        <v>0.04</v>
      </c>
      <c r="J7" s="278">
        <v>0.04</v>
      </c>
      <c r="K7" s="278">
        <v>0.04</v>
      </c>
    </row>
    <row r="8" spans="1:12" ht="15" thickBot="1" x14ac:dyDescent="0.35">
      <c r="F8" s="27"/>
      <c r="G8" s="388">
        <v>5000000</v>
      </c>
      <c r="H8" s="276">
        <v>5100000</v>
      </c>
      <c r="I8" s="276">
        <v>6200000</v>
      </c>
      <c r="J8" s="276">
        <v>7000000</v>
      </c>
      <c r="K8" s="277">
        <v>8100000</v>
      </c>
    </row>
    <row r="9" spans="1:12" ht="15" thickBot="1" x14ac:dyDescent="0.35">
      <c r="F9" s="27"/>
    </row>
    <row r="10" spans="1:12" ht="15" thickBot="1" x14ac:dyDescent="0.35">
      <c r="A10" s="255" t="s">
        <v>213</v>
      </c>
      <c r="B10" s="255">
        <v>2013</v>
      </c>
      <c r="C10" s="255">
        <v>2014</v>
      </c>
      <c r="D10" s="255">
        <v>2015</v>
      </c>
      <c r="E10" s="255">
        <v>2016</v>
      </c>
      <c r="F10" s="263">
        <v>2017</v>
      </c>
      <c r="G10" s="256">
        <v>2018</v>
      </c>
      <c r="H10" s="255">
        <v>2019</v>
      </c>
      <c r="I10" s="255">
        <v>2020</v>
      </c>
      <c r="J10" s="255">
        <v>2021</v>
      </c>
      <c r="K10" s="255">
        <v>2022</v>
      </c>
    </row>
    <row r="11" spans="1:12" ht="15" thickBot="1" x14ac:dyDescent="0.35">
      <c r="A11" s="257" t="s">
        <v>179</v>
      </c>
      <c r="B11" s="261">
        <f>B5</f>
        <v>2885192</v>
      </c>
      <c r="C11" s="261">
        <f>C5</f>
        <v>6276734</v>
      </c>
      <c r="D11" s="261">
        <f>D5</f>
        <v>8390559</v>
      </c>
      <c r="E11" s="261">
        <f>E5</f>
        <v>10217587</v>
      </c>
      <c r="F11" s="264">
        <f>F5</f>
        <v>10844757</v>
      </c>
      <c r="G11" s="262">
        <f t="shared" ref="G11:K11" si="5">G5</f>
        <v>13045827.417676592</v>
      </c>
      <c r="H11" s="261">
        <f t="shared" si="5"/>
        <v>12469219.289323254</v>
      </c>
      <c r="I11" s="261">
        <f t="shared" si="5"/>
        <v>15374428.300773211</v>
      </c>
      <c r="J11" s="261">
        <f t="shared" si="5"/>
        <v>16711263.122442685</v>
      </c>
      <c r="K11" s="261">
        <f t="shared" si="5"/>
        <v>20549265.766259994</v>
      </c>
    </row>
    <row r="12" spans="1:12" ht="15" thickBot="1" x14ac:dyDescent="0.35">
      <c r="A12" s="258" t="s">
        <v>201</v>
      </c>
      <c r="B12" s="261">
        <f>AMORTIZACIJA!B89</f>
        <v>5564053</v>
      </c>
      <c r="C12" s="261">
        <f>AMORTIZACIJA!C89</f>
        <v>5246451</v>
      </c>
      <c r="D12" s="261">
        <f>AMORTIZACIJA!D89</f>
        <v>5430337</v>
      </c>
      <c r="E12" s="261">
        <f>AMORTIZACIJA!E89</f>
        <v>6219574</v>
      </c>
      <c r="F12" s="264">
        <f>AMORTIZACIJA!F89</f>
        <v>7405570</v>
      </c>
      <c r="G12" s="262">
        <f>AMORTIZACIJA!G89</f>
        <v>6787305.8455679826</v>
      </c>
      <c r="H12" s="261">
        <f>AMORTIZACIJA!H89</f>
        <v>7378548.5999006499</v>
      </c>
      <c r="I12" s="261">
        <f>AMORTIZACIJA!I89</f>
        <v>8147365.2418647613</v>
      </c>
      <c r="J12" s="261">
        <f>AMORTIZACIJA!J89</f>
        <v>8809492.5241551027</v>
      </c>
      <c r="K12" s="261">
        <f>AMORTIZACIJA!K89</f>
        <v>9549969.7936748527</v>
      </c>
    </row>
    <row r="13" spans="1:12" ht="15" thickBot="1" x14ac:dyDescent="0.35">
      <c r="A13" s="257" t="s">
        <v>230</v>
      </c>
      <c r="B13" s="261">
        <f>NALOŽBE!B5</f>
        <v>2786552</v>
      </c>
      <c r="C13" s="261">
        <f>NALOŽBE!C5</f>
        <v>5944315</v>
      </c>
      <c r="D13" s="261">
        <f>NALOŽBE!D5</f>
        <v>11102237</v>
      </c>
      <c r="E13" s="261">
        <f>NALOŽBE!E5</f>
        <v>24382154</v>
      </c>
      <c r="F13" s="261">
        <f>NALOŽBE!F5</f>
        <v>16617228</v>
      </c>
      <c r="G13" s="261">
        <f>NALOŽBE!G5</f>
        <v>13216163.1984</v>
      </c>
      <c r="H13" s="261">
        <f>NALOŽBE!H5</f>
        <v>14777374.514688</v>
      </c>
      <c r="I13" s="261">
        <f>NALOŽBE!I5</f>
        <v>14458458.811587844</v>
      </c>
      <c r="J13" s="261">
        <f>NALOŽBE!J5</f>
        <v>16168236.199147476</v>
      </c>
      <c r="K13" s="261">
        <f>NALOŽBE!K5</f>
        <v>18081167.859627787</v>
      </c>
    </row>
    <row r="14" spans="1:12" ht="15" thickBot="1" x14ac:dyDescent="0.35">
      <c r="A14" s="257" t="s">
        <v>224</v>
      </c>
      <c r="B14" s="261">
        <f>NALOŽBE!B22</f>
        <v>0</v>
      </c>
      <c r="C14" s="261">
        <f>NALOŽBE!C22</f>
        <v>3685368</v>
      </c>
      <c r="D14" s="261">
        <f>NALOŽBE!D22</f>
        <v>-241232</v>
      </c>
      <c r="E14" s="261">
        <f>NALOŽBE!E22</f>
        <v>-60617</v>
      </c>
      <c r="F14" s="264">
        <f>NALOŽBE!F22</f>
        <v>3134223</v>
      </c>
      <c r="G14" s="262">
        <f>NALOŽBE!G22</f>
        <v>1934602.9970000051</v>
      </c>
      <c r="H14" s="261">
        <f>NALOŽBE!H22</f>
        <v>-2614244.2249679938</v>
      </c>
      <c r="I14" s="261">
        <f>NALOŽBE!I22</f>
        <v>4685361.7352025472</v>
      </c>
      <c r="J14" s="261">
        <f>NALOŽBE!J22</f>
        <v>3175300.8626107499</v>
      </c>
      <c r="K14" s="261">
        <f>NALOŽBE!K22</f>
        <v>969563.38951661438</v>
      </c>
    </row>
    <row r="15" spans="1:12" ht="15" thickBot="1" x14ac:dyDescent="0.35">
      <c r="A15" s="259" t="s">
        <v>214</v>
      </c>
      <c r="B15" s="259">
        <f>B11+B12-B13-B14</f>
        <v>5662693</v>
      </c>
      <c r="C15" s="259">
        <f>C11+C12-C13-C14</f>
        <v>1893502</v>
      </c>
      <c r="D15" s="259">
        <f>D11+D12-D13-D14</f>
        <v>2959891</v>
      </c>
      <c r="E15" s="259">
        <f>E11+E12-E13-E14</f>
        <v>-7884376</v>
      </c>
      <c r="F15" s="265">
        <f t="shared" ref="F15:K15" si="6">F11+F12-F13-F14</f>
        <v>-1501124</v>
      </c>
      <c r="G15" s="260">
        <f t="shared" si="6"/>
        <v>4682367.0678445715</v>
      </c>
      <c r="H15" s="259">
        <f t="shared" si="6"/>
        <v>7684637.5995038971</v>
      </c>
      <c r="I15" s="259">
        <f t="shared" si="6"/>
        <v>4377972.9958475828</v>
      </c>
      <c r="J15" s="259">
        <f t="shared" si="6"/>
        <v>6177218.584839562</v>
      </c>
      <c r="K15" s="259">
        <f t="shared" si="6"/>
        <v>11048504.310790446</v>
      </c>
    </row>
    <row r="16" spans="1:12" x14ac:dyDescent="0.3">
      <c r="B16">
        <f>C15/B15</f>
        <v>0.33438189214919473</v>
      </c>
      <c r="C16">
        <f t="shared" ref="C16:F16" si="7">D15/C15</f>
        <v>1.5631834558400255</v>
      </c>
      <c r="D16">
        <f t="shared" si="7"/>
        <v>-2.6637386309158004</v>
      </c>
      <c r="E16">
        <f t="shared" si="7"/>
        <v>0.19039223903071087</v>
      </c>
      <c r="F16">
        <f t="shared" si="7"/>
        <v>-3.1192406942028583</v>
      </c>
      <c r="G16">
        <f>H15/G15</f>
        <v>1.6411864956673201</v>
      </c>
      <c r="H16">
        <f t="shared" ref="H16:J16" si="8">I15/H15</f>
        <v>0.56970454873893006</v>
      </c>
      <c r="I16">
        <f t="shared" si="8"/>
        <v>1.4109768586280744</v>
      </c>
      <c r="J16">
        <f t="shared" si="8"/>
        <v>1.7885888541982691</v>
      </c>
    </row>
    <row r="17" spans="2:8" x14ac:dyDescent="0.3">
      <c r="B17" s="3"/>
      <c r="F17" s="27"/>
    </row>
    <row r="18" spans="2:8" x14ac:dyDescent="0.3">
      <c r="F18" s="27"/>
    </row>
    <row r="19" spans="2:8" x14ac:dyDescent="0.3">
      <c r="F19" s="27"/>
    </row>
    <row r="20" spans="2:8" x14ac:dyDescent="0.3">
      <c r="G20" s="429"/>
    </row>
    <row r="22" spans="2:8" x14ac:dyDescent="0.3">
      <c r="H22">
        <f>24 + 24 + 24 + 23 + 32 + 29 + 22</f>
        <v>178</v>
      </c>
    </row>
    <row r="23" spans="2:8" x14ac:dyDescent="0.3">
      <c r="H23">
        <f>H22/7</f>
        <v>25.428571428571427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F9833-C2AF-4369-842E-D77BA2F0D344}">
  <dimension ref="A1:M48"/>
  <sheetViews>
    <sheetView workbookViewId="0">
      <selection activeCell="H20" sqref="H20"/>
    </sheetView>
  </sheetViews>
  <sheetFormatPr defaultRowHeight="14.4" x14ac:dyDescent="0.3"/>
  <cols>
    <col min="2" max="2" width="24.77734375" bestFit="1" customWidth="1"/>
    <col min="3" max="3" width="15" bestFit="1" customWidth="1"/>
    <col min="6" max="6" width="19.88671875" customWidth="1"/>
    <col min="7" max="7" width="26.6640625" customWidth="1"/>
    <col min="8" max="8" width="23.5546875" customWidth="1"/>
    <col min="9" max="9" width="21.6640625" customWidth="1"/>
    <col min="10" max="10" width="23.21875" customWidth="1"/>
  </cols>
  <sheetData>
    <row r="1" spans="1:13" ht="15" thickBot="1" x14ac:dyDescent="0.35"/>
    <row r="2" spans="1:13" ht="15" thickBot="1" x14ac:dyDescent="0.35">
      <c r="E2" t="s">
        <v>256</v>
      </c>
      <c r="F2" s="434" t="s">
        <v>257</v>
      </c>
      <c r="G2" s="476" t="s">
        <v>254</v>
      </c>
      <c r="H2" s="476" t="s">
        <v>258</v>
      </c>
      <c r="I2" s="476" t="s">
        <v>259</v>
      </c>
      <c r="J2" s="477" t="s">
        <v>255</v>
      </c>
    </row>
    <row r="3" spans="1:13" ht="15" thickBot="1" x14ac:dyDescent="0.35">
      <c r="A3" s="429"/>
      <c r="B3" s="434" t="s">
        <v>261</v>
      </c>
      <c r="C3" s="470">
        <f>F5/H3</f>
        <v>1.8231347200545721E-2</v>
      </c>
      <c r="F3" s="571">
        <v>127169209</v>
      </c>
      <c r="G3" s="560">
        <f>PASIVA!F25</f>
        <v>55347711</v>
      </c>
      <c r="H3" s="560">
        <f>PASIVA!F3+PASIVA!F6</f>
        <v>19983877</v>
      </c>
      <c r="I3" s="560">
        <f>'FCF - KONČNI_IZRAČUN'!F4</f>
        <v>703558</v>
      </c>
      <c r="J3" s="561">
        <f>'FCF - KONČNI_IZRAČUN'!F2</f>
        <v>11421674</v>
      </c>
    </row>
    <row r="4" spans="1:13" ht="15" thickBot="1" x14ac:dyDescent="0.35">
      <c r="A4" s="429"/>
      <c r="B4" s="91" t="s">
        <v>262</v>
      </c>
      <c r="C4" s="471">
        <f>I3/J3</f>
        <v>6.1598501235458132E-2</v>
      </c>
      <c r="D4" s="479">
        <v>0.19</v>
      </c>
      <c r="F4" s="55" t="s">
        <v>260</v>
      </c>
      <c r="G4" s="453"/>
      <c r="H4" s="453"/>
      <c r="I4" s="453"/>
      <c r="J4" s="54"/>
    </row>
    <row r="5" spans="1:13" ht="15" thickBot="1" x14ac:dyDescent="0.35">
      <c r="A5" s="429"/>
      <c r="B5" s="573" t="s">
        <v>265</v>
      </c>
      <c r="C5" s="574">
        <f>C3*(1-D4)</f>
        <v>1.4767391232442036E-2</v>
      </c>
      <c r="F5" s="572">
        <f>5603+358730</f>
        <v>364333</v>
      </c>
      <c r="G5" s="454"/>
      <c r="H5" s="454"/>
      <c r="I5" s="454"/>
      <c r="J5" s="94"/>
    </row>
    <row r="6" spans="1:13" s="135" customFormat="1" x14ac:dyDescent="0.3">
      <c r="A6" s="468"/>
      <c r="B6" s="466"/>
      <c r="C6" s="469"/>
    </row>
    <row r="7" spans="1:13" s="135" customFormat="1" ht="15" thickBot="1" x14ac:dyDescent="0.35">
      <c r="A7" s="468"/>
      <c r="B7" s="466"/>
      <c r="C7" s="469"/>
    </row>
    <row r="8" spans="1:13" x14ac:dyDescent="0.3">
      <c r="B8" s="434" t="s">
        <v>245</v>
      </c>
      <c r="C8" s="489">
        <f>F9</f>
        <v>1.01</v>
      </c>
      <c r="F8" s="434" t="s">
        <v>245</v>
      </c>
      <c r="G8" s="476" t="s">
        <v>267</v>
      </c>
      <c r="H8" s="477" t="s">
        <v>268</v>
      </c>
    </row>
    <row r="9" spans="1:13" ht="15" thickBot="1" x14ac:dyDescent="0.35">
      <c r="B9" s="461" t="s">
        <v>269</v>
      </c>
      <c r="C9" s="490">
        <f>H9</f>
        <v>1.3522079935556053</v>
      </c>
      <c r="F9" s="478">
        <v>1.01</v>
      </c>
      <c r="G9" s="173">
        <f>C11/C10</f>
        <v>0.36106058658866663</v>
      </c>
      <c r="H9" s="507">
        <f>C8*(1+(1-C4)*G9)</f>
        <v>1.3522079935556053</v>
      </c>
    </row>
    <row r="10" spans="1:13" x14ac:dyDescent="0.3">
      <c r="B10" s="55" t="s">
        <v>263</v>
      </c>
      <c r="C10" s="472">
        <f>G3/(G3+H3)</f>
        <v>0.73472115044222885</v>
      </c>
    </row>
    <row r="11" spans="1:13" ht="15" thickBot="1" x14ac:dyDescent="0.35">
      <c r="B11" s="55" t="s">
        <v>264</v>
      </c>
      <c r="C11" s="473">
        <f>H3/(H3+G3)</f>
        <v>0.26527884955777115</v>
      </c>
      <c r="E11" s="429"/>
    </row>
    <row r="12" spans="1:13" ht="15" thickBot="1" x14ac:dyDescent="0.35">
      <c r="B12" s="55" t="s">
        <v>246</v>
      </c>
      <c r="C12" s="505">
        <v>3.6700000000000003E-2</v>
      </c>
      <c r="F12" s="615" t="s">
        <v>272</v>
      </c>
      <c r="G12" s="616"/>
      <c r="H12" s="617"/>
      <c r="J12" s="497" t="s">
        <v>286</v>
      </c>
      <c r="K12" s="499"/>
      <c r="L12" s="499"/>
      <c r="M12" s="494"/>
    </row>
    <row r="13" spans="1:13" ht="15" thickBot="1" x14ac:dyDescent="0.35">
      <c r="B13" s="55" t="s">
        <v>247</v>
      </c>
      <c r="C13" s="505">
        <v>1.5699999999999999E-2</v>
      </c>
      <c r="F13" s="483">
        <v>42736</v>
      </c>
      <c r="G13" s="484">
        <v>8.6E-3</v>
      </c>
      <c r="H13" s="488">
        <f>AVERAGE(G13:G24)</f>
        <v>9.9416666666666664E-3</v>
      </c>
      <c r="J13" s="498">
        <v>3.5000000000000003E-2</v>
      </c>
    </row>
    <row r="14" spans="1:13" ht="15" thickBot="1" x14ac:dyDescent="0.35">
      <c r="B14" s="463" t="s">
        <v>248</v>
      </c>
      <c r="C14" s="491">
        <f>J13</f>
        <v>3.5000000000000003E-2</v>
      </c>
      <c r="F14" s="481">
        <v>42767</v>
      </c>
      <c r="G14" s="171">
        <v>1.06E-2</v>
      </c>
    </row>
    <row r="15" spans="1:13" ht="15" thickBot="1" x14ac:dyDescent="0.35">
      <c r="B15" s="463" t="s">
        <v>249</v>
      </c>
      <c r="C15" s="491">
        <f>J16</f>
        <v>0.05</v>
      </c>
      <c r="F15" s="481">
        <v>42795</v>
      </c>
      <c r="G15" s="171">
        <v>1.03E-2</v>
      </c>
      <c r="J15" s="615" t="s">
        <v>293</v>
      </c>
      <c r="K15" s="616"/>
      <c r="L15" s="616"/>
      <c r="M15" s="617"/>
    </row>
    <row r="16" spans="1:13" ht="15" thickBot="1" x14ac:dyDescent="0.35">
      <c r="B16" s="464" t="s">
        <v>250</v>
      </c>
      <c r="C16" s="506"/>
      <c r="F16" s="481">
        <v>42826</v>
      </c>
      <c r="G16" s="171">
        <v>9.4999999999999998E-3</v>
      </c>
      <c r="J16" s="498">
        <v>0.05</v>
      </c>
    </row>
    <row r="17" spans="2:9" ht="15" thickBot="1" x14ac:dyDescent="0.35">
      <c r="B17" s="465" t="s">
        <v>266</v>
      </c>
      <c r="C17" s="474">
        <f>C12+C13+C14+C15*C9</f>
        <v>0.15501039967778027</v>
      </c>
      <c r="F17" s="481">
        <v>42856</v>
      </c>
      <c r="G17" s="171">
        <v>8.8000000000000005E-3</v>
      </c>
    </row>
    <row r="18" spans="2:9" s="135" customFormat="1" x14ac:dyDescent="0.3">
      <c r="B18" s="466"/>
      <c r="C18" s="467"/>
      <c r="F18" s="481">
        <v>42887</v>
      </c>
      <c r="G18" s="171">
        <v>1.24E-2</v>
      </c>
    </row>
    <row r="19" spans="2:9" s="135" customFormat="1" ht="15" thickBot="1" x14ac:dyDescent="0.35">
      <c r="B19" s="466"/>
      <c r="C19" s="467"/>
      <c r="F19" s="481">
        <v>42917</v>
      </c>
      <c r="G19" s="485">
        <v>1.1599999999999999E-2</v>
      </c>
    </row>
    <row r="20" spans="2:9" ht="15" thickBot="1" x14ac:dyDescent="0.35">
      <c r="B20" s="475" t="s">
        <v>251</v>
      </c>
      <c r="C20" s="474">
        <f>C17*C10+C5*C11*(1-D4)</f>
        <v>0.11706257519302893</v>
      </c>
      <c r="F20" s="481">
        <v>42948</v>
      </c>
      <c r="G20" s="485">
        <v>1.12E-2</v>
      </c>
    </row>
    <row r="21" spans="2:9" x14ac:dyDescent="0.3">
      <c r="F21" s="481">
        <v>42979</v>
      </c>
      <c r="G21" s="485">
        <v>9.9000000000000008E-3</v>
      </c>
    </row>
    <row r="22" spans="2:9" x14ac:dyDescent="0.3">
      <c r="F22" s="481">
        <v>43009</v>
      </c>
      <c r="G22" s="486">
        <v>0.01</v>
      </c>
    </row>
    <row r="23" spans="2:9" x14ac:dyDescent="0.3">
      <c r="F23" s="481">
        <v>43040</v>
      </c>
      <c r="G23" s="485">
        <v>8.9999999999999993E-3</v>
      </c>
    </row>
    <row r="24" spans="2:9" ht="15" thickBot="1" x14ac:dyDescent="0.35">
      <c r="F24" s="482">
        <v>43070</v>
      </c>
      <c r="G24" s="487">
        <v>7.4000000000000003E-3</v>
      </c>
    </row>
    <row r="25" spans="2:9" ht="15" thickBot="1" x14ac:dyDescent="0.35">
      <c r="F25" s="500"/>
      <c r="G25" s="501"/>
    </row>
    <row r="26" spans="2:9" ht="15" thickBot="1" x14ac:dyDescent="0.35">
      <c r="F26" s="618" t="s">
        <v>285</v>
      </c>
      <c r="G26" s="619"/>
      <c r="H26" s="620"/>
    </row>
    <row r="27" spans="2:9" ht="15" thickBot="1" x14ac:dyDescent="0.35">
      <c r="F27" s="502">
        <v>42737</v>
      </c>
      <c r="G27" s="503">
        <v>5.6899999999999999E-2</v>
      </c>
      <c r="H27" s="496">
        <f>AVERAGE(G27:G38)</f>
        <v>5.1233333333333332E-2</v>
      </c>
      <c r="I27" s="495"/>
    </row>
    <row r="28" spans="2:9" x14ac:dyDescent="0.3">
      <c r="F28" s="481">
        <v>42769</v>
      </c>
      <c r="G28" s="485">
        <v>5.5899999999999998E-2</v>
      </c>
      <c r="I28" s="495"/>
    </row>
    <row r="29" spans="2:9" x14ac:dyDescent="0.3">
      <c r="F29" s="481">
        <v>42795</v>
      </c>
      <c r="G29" s="485">
        <v>5.3900000000000003E-2</v>
      </c>
      <c r="I29" s="495"/>
    </row>
    <row r="30" spans="2:9" x14ac:dyDescent="0.3">
      <c r="F30" s="481">
        <v>42826</v>
      </c>
      <c r="G30" s="485">
        <v>5.3800000000000001E-2</v>
      </c>
      <c r="I30" s="495"/>
    </row>
    <row r="31" spans="2:9" x14ac:dyDescent="0.3">
      <c r="F31" s="481">
        <v>42856</v>
      </c>
      <c r="G31" s="485">
        <v>4.87E-2</v>
      </c>
      <c r="I31" s="495"/>
    </row>
    <row r="32" spans="2:9" x14ac:dyDescent="0.3">
      <c r="F32" s="481">
        <v>42888</v>
      </c>
      <c r="G32" s="485">
        <v>5.2900000000000003E-2</v>
      </c>
      <c r="I32" s="495"/>
    </row>
    <row r="33" spans="2:9" x14ac:dyDescent="0.3">
      <c r="F33" s="481">
        <v>42919</v>
      </c>
      <c r="G33" s="485">
        <v>5.1299999999999998E-2</v>
      </c>
      <c r="I33" s="495"/>
    </row>
    <row r="34" spans="2:9" x14ac:dyDescent="0.3">
      <c r="F34" s="481">
        <v>42948</v>
      </c>
      <c r="G34" s="485">
        <v>4.6899999999999997E-2</v>
      </c>
      <c r="I34" s="495"/>
    </row>
    <row r="35" spans="2:9" x14ac:dyDescent="0.3">
      <c r="F35" s="481">
        <v>42982</v>
      </c>
      <c r="G35" s="485">
        <v>5.04E-2</v>
      </c>
      <c r="I35" s="495"/>
    </row>
    <row r="36" spans="2:9" x14ac:dyDescent="0.3">
      <c r="F36" s="481">
        <v>43012</v>
      </c>
      <c r="G36" s="485">
        <v>4.9200000000000001E-2</v>
      </c>
      <c r="I36" s="495"/>
    </row>
    <row r="37" spans="2:9" x14ac:dyDescent="0.3">
      <c r="F37" s="481">
        <v>43040</v>
      </c>
      <c r="G37" s="485">
        <v>4.8099999999999997E-2</v>
      </c>
      <c r="I37" s="495"/>
    </row>
    <row r="38" spans="2:9" ht="15" thickBot="1" x14ac:dyDescent="0.35">
      <c r="F38" s="482">
        <v>43070</v>
      </c>
      <c r="G38" s="487">
        <v>4.6800000000000001E-2</v>
      </c>
      <c r="I38" s="504"/>
    </row>
    <row r="39" spans="2:9" x14ac:dyDescent="0.3">
      <c r="F39" s="500"/>
      <c r="G39" s="501"/>
    </row>
    <row r="40" spans="2:9" x14ac:dyDescent="0.3">
      <c r="F40" s="500"/>
      <c r="G40" s="501"/>
    </row>
    <row r="41" spans="2:9" x14ac:dyDescent="0.3">
      <c r="F41" s="500"/>
      <c r="G41" s="501"/>
    </row>
    <row r="42" spans="2:9" x14ac:dyDescent="0.3">
      <c r="F42" s="500"/>
      <c r="G42" s="501"/>
    </row>
    <row r="43" spans="2:9" x14ac:dyDescent="0.3">
      <c r="B43" t="s">
        <v>270</v>
      </c>
      <c r="F43" s="500"/>
      <c r="G43" s="501"/>
    </row>
    <row r="44" spans="2:9" x14ac:dyDescent="0.3">
      <c r="B44" s="480" t="s">
        <v>271</v>
      </c>
    </row>
    <row r="45" spans="2:9" x14ac:dyDescent="0.3">
      <c r="B45" s="480" t="s">
        <v>273</v>
      </c>
    </row>
    <row r="46" spans="2:9" x14ac:dyDescent="0.3">
      <c r="B46" s="480" t="s">
        <v>283</v>
      </c>
    </row>
    <row r="47" spans="2:9" x14ac:dyDescent="0.3">
      <c r="B47" s="480" t="s">
        <v>284</v>
      </c>
    </row>
    <row r="48" spans="2:9" x14ac:dyDescent="0.3">
      <c r="B48" s="480" t="s">
        <v>294</v>
      </c>
    </row>
  </sheetData>
  <mergeCells count="3">
    <mergeCell ref="F12:H12"/>
    <mergeCell ref="F26:H26"/>
    <mergeCell ref="J15:M15"/>
  </mergeCells>
  <hyperlinks>
    <hyperlink ref="B44" r:id="rId1" xr:uid="{5C5BA7A3-F719-4E11-BC07-8915FFBA922C}"/>
    <hyperlink ref="B45" r:id="rId2" xr:uid="{70A090B4-2F77-48B7-ABC0-AED747438056}"/>
    <hyperlink ref="B46" r:id="rId3" xr:uid="{6C2EC43D-1AAF-4292-831A-AB80B16332FF}"/>
    <hyperlink ref="B47" r:id="rId4" xr:uid="{FF6DDA09-E3E4-435A-9D2C-144147C5F18D}"/>
    <hyperlink ref="B48" r:id="rId5" xr:uid="{55CDD76A-93C1-4C66-972E-F63D9626D54B}"/>
  </hyperlinks>
  <pageMargins left="0.7" right="0.7" top="0.75" bottom="0.75" header="0.3" footer="0.3"/>
  <pageSetup paperSize="9" orientation="portrait" r:id="rId6"/>
  <legacy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F3F75-511C-494C-979E-3E00983A6C23}">
  <dimension ref="A1:D48"/>
  <sheetViews>
    <sheetView topLeftCell="A40" workbookViewId="0">
      <selection activeCell="C36" sqref="C36"/>
    </sheetView>
  </sheetViews>
  <sheetFormatPr defaultRowHeight="14.4" x14ac:dyDescent="0.3"/>
  <cols>
    <col min="1" max="1" width="13.109375" customWidth="1"/>
    <col min="2" max="2" width="69.44140625" customWidth="1"/>
    <col min="3" max="3" width="70.6640625" customWidth="1"/>
    <col min="4" max="4" width="51.33203125" customWidth="1"/>
  </cols>
  <sheetData>
    <row r="1" spans="1:3" x14ac:dyDescent="0.3">
      <c r="B1" s="520" t="s">
        <v>295</v>
      </c>
    </row>
    <row r="2" spans="1:3" x14ac:dyDescent="0.3">
      <c r="B2" t="s">
        <v>296</v>
      </c>
    </row>
    <row r="3" spans="1:3" x14ac:dyDescent="0.3">
      <c r="B3" s="480" t="s">
        <v>297</v>
      </c>
    </row>
    <row r="6" spans="1:3" ht="15" thickBot="1" x14ac:dyDescent="0.35"/>
    <row r="7" spans="1:3" s="6" customFormat="1" x14ac:dyDescent="0.3">
      <c r="A7" s="517"/>
      <c r="B7" s="518" t="s">
        <v>298</v>
      </c>
      <c r="C7" s="519" t="s">
        <v>299</v>
      </c>
    </row>
    <row r="8" spans="1:3" x14ac:dyDescent="0.3">
      <c r="A8" s="621" t="s">
        <v>308</v>
      </c>
      <c r="B8" s="453" t="s">
        <v>300</v>
      </c>
      <c r="C8" s="54" t="s">
        <v>301</v>
      </c>
    </row>
    <row r="9" spans="1:3" x14ac:dyDescent="0.3">
      <c r="A9" s="621"/>
      <c r="B9" s="453" t="s">
        <v>304</v>
      </c>
      <c r="C9" s="54" t="s">
        <v>302</v>
      </c>
    </row>
    <row r="10" spans="1:3" x14ac:dyDescent="0.3">
      <c r="A10" s="621"/>
      <c r="B10" s="453" t="s">
        <v>305</v>
      </c>
      <c r="C10" s="54" t="s">
        <v>303</v>
      </c>
    </row>
    <row r="11" spans="1:3" ht="15" thickBot="1" x14ac:dyDescent="0.35">
      <c r="A11" s="622"/>
      <c r="B11" s="454" t="s">
        <v>306</v>
      </c>
      <c r="C11" s="94"/>
    </row>
    <row r="12" spans="1:3" ht="15" thickBot="1" x14ac:dyDescent="0.35"/>
    <row r="13" spans="1:3" x14ac:dyDescent="0.3">
      <c r="A13" s="526"/>
      <c r="B13" s="527" t="s">
        <v>309</v>
      </c>
      <c r="C13" s="528"/>
    </row>
    <row r="14" spans="1:3" x14ac:dyDescent="0.3">
      <c r="A14" s="521" t="s">
        <v>310</v>
      </c>
      <c r="B14" s="522" t="s">
        <v>307</v>
      </c>
      <c r="C14" s="220"/>
    </row>
    <row r="15" spans="1:3" ht="15" thickBot="1" x14ac:dyDescent="0.35">
      <c r="A15" s="523" t="s">
        <v>311</v>
      </c>
      <c r="B15" s="529" t="s">
        <v>312</v>
      </c>
      <c r="C15" s="220"/>
    </row>
    <row r="16" spans="1:3" x14ac:dyDescent="0.3">
      <c r="A16" s="521"/>
      <c r="B16" s="529" t="s">
        <v>313</v>
      </c>
      <c r="C16" s="220"/>
    </row>
    <row r="17" spans="1:4" x14ac:dyDescent="0.3">
      <c r="A17" s="521"/>
      <c r="B17" s="529" t="s">
        <v>314</v>
      </c>
      <c r="C17" s="220"/>
    </row>
    <row r="18" spans="1:4" x14ac:dyDescent="0.3">
      <c r="A18" s="521"/>
      <c r="B18" s="529" t="s">
        <v>315</v>
      </c>
      <c r="C18" s="220"/>
    </row>
    <row r="19" spans="1:4" x14ac:dyDescent="0.3">
      <c r="A19" s="521"/>
      <c r="B19" s="529" t="s">
        <v>316</v>
      </c>
      <c r="C19" s="220"/>
    </row>
    <row r="20" spans="1:4" x14ac:dyDescent="0.3">
      <c r="A20" s="521"/>
      <c r="B20" s="529" t="s">
        <v>317</v>
      </c>
      <c r="C20" s="220"/>
    </row>
    <row r="21" spans="1:4" x14ac:dyDescent="0.3">
      <c r="A21" s="521"/>
      <c r="B21" s="529"/>
      <c r="C21" s="220"/>
    </row>
    <row r="22" spans="1:4" x14ac:dyDescent="0.3">
      <c r="A22" s="521"/>
      <c r="B22" s="529"/>
      <c r="C22" s="220"/>
    </row>
    <row r="23" spans="1:4" x14ac:dyDescent="0.3">
      <c r="A23" s="521"/>
      <c r="B23" s="529"/>
      <c r="C23" s="220"/>
    </row>
    <row r="24" spans="1:4" x14ac:dyDescent="0.3">
      <c r="A24" s="521"/>
      <c r="B24" s="529"/>
      <c r="C24" s="220"/>
    </row>
    <row r="25" spans="1:4" x14ac:dyDescent="0.3">
      <c r="A25" s="521"/>
      <c r="B25" s="529"/>
      <c r="C25" s="220"/>
    </row>
    <row r="26" spans="1:4" ht="15" thickBot="1" x14ac:dyDescent="0.35">
      <c r="A26" s="523"/>
      <c r="B26" s="530"/>
      <c r="C26" s="525"/>
    </row>
    <row r="27" spans="1:4" ht="15" thickBot="1" x14ac:dyDescent="0.35"/>
    <row r="28" spans="1:4" x14ac:dyDescent="0.3">
      <c r="A28" s="606"/>
      <c r="B28" s="607" t="s">
        <v>358</v>
      </c>
      <c r="C28" s="608"/>
      <c r="D28" s="609"/>
    </row>
    <row r="29" spans="1:4" s="429" customFormat="1" x14ac:dyDescent="0.3">
      <c r="A29" s="610" t="s">
        <v>359</v>
      </c>
      <c r="B29" s="611" t="s">
        <v>360</v>
      </c>
      <c r="C29" s="468"/>
      <c r="D29" s="612"/>
    </row>
    <row r="30" spans="1:4" s="429" customFormat="1" x14ac:dyDescent="0.3">
      <c r="A30" s="613"/>
      <c r="B30" s="611" t="s">
        <v>363</v>
      </c>
      <c r="C30" s="611" t="s">
        <v>364</v>
      </c>
      <c r="D30" s="614" t="s">
        <v>365</v>
      </c>
    </row>
    <row r="31" spans="1:4" s="429" customFormat="1" ht="73.2" customHeight="1" x14ac:dyDescent="0.3">
      <c r="A31" s="613">
        <v>1</v>
      </c>
      <c r="B31" s="627" t="s">
        <v>369</v>
      </c>
      <c r="C31" s="625" t="s">
        <v>381</v>
      </c>
      <c r="D31" s="626" t="s">
        <v>382</v>
      </c>
    </row>
    <row r="32" spans="1:4" ht="43.2" x14ac:dyDescent="0.3">
      <c r="A32" s="521">
        <v>2</v>
      </c>
      <c r="B32" s="629" t="s">
        <v>370</v>
      </c>
      <c r="C32" s="625" t="s">
        <v>383</v>
      </c>
      <c r="D32" s="626" t="s">
        <v>382</v>
      </c>
    </row>
    <row r="33" spans="1:4" x14ac:dyDescent="0.3">
      <c r="A33" s="613">
        <v>3</v>
      </c>
      <c r="B33" s="629" t="s">
        <v>371</v>
      </c>
      <c r="C33" s="135">
        <v>20</v>
      </c>
      <c r="D33" s="220" t="s">
        <v>384</v>
      </c>
    </row>
    <row r="34" spans="1:4" ht="86.4" x14ac:dyDescent="0.3">
      <c r="A34" s="521">
        <v>4</v>
      </c>
      <c r="B34" s="629" t="s">
        <v>372</v>
      </c>
      <c r="C34" s="135">
        <v>26</v>
      </c>
      <c r="D34" s="631" t="s">
        <v>385</v>
      </c>
    </row>
    <row r="35" spans="1:4" ht="28.8" x14ac:dyDescent="0.3">
      <c r="A35" s="613">
        <v>5</v>
      </c>
      <c r="B35" s="629" t="s">
        <v>373</v>
      </c>
      <c r="C35" s="468">
        <v>23</v>
      </c>
      <c r="D35" s="631" t="s">
        <v>386</v>
      </c>
    </row>
    <row r="36" spans="1:4" ht="43.2" x14ac:dyDescent="0.3">
      <c r="A36" s="521">
        <v>6</v>
      </c>
      <c r="B36" s="629" t="s">
        <v>374</v>
      </c>
      <c r="C36" s="468">
        <v>24</v>
      </c>
      <c r="D36" s="631" t="s">
        <v>387</v>
      </c>
    </row>
    <row r="37" spans="1:4" x14ac:dyDescent="0.3">
      <c r="A37" s="613">
        <v>7</v>
      </c>
      <c r="B37" s="629" t="s">
        <v>375</v>
      </c>
      <c r="C37" s="468">
        <v>45</v>
      </c>
      <c r="D37" s="220" t="s">
        <v>388</v>
      </c>
    </row>
    <row r="38" spans="1:4" x14ac:dyDescent="0.3">
      <c r="A38" s="521">
        <v>8</v>
      </c>
      <c r="B38" s="628" t="s">
        <v>361</v>
      </c>
      <c r="C38" s="468">
        <v>31</v>
      </c>
      <c r="D38" s="220" t="s">
        <v>389</v>
      </c>
    </row>
    <row r="39" spans="1:4" x14ac:dyDescent="0.3">
      <c r="A39" s="613">
        <v>9</v>
      </c>
      <c r="B39" s="628" t="s">
        <v>362</v>
      </c>
      <c r="C39" s="468">
        <v>34</v>
      </c>
      <c r="D39" s="220" t="s">
        <v>390</v>
      </c>
    </row>
    <row r="40" spans="1:4" x14ac:dyDescent="0.3">
      <c r="A40" s="521">
        <v>10</v>
      </c>
      <c r="B40" s="629" t="s">
        <v>376</v>
      </c>
      <c r="C40" s="468">
        <v>33</v>
      </c>
      <c r="D40" s="220" t="s">
        <v>391</v>
      </c>
    </row>
    <row r="41" spans="1:4" ht="86.4" x14ac:dyDescent="0.3">
      <c r="A41" s="613">
        <v>11</v>
      </c>
      <c r="B41" s="629" t="s">
        <v>379</v>
      </c>
      <c r="C41" s="468">
        <v>24</v>
      </c>
      <c r="D41" s="631" t="s">
        <v>392</v>
      </c>
    </row>
    <row r="42" spans="1:4" x14ac:dyDescent="0.3">
      <c r="A42" s="521">
        <v>12</v>
      </c>
      <c r="B42" s="629" t="s">
        <v>380</v>
      </c>
      <c r="C42" s="468">
        <v>33</v>
      </c>
      <c r="D42" s="220" t="s">
        <v>393</v>
      </c>
    </row>
    <row r="43" spans="1:4" x14ac:dyDescent="0.3">
      <c r="A43" s="613">
        <v>13</v>
      </c>
      <c r="B43" s="629" t="s">
        <v>377</v>
      </c>
      <c r="C43" s="468">
        <v>34</v>
      </c>
      <c r="D43" s="220" t="s">
        <v>394</v>
      </c>
    </row>
    <row r="44" spans="1:4" x14ac:dyDescent="0.3">
      <c r="A44" s="521">
        <v>14</v>
      </c>
      <c r="B44" s="630" t="s">
        <v>378</v>
      </c>
      <c r="C44" s="468">
        <v>35</v>
      </c>
      <c r="D44" s="220" t="s">
        <v>395</v>
      </c>
    </row>
    <row r="45" spans="1:4" x14ac:dyDescent="0.3">
      <c r="A45" s="576" t="s">
        <v>366</v>
      </c>
      <c r="B45" s="218" t="s">
        <v>367</v>
      </c>
      <c r="C45" s="135"/>
      <c r="D45" s="220"/>
    </row>
    <row r="46" spans="1:4" x14ac:dyDescent="0.3">
      <c r="A46" s="521"/>
      <c r="B46" s="218" t="s">
        <v>363</v>
      </c>
      <c r="C46" s="218" t="s">
        <v>364</v>
      </c>
      <c r="D46" s="219" t="s">
        <v>365</v>
      </c>
    </row>
    <row r="47" spans="1:4" ht="28.8" x14ac:dyDescent="0.3">
      <c r="A47" s="521">
        <v>1</v>
      </c>
      <c r="B47" s="135" t="s">
        <v>368</v>
      </c>
      <c r="C47" s="468">
        <v>52</v>
      </c>
      <c r="D47" s="631" t="s">
        <v>397</v>
      </c>
    </row>
    <row r="48" spans="1:4" ht="29.4" thickBot="1" x14ac:dyDescent="0.35">
      <c r="A48" s="523">
        <v>2</v>
      </c>
      <c r="B48" s="524" t="s">
        <v>361</v>
      </c>
      <c r="C48" s="524">
        <v>52</v>
      </c>
      <c r="D48" s="632" t="s">
        <v>396</v>
      </c>
    </row>
  </sheetData>
  <mergeCells count="1">
    <mergeCell ref="A8:A11"/>
  </mergeCells>
  <hyperlinks>
    <hyperlink ref="B3" r:id="rId1" xr:uid="{528567E0-764A-4649-84A6-3563080A4636}"/>
    <hyperlink ref="B14" r:id="rId2" xr:uid="{93F97943-F902-4F5D-A97C-352634335EF9}"/>
  </hyperlinks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4A1B7-CCDE-4E0D-A100-110DCDF83F93}">
  <dimension ref="B2:K17"/>
  <sheetViews>
    <sheetView tabSelected="1" workbookViewId="0">
      <selection activeCell="E20" sqref="E20"/>
    </sheetView>
  </sheetViews>
  <sheetFormatPr defaultRowHeight="14.4" x14ac:dyDescent="0.3"/>
  <cols>
    <col min="2" max="2" width="38.33203125" bestFit="1" customWidth="1"/>
    <col min="3" max="6" width="11.5546875" bestFit="1" customWidth="1"/>
    <col min="7" max="7" width="12.5546875" bestFit="1" customWidth="1"/>
    <col min="9" max="9" width="24.88671875" bestFit="1" customWidth="1"/>
    <col min="10" max="10" width="13.6640625" bestFit="1" customWidth="1"/>
  </cols>
  <sheetData>
    <row r="2" spans="2:11" ht="15" thickBot="1" x14ac:dyDescent="0.35"/>
    <row r="3" spans="2:11" ht="15" thickBot="1" x14ac:dyDescent="0.35">
      <c r="B3" s="575" t="s">
        <v>337</v>
      </c>
      <c r="C3" s="578">
        <f>'FCF - KONČNI_IZRAČUN'!G15</f>
        <v>4682367.0678445715</v>
      </c>
      <c r="D3" s="578">
        <f>'FCF - KONČNI_IZRAČUN'!H15</f>
        <v>7684637.5995038971</v>
      </c>
      <c r="E3" s="578">
        <f>'FCF - KONČNI_IZRAČUN'!I15</f>
        <v>4377972.9958475828</v>
      </c>
      <c r="F3" s="578">
        <f>'FCF - KONČNI_IZRAČUN'!J15</f>
        <v>6177218.584839562</v>
      </c>
      <c r="G3" s="579">
        <f>'FCF - KONČNI_IZRAČUN'!K15</f>
        <v>11048504.310790446</v>
      </c>
      <c r="I3" s="588" t="s">
        <v>339</v>
      </c>
      <c r="J3" s="592">
        <v>1.7999999999999999E-2</v>
      </c>
      <c r="K3" s="453">
        <f>AVERAGE('FCF - KONČNI_IZRAČUN'!G16:J16)</f>
        <v>1.3526141893081485</v>
      </c>
    </row>
    <row r="4" spans="2:11" x14ac:dyDescent="0.3">
      <c r="B4" s="576" t="s">
        <v>251</v>
      </c>
      <c r="C4" s="504">
        <f>'WACC IZRAČUN'!$C$20</f>
        <v>0.11706257519302893</v>
      </c>
      <c r="D4" s="504">
        <f>'WACC IZRAČUN'!$C$20</f>
        <v>0.11706257519302893</v>
      </c>
      <c r="E4" s="504">
        <f>'WACC IZRAČUN'!$C$20</f>
        <v>0.11706257519302893</v>
      </c>
      <c r="F4" s="504">
        <f>'WACC IZRAČUN'!$C$20</f>
        <v>0.11706257519302893</v>
      </c>
      <c r="G4" s="577">
        <f>'WACC IZRAČUN'!$C$20</f>
        <v>0.11706257519302893</v>
      </c>
      <c r="I4" s="585" t="s">
        <v>340</v>
      </c>
      <c r="J4" s="589">
        <f>'FCF - KONČNI_IZRAČUN'!K15*(1+J3)/(G4-J3)</f>
        <v>113538108.27619345</v>
      </c>
    </row>
    <row r="5" spans="2:11" ht="15" thickBot="1" x14ac:dyDescent="0.35">
      <c r="B5" s="563" t="s">
        <v>346</v>
      </c>
      <c r="C5" s="524">
        <v>1</v>
      </c>
      <c r="D5" s="524">
        <v>2</v>
      </c>
      <c r="E5" s="524">
        <v>3</v>
      </c>
      <c r="F5" s="524">
        <v>4</v>
      </c>
      <c r="G5" s="525">
        <v>5</v>
      </c>
      <c r="I5" s="585" t="s">
        <v>343</v>
      </c>
      <c r="J5" s="590">
        <f>J4/(1+G4)^5</f>
        <v>65276091.753878497</v>
      </c>
    </row>
    <row r="6" spans="2:11" ht="15" thickBot="1" x14ac:dyDescent="0.35">
      <c r="B6" s="582" t="s">
        <v>338</v>
      </c>
      <c r="C6" s="583">
        <f>C3*(1/(1+C4))</f>
        <v>4191678.3999638124</v>
      </c>
      <c r="D6" s="583">
        <f>D3*(1/(1+D4)^D5)</f>
        <v>6158407.0015166849</v>
      </c>
      <c r="E6" s="583">
        <f t="shared" ref="E6:G6" si="0">E3*(1/(1+E4)^E5)</f>
        <v>3140802.0997780403</v>
      </c>
      <c r="F6" s="583">
        <f t="shared" si="0"/>
        <v>3967189.6442788779</v>
      </c>
      <c r="G6" s="584">
        <f t="shared" si="0"/>
        <v>6352080.3022354068</v>
      </c>
    </row>
    <row r="7" spans="2:11" ht="15" thickBot="1" x14ac:dyDescent="0.35"/>
    <row r="8" spans="2:11" x14ac:dyDescent="0.3">
      <c r="B8" s="585" t="s">
        <v>344</v>
      </c>
      <c r="C8" s="586">
        <f>SUM(C6:G6)+J5</f>
        <v>89086249.20165132</v>
      </c>
    </row>
    <row r="9" spans="2:11" x14ac:dyDescent="0.3">
      <c r="B9" s="585" t="s">
        <v>345</v>
      </c>
      <c r="C9" s="591">
        <f>PASIVA!F3+PASIVA!F6-AKTIVA!F10-AKTIVA!F8</f>
        <v>16287656</v>
      </c>
      <c r="D9" s="557"/>
    </row>
    <row r="10" spans="2:11" ht="15" thickBot="1" x14ac:dyDescent="0.35">
      <c r="B10" s="585" t="s">
        <v>341</v>
      </c>
      <c r="C10" s="587">
        <f>(C8-C9)/C11</f>
        <v>141.57228630368877</v>
      </c>
    </row>
    <row r="11" spans="2:11" x14ac:dyDescent="0.3">
      <c r="B11" s="580" t="s">
        <v>342</v>
      </c>
      <c r="C11" s="581">
        <f>'ANALIZA DELNICE'!G3</f>
        <v>514215</v>
      </c>
    </row>
    <row r="13" spans="2:11" x14ac:dyDescent="0.3">
      <c r="B13" s="603" t="s">
        <v>356</v>
      </c>
      <c r="C13" s="602">
        <v>0.33400000000000002</v>
      </c>
    </row>
    <row r="14" spans="2:11" x14ac:dyDescent="0.3">
      <c r="B14" s="453" t="s">
        <v>355</v>
      </c>
      <c r="C14" s="453">
        <f>1-(1/(1+C13))</f>
        <v>0.2503748125937032</v>
      </c>
    </row>
    <row r="15" spans="2:11" x14ac:dyDescent="0.3">
      <c r="B15" s="580" t="s">
        <v>295</v>
      </c>
      <c r="C15" s="453">
        <v>0.25</v>
      </c>
    </row>
    <row r="17" spans="2:3" x14ac:dyDescent="0.3">
      <c r="B17" s="605" t="s">
        <v>357</v>
      </c>
      <c r="C17" s="604">
        <f>C10*(1-C14)*(1-C15)</f>
        <v>79.594613738955445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07D2D-D345-4415-BB7E-16436BF85CD2}">
  <dimension ref="B1:G24"/>
  <sheetViews>
    <sheetView topLeftCell="A4" workbookViewId="0">
      <selection activeCell="F24" sqref="F24"/>
    </sheetView>
  </sheetViews>
  <sheetFormatPr defaultRowHeight="14.4" x14ac:dyDescent="0.3"/>
  <cols>
    <col min="2" max="2" width="46.44140625" customWidth="1"/>
    <col min="3" max="3" width="12.5546875" bestFit="1" customWidth="1"/>
    <col min="4" max="4" width="12.88671875" bestFit="1" customWidth="1"/>
    <col min="5" max="7" width="11.5546875" bestFit="1" customWidth="1"/>
  </cols>
  <sheetData>
    <row r="1" spans="2:7" ht="15" thickBot="1" x14ac:dyDescent="0.35"/>
    <row r="2" spans="2:7" ht="15" thickBot="1" x14ac:dyDescent="0.35">
      <c r="C2" s="492">
        <v>2013</v>
      </c>
      <c r="D2" s="493">
        <v>2014</v>
      </c>
      <c r="E2" s="493">
        <v>2015</v>
      </c>
      <c r="F2" s="493">
        <v>2016</v>
      </c>
      <c r="G2" s="494">
        <v>2017</v>
      </c>
    </row>
    <row r="3" spans="2:7" x14ac:dyDescent="0.3">
      <c r="B3" s="434" t="s">
        <v>281</v>
      </c>
      <c r="C3" s="476">
        <v>514215</v>
      </c>
      <c r="D3" s="476">
        <v>514215</v>
      </c>
      <c r="E3" s="476">
        <v>514215</v>
      </c>
      <c r="F3" s="476">
        <v>514215</v>
      </c>
      <c r="G3" s="477">
        <v>514215</v>
      </c>
    </row>
    <row r="4" spans="2:7" x14ac:dyDescent="0.3">
      <c r="B4" s="55" t="s">
        <v>274</v>
      </c>
      <c r="C4" s="453">
        <v>38105</v>
      </c>
      <c r="D4" s="453">
        <v>8911</v>
      </c>
      <c r="E4" s="453">
        <v>157</v>
      </c>
      <c r="F4" s="453">
        <v>580</v>
      </c>
      <c r="G4" s="54">
        <v>654</v>
      </c>
    </row>
    <row r="5" spans="2:7" x14ac:dyDescent="0.3">
      <c r="B5" s="55" t="s">
        <v>282</v>
      </c>
      <c r="C5" s="453">
        <v>209567</v>
      </c>
      <c r="D5" s="453">
        <v>49000</v>
      </c>
      <c r="E5" s="453">
        <v>1372</v>
      </c>
      <c r="F5" s="453">
        <v>3699</v>
      </c>
      <c r="G5" s="54">
        <v>1985</v>
      </c>
    </row>
    <row r="6" spans="2:7" x14ac:dyDescent="0.3">
      <c r="B6" s="430" t="s">
        <v>292</v>
      </c>
      <c r="C6" s="515">
        <v>64471</v>
      </c>
      <c r="D6" s="515">
        <v>-37933</v>
      </c>
      <c r="E6" s="515">
        <v>63700</v>
      </c>
      <c r="F6" s="515">
        <v>935</v>
      </c>
      <c r="G6" s="516">
        <v>29160</v>
      </c>
    </row>
    <row r="7" spans="2:7" x14ac:dyDescent="0.3">
      <c r="B7" s="55" t="s">
        <v>276</v>
      </c>
      <c r="C7" s="168">
        <v>9.7699999999999995E-2</v>
      </c>
      <c r="D7" s="168">
        <v>2.2800000000000001E-2</v>
      </c>
      <c r="E7" s="168">
        <v>5.9999999999999995E-4</v>
      </c>
      <c r="F7" s="168">
        <v>1.6999999999999999E-3</v>
      </c>
      <c r="G7" s="462">
        <v>8.9999999999999998E-4</v>
      </c>
    </row>
    <row r="8" spans="2:7" ht="15" thickBot="1" x14ac:dyDescent="0.35">
      <c r="B8" s="464" t="s">
        <v>321</v>
      </c>
      <c r="C8" s="536">
        <f>1-C4/C3</f>
        <v>0.92589675524829107</v>
      </c>
      <c r="D8" s="536">
        <f>1-D4/D3</f>
        <v>0.98267067277306186</v>
      </c>
      <c r="E8" s="536">
        <f>1-E4/E3</f>
        <v>0.99969468024075536</v>
      </c>
      <c r="F8" s="536">
        <f>1-F4/F3</f>
        <v>0.99887206713145282</v>
      </c>
      <c r="G8" s="537">
        <f>1-G4/G3</f>
        <v>0.99872815845512086</v>
      </c>
    </row>
    <row r="9" spans="2:7" x14ac:dyDescent="0.3">
      <c r="B9" s="593" t="s">
        <v>347</v>
      </c>
      <c r="C9" s="597"/>
      <c r="D9" s="599">
        <v>479312</v>
      </c>
      <c r="E9" s="598"/>
      <c r="F9" s="594"/>
      <c r="G9" s="595"/>
    </row>
    <row r="10" spans="2:7" ht="15" thickBot="1" x14ac:dyDescent="0.35">
      <c r="B10" s="593" t="s">
        <v>348</v>
      </c>
      <c r="C10" s="597"/>
      <c r="D10" s="600">
        <v>34903</v>
      </c>
      <c r="E10" s="598"/>
      <c r="F10" s="594"/>
      <c r="G10" s="595"/>
    </row>
    <row r="11" spans="2:7" x14ac:dyDescent="0.3">
      <c r="B11" s="434" t="s">
        <v>275</v>
      </c>
      <c r="C11" s="476">
        <v>4.1729000000000003</v>
      </c>
      <c r="D11" s="476">
        <v>4.1729000000000003</v>
      </c>
      <c r="E11" s="476">
        <v>4.1729000000000003</v>
      </c>
      <c r="F11" s="476">
        <v>4.1729000000000003</v>
      </c>
      <c r="G11" s="477">
        <v>4.1729000000000003</v>
      </c>
    </row>
    <row r="12" spans="2:7" x14ac:dyDescent="0.3">
      <c r="B12" s="55" t="s">
        <v>277</v>
      </c>
      <c r="C12" s="453">
        <v>5.5</v>
      </c>
      <c r="D12" s="453">
        <v>5.5</v>
      </c>
      <c r="E12" s="453" t="s">
        <v>279</v>
      </c>
      <c r="F12" s="453" t="s">
        <v>279</v>
      </c>
      <c r="G12" s="54" t="s">
        <v>279</v>
      </c>
    </row>
    <row r="13" spans="2:7" ht="15" thickBot="1" x14ac:dyDescent="0.35">
      <c r="B13" s="91" t="s">
        <v>278</v>
      </c>
      <c r="C13" s="454" t="s">
        <v>280</v>
      </c>
      <c r="D13" s="454" t="s">
        <v>280</v>
      </c>
      <c r="E13" s="454">
        <v>5.5</v>
      </c>
      <c r="F13" s="454" t="s">
        <v>280</v>
      </c>
      <c r="G13" s="94" t="s">
        <v>280</v>
      </c>
    </row>
    <row r="14" spans="2:7" x14ac:dyDescent="0.3">
      <c r="C14" s="539">
        <f>C3*C11-C5</f>
        <v>1936200.7735000001</v>
      </c>
      <c r="D14" s="539">
        <f>D3*D11-D5</f>
        <v>2096767.7735000001</v>
      </c>
      <c r="E14" s="539">
        <f>E3*E11-E5</f>
        <v>2144395.7735000001</v>
      </c>
      <c r="F14" s="539">
        <f>F3*F11-F5</f>
        <v>2142068.7735000001</v>
      </c>
      <c r="G14" s="539">
        <f>G3*G11-G5</f>
        <v>2143782.7735000001</v>
      </c>
    </row>
    <row r="15" spans="2:7" ht="15" thickBot="1" x14ac:dyDescent="0.35"/>
    <row r="16" spans="2:7" ht="15" thickBot="1" x14ac:dyDescent="0.35">
      <c r="B16" s="281" t="s">
        <v>287</v>
      </c>
      <c r="C16" s="508">
        <v>2013</v>
      </c>
      <c r="D16" s="509">
        <v>2014</v>
      </c>
      <c r="E16" s="509">
        <v>2015</v>
      </c>
      <c r="F16" s="509">
        <v>2016</v>
      </c>
      <c r="G16" s="510">
        <v>2017</v>
      </c>
    </row>
    <row r="17" spans="2:7" x14ac:dyDescent="0.3">
      <c r="B17" s="434" t="s">
        <v>288</v>
      </c>
      <c r="C17" s="512">
        <v>0.59040000000000004</v>
      </c>
      <c r="D17" s="512">
        <v>0.62560000000000004</v>
      </c>
      <c r="E17" s="512">
        <v>0.62560000000000004</v>
      </c>
      <c r="F17" s="512">
        <v>0.5877</v>
      </c>
      <c r="G17" s="513">
        <v>0.52659999999999996</v>
      </c>
    </row>
    <row r="18" spans="2:7" x14ac:dyDescent="0.3">
      <c r="B18" s="55" t="s">
        <v>289</v>
      </c>
      <c r="C18" s="168">
        <v>0.1968</v>
      </c>
      <c r="D18" s="168">
        <v>0.2198</v>
      </c>
      <c r="E18" s="168">
        <v>0.2198</v>
      </c>
      <c r="F18" s="168">
        <v>0.26040000000000002</v>
      </c>
      <c r="G18" s="462">
        <v>0.30509999999999998</v>
      </c>
    </row>
    <row r="19" spans="2:7" x14ac:dyDescent="0.3">
      <c r="B19" s="55" t="s">
        <v>290</v>
      </c>
      <c r="C19" s="511">
        <v>6.7699999999999996E-2</v>
      </c>
      <c r="D19" s="168">
        <v>6.6699999999999995E-2</v>
      </c>
      <c r="E19" s="168">
        <v>6.6699999999999995E-2</v>
      </c>
      <c r="F19" s="511">
        <v>7.5700000000000003E-2</v>
      </c>
      <c r="G19" s="462">
        <v>9.06E-2</v>
      </c>
    </row>
    <row r="20" spans="2:7" ht="15" thickBot="1" x14ac:dyDescent="0.35">
      <c r="B20" s="91" t="s">
        <v>291</v>
      </c>
      <c r="C20" s="173">
        <v>7.0999999999999994E-2</v>
      </c>
      <c r="D20" s="173">
        <v>7.0599999999999996E-2</v>
      </c>
      <c r="E20" s="173">
        <v>7.0599999999999996E-2</v>
      </c>
      <c r="F20" s="173">
        <v>7.51E-2</v>
      </c>
      <c r="G20" s="514">
        <v>7.6399999999999996E-2</v>
      </c>
    </row>
    <row r="22" spans="2:7" ht="15" thickBot="1" x14ac:dyDescent="0.35"/>
    <row r="23" spans="2:7" x14ac:dyDescent="0.3">
      <c r="B23" s="434" t="s">
        <v>349</v>
      </c>
      <c r="C23" s="596">
        <f>C24*G3</f>
        <v>17997525</v>
      </c>
    </row>
    <row r="24" spans="2:7" ht="15" thickBot="1" x14ac:dyDescent="0.35">
      <c r="B24" s="91" t="s">
        <v>350</v>
      </c>
      <c r="C24" s="558">
        <v>35</v>
      </c>
      <c r="E24" s="495"/>
    </row>
  </sheetData>
  <phoneticPr fontId="2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032AB-04F0-45BC-850D-25E7540A9A60}">
  <dimension ref="A1:O52"/>
  <sheetViews>
    <sheetView zoomScale="85" zoomScaleNormal="85" workbookViewId="0">
      <selection activeCell="L14" sqref="L14"/>
    </sheetView>
  </sheetViews>
  <sheetFormatPr defaultRowHeight="14.4" x14ac:dyDescent="0.3"/>
  <cols>
    <col min="1" max="1" width="37.5546875" customWidth="1"/>
    <col min="2" max="3" width="13.6640625" bestFit="1" customWidth="1"/>
    <col min="4" max="7" width="14" bestFit="1" customWidth="1"/>
    <col min="8" max="11" width="15.109375" bestFit="1" customWidth="1"/>
    <col min="12" max="12" width="39.109375" customWidth="1"/>
  </cols>
  <sheetData>
    <row r="1" spans="1:12" x14ac:dyDescent="0.3">
      <c r="A1" s="59" t="s">
        <v>13</v>
      </c>
      <c r="B1" s="60">
        <v>2013</v>
      </c>
      <c r="C1" s="60">
        <v>2014</v>
      </c>
      <c r="D1" s="60">
        <v>2015</v>
      </c>
      <c r="E1" s="60">
        <v>2016</v>
      </c>
      <c r="F1" s="301">
        <v>2017</v>
      </c>
      <c r="G1" s="61">
        <v>2018</v>
      </c>
      <c r="H1" s="60">
        <v>2019</v>
      </c>
      <c r="I1" s="60">
        <v>2020</v>
      </c>
      <c r="J1" s="60">
        <v>2021</v>
      </c>
      <c r="K1" s="62">
        <v>2022</v>
      </c>
      <c r="L1" t="s">
        <v>217</v>
      </c>
    </row>
    <row r="2" spans="1:12" x14ac:dyDescent="0.3">
      <c r="A2" s="353" t="s">
        <v>14</v>
      </c>
      <c r="B2" s="7">
        <v>83764805</v>
      </c>
      <c r="C2" s="7">
        <v>92337092</v>
      </c>
      <c r="D2" s="7">
        <v>105932291</v>
      </c>
      <c r="E2" s="7">
        <v>120997840</v>
      </c>
      <c r="F2" s="23">
        <v>139357926</v>
      </c>
      <c r="G2" s="35">
        <f>F2*G3</f>
        <v>157474456.38</v>
      </c>
      <c r="H2" s="34">
        <f>G2*H3</f>
        <v>176371391.14560002</v>
      </c>
      <c r="I2" s="34">
        <f>H2*I3</f>
        <v>197535958.08307204</v>
      </c>
      <c r="J2" s="34">
        <f>I2*J3</f>
        <v>221240273.05304071</v>
      </c>
      <c r="K2" s="69">
        <f>J2*K3</f>
        <v>247789105.81940562</v>
      </c>
    </row>
    <row r="3" spans="1:12" x14ac:dyDescent="0.3">
      <c r="A3" s="372" t="s">
        <v>17</v>
      </c>
      <c r="B3" s="44"/>
      <c r="C3" s="44">
        <f>C2/B2</f>
        <v>1.1023375748322939</v>
      </c>
      <c r="D3" s="44">
        <f>D2/C2</f>
        <v>1.1472344288252005</v>
      </c>
      <c r="E3" s="44">
        <f>E2/D2</f>
        <v>1.1422186649394754</v>
      </c>
      <c r="F3" s="45">
        <f>F2/E2</f>
        <v>1.1517389566623668</v>
      </c>
      <c r="G3" s="32">
        <v>1.1299999999999999</v>
      </c>
      <c r="H3" s="32">
        <v>1.1200000000000001</v>
      </c>
      <c r="I3" s="32">
        <v>1.1200000000000001</v>
      </c>
      <c r="J3" s="32">
        <v>1.1200000000000001</v>
      </c>
      <c r="K3" s="32">
        <v>1.1200000000000001</v>
      </c>
      <c r="L3" s="429"/>
    </row>
    <row r="4" spans="1:12" x14ac:dyDescent="0.3">
      <c r="A4" s="353" t="s">
        <v>18</v>
      </c>
      <c r="B4" s="7">
        <f>1262977+1685332+161816</f>
        <v>3110125</v>
      </c>
      <c r="C4" s="7">
        <f>1162820+2290650+231835</f>
        <v>3685305</v>
      </c>
      <c r="D4" s="7">
        <f>1043412+4437933+527322</f>
        <v>6008667</v>
      </c>
      <c r="E4" s="7">
        <v>6623153</v>
      </c>
      <c r="F4" s="23">
        <v>7155170</v>
      </c>
      <c r="G4" s="33">
        <f>F4*G5</f>
        <v>7727583.6000000006</v>
      </c>
      <c r="H4" s="34">
        <f>G4*H5</f>
        <v>8345790.2880000016</v>
      </c>
      <c r="I4" s="34">
        <f>H4*I5</f>
        <v>9013453.5110400021</v>
      </c>
      <c r="J4" s="34">
        <f>I4*J5</f>
        <v>9734529.7919232026</v>
      </c>
      <c r="K4" s="69">
        <f>J4*K5</f>
        <v>10513292.17527706</v>
      </c>
    </row>
    <row r="5" spans="1:12" x14ac:dyDescent="0.3">
      <c r="A5" s="373" t="s">
        <v>17</v>
      </c>
      <c r="B5" s="46"/>
      <c r="C5" s="46">
        <f>C4/B4</f>
        <v>1.1849379044250632</v>
      </c>
      <c r="D5" s="46">
        <f>D4/C4</f>
        <v>1.630439542995763</v>
      </c>
      <c r="E5" s="46">
        <f>E4/D4</f>
        <v>1.1022666092163202</v>
      </c>
      <c r="F5" s="47">
        <f>F4/E4</f>
        <v>1.0803268473489893</v>
      </c>
      <c r="G5" s="32">
        <v>1.08</v>
      </c>
      <c r="H5" s="32">
        <v>1.08</v>
      </c>
      <c r="I5" s="32">
        <v>1.08</v>
      </c>
      <c r="J5" s="32">
        <v>1.08</v>
      </c>
      <c r="K5" s="32">
        <v>1.08</v>
      </c>
    </row>
    <row r="6" spans="1:12" x14ac:dyDescent="0.3">
      <c r="A6" s="352" t="s">
        <v>225</v>
      </c>
      <c r="B6" s="39">
        <f t="shared" ref="B6:K6" si="0">B2+B4</f>
        <v>86874930</v>
      </c>
      <c r="C6" s="39">
        <f t="shared" si="0"/>
        <v>96022397</v>
      </c>
      <c r="D6" s="39">
        <f t="shared" si="0"/>
        <v>111940958</v>
      </c>
      <c r="E6" s="39">
        <f t="shared" si="0"/>
        <v>127620993</v>
      </c>
      <c r="F6" s="43">
        <f t="shared" si="0"/>
        <v>146513096</v>
      </c>
      <c r="G6" s="38">
        <f t="shared" si="0"/>
        <v>165202039.97999999</v>
      </c>
      <c r="H6" s="39">
        <f t="shared" si="0"/>
        <v>184717181.43360001</v>
      </c>
      <c r="I6" s="39">
        <f t="shared" si="0"/>
        <v>206549411.59411204</v>
      </c>
      <c r="J6" s="39">
        <f t="shared" si="0"/>
        <v>230974802.84496391</v>
      </c>
      <c r="K6" s="104">
        <f t="shared" si="0"/>
        <v>258302397.99468267</v>
      </c>
    </row>
    <row r="7" spans="1:12" ht="15" thickBot="1" x14ac:dyDescent="0.35">
      <c r="A7" s="374" t="s">
        <v>19</v>
      </c>
      <c r="B7" s="375"/>
      <c r="C7" s="375">
        <f t="shared" ref="C7:K7" si="1">C6/B6</f>
        <v>1.1052946690144096</v>
      </c>
      <c r="D7" s="375">
        <f t="shared" si="1"/>
        <v>1.1657796670083127</v>
      </c>
      <c r="E7" s="375">
        <f t="shared" si="1"/>
        <v>1.1400741540911237</v>
      </c>
      <c r="F7" s="376">
        <f t="shared" si="1"/>
        <v>1.1480328788853726</v>
      </c>
      <c r="G7" s="377">
        <f t="shared" si="1"/>
        <v>1.1275581807376454</v>
      </c>
      <c r="H7" s="375">
        <f t="shared" si="1"/>
        <v>1.1181289374874706</v>
      </c>
      <c r="I7" s="375">
        <f t="shared" si="1"/>
        <v>1.1181927419586577</v>
      </c>
      <c r="J7" s="375">
        <f t="shared" si="1"/>
        <v>1.1182544702613335</v>
      </c>
      <c r="K7" s="378">
        <f t="shared" si="1"/>
        <v>1.1183141832490782</v>
      </c>
    </row>
    <row r="8" spans="1:12" x14ac:dyDescent="0.3">
      <c r="B8" s="452"/>
      <c r="F8" s="27"/>
    </row>
    <row r="9" spans="1:12" x14ac:dyDescent="0.3">
      <c r="B9" s="3"/>
      <c r="C9" s="3"/>
      <c r="D9" s="3"/>
      <c r="E9" s="3"/>
      <c r="F9" s="28"/>
    </row>
    <row r="10" spans="1:12" ht="15" thickBot="1" x14ac:dyDescent="0.35">
      <c r="F10" s="27"/>
    </row>
    <row r="11" spans="1:12" x14ac:dyDescent="0.3">
      <c r="A11" s="59" t="s">
        <v>193</v>
      </c>
      <c r="B11" s="141">
        <v>2013</v>
      </c>
      <c r="C11" s="141">
        <v>2014</v>
      </c>
      <c r="D11" s="141">
        <v>2015</v>
      </c>
      <c r="E11" s="141">
        <v>2016</v>
      </c>
      <c r="F11" s="149">
        <v>2017</v>
      </c>
      <c r="G11" s="144">
        <v>2018</v>
      </c>
      <c r="H11" s="141">
        <v>2019</v>
      </c>
      <c r="I11" s="141">
        <v>2020</v>
      </c>
      <c r="J11" s="141">
        <v>2021</v>
      </c>
      <c r="K11" s="142">
        <v>2022</v>
      </c>
    </row>
    <row r="12" spans="1:12" x14ac:dyDescent="0.3">
      <c r="A12" s="48" t="s">
        <v>194</v>
      </c>
      <c r="B12" s="7">
        <v>54558744</v>
      </c>
      <c r="C12" s="7">
        <v>59976822</v>
      </c>
      <c r="D12" s="7">
        <v>68857267</v>
      </c>
      <c r="E12" s="7">
        <f>78885431</f>
        <v>78885431</v>
      </c>
      <c r="F12" s="23">
        <f>90875643</f>
        <v>90875643</v>
      </c>
      <c r="G12" s="33">
        <f>G6*G28</f>
        <v>104077285.1874</v>
      </c>
      <c r="H12" s="34">
        <f t="shared" ref="H12:K12" si="2">H6*H28</f>
        <v>120066167.93184</v>
      </c>
      <c r="I12" s="34">
        <f t="shared" si="2"/>
        <v>134257117.53617284</v>
      </c>
      <c r="J12" s="34">
        <f t="shared" si="2"/>
        <v>152443369.87767619</v>
      </c>
      <c r="K12" s="69">
        <f t="shared" si="2"/>
        <v>170479582.67649058</v>
      </c>
    </row>
    <row r="13" spans="1:12" x14ac:dyDescent="0.3">
      <c r="A13" s="55" t="s">
        <v>43</v>
      </c>
      <c r="B13" s="243"/>
      <c r="C13" s="243"/>
      <c r="D13" s="243"/>
      <c r="E13" s="243"/>
      <c r="F13" s="397"/>
      <c r="G13" s="53"/>
      <c r="H13" s="5"/>
      <c r="I13" s="5"/>
      <c r="J13" s="5"/>
      <c r="K13" s="54"/>
    </row>
    <row r="14" spans="1:12" x14ac:dyDescent="0.3">
      <c r="A14" s="298" t="s">
        <v>195</v>
      </c>
      <c r="B14" s="95">
        <v>1356622</v>
      </c>
      <c r="C14" s="95">
        <v>2588237</v>
      </c>
      <c r="D14" s="95">
        <v>2690153</v>
      </c>
      <c r="E14" s="95">
        <v>2350632</v>
      </c>
      <c r="F14" s="146">
        <v>3245365</v>
      </c>
      <c r="G14" s="267">
        <f>G30*G6</f>
        <v>3304040.7996</v>
      </c>
      <c r="H14" s="117">
        <f t="shared" ref="H14:K14" si="3">H30*H6</f>
        <v>3694343.628672</v>
      </c>
      <c r="I14" s="117">
        <f t="shared" si="3"/>
        <v>4130988.2318822411</v>
      </c>
      <c r="J14" s="117">
        <f t="shared" si="3"/>
        <v>4619496.0568992784</v>
      </c>
      <c r="K14" s="334">
        <f t="shared" si="3"/>
        <v>5166047.9598936532</v>
      </c>
    </row>
    <row r="15" spans="1:12" x14ac:dyDescent="0.3">
      <c r="A15" s="298" t="s">
        <v>196</v>
      </c>
      <c r="B15" s="95">
        <v>46523776</v>
      </c>
      <c r="C15" s="95">
        <v>49303597</v>
      </c>
      <c r="D15" s="95">
        <v>56421307</v>
      </c>
      <c r="E15" s="95">
        <v>65746330</v>
      </c>
      <c r="F15" s="146">
        <v>77918197</v>
      </c>
      <c r="G15" s="267">
        <f>G31*G6</f>
        <v>87557081.189400002</v>
      </c>
      <c r="H15" s="117">
        <f t="shared" ref="H15:K15" si="4">H31*H6</f>
        <v>99747277.974144012</v>
      </c>
      <c r="I15" s="117">
        <f t="shared" si="4"/>
        <v>111536682.26082051</v>
      </c>
      <c r="J15" s="117">
        <f t="shared" si="4"/>
        <v>127036141.56473015</v>
      </c>
      <c r="K15" s="334">
        <f t="shared" si="4"/>
        <v>142066318.89707547</v>
      </c>
    </row>
    <row r="16" spans="1:12" x14ac:dyDescent="0.3">
      <c r="A16" s="298" t="s">
        <v>197</v>
      </c>
      <c r="B16" s="95">
        <v>6678346</v>
      </c>
      <c r="C16" s="95">
        <v>8084988</v>
      </c>
      <c r="D16" s="95">
        <v>9745807</v>
      </c>
      <c r="E16" s="95">
        <v>10788469</v>
      </c>
      <c r="F16" s="146">
        <v>9712081</v>
      </c>
      <c r="G16" s="267">
        <f>G32*G6</f>
        <v>13216163.1984</v>
      </c>
      <c r="H16" s="117">
        <f t="shared" ref="H16:K16" si="5">H32*H6</f>
        <v>16624546.329024</v>
      </c>
      <c r="I16" s="117">
        <f t="shared" si="5"/>
        <v>18589447.043470081</v>
      </c>
      <c r="J16" s="117">
        <f t="shared" si="5"/>
        <v>20787732.25604675</v>
      </c>
      <c r="K16" s="334">
        <f t="shared" si="5"/>
        <v>23247215.819521438</v>
      </c>
    </row>
    <row r="17" spans="1:12" x14ac:dyDescent="0.3">
      <c r="A17" s="379" t="s">
        <v>198</v>
      </c>
      <c r="B17" s="44"/>
      <c r="C17" s="44">
        <f>C12/B12</f>
        <v>1.099307234785317</v>
      </c>
      <c r="D17" s="44">
        <f t="shared" ref="D17:K17" si="6">D12/C12</f>
        <v>1.1480646140270654</v>
      </c>
      <c r="E17" s="44">
        <f t="shared" si="6"/>
        <v>1.1456369739449577</v>
      </c>
      <c r="F17" s="45">
        <f t="shared" si="6"/>
        <v>1.1519952651333045</v>
      </c>
      <c r="G17" s="391">
        <f t="shared" si="6"/>
        <v>1.145271513373501</v>
      </c>
      <c r="H17" s="44">
        <f t="shared" si="6"/>
        <v>1.1536250942331043</v>
      </c>
      <c r="I17" s="44">
        <f t="shared" si="6"/>
        <v>1.1181927419586577</v>
      </c>
      <c r="J17" s="44">
        <f t="shared" si="6"/>
        <v>1.135458385188431</v>
      </c>
      <c r="K17" s="380">
        <f t="shared" si="6"/>
        <v>1.1183141832490782</v>
      </c>
    </row>
    <row r="18" spans="1:12" x14ac:dyDescent="0.3">
      <c r="A18" s="172"/>
      <c r="B18" s="244"/>
      <c r="C18" s="244"/>
      <c r="D18" s="244"/>
      <c r="E18" s="244"/>
      <c r="F18" s="398"/>
      <c r="G18" s="392"/>
      <c r="H18" s="74"/>
      <c r="I18" s="74"/>
      <c r="J18" s="74"/>
      <c r="K18" s="195"/>
    </row>
    <row r="19" spans="1:12" x14ac:dyDescent="0.3">
      <c r="A19" s="48" t="s">
        <v>199</v>
      </c>
      <c r="B19" s="7">
        <v>22166278</v>
      </c>
      <c r="C19" s="7">
        <v>24145924</v>
      </c>
      <c r="D19" s="7">
        <v>26083022</v>
      </c>
      <c r="E19" s="7">
        <v>30776943</v>
      </c>
      <c r="F19" s="23">
        <v>34236712</v>
      </c>
      <c r="G19" s="33">
        <f>G42</f>
        <v>37444004.587352239</v>
      </c>
      <c r="H19" s="34">
        <f t="shared" ref="H19:K19" si="7">H42</f>
        <v>40589351.180142321</v>
      </c>
      <c r="I19" s="34">
        <f t="shared" si="7"/>
        <v>43998911.1042201</v>
      </c>
      <c r="J19" s="34">
        <f t="shared" si="7"/>
        <v>47694878.63368886</v>
      </c>
      <c r="K19" s="69">
        <f t="shared" si="7"/>
        <v>51701312.391436085</v>
      </c>
    </row>
    <row r="20" spans="1:12" x14ac:dyDescent="0.3">
      <c r="A20" s="48" t="s">
        <v>200</v>
      </c>
      <c r="B20" s="7">
        <f>195274+31326</f>
        <v>226600</v>
      </c>
      <c r="C20" s="7">
        <f>233139+7384</f>
        <v>240523</v>
      </c>
      <c r="D20" s="7">
        <v>189623</v>
      </c>
      <c r="E20" s="7">
        <v>272484</v>
      </c>
      <c r="F20" s="23">
        <v>156879</v>
      </c>
      <c r="G20" s="33">
        <f>G35*G6</f>
        <v>0</v>
      </c>
      <c r="H20" s="34">
        <f>H35*H5</f>
        <v>0</v>
      </c>
      <c r="I20" s="34">
        <f>I35*I5</f>
        <v>0</v>
      </c>
      <c r="J20" s="34">
        <f>J35*J5</f>
        <v>0</v>
      </c>
      <c r="K20" s="69">
        <f>K35*K5</f>
        <v>0</v>
      </c>
    </row>
    <row r="21" spans="1:12" x14ac:dyDescent="0.3">
      <c r="A21" s="48" t="s">
        <v>201</v>
      </c>
      <c r="B21" s="7">
        <v>5566172</v>
      </c>
      <c r="C21" s="7">
        <v>5240166</v>
      </c>
      <c r="D21" s="7">
        <v>5430337</v>
      </c>
      <c r="E21" s="7">
        <v>6219574</v>
      </c>
      <c r="F21" s="23">
        <v>7405570</v>
      </c>
      <c r="G21" s="33">
        <f>AMORTIZACIJA!G89</f>
        <v>6787305.8455679826</v>
      </c>
      <c r="H21" s="34">
        <f>AMORTIZACIJA!H89</f>
        <v>7378548.5999006499</v>
      </c>
      <c r="I21" s="34">
        <f>AMORTIZACIJA!I89</f>
        <v>8147365.2418647613</v>
      </c>
      <c r="J21" s="34">
        <f>AMORTIZACIJA!J89</f>
        <v>8809492.5241551027</v>
      </c>
      <c r="K21" s="69">
        <f>AMORTIZACIJA!K89</f>
        <v>9549969.7936748527</v>
      </c>
    </row>
    <row r="22" spans="1:12" x14ac:dyDescent="0.3">
      <c r="A22" s="48" t="s">
        <v>202</v>
      </c>
      <c r="B22" s="7">
        <f>1447884+184191+111062</f>
        <v>1743137</v>
      </c>
      <c r="C22" s="7">
        <f>816957+278847+235946</f>
        <v>1331750</v>
      </c>
      <c r="D22" s="7">
        <f>1361236+475197+92914</f>
        <v>1929347</v>
      </c>
      <c r="E22" s="7">
        <v>1935107</v>
      </c>
      <c r="F22" s="23">
        <v>2849565</v>
      </c>
      <c r="G22" s="33">
        <f>G37*G6</f>
        <v>3304040.7996</v>
      </c>
      <c r="H22" s="34">
        <f t="shared" ref="H22:K22" si="8">H37*H6</f>
        <v>3694343.628672</v>
      </c>
      <c r="I22" s="34">
        <f t="shared" si="8"/>
        <v>4130988.2318822411</v>
      </c>
      <c r="J22" s="34">
        <f t="shared" si="8"/>
        <v>4619496.0568992784</v>
      </c>
      <c r="K22" s="69">
        <f t="shared" si="8"/>
        <v>5166047.9598936532</v>
      </c>
    </row>
    <row r="23" spans="1:12" x14ac:dyDescent="0.3">
      <c r="A23" s="248" t="s">
        <v>203</v>
      </c>
      <c r="B23" s="39">
        <f>SUM(B19:B22)+B12</f>
        <v>84260931</v>
      </c>
      <c r="C23" s="39">
        <f t="shared" ref="C23:K23" si="9">SUM(C19:C22)+C12</f>
        <v>90935185</v>
      </c>
      <c r="D23" s="39">
        <f t="shared" si="9"/>
        <v>102489596</v>
      </c>
      <c r="E23" s="39">
        <f t="shared" si="9"/>
        <v>118089539</v>
      </c>
      <c r="F23" s="43">
        <f t="shared" si="9"/>
        <v>135524369</v>
      </c>
      <c r="G23" s="393">
        <f t="shared" si="9"/>
        <v>151612636.41992021</v>
      </c>
      <c r="H23" s="245">
        <f t="shared" si="9"/>
        <v>171728411.34055495</v>
      </c>
      <c r="I23" s="39">
        <f t="shared" si="9"/>
        <v>190534382.11413994</v>
      </c>
      <c r="J23" s="39">
        <f t="shared" si="9"/>
        <v>213567237.09241945</v>
      </c>
      <c r="K23" s="104">
        <f t="shared" si="9"/>
        <v>236896912.82149518</v>
      </c>
    </row>
    <row r="24" spans="1:12" ht="15" thickBot="1" x14ac:dyDescent="0.35">
      <c r="A24" s="381" t="s">
        <v>204</v>
      </c>
      <c r="B24" s="382"/>
      <c r="C24" s="382">
        <f t="shared" ref="C24:K24" si="10">C23/B23</f>
        <v>1.0792093550449853</v>
      </c>
      <c r="D24" s="382">
        <f t="shared" si="10"/>
        <v>1.1270620497445516</v>
      </c>
      <c r="E24" s="382">
        <f t="shared" si="10"/>
        <v>1.1522100155414798</v>
      </c>
      <c r="F24" s="399">
        <f t="shared" si="10"/>
        <v>1.1476407660461778</v>
      </c>
      <c r="G24" s="394">
        <f t="shared" si="10"/>
        <v>1.1187112512578472</v>
      </c>
      <c r="H24" s="382">
        <f t="shared" si="10"/>
        <v>1.1326787489198478</v>
      </c>
      <c r="I24" s="382">
        <f t="shared" si="10"/>
        <v>1.1095099560217256</v>
      </c>
      <c r="J24" s="382">
        <f t="shared" si="10"/>
        <v>1.1208855573608842</v>
      </c>
      <c r="K24" s="383">
        <f t="shared" si="10"/>
        <v>1.1092380837374414</v>
      </c>
    </row>
    <row r="25" spans="1:12" x14ac:dyDescent="0.3">
      <c r="B25" s="242"/>
      <c r="C25" s="242"/>
      <c r="D25" s="242"/>
      <c r="E25" s="242"/>
      <c r="F25" s="400"/>
    </row>
    <row r="26" spans="1:12" ht="15" thickBot="1" x14ac:dyDescent="0.35">
      <c r="F26" s="27"/>
    </row>
    <row r="27" spans="1:12" x14ac:dyDescent="0.3">
      <c r="A27" s="191" t="s">
        <v>205</v>
      </c>
      <c r="B27" s="60">
        <v>2013</v>
      </c>
      <c r="C27" s="60">
        <v>2014</v>
      </c>
      <c r="D27" s="60">
        <v>2015</v>
      </c>
      <c r="E27" s="60">
        <v>2016</v>
      </c>
      <c r="F27" s="301">
        <v>2017</v>
      </c>
      <c r="G27" s="61">
        <v>2018</v>
      </c>
      <c r="H27" s="60">
        <v>2019</v>
      </c>
      <c r="I27" s="60">
        <v>2020</v>
      </c>
      <c r="J27" s="60">
        <v>2021</v>
      </c>
      <c r="K27" s="62">
        <v>2022</v>
      </c>
    </row>
    <row r="28" spans="1:12" x14ac:dyDescent="0.3">
      <c r="A28" s="55" t="s">
        <v>194</v>
      </c>
      <c r="B28" s="15">
        <f>B12/B$6</f>
        <v>0.62801482545079457</v>
      </c>
      <c r="C28" s="15">
        <f>C12/C$6</f>
        <v>0.62461283902337905</v>
      </c>
      <c r="D28" s="15">
        <f t="shared" ref="D28:F28" si="11">D12/D$6</f>
        <v>0.61512129456673048</v>
      </c>
      <c r="E28" s="15">
        <f t="shared" si="11"/>
        <v>0.61812268613205357</v>
      </c>
      <c r="F28" s="30">
        <f t="shared" si="11"/>
        <v>0.62025611007496562</v>
      </c>
      <c r="G28" s="22">
        <f>SUM(G30:G32)</f>
        <v>0.63</v>
      </c>
      <c r="H28" s="17">
        <f t="shared" ref="H28:K28" si="12">SUM(H30:H32)</f>
        <v>0.65</v>
      </c>
      <c r="I28" s="17">
        <f t="shared" si="12"/>
        <v>0.65</v>
      </c>
      <c r="J28" s="17">
        <f t="shared" si="12"/>
        <v>0.66</v>
      </c>
      <c r="K28" s="371">
        <f t="shared" si="12"/>
        <v>0.66</v>
      </c>
    </row>
    <row r="29" spans="1:12" x14ac:dyDescent="0.3">
      <c r="A29" s="55" t="s">
        <v>206</v>
      </c>
      <c r="B29" s="252"/>
      <c r="C29" s="252"/>
      <c r="D29" s="252"/>
      <c r="E29" s="252"/>
      <c r="F29" s="401"/>
      <c r="G29" s="78"/>
      <c r="H29" s="79"/>
      <c r="I29" s="79"/>
      <c r="J29" s="79"/>
      <c r="K29" s="325"/>
    </row>
    <row r="30" spans="1:12" x14ac:dyDescent="0.3">
      <c r="A30" s="172" t="s">
        <v>195</v>
      </c>
      <c r="B30" s="15">
        <f t="shared" ref="B30:C32" si="13">B14/B$6</f>
        <v>1.5615805388274845E-2</v>
      </c>
      <c r="C30" s="15">
        <f t="shared" si="13"/>
        <v>2.695451353916941E-2</v>
      </c>
      <c r="D30" s="15">
        <f t="shared" ref="D30:F30" si="14">D14/D$6</f>
        <v>2.4031891883576698E-2</v>
      </c>
      <c r="E30" s="15">
        <f t="shared" si="14"/>
        <v>1.8418850572648342E-2</v>
      </c>
      <c r="F30" s="30">
        <f t="shared" si="14"/>
        <v>2.2150682011388253E-2</v>
      </c>
      <c r="G30" s="395">
        <v>0.02</v>
      </c>
      <c r="H30" s="246">
        <v>0.02</v>
      </c>
      <c r="I30" s="246">
        <v>0.02</v>
      </c>
      <c r="J30" s="246">
        <v>0.02</v>
      </c>
      <c r="K30" s="384">
        <v>0.02</v>
      </c>
    </row>
    <row r="31" spans="1:12" x14ac:dyDescent="0.3">
      <c r="A31" s="172" t="s">
        <v>196</v>
      </c>
      <c r="B31" s="15">
        <f t="shared" si="13"/>
        <v>0.53552591063958266</v>
      </c>
      <c r="C31" s="15">
        <f t="shared" si="13"/>
        <v>0.51345934428193873</v>
      </c>
      <c r="D31" s="15">
        <f t="shared" ref="D31:F31" si="15">D15/D$6</f>
        <v>0.50402737307286583</v>
      </c>
      <c r="E31" s="15">
        <f t="shared" si="15"/>
        <v>0.51516861336441722</v>
      </c>
      <c r="F31" s="30">
        <f t="shared" si="15"/>
        <v>0.53181728546641316</v>
      </c>
      <c r="G31" s="395">
        <v>0.53</v>
      </c>
      <c r="H31" s="246">
        <v>0.54</v>
      </c>
      <c r="I31" s="246">
        <v>0.54</v>
      </c>
      <c r="J31" s="246">
        <v>0.55000000000000004</v>
      </c>
      <c r="K31" s="246">
        <v>0.55000000000000004</v>
      </c>
      <c r="L31" s="429"/>
    </row>
    <row r="32" spans="1:12" x14ac:dyDescent="0.3">
      <c r="A32" s="172" t="s">
        <v>197</v>
      </c>
      <c r="B32" s="15">
        <f t="shared" si="13"/>
        <v>7.6873109422937083E-2</v>
      </c>
      <c r="C32" s="15">
        <f t="shared" si="13"/>
        <v>8.419898120227097E-2</v>
      </c>
      <c r="D32" s="15">
        <f t="shared" ref="D32:F32" si="16">D16/D$6</f>
        <v>8.7062029610287958E-2</v>
      </c>
      <c r="E32" s="15">
        <f t="shared" si="16"/>
        <v>8.4535222194987936E-2</v>
      </c>
      <c r="F32" s="30">
        <f t="shared" si="16"/>
        <v>6.6288142597164146E-2</v>
      </c>
      <c r="G32" s="395">
        <v>0.08</v>
      </c>
      <c r="H32" s="246">
        <v>0.09</v>
      </c>
      <c r="I32" s="246">
        <v>0.09</v>
      </c>
      <c r="J32" s="246">
        <v>0.09</v>
      </c>
      <c r="K32" s="246">
        <v>0.09</v>
      </c>
    </row>
    <row r="33" spans="1:15" x14ac:dyDescent="0.3">
      <c r="A33" s="55"/>
      <c r="B33" s="252"/>
      <c r="C33" s="252"/>
      <c r="D33" s="252"/>
      <c r="E33" s="252"/>
      <c r="F33" s="401"/>
      <c r="G33" s="78"/>
      <c r="H33" s="79"/>
      <c r="I33" s="79"/>
      <c r="J33" s="79"/>
      <c r="K33" s="325"/>
    </row>
    <row r="34" spans="1:15" x14ac:dyDescent="0.3">
      <c r="A34" s="55" t="s">
        <v>199</v>
      </c>
      <c r="B34" s="15">
        <f>B19/B$6</f>
        <v>0.25515160702863299</v>
      </c>
      <c r="C34" s="15">
        <f t="shared" ref="C34:F34" si="17">C19/C$6</f>
        <v>0.25146137520395373</v>
      </c>
      <c r="D34" s="15">
        <f t="shared" si="17"/>
        <v>0.23300695711394573</v>
      </c>
      <c r="E34" s="15">
        <f t="shared" si="17"/>
        <v>0.24115893691565304</v>
      </c>
      <c r="F34" s="30">
        <f t="shared" si="17"/>
        <v>0.2336768038810674</v>
      </c>
      <c r="G34" s="22">
        <f>G19/G6</f>
        <v>0.22665582453997152</v>
      </c>
      <c r="H34" s="17">
        <f t="shared" ref="H34:K34" si="18">H19/H6</f>
        <v>0.21973782224872737</v>
      </c>
      <c r="I34" s="17">
        <f t="shared" si="18"/>
        <v>0.21301881600457848</v>
      </c>
      <c r="J34" s="17">
        <f t="shared" si="18"/>
        <v>0.20649386013634943</v>
      </c>
      <c r="K34" s="371">
        <f t="shared" si="18"/>
        <v>0.20015808135277316</v>
      </c>
    </row>
    <row r="35" spans="1:15" x14ac:dyDescent="0.3">
      <c r="A35" s="55" t="s">
        <v>200</v>
      </c>
      <c r="B35" s="15">
        <f t="shared" ref="B35:F38" si="19">B20/B$6</f>
        <v>2.608347425431019E-3</v>
      </c>
      <c r="C35" s="15">
        <f t="shared" si="19"/>
        <v>2.5048635267874014E-3</v>
      </c>
      <c r="D35" s="15">
        <f t="shared" si="19"/>
        <v>1.6939554867843815E-3</v>
      </c>
      <c r="E35" s="15">
        <f t="shared" si="19"/>
        <v>2.1351032741141578E-3</v>
      </c>
      <c r="F35" s="30">
        <f t="shared" si="19"/>
        <v>1.0707506993095006E-3</v>
      </c>
      <c r="G35" s="396">
        <v>0</v>
      </c>
      <c r="H35" s="247">
        <v>0</v>
      </c>
      <c r="I35" s="247">
        <v>0</v>
      </c>
      <c r="J35" s="247">
        <v>0</v>
      </c>
      <c r="K35" s="385">
        <v>0</v>
      </c>
    </row>
    <row r="36" spans="1:15" x14ac:dyDescent="0.3">
      <c r="A36" s="55" t="s">
        <v>201</v>
      </c>
      <c r="B36" s="15">
        <f t="shared" si="19"/>
        <v>6.4071096229948041E-2</v>
      </c>
      <c r="C36" s="15">
        <f t="shared" si="19"/>
        <v>5.4572330661564299E-2</v>
      </c>
      <c r="D36" s="15">
        <f t="shared" si="19"/>
        <v>4.8510724734015589E-2</v>
      </c>
      <c r="E36" s="15">
        <f t="shared" si="19"/>
        <v>4.8734725015029463E-2</v>
      </c>
      <c r="F36" s="30">
        <f t="shared" si="19"/>
        <v>5.0545447486823977E-2</v>
      </c>
      <c r="G36" s="22">
        <f>G21/G6</f>
        <v>4.1084879135812616E-2</v>
      </c>
      <c r="H36" s="17">
        <f t="shared" ref="H36:K36" si="20">H21/H6</f>
        <v>3.9945112537097718E-2</v>
      </c>
      <c r="I36" s="17">
        <f t="shared" si="20"/>
        <v>3.9445114749951736E-2</v>
      </c>
      <c r="J36" s="17">
        <f t="shared" si="20"/>
        <v>3.8140491584565853E-2</v>
      </c>
      <c r="K36" s="371">
        <f t="shared" si="20"/>
        <v>3.6972052399883042E-2</v>
      </c>
    </row>
    <row r="37" spans="1:15" x14ac:dyDescent="0.3">
      <c r="A37" s="55" t="s">
        <v>202</v>
      </c>
      <c r="B37" s="15">
        <f t="shared" si="19"/>
        <v>2.0064902498338703E-2</v>
      </c>
      <c r="C37" s="15">
        <f t="shared" si="19"/>
        <v>1.3869160129381065E-2</v>
      </c>
      <c r="D37" s="15">
        <f t="shared" si="19"/>
        <v>1.7235398324891949E-2</v>
      </c>
      <c r="E37" s="15">
        <f t="shared" si="19"/>
        <v>1.5162920727313256E-2</v>
      </c>
      <c r="F37" s="30">
        <f t="shared" si="19"/>
        <v>1.9449217017433035E-2</v>
      </c>
      <c r="G37" s="396">
        <v>0.02</v>
      </c>
      <c r="H37" s="247">
        <v>0.02</v>
      </c>
      <c r="I37" s="247">
        <v>0.02</v>
      </c>
      <c r="J37" s="247">
        <v>0.02</v>
      </c>
      <c r="K37" s="385">
        <v>0.02</v>
      </c>
      <c r="N37" s="135"/>
      <c r="O37" s="135"/>
    </row>
    <row r="38" spans="1:15" ht="15" thickBot="1" x14ac:dyDescent="0.35">
      <c r="A38" s="91" t="s">
        <v>207</v>
      </c>
      <c r="B38" s="346">
        <f>B23/B$6</f>
        <v>0.96991077863314534</v>
      </c>
      <c r="C38" s="346">
        <f t="shared" si="19"/>
        <v>0.94702056854506556</v>
      </c>
      <c r="D38" s="346">
        <f t="shared" si="19"/>
        <v>0.91556833022636808</v>
      </c>
      <c r="E38" s="346">
        <f t="shared" si="19"/>
        <v>0.92531437206416345</v>
      </c>
      <c r="F38" s="347">
        <f t="shared" si="19"/>
        <v>0.92499832915959945</v>
      </c>
      <c r="G38" s="360">
        <f t="shared" ref="G38:K38" si="21">SUM(G34:G37)+G28</f>
        <v>0.91774070367578409</v>
      </c>
      <c r="H38" s="361">
        <f t="shared" si="21"/>
        <v>0.92968293478582509</v>
      </c>
      <c r="I38" s="361">
        <f t="shared" si="21"/>
        <v>0.92246393075453026</v>
      </c>
      <c r="J38" s="361">
        <f t="shared" si="21"/>
        <v>0.92463435172091535</v>
      </c>
      <c r="K38" s="362">
        <f t="shared" si="21"/>
        <v>0.91713013375265628</v>
      </c>
      <c r="N38" s="135"/>
      <c r="O38" s="135"/>
    </row>
    <row r="39" spans="1:15" x14ac:dyDescent="0.3">
      <c r="F39" s="27"/>
      <c r="N39" s="135"/>
      <c r="O39" s="135"/>
    </row>
    <row r="40" spans="1:15" ht="15" thickBot="1" x14ac:dyDescent="0.35">
      <c r="F40" s="27"/>
      <c r="N40" s="135"/>
      <c r="O40" s="135"/>
    </row>
    <row r="41" spans="1:15" x14ac:dyDescent="0.3">
      <c r="A41" s="191" t="s">
        <v>208</v>
      </c>
      <c r="B41" s="60">
        <v>2013</v>
      </c>
      <c r="C41" s="60">
        <v>2014</v>
      </c>
      <c r="D41" s="60">
        <v>2015</v>
      </c>
      <c r="E41" s="60">
        <v>2016</v>
      </c>
      <c r="F41" s="62">
        <v>2017</v>
      </c>
      <c r="G41" s="191">
        <v>2018</v>
      </c>
      <c r="H41" s="60">
        <v>2019</v>
      </c>
      <c r="I41" s="60">
        <v>2020</v>
      </c>
      <c r="J41" s="60">
        <v>2021</v>
      </c>
      <c r="K41" s="62">
        <v>2022</v>
      </c>
      <c r="L41" s="53" t="s">
        <v>232</v>
      </c>
      <c r="N41" s="135"/>
      <c r="O41" s="135"/>
    </row>
    <row r="42" spans="1:15" x14ac:dyDescent="0.3">
      <c r="A42" s="248" t="s">
        <v>209</v>
      </c>
      <c r="B42" s="8">
        <v>22166278</v>
      </c>
      <c r="C42" s="8">
        <v>24145924</v>
      </c>
      <c r="D42" s="8">
        <v>26083022</v>
      </c>
      <c r="E42" s="8">
        <v>30776943</v>
      </c>
      <c r="F42" s="437">
        <v>34236712</v>
      </c>
      <c r="G42" s="442">
        <f>G43*G44</f>
        <v>37444004.587352239</v>
      </c>
      <c r="H42" s="39">
        <f>H43*H44</f>
        <v>40589351.180142321</v>
      </c>
      <c r="I42" s="39">
        <f>I43*I44</f>
        <v>43998911.1042201</v>
      </c>
      <c r="J42" s="39">
        <f>J43*J44</f>
        <v>47694878.63368886</v>
      </c>
      <c r="K42" s="104">
        <f>K43*K44</f>
        <v>51701312.391436085</v>
      </c>
      <c r="L42" s="441">
        <f>SUM(C46:F46)/4</f>
        <v>1.0549655906657875</v>
      </c>
    </row>
    <row r="43" spans="1:15" x14ac:dyDescent="0.3">
      <c r="A43" s="55" t="s">
        <v>210</v>
      </c>
      <c r="B43" s="202">
        <v>1014</v>
      </c>
      <c r="C43" s="202">
        <v>1068</v>
      </c>
      <c r="D43" s="202">
        <v>1086</v>
      </c>
      <c r="E43" s="202">
        <v>1225</v>
      </c>
      <c r="F43" s="438">
        <v>1265</v>
      </c>
      <c r="G43" s="443">
        <f>G2/G47</f>
        <v>1311.4220183486239</v>
      </c>
      <c r="H43" s="250">
        <f t="shared" ref="H43:K43" si="22">H2/H47</f>
        <v>1347.5162023398705</v>
      </c>
      <c r="I43" s="250">
        <f t="shared" si="22"/>
        <v>1384.6038042391328</v>
      </c>
      <c r="J43" s="250">
        <f t="shared" si="22"/>
        <v>1422.7121658236963</v>
      </c>
      <c r="K43" s="251">
        <f t="shared" si="22"/>
        <v>1461.8693813968255</v>
      </c>
    </row>
    <row r="44" spans="1:15" x14ac:dyDescent="0.3">
      <c r="A44" s="48" t="s">
        <v>211</v>
      </c>
      <c r="B44" s="34">
        <f>B42/B43</f>
        <v>21860.234714003946</v>
      </c>
      <c r="C44" s="34">
        <f>C42/C43</f>
        <v>22608.54307116105</v>
      </c>
      <c r="D44" s="34">
        <f>D42/D43</f>
        <v>24017.515653775321</v>
      </c>
      <c r="E44" s="34">
        <f>E42/E43</f>
        <v>25124.035102040816</v>
      </c>
      <c r="F44" s="69">
        <f>F42/F43</f>
        <v>27064.594466403163</v>
      </c>
      <c r="G44" s="444">
        <f>F44*G46</f>
        <v>28552.215887379018</v>
      </c>
      <c r="H44" s="33">
        <f t="shared" ref="H44:K44" si="23">G44*H46</f>
        <v>30121.605298445887</v>
      </c>
      <c r="I44" s="33">
        <f t="shared" si="23"/>
        <v>31777.257125476681</v>
      </c>
      <c r="J44" s="33">
        <f t="shared" si="23"/>
        <v>33523.912833117116</v>
      </c>
      <c r="K44" s="284">
        <f t="shared" si="23"/>
        <v>35366.574503417774</v>
      </c>
    </row>
    <row r="45" spans="1:15" x14ac:dyDescent="0.3">
      <c r="A45" s="185" t="s">
        <v>212</v>
      </c>
      <c r="B45" s="46"/>
      <c r="C45" s="46">
        <f t="shared" ref="C45:I45" si="24">C43/B43</f>
        <v>1.0532544378698225</v>
      </c>
      <c r="D45" s="46">
        <f t="shared" si="24"/>
        <v>1.0168539325842696</v>
      </c>
      <c r="E45" s="46">
        <f t="shared" si="24"/>
        <v>1.1279926335174955</v>
      </c>
      <c r="F45" s="439">
        <f t="shared" si="24"/>
        <v>1.0326530612244897</v>
      </c>
      <c r="G45" s="547">
        <f t="shared" si="24"/>
        <v>1.036697247706422</v>
      </c>
      <c r="H45" s="547">
        <f t="shared" si="24"/>
        <v>1.0275229357798166</v>
      </c>
      <c r="I45" s="547">
        <f t="shared" si="24"/>
        <v>1.0275229357798163</v>
      </c>
      <c r="J45" s="547">
        <f t="shared" ref="J45:K45" si="25">J43/I43</f>
        <v>1.0275229357798166</v>
      </c>
      <c r="K45" s="547">
        <f t="shared" si="25"/>
        <v>1.0275229357798163</v>
      </c>
    </row>
    <row r="46" spans="1:15" ht="15" thickBot="1" x14ac:dyDescent="0.35">
      <c r="A46" s="430" t="s">
        <v>231</v>
      </c>
      <c r="B46" s="431"/>
      <c r="C46" s="432">
        <f>C44/B44</f>
        <v>1.0342314877652128</v>
      </c>
      <c r="D46" s="432">
        <f t="shared" ref="D46:E46" si="26">D44/C44</f>
        <v>1.0623203617402275</v>
      </c>
      <c r="E46" s="432">
        <f t="shared" si="26"/>
        <v>1.0460713532663635</v>
      </c>
      <c r="F46" s="440">
        <f>F44/E44</f>
        <v>1.0772391598913471</v>
      </c>
      <c r="G46" s="445">
        <f>$L$42</f>
        <v>1.0549655906657875</v>
      </c>
      <c r="H46" s="433">
        <f t="shared" ref="H46:K46" si="27">$L$42</f>
        <v>1.0549655906657875</v>
      </c>
      <c r="I46" s="433">
        <f t="shared" si="27"/>
        <v>1.0549655906657875</v>
      </c>
      <c r="J46" s="433">
        <f t="shared" si="27"/>
        <v>1.0549655906657875</v>
      </c>
      <c r="K46" s="446">
        <f t="shared" si="27"/>
        <v>1.0549655906657875</v>
      </c>
    </row>
    <row r="47" spans="1:15" x14ac:dyDescent="0.3">
      <c r="A47" s="434" t="s">
        <v>242</v>
      </c>
      <c r="B47" s="435">
        <f>B2/B43</f>
        <v>82608.288954635107</v>
      </c>
      <c r="C47" s="435">
        <f t="shared" ref="C47:F47" si="28">C2/C43</f>
        <v>86457.951310861419</v>
      </c>
      <c r="D47" s="435">
        <f t="shared" si="28"/>
        <v>97543.546040515648</v>
      </c>
      <c r="E47" s="435">
        <f t="shared" si="28"/>
        <v>98773.746938775512</v>
      </c>
      <c r="F47" s="436">
        <f t="shared" si="28"/>
        <v>110164.36837944663</v>
      </c>
      <c r="G47" s="447">
        <f>F47*G49</f>
        <v>120079.16153359684</v>
      </c>
      <c r="H47" s="447">
        <f t="shared" ref="H47:K47" si="29">G47*H49</f>
        <v>130886.28607162056</v>
      </c>
      <c r="I47" s="447">
        <f t="shared" si="29"/>
        <v>142666.05181806642</v>
      </c>
      <c r="J47" s="447">
        <f t="shared" si="29"/>
        <v>155505.99648169242</v>
      </c>
      <c r="K47" s="447">
        <f t="shared" si="29"/>
        <v>169501.53616504476</v>
      </c>
    </row>
    <row r="48" spans="1:15" ht="15" thickBot="1" x14ac:dyDescent="0.35">
      <c r="A48" s="91" t="s">
        <v>243</v>
      </c>
      <c r="B48" s="108">
        <f>'FCF - KONČNI_IZRAČUN'!B5/'PRIHODKI IN STROŠKI'!B43</f>
        <v>2845.3570019723866</v>
      </c>
      <c r="C48" s="108">
        <f>'FCF - KONČNI_IZRAČUN'!C5/'PRIHODKI IN STROŠKI'!C43</f>
        <v>5877.0917602996251</v>
      </c>
      <c r="D48" s="108">
        <f>'FCF - KONČNI_IZRAČUN'!D5/'PRIHODKI IN STROŠKI'!D43</f>
        <v>7726.1132596685084</v>
      </c>
      <c r="E48" s="108">
        <f>'FCF - KONČNI_IZRAČUN'!E5/'PRIHODKI IN STROŠKI'!E43</f>
        <v>8340.8873469387763</v>
      </c>
      <c r="F48" s="109">
        <f>'FCF - KONČNI_IZRAČUN'!F5/'PRIHODKI IN STROŠKI'!F43</f>
        <v>8572.9304347826092</v>
      </c>
      <c r="G48" s="448">
        <f>'FCF - KONČNI_IZRAČUN'!G5/'PRIHODKI IN STROŠKI'!G43</f>
        <v>9947.8483929255908</v>
      </c>
      <c r="H48" s="108">
        <f>'FCF - KONČNI_IZRAČUN'!H5/'PRIHODKI IN STROŠKI'!H43</f>
        <v>9253.4837560181459</v>
      </c>
      <c r="I48" s="108">
        <f>'FCF - KONČNI_IZRAČUN'!I5/'PRIHODKI IN STROŠKI'!I43</f>
        <v>11103.846640968723</v>
      </c>
      <c r="J48" s="108">
        <f>'FCF - KONČNI_IZRAČUN'!J5/'PRIHODKI IN STROŠKI'!J43</f>
        <v>11746.060463865857</v>
      </c>
      <c r="K48" s="109">
        <f>'FCF - KONČNI_IZRAČUN'!K5/'PRIHODKI IN STROŠKI'!K43</f>
        <v>14056.841211507584</v>
      </c>
    </row>
    <row r="49" spans="1:11" ht="15" thickBot="1" x14ac:dyDescent="0.35">
      <c r="A49" s="548" t="s">
        <v>331</v>
      </c>
      <c r="B49" s="549"/>
      <c r="C49" s="550">
        <f>C47/B47</f>
        <v>1.0466014053183015</v>
      </c>
      <c r="D49" s="550">
        <f t="shared" ref="D49:F49" si="30">D47/C47</f>
        <v>1.128219493540805</v>
      </c>
      <c r="E49" s="550">
        <f t="shared" si="30"/>
        <v>1.012611812346343</v>
      </c>
      <c r="F49" s="550">
        <f t="shared" si="30"/>
        <v>1.1153203335267978</v>
      </c>
      <c r="G49" s="551">
        <v>1.0900000000000001</v>
      </c>
      <c r="H49" s="551">
        <v>1.0900000000000001</v>
      </c>
      <c r="I49" s="551">
        <v>1.0900000000000001</v>
      </c>
      <c r="J49" s="551">
        <v>1.0900000000000001</v>
      </c>
      <c r="K49" s="552">
        <v>1.0900000000000001</v>
      </c>
    </row>
    <row r="50" spans="1:11" x14ac:dyDescent="0.3">
      <c r="G50" s="429"/>
    </row>
    <row r="51" spans="1:11" x14ac:dyDescent="0.3">
      <c r="F51" s="546"/>
    </row>
    <row r="52" spans="1:11" x14ac:dyDescent="0.3">
      <c r="F52" s="452"/>
    </row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108D2-2158-4438-A337-64409638D710}">
  <dimension ref="A1:K51"/>
  <sheetViews>
    <sheetView workbookViewId="0">
      <selection activeCell="E21" sqref="E21"/>
    </sheetView>
  </sheetViews>
  <sheetFormatPr defaultRowHeight="14.4" x14ac:dyDescent="0.3"/>
  <cols>
    <col min="1" max="1" width="29.109375" customWidth="1"/>
    <col min="2" max="6" width="15.77734375" customWidth="1"/>
    <col min="7" max="7" width="20.109375" customWidth="1"/>
    <col min="8" max="8" width="18.21875" customWidth="1"/>
    <col min="9" max="9" width="18.44140625" customWidth="1"/>
    <col min="10" max="10" width="16.88671875" customWidth="1"/>
    <col min="11" max="11" width="20.33203125" customWidth="1"/>
  </cols>
  <sheetData>
    <row r="1" spans="1:11" x14ac:dyDescent="0.3">
      <c r="A1" s="59" t="s">
        <v>24</v>
      </c>
      <c r="B1" s="60">
        <v>2013</v>
      </c>
      <c r="C1" s="60">
        <v>2014</v>
      </c>
      <c r="D1" s="60">
        <v>2015</v>
      </c>
      <c r="E1" s="60">
        <v>2016</v>
      </c>
      <c r="F1" s="301">
        <v>2017</v>
      </c>
      <c r="G1" s="61">
        <v>2018</v>
      </c>
      <c r="H1" s="60">
        <v>2019</v>
      </c>
      <c r="I1" s="60">
        <v>2020</v>
      </c>
      <c r="J1" s="60">
        <v>2021</v>
      </c>
      <c r="K1" s="62">
        <v>2022</v>
      </c>
    </row>
    <row r="2" spans="1:11" s="3" customFormat="1" x14ac:dyDescent="0.3">
      <c r="A2" s="353" t="s">
        <v>0</v>
      </c>
      <c r="B2" s="7">
        <v>18476071</v>
      </c>
      <c r="C2" s="7">
        <v>19178194</v>
      </c>
      <c r="D2" s="7">
        <v>24573144</v>
      </c>
      <c r="E2" s="7">
        <v>41740919</v>
      </c>
      <c r="F2" s="23">
        <v>51032572</v>
      </c>
      <c r="G2" s="33">
        <f>F2+INVESTICIJE!G5-AMORTIZACIJA!G56-AMORTIZACIJA!G68-AMORTIZACIJA!G80</f>
        <v>57650135.418910973</v>
      </c>
      <c r="H2" s="33">
        <f>G2+INVESTICIJE!H5-AMORTIZACIJA!H56-AMORTIZACIJA!H68-AMORTIZACIJA!H80</f>
        <v>65247272.693211831</v>
      </c>
      <c r="I2" s="33">
        <f>H2+INVESTICIJE!I5-AMORTIZACIJA!I56-AMORTIZACIJA!I68-AMORTIZACIJA!I80</f>
        <v>71956409.32558845</v>
      </c>
      <c r="J2" s="33">
        <f>I2+INVESTICIJE!J5-AMORTIZACIJA!J56-AMORTIZACIJA!J68-AMORTIZACIJA!J80</f>
        <v>79738941.568726242</v>
      </c>
      <c r="K2" s="33">
        <f>J2+INVESTICIJE!K5-AMORTIZACIJA!K56-AMORTIZACIJA!K68-AMORTIZACIJA!K80</f>
        <v>88722730.705389395</v>
      </c>
    </row>
    <row r="3" spans="1:11" s="3" customFormat="1" x14ac:dyDescent="0.3">
      <c r="A3" s="353" t="s">
        <v>228</v>
      </c>
      <c r="B3" s="289">
        <v>240390</v>
      </c>
      <c r="C3" s="289">
        <v>211090</v>
      </c>
      <c r="D3" s="289">
        <v>443644</v>
      </c>
      <c r="E3" s="289">
        <v>244397</v>
      </c>
      <c r="F3" s="290">
        <v>164330</v>
      </c>
      <c r="G3" s="33">
        <f>IF(F3+INVESTICIJE!G2-AMORTIZACIJA!G44&gt;0,F3+INVESTICIJE!G2-AMORTIZACIJA!G44,0)</f>
        <v>190386.58589503999</v>
      </c>
      <c r="H3" s="33">
        <f>IF(G3+INVESTICIJE!H2-AMORTIZACIJA!H44&gt;0,G3+INVESTICIJE!H2-AMORTIZACIJA!H44,0)</f>
        <v>232207.56224521276</v>
      </c>
      <c r="I3" s="33">
        <f>IF(H3+INVESTICIJE!I2-AMORTIZACIJA!I44&gt;0,H3+INVESTICIJE!I2-AMORTIZACIJA!I44,0)</f>
        <v>102678.73466403742</v>
      </c>
      <c r="J3" s="33">
        <f>IF(I3+INVESTICIJE!J2-AMORTIZACIJA!J44&gt;0,I3+INVESTICIJE!J2-AMORTIZACIJA!J44,0)</f>
        <v>0</v>
      </c>
      <c r="K3" s="33">
        <f>IF(J3+INVESTICIJE!K2-AMORTIZACIJA!K44&gt;0,J3+INVESTICIJE!K2-AMORTIZACIJA!K44,0)</f>
        <v>0</v>
      </c>
    </row>
    <row r="4" spans="1:11" s="3" customFormat="1" x14ac:dyDescent="0.3">
      <c r="A4" s="353" t="s">
        <v>1</v>
      </c>
      <c r="B4" s="7">
        <f>5074+240000</f>
        <v>245074</v>
      </c>
      <c r="C4" s="7">
        <f>5058+540000</f>
        <v>545058</v>
      </c>
      <c r="D4" s="7">
        <f>5011+300000</f>
        <v>305011</v>
      </c>
      <c r="E4" s="7">
        <f>4768+300000</f>
        <v>304768</v>
      </c>
      <c r="F4" s="23">
        <v>105298</v>
      </c>
      <c r="G4" s="33">
        <f>G31*'PRIHODKI IN STROŠKI'!G$6</f>
        <v>0</v>
      </c>
      <c r="H4" s="33">
        <f>H31*'PRIHODKI IN STROŠKI'!H$6</f>
        <v>0</v>
      </c>
      <c r="I4" s="33">
        <f>I31*'PRIHODKI IN STROŠKI'!I$6</f>
        <v>0</v>
      </c>
      <c r="J4" s="33">
        <f>J31*'PRIHODKI IN STROŠKI'!J$6</f>
        <v>0</v>
      </c>
      <c r="K4" s="284">
        <f>K31*'PRIHODKI IN STROŠKI'!K$6</f>
        <v>0</v>
      </c>
    </row>
    <row r="5" spans="1:11" s="3" customFormat="1" x14ac:dyDescent="0.3">
      <c r="A5" s="353" t="s">
        <v>2</v>
      </c>
      <c r="B5" s="7">
        <v>2203353</v>
      </c>
      <c r="C5" s="7">
        <v>2211131</v>
      </c>
      <c r="D5" s="7">
        <v>2200624</v>
      </c>
      <c r="E5" s="7">
        <v>2200931</v>
      </c>
      <c r="F5" s="23">
        <v>2202223</v>
      </c>
      <c r="G5" s="20">
        <v>2202223</v>
      </c>
      <c r="H5" s="19">
        <v>2202223</v>
      </c>
      <c r="I5" s="19">
        <v>2202223</v>
      </c>
      <c r="J5" s="19">
        <v>2202223</v>
      </c>
      <c r="K5" s="363">
        <v>2202223</v>
      </c>
    </row>
    <row r="6" spans="1:11" s="41" customFormat="1" x14ac:dyDescent="0.3">
      <c r="A6" s="352" t="s">
        <v>3</v>
      </c>
      <c r="B6" s="8">
        <v>21945948</v>
      </c>
      <c r="C6" s="8">
        <v>22753615</v>
      </c>
      <c r="D6" s="8">
        <v>27856412</v>
      </c>
      <c r="E6" s="8">
        <v>44902802</v>
      </c>
      <c r="F6" s="25">
        <v>54286242</v>
      </c>
      <c r="G6" s="38">
        <f>SUM(G2:G5)</f>
        <v>60042745.004806012</v>
      </c>
      <c r="H6" s="38">
        <f t="shared" ref="H6:K6" si="0">SUM(H2:H5)</f>
        <v>67681703.255457044</v>
      </c>
      <c r="I6" s="38">
        <f t="shared" si="0"/>
        <v>74261311.060252488</v>
      </c>
      <c r="J6" s="38">
        <f t="shared" si="0"/>
        <v>81941164.568726242</v>
      </c>
      <c r="K6" s="38">
        <f t="shared" si="0"/>
        <v>90924953.705389395</v>
      </c>
    </row>
    <row r="7" spans="1:11" s="3" customFormat="1" x14ac:dyDescent="0.3">
      <c r="A7" s="353" t="s">
        <v>4</v>
      </c>
      <c r="B7" s="7">
        <v>12903579</v>
      </c>
      <c r="C7" s="7">
        <v>14302025</v>
      </c>
      <c r="D7" s="7">
        <v>14059978</v>
      </c>
      <c r="E7" s="7">
        <v>18341310</v>
      </c>
      <c r="F7" s="23">
        <v>20723229</v>
      </c>
      <c r="G7" s="33">
        <f>G34*'PRIHODKI IN STROŠKI'!G$6</f>
        <v>23128285.597200003</v>
      </c>
      <c r="H7" s="33">
        <f>H34*'PRIHODKI IN STROŠKI'!H$6</f>
        <v>24013233.586368002</v>
      </c>
      <c r="I7" s="33">
        <f>I34*'PRIHODKI IN STROŠKI'!I$6</f>
        <v>24785929.391293444</v>
      </c>
      <c r="J7" s="33">
        <f>J34*'PRIHODKI IN STROŠKI'!J$6</f>
        <v>27716976.341395669</v>
      </c>
      <c r="K7" s="284">
        <f>K34*'PRIHODKI IN STROŠKI'!K$6</f>
        <v>30996287.759361919</v>
      </c>
    </row>
    <row r="8" spans="1:11" s="3" customFormat="1" x14ac:dyDescent="0.3">
      <c r="A8" s="353" t="s">
        <v>5</v>
      </c>
      <c r="B8" s="7">
        <v>1440000</v>
      </c>
      <c r="C8" s="7">
        <v>750000</v>
      </c>
      <c r="D8" s="7">
        <v>0</v>
      </c>
      <c r="E8" s="7">
        <v>0</v>
      </c>
      <c r="F8" s="23">
        <v>400000</v>
      </c>
      <c r="G8" s="33">
        <f>G35*'PRIHODKI IN STROŠKI'!G$6</f>
        <v>0</v>
      </c>
      <c r="H8" s="33">
        <f>H35*'PRIHODKI IN STROŠKI'!H$6</f>
        <v>0</v>
      </c>
      <c r="I8" s="33">
        <f>I35*'PRIHODKI IN STROŠKI'!I$6</f>
        <v>0</v>
      </c>
      <c r="J8" s="33">
        <f>J35*'PRIHODKI IN STROŠKI'!J$6</f>
        <v>0</v>
      </c>
      <c r="K8" s="284">
        <f>K35*'PRIHODKI IN STROŠKI'!K$6</f>
        <v>0</v>
      </c>
    </row>
    <row r="9" spans="1:11" s="3" customFormat="1" x14ac:dyDescent="0.3">
      <c r="A9" s="353" t="s">
        <v>6</v>
      </c>
      <c r="B9" s="7">
        <f>15817189</f>
        <v>15817189</v>
      </c>
      <c r="C9" s="7">
        <f>18326282</f>
        <v>18326282</v>
      </c>
      <c r="D9" s="7">
        <v>22009373</v>
      </c>
      <c r="E9" s="7">
        <v>21242290</v>
      </c>
      <c r="F9" s="23">
        <v>25008015</v>
      </c>
      <c r="G9" s="33">
        <f>G36*'PRIHODKI IN STROŠKI'!G$6</f>
        <v>28084346.796599999</v>
      </c>
      <c r="H9" s="33">
        <f>H36*'PRIHODKI IN STROŠKI'!H$6</f>
        <v>27707577.215040002</v>
      </c>
      <c r="I9" s="33">
        <f>I36*'PRIHODKI IN STROŠKI'!I$6</f>
        <v>30982411.739116803</v>
      </c>
      <c r="J9" s="33">
        <f>J36*'PRIHODKI IN STROŠKI'!J$6</f>
        <v>34646220.426744588</v>
      </c>
      <c r="K9" s="284">
        <f>K36*'PRIHODKI IN STROŠKI'!K$6</f>
        <v>33579311.739308745</v>
      </c>
    </row>
    <row r="10" spans="1:11" s="3" customFormat="1" x14ac:dyDescent="0.3">
      <c r="A10" s="353" t="s">
        <v>7</v>
      </c>
      <c r="B10" s="7">
        <v>2022949</v>
      </c>
      <c r="C10" s="7">
        <v>1869054</v>
      </c>
      <c r="D10" s="7">
        <v>3497749</v>
      </c>
      <c r="E10" s="7">
        <v>3392418</v>
      </c>
      <c r="F10" s="23">
        <v>3296221</v>
      </c>
      <c r="G10" s="33">
        <f>G37*'PRIHODKI IN STROŠKI'!G$6</f>
        <v>3304040.7996</v>
      </c>
      <c r="H10" s="33">
        <f>H37*'PRIHODKI IN STROŠKI'!H$6</f>
        <v>3694343.628672</v>
      </c>
      <c r="I10" s="33">
        <f>I37*'PRIHODKI IN STROŠKI'!I$6</f>
        <v>6196482.3478233609</v>
      </c>
      <c r="J10" s="33">
        <f>J37*'PRIHODKI IN STROŠKI'!J$6</f>
        <v>6929244.0853489172</v>
      </c>
      <c r="K10" s="284">
        <f>K37*'PRIHODKI IN STROŠKI'!K$6</f>
        <v>7749071.9398404798</v>
      </c>
    </row>
    <row r="11" spans="1:11" s="41" customFormat="1" x14ac:dyDescent="0.3">
      <c r="A11" s="352" t="s">
        <v>8</v>
      </c>
      <c r="B11" s="8">
        <f>32183717+508647</f>
        <v>32692364</v>
      </c>
      <c r="C11" s="8">
        <f>35247361+522307</f>
        <v>35769668</v>
      </c>
      <c r="D11" s="8">
        <f>39567100+1859207</f>
        <v>41426307</v>
      </c>
      <c r="E11" s="8">
        <v>46257106</v>
      </c>
      <c r="F11" s="25">
        <v>52269549</v>
      </c>
      <c r="G11" s="38">
        <f>G38*'PRIHODKI IN STROŠKI'!G$6</f>
        <v>54516673.19340001</v>
      </c>
      <c r="H11" s="38">
        <f>H38*'PRIHODKI IN STROŠKI'!H$6</f>
        <v>55415154.430080011</v>
      </c>
      <c r="I11" s="38">
        <f>I38*'PRIHODKI IN STROŠKI'!I$6</f>
        <v>61964823.478233621</v>
      </c>
      <c r="J11" s="38">
        <f>J38*'PRIHODKI IN STROŠKI'!J$6</f>
        <v>69292440.853489175</v>
      </c>
      <c r="K11" s="364">
        <f>K38*'PRIHODKI IN STROŠKI'!K$6</f>
        <v>72324671.438511148</v>
      </c>
    </row>
    <row r="12" spans="1:11" s="11" customFormat="1" x14ac:dyDescent="0.3">
      <c r="A12" s="353"/>
      <c r="B12" s="10"/>
      <c r="C12" s="10"/>
      <c r="D12" s="10"/>
      <c r="E12" s="10"/>
      <c r="F12" s="24"/>
      <c r="G12" s="21"/>
      <c r="H12" s="10"/>
      <c r="I12" s="10"/>
      <c r="J12" s="10"/>
      <c r="K12" s="365"/>
    </row>
    <row r="13" spans="1:11" s="4" customFormat="1" x14ac:dyDescent="0.3">
      <c r="A13" s="352" t="s">
        <v>9</v>
      </c>
      <c r="B13" s="39">
        <f>B2+B5</f>
        <v>20679424</v>
      </c>
      <c r="C13" s="39">
        <f t="shared" ref="C13:K13" si="1">C2+C5</f>
        <v>21389325</v>
      </c>
      <c r="D13" s="39">
        <f t="shared" si="1"/>
        <v>26773768</v>
      </c>
      <c r="E13" s="39">
        <f t="shared" si="1"/>
        <v>43941850</v>
      </c>
      <c r="F13" s="43">
        <f t="shared" si="1"/>
        <v>53234795</v>
      </c>
      <c r="G13" s="38">
        <f t="shared" si="1"/>
        <v>59852358.418910973</v>
      </c>
      <c r="H13" s="39">
        <f t="shared" si="1"/>
        <v>67449495.693211824</v>
      </c>
      <c r="I13" s="39">
        <f t="shared" si="1"/>
        <v>74158632.32558845</v>
      </c>
      <c r="J13" s="39">
        <f t="shared" si="1"/>
        <v>81941164.568726242</v>
      </c>
      <c r="K13" s="104">
        <f t="shared" si="1"/>
        <v>90924953.705389395</v>
      </c>
    </row>
    <row r="14" spans="1:11" x14ac:dyDescent="0.3">
      <c r="A14" s="366" t="s">
        <v>10</v>
      </c>
      <c r="B14" s="15">
        <f>B13/(B6+B11)</f>
        <v>0.3784784566551031</v>
      </c>
      <c r="C14" s="15">
        <f t="shared" ref="C14:F14" si="2">C13/(C6+C11)</f>
        <v>0.36548402453772116</v>
      </c>
      <c r="D14" s="15">
        <f t="shared" si="2"/>
        <v>0.38644222378166193</v>
      </c>
      <c r="E14" s="15">
        <f t="shared" si="2"/>
        <v>0.4820304338174628</v>
      </c>
      <c r="F14" s="30">
        <f t="shared" si="2"/>
        <v>0.49959551236403471</v>
      </c>
      <c r="G14" s="40">
        <f>G13/G17</f>
        <v>0.52245689931278172</v>
      </c>
      <c r="H14" s="15">
        <f t="shared" ref="H14:K14" si="3">H13/H17</f>
        <v>0.54793840363917445</v>
      </c>
      <c r="I14" s="15">
        <f t="shared" si="3"/>
        <v>0.54437889305768572</v>
      </c>
      <c r="J14" s="15">
        <f t="shared" si="3"/>
        <v>0.54181849556493833</v>
      </c>
      <c r="K14" s="303">
        <f t="shared" si="3"/>
        <v>0.55696883607077985</v>
      </c>
    </row>
    <row r="15" spans="1:11" s="4" customFormat="1" x14ac:dyDescent="0.3">
      <c r="A15" s="352" t="s">
        <v>11</v>
      </c>
      <c r="B15" s="39">
        <f>B4+B7+B8+B9+B10</f>
        <v>32428791</v>
      </c>
      <c r="C15" s="39">
        <f t="shared" ref="C15:K15" si="4">C4+C7+C8+C9+C10</f>
        <v>35792419</v>
      </c>
      <c r="D15" s="39">
        <f t="shared" si="4"/>
        <v>39872111</v>
      </c>
      <c r="E15" s="39">
        <f t="shared" si="4"/>
        <v>43280786</v>
      </c>
      <c r="F15" s="43">
        <f t="shared" si="4"/>
        <v>49532763</v>
      </c>
      <c r="G15" s="38">
        <f t="shared" si="4"/>
        <v>54516673.193400003</v>
      </c>
      <c r="H15" s="39">
        <f t="shared" si="4"/>
        <v>55415154.430080011</v>
      </c>
      <c r="I15" s="39">
        <f t="shared" si="4"/>
        <v>61964823.478233606</v>
      </c>
      <c r="J15" s="39">
        <f t="shared" si="4"/>
        <v>69292440.853489175</v>
      </c>
      <c r="K15" s="104">
        <f t="shared" si="4"/>
        <v>72324671.438511148</v>
      </c>
    </row>
    <row r="16" spans="1:11" x14ac:dyDescent="0.3">
      <c r="A16" s="366" t="s">
        <v>10</v>
      </c>
      <c r="B16" s="15">
        <f>B15/(B6+B11)</f>
        <v>0.59351743882570895</v>
      </c>
      <c r="C16" s="15">
        <f t="shared" ref="C16:F16" si="5">C15/(C6+C11)</f>
        <v>0.611592808284525</v>
      </c>
      <c r="D16" s="15">
        <f t="shared" si="5"/>
        <v>0.57549864635075887</v>
      </c>
      <c r="E16" s="15">
        <f t="shared" si="5"/>
        <v>0.4747787371615162</v>
      </c>
      <c r="F16" s="30">
        <f t="shared" si="5"/>
        <v>0.46485284877665634</v>
      </c>
      <c r="G16" s="40">
        <f>G15/G17</f>
        <v>0.47588119816633045</v>
      </c>
      <c r="H16" s="15">
        <f t="shared" ref="H16:K16" si="6">H15/H17</f>
        <v>0.4501752154522371</v>
      </c>
      <c r="I16" s="15">
        <f t="shared" si="6"/>
        <v>0.45486736952612805</v>
      </c>
      <c r="J16" s="15">
        <f t="shared" si="6"/>
        <v>0.45818150443506184</v>
      </c>
      <c r="K16" s="303">
        <f t="shared" si="6"/>
        <v>0.44303116392922021</v>
      </c>
    </row>
    <row r="17" spans="1:11" s="41" customFormat="1" x14ac:dyDescent="0.3">
      <c r="A17" s="352" t="s">
        <v>12</v>
      </c>
      <c r="B17" s="39">
        <f>B6+B11</f>
        <v>54638312</v>
      </c>
      <c r="C17" s="39">
        <f t="shared" ref="C17:K17" si="7">C6+C11</f>
        <v>58523283</v>
      </c>
      <c r="D17" s="39">
        <f t="shared" si="7"/>
        <v>69282719</v>
      </c>
      <c r="E17" s="39">
        <f t="shared" si="7"/>
        <v>91159908</v>
      </c>
      <c r="F17" s="43">
        <f t="shared" si="7"/>
        <v>106555791</v>
      </c>
      <c r="G17" s="38">
        <f t="shared" si="7"/>
        <v>114559418.19820602</v>
      </c>
      <c r="H17" s="39">
        <f t="shared" si="7"/>
        <v>123096857.68553706</v>
      </c>
      <c r="I17" s="39">
        <f>I6+I11</f>
        <v>136226134.53848612</v>
      </c>
      <c r="J17" s="39">
        <f t="shared" si="7"/>
        <v>151233605.4222154</v>
      </c>
      <c r="K17" s="104">
        <f t="shared" si="7"/>
        <v>163249625.14390054</v>
      </c>
    </row>
    <row r="18" spans="1:11" s="6" customFormat="1" ht="15" thickBot="1" x14ac:dyDescent="0.35">
      <c r="A18" s="367" t="s">
        <v>219</v>
      </c>
      <c r="B18" s="368"/>
      <c r="C18" s="369">
        <f>C17/B17</f>
        <v>1.0711034228143799</v>
      </c>
      <c r="D18" s="369">
        <f t="shared" ref="D18:K18" si="8">D17/C17</f>
        <v>1.1838488110791734</v>
      </c>
      <c r="E18" s="369">
        <f t="shared" si="8"/>
        <v>1.3157668941947847</v>
      </c>
      <c r="F18" s="403">
        <f t="shared" si="8"/>
        <v>1.1688887509627588</v>
      </c>
      <c r="G18" s="402">
        <f t="shared" si="8"/>
        <v>1.0751120809398902</v>
      </c>
      <c r="H18" s="369">
        <f t="shared" si="8"/>
        <v>1.0745241170181217</v>
      </c>
      <c r="I18" s="369">
        <f t="shared" si="8"/>
        <v>1.1066580991570807</v>
      </c>
      <c r="J18" s="369">
        <f t="shared" si="8"/>
        <v>1.1101658718759977</v>
      </c>
      <c r="K18" s="370">
        <f t="shared" si="8"/>
        <v>1.0794533707514193</v>
      </c>
    </row>
    <row r="19" spans="1:11" s="6" customFormat="1" x14ac:dyDescent="0.3">
      <c r="F19" s="26"/>
      <c r="G19" s="9"/>
      <c r="H19" s="9"/>
      <c r="I19" s="9"/>
      <c r="J19" s="9"/>
      <c r="K19" s="9"/>
    </row>
    <row r="20" spans="1:11" s="6" customFormat="1" x14ac:dyDescent="0.3">
      <c r="F20" s="26"/>
      <c r="G20" s="9"/>
      <c r="H20" s="9"/>
      <c r="I20" s="9"/>
      <c r="J20" s="9"/>
      <c r="K20" s="9"/>
    </row>
    <row r="21" spans="1:11" x14ac:dyDescent="0.3">
      <c r="B21" s="3"/>
      <c r="F21" s="27"/>
    </row>
    <row r="22" spans="1:11" x14ac:dyDescent="0.3">
      <c r="A22" s="6"/>
      <c r="B22" s="6"/>
      <c r="C22" s="6"/>
      <c r="D22" s="6"/>
      <c r="E22" s="6"/>
      <c r="F22" s="449"/>
    </row>
    <row r="23" spans="1:11" x14ac:dyDescent="0.3">
      <c r="A23" s="3"/>
      <c r="B23" s="3"/>
      <c r="C23" s="3"/>
      <c r="D23" s="3"/>
      <c r="E23" s="3"/>
      <c r="F23" s="28"/>
      <c r="G23" s="3"/>
      <c r="H23" s="3"/>
      <c r="I23" s="3"/>
      <c r="J23" s="3"/>
      <c r="K23" s="3"/>
    </row>
    <row r="24" spans="1:11" x14ac:dyDescent="0.3">
      <c r="A24" s="3"/>
      <c r="B24" s="3"/>
      <c r="C24" s="3"/>
      <c r="D24" s="3"/>
      <c r="E24" s="3"/>
      <c r="F24" s="28"/>
      <c r="G24" s="3"/>
      <c r="H24" s="3"/>
      <c r="I24" s="3"/>
      <c r="J24" s="3"/>
      <c r="K24" s="3"/>
    </row>
    <row r="25" spans="1:11" x14ac:dyDescent="0.3">
      <c r="A25" s="4"/>
      <c r="B25" s="4"/>
      <c r="C25" s="4"/>
      <c r="D25" s="4"/>
      <c r="E25" s="4"/>
      <c r="F25" s="29"/>
      <c r="G25" s="3"/>
      <c r="H25" s="3"/>
      <c r="I25" s="3"/>
      <c r="J25" s="3"/>
      <c r="K25" s="3"/>
    </row>
    <row r="26" spans="1:11" x14ac:dyDescent="0.3">
      <c r="F26" s="27"/>
    </row>
    <row r="27" spans="1:11" ht="15" thickBot="1" x14ac:dyDescent="0.35">
      <c r="F27" s="27"/>
    </row>
    <row r="28" spans="1:11" s="12" customFormat="1" x14ac:dyDescent="0.3">
      <c r="A28" s="191" t="s">
        <v>15</v>
      </c>
      <c r="B28" s="60">
        <v>2013</v>
      </c>
      <c r="C28" s="60">
        <v>2014</v>
      </c>
      <c r="D28" s="60">
        <v>2015</v>
      </c>
      <c r="E28" s="60">
        <v>2016</v>
      </c>
      <c r="F28" s="301">
        <v>2017</v>
      </c>
      <c r="G28" s="144">
        <v>2018</v>
      </c>
      <c r="H28" s="141">
        <v>2019</v>
      </c>
      <c r="I28" s="141">
        <v>2020</v>
      </c>
      <c r="J28" s="141">
        <v>2021</v>
      </c>
      <c r="K28" s="142">
        <v>2022</v>
      </c>
    </row>
    <row r="29" spans="1:11" x14ac:dyDescent="0.3">
      <c r="A29" s="55" t="s">
        <v>0</v>
      </c>
      <c r="B29" s="15">
        <f>B2/'PRIHODKI IN STROŠKI'!B$6</f>
        <v>0.21267436992467217</v>
      </c>
      <c r="C29" s="15">
        <f>C2/'PRIHODKI IN STROŠKI'!C$6</f>
        <v>0.19972625761466881</v>
      </c>
      <c r="D29" s="15">
        <f>D2/'PRIHODKI IN STROŠKI'!D$6</f>
        <v>0.21951879311234768</v>
      </c>
      <c r="E29" s="15">
        <f>E2/'PRIHODKI IN STROŠKI'!E$6</f>
        <v>0.32706937956516291</v>
      </c>
      <c r="F29" s="30">
        <f>F2/'PRIHODKI IN STROŠKI'!F$6</f>
        <v>0.3483140647031307</v>
      </c>
      <c r="G29" s="36">
        <v>0.26</v>
      </c>
      <c r="H29" s="36">
        <v>0.26</v>
      </c>
      <c r="I29" s="36">
        <v>0.26</v>
      </c>
      <c r="J29" s="36">
        <v>0.26</v>
      </c>
      <c r="K29" s="36">
        <v>0.26</v>
      </c>
    </row>
    <row r="30" spans="1:11" x14ac:dyDescent="0.3">
      <c r="A30" s="55" t="s">
        <v>228</v>
      </c>
      <c r="B30" s="15">
        <f>B3/'PRIHODKI IN STROŠKI'!B6</f>
        <v>2.7670813662813887E-3</v>
      </c>
      <c r="C30" s="15">
        <f>C3/'PRIHODKI IN STROŠKI'!C6</f>
        <v>2.1983412890640504E-3</v>
      </c>
      <c r="D30" s="15">
        <f>D3/'PRIHODKI IN STROŠKI'!D6</f>
        <v>3.9631963842939417E-3</v>
      </c>
      <c r="E30" s="15">
        <f>E3/'PRIHODKI IN STROŠKI'!E6</f>
        <v>1.9150219274661183E-3</v>
      </c>
      <c r="F30" s="410">
        <f>F3/'PRIHODKI IN STROŠKI'!F6</f>
        <v>1.1216062214670557E-3</v>
      </c>
      <c r="G30" s="451">
        <v>0</v>
      </c>
      <c r="H30" s="451">
        <v>0</v>
      </c>
      <c r="I30" s="451">
        <v>0</v>
      </c>
      <c r="J30" s="451">
        <v>0</v>
      </c>
      <c r="K30" s="451">
        <v>0</v>
      </c>
    </row>
    <row r="31" spans="1:11" x14ac:dyDescent="0.3">
      <c r="A31" s="55" t="s">
        <v>1</v>
      </c>
      <c r="B31" s="15">
        <f>B4/'PRIHODKI IN STROŠKI'!B$6</f>
        <v>2.8209979564875619E-3</v>
      </c>
      <c r="C31" s="15">
        <f>C4/'PRIHODKI IN STROŠKI'!C$6</f>
        <v>5.6763631926414005E-3</v>
      </c>
      <c r="D31" s="15">
        <f>D4/'PRIHODKI IN STROŠKI'!D$6</f>
        <v>2.7247488805661286E-3</v>
      </c>
      <c r="E31" s="15">
        <f>E4/'PRIHODKI IN STROŠKI'!E$6</f>
        <v>2.388071059751118E-3</v>
      </c>
      <c r="F31" s="30">
        <f>F4/'PRIHODKI IN STROŠKI'!F$6</f>
        <v>7.186934333842758E-4</v>
      </c>
      <c r="G31" s="36">
        <v>0</v>
      </c>
      <c r="H31" s="37">
        <v>0</v>
      </c>
      <c r="I31" s="37">
        <v>0</v>
      </c>
      <c r="J31" s="37">
        <v>0</v>
      </c>
      <c r="K31" s="342">
        <v>0</v>
      </c>
    </row>
    <row r="32" spans="1:11" x14ac:dyDescent="0.3">
      <c r="A32" s="55" t="s">
        <v>16</v>
      </c>
      <c r="B32" s="15">
        <f>B5/'PRIHODKI IN STROŠKI'!B$6</f>
        <v>2.5362357126503584E-2</v>
      </c>
      <c r="C32" s="15">
        <f>C5/'PRIHODKI IN STROŠKI'!C$6</f>
        <v>2.302724227973605E-2</v>
      </c>
      <c r="D32" s="15">
        <f>D5/'PRIHODKI IN STROŠKI'!D$6</f>
        <v>1.9658791914216062E-2</v>
      </c>
      <c r="E32" s="15">
        <f>E5/'PRIHODKI IN STROŠKI'!E$6</f>
        <v>1.7245838229765224E-2</v>
      </c>
      <c r="F32" s="30">
        <f>F5/'PRIHODKI IN STROŠKI'!F$6</f>
        <v>1.5030895258673668E-2</v>
      </c>
      <c r="G32" s="22">
        <f>G$5/'PRIHODKI IN STROŠKI'!G$6</f>
        <v>1.3330483087658057E-2</v>
      </c>
      <c r="H32" s="22">
        <f>H$5/'PRIHODKI IN STROŠKI'!H$6</f>
        <v>1.1922134058718462E-2</v>
      </c>
      <c r="I32" s="22">
        <f>I$5/'PRIHODKI IN STROŠKI'!I$6</f>
        <v>1.0661966950201553E-2</v>
      </c>
      <c r="J32" s="22">
        <f>J$5/'PRIHODKI IN STROŠKI'!J$6</f>
        <v>9.5344729073248199E-3</v>
      </c>
      <c r="K32" s="343">
        <f>K$5/'PRIHODKI IN STROŠKI'!K$6</f>
        <v>8.5257551501528618E-3</v>
      </c>
    </row>
    <row r="33" spans="1:11" s="6" customFormat="1" x14ac:dyDescent="0.3">
      <c r="A33" s="90" t="s">
        <v>3</v>
      </c>
      <c r="B33" s="15">
        <f>B6/'PRIHODKI IN STROŠKI'!B$6</f>
        <v>0.25261543232322603</v>
      </c>
      <c r="C33" s="15">
        <f>C6/'PRIHODKI IN STROŠKI'!C$6</f>
        <v>0.23696153929587907</v>
      </c>
      <c r="D33" s="15">
        <f>D6/'PRIHODKI IN STROŠKI'!D$6</f>
        <v>0.2488491477802075</v>
      </c>
      <c r="E33" s="15">
        <f>E6/'PRIHODKI IN STROŠKI'!E$6</f>
        <v>0.35184495077545747</v>
      </c>
      <c r="F33" s="30">
        <f>F6/'PRIHODKI IN STROŠKI'!F$6</f>
        <v>0.37052143106715868</v>
      </c>
      <c r="G33" s="22">
        <f>SUM(G29:G32)</f>
        <v>0.27333048308765806</v>
      </c>
      <c r="H33" s="17">
        <f>SUM(H29:H32)</f>
        <v>0.27192213405871846</v>
      </c>
      <c r="I33" s="17">
        <f>SUM(I29:I32)</f>
        <v>0.27066196695020156</v>
      </c>
      <c r="J33" s="17">
        <f>SUM(J29:J32)</f>
        <v>0.26953447290732485</v>
      </c>
      <c r="K33" s="371">
        <f>SUM(K29:K32)</f>
        <v>0.26852575515015287</v>
      </c>
    </row>
    <row r="34" spans="1:11" x14ac:dyDescent="0.3">
      <c r="A34" s="55" t="s">
        <v>4</v>
      </c>
      <c r="B34" s="15">
        <f>B7/'PRIHODKI IN STROŠKI'!B$6</f>
        <v>0.14853052543466796</v>
      </c>
      <c r="C34" s="15">
        <f>C7/'PRIHODKI IN STROŠKI'!C$6</f>
        <v>0.14894467797965927</v>
      </c>
      <c r="D34" s="15">
        <f>D7/'PRIHODKI IN STROŠKI'!D$6</f>
        <v>0.12560173015492684</v>
      </c>
      <c r="E34" s="15">
        <f>E7/'PRIHODKI IN STROŠKI'!E$6</f>
        <v>0.14371702937619363</v>
      </c>
      <c r="F34" s="30">
        <f>F7/'PRIHODKI IN STROŠKI'!F$6</f>
        <v>0.14144284412637079</v>
      </c>
      <c r="G34" s="36">
        <v>0.14000000000000001</v>
      </c>
      <c r="H34" s="37">
        <v>0.13</v>
      </c>
      <c r="I34" s="37">
        <v>0.12</v>
      </c>
      <c r="J34" s="37">
        <v>0.12</v>
      </c>
      <c r="K34" s="342">
        <v>0.12</v>
      </c>
    </row>
    <row r="35" spans="1:11" x14ac:dyDescent="0.3">
      <c r="A35" s="55" t="s">
        <v>5</v>
      </c>
      <c r="B35" s="15">
        <f>B8/'PRIHODKI IN STROŠKI'!B$6</f>
        <v>1.657555292418653E-2</v>
      </c>
      <c r="C35" s="15">
        <f>C8/'PRIHODKI IN STROŠKI'!C$6</f>
        <v>7.8106777526080716E-3</v>
      </c>
      <c r="D35" s="15">
        <f>D8/'PRIHODKI IN STROŠKI'!D$6</f>
        <v>0</v>
      </c>
      <c r="E35" s="15">
        <f>E8/'PRIHODKI IN STROŠKI'!E$6</f>
        <v>0</v>
      </c>
      <c r="F35" s="30">
        <f>F8/'PRIHODKI IN STROŠKI'!F$6</f>
        <v>2.7301313733756605E-3</v>
      </c>
      <c r="G35" s="36">
        <v>0</v>
      </c>
      <c r="H35" s="37">
        <v>0</v>
      </c>
      <c r="I35" s="37">
        <v>0</v>
      </c>
      <c r="J35" s="37">
        <v>0</v>
      </c>
      <c r="K35" s="342">
        <v>0</v>
      </c>
    </row>
    <row r="36" spans="1:11" x14ac:dyDescent="0.3">
      <c r="A36" s="55" t="s">
        <v>6</v>
      </c>
      <c r="B36" s="15">
        <f>B9/'PRIHODKI IN STROŠKI'!B$6</f>
        <v>0.18206850929261181</v>
      </c>
      <c r="C36" s="15">
        <f>C9/'PRIHODKI IN STROŠKI'!C$6</f>
        <v>0.19085424414056232</v>
      </c>
      <c r="D36" s="15">
        <f>D9/'PRIHODKI IN STROŠKI'!D$6</f>
        <v>0.19661590711060378</v>
      </c>
      <c r="E36" s="15">
        <f>E9/'PRIHODKI IN STROŠKI'!E$6</f>
        <v>0.16644824257087545</v>
      </c>
      <c r="F36" s="30">
        <f>F9/'PRIHODKI IN STROŠKI'!F$6</f>
        <v>0.17068791584337281</v>
      </c>
      <c r="G36" s="36">
        <v>0.17</v>
      </c>
      <c r="H36" s="37">
        <v>0.15</v>
      </c>
      <c r="I36" s="37">
        <v>0.15</v>
      </c>
      <c r="J36" s="37">
        <v>0.15</v>
      </c>
      <c r="K36" s="342">
        <v>0.13</v>
      </c>
    </row>
    <row r="37" spans="1:11" x14ac:dyDescent="0.3">
      <c r="A37" s="55" t="s">
        <v>7</v>
      </c>
      <c r="B37" s="15">
        <f>B10/'PRIHODKI IN STROŠKI'!B$6</f>
        <v>2.3285762647520983E-2</v>
      </c>
      <c r="C37" s="15">
        <f>C10/'PRIHODKI IN STROŠKI'!C$6</f>
        <v>1.9464771328297503E-2</v>
      </c>
      <c r="D37" s="15">
        <f>D10/'PRIHODKI IN STROŠKI'!D$6</f>
        <v>3.1246373646364543E-2</v>
      </c>
      <c r="E37" s="15">
        <f>E10/'PRIHODKI IN STROŠKI'!E$6</f>
        <v>2.6581974644249946E-2</v>
      </c>
      <c r="F37" s="30">
        <f>F10/'PRIHODKI IN STROŠKI'!F$6</f>
        <v>2.2497790914199234E-2</v>
      </c>
      <c r="G37" s="36">
        <v>0.02</v>
      </c>
      <c r="H37" s="37">
        <v>0.02</v>
      </c>
      <c r="I37" s="37">
        <v>0.03</v>
      </c>
      <c r="J37" s="37">
        <v>0.03</v>
      </c>
      <c r="K37" s="342">
        <v>0.03</v>
      </c>
    </row>
    <row r="38" spans="1:11" ht="15" thickBot="1" x14ac:dyDescent="0.35">
      <c r="A38" s="345" t="s">
        <v>8</v>
      </c>
      <c r="B38" s="346">
        <f>B11/'PRIHODKI IN STROŠKI'!B$6</f>
        <v>0.37631528451303503</v>
      </c>
      <c r="C38" s="346">
        <f>C11/'PRIHODKI IN STROŠKI'!C$6</f>
        <v>0.37251380008770246</v>
      </c>
      <c r="D38" s="346">
        <f>D11/'PRIHODKI IN STROŠKI'!D$6</f>
        <v>0.37007282892826415</v>
      </c>
      <c r="E38" s="346">
        <f>E11/'PRIHODKI IN STROŠKI'!E$6</f>
        <v>0.3624568725930537</v>
      </c>
      <c r="F38" s="347">
        <f>F11/'PRIHODKI IN STROŠKI'!F$6</f>
        <v>0.35675683899274097</v>
      </c>
      <c r="G38" s="360">
        <f>SUM(G34:G37)</f>
        <v>0.33000000000000007</v>
      </c>
      <c r="H38" s="361">
        <f>SUM(H34:H37)</f>
        <v>0.30000000000000004</v>
      </c>
      <c r="I38" s="361">
        <f>SUM(I34:I37)</f>
        <v>0.30000000000000004</v>
      </c>
      <c r="J38" s="361">
        <f>SUM(J34:J37)</f>
        <v>0.30000000000000004</v>
      </c>
      <c r="K38" s="362">
        <f>SUM(K34:K37)</f>
        <v>0.28000000000000003</v>
      </c>
    </row>
    <row r="39" spans="1:11" x14ac:dyDescent="0.3">
      <c r="F39" s="27"/>
    </row>
    <row r="40" spans="1:11" x14ac:dyDescent="0.3">
      <c r="F40" s="27"/>
    </row>
    <row r="41" spans="1:11" x14ac:dyDescent="0.3">
      <c r="A41" s="6"/>
      <c r="B41" s="6"/>
      <c r="C41" s="6"/>
      <c r="D41" s="6"/>
      <c r="E41" s="6"/>
      <c r="F41" s="26"/>
      <c r="G41" s="6"/>
      <c r="H41" s="6"/>
      <c r="I41" s="6"/>
      <c r="J41" s="6"/>
      <c r="K41" s="6"/>
    </row>
    <row r="42" spans="1:11" x14ac:dyDescent="0.3">
      <c r="F42" s="27"/>
    </row>
    <row r="43" spans="1:11" x14ac:dyDescent="0.3">
      <c r="F43" s="27"/>
    </row>
    <row r="44" spans="1:11" x14ac:dyDescent="0.3">
      <c r="F44" s="27"/>
    </row>
    <row r="45" spans="1:11" x14ac:dyDescent="0.3">
      <c r="F45" s="27"/>
    </row>
    <row r="46" spans="1:11" x14ac:dyDescent="0.3">
      <c r="F46" s="27"/>
    </row>
    <row r="47" spans="1:11" x14ac:dyDescent="0.3">
      <c r="F47" s="27"/>
    </row>
    <row r="48" spans="1:11" x14ac:dyDescent="0.3">
      <c r="F48" s="27"/>
    </row>
    <row r="49" spans="6:6" x14ac:dyDescent="0.3">
      <c r="F49" s="27"/>
    </row>
    <row r="50" spans="6:6" x14ac:dyDescent="0.3">
      <c r="F50" s="27"/>
    </row>
    <row r="51" spans="6:6" x14ac:dyDescent="0.3">
      <c r="F51" s="27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40F03-C83E-4C68-8BB8-3F847A129C1D}">
  <dimension ref="A1:L27"/>
  <sheetViews>
    <sheetView workbookViewId="0">
      <selection activeCell="H23" sqref="H23"/>
    </sheetView>
  </sheetViews>
  <sheetFormatPr defaultRowHeight="14.4" x14ac:dyDescent="0.3"/>
  <cols>
    <col min="1" max="1" width="31.21875" bestFit="1" customWidth="1"/>
    <col min="2" max="3" width="15.5546875" bestFit="1" customWidth="1"/>
    <col min="4" max="4" width="14" customWidth="1"/>
    <col min="5" max="5" width="15" customWidth="1"/>
    <col min="6" max="6" width="14.109375" customWidth="1"/>
    <col min="7" max="11" width="15.5546875" bestFit="1" customWidth="1"/>
    <col min="12" max="12" width="74" bestFit="1" customWidth="1"/>
  </cols>
  <sheetData>
    <row r="1" spans="1:12" s="31" customFormat="1" ht="15" thickBot="1" x14ac:dyDescent="0.35">
      <c r="A1" s="59" t="s">
        <v>32</v>
      </c>
      <c r="B1" s="60">
        <v>2013</v>
      </c>
      <c r="C1" s="60">
        <v>2014</v>
      </c>
      <c r="D1" s="60">
        <v>2015</v>
      </c>
      <c r="E1" s="60">
        <v>2016</v>
      </c>
      <c r="F1" s="301">
        <v>2017</v>
      </c>
      <c r="G1" s="61">
        <v>2018</v>
      </c>
      <c r="H1" s="60">
        <v>2019</v>
      </c>
      <c r="I1" s="60">
        <v>2020</v>
      </c>
      <c r="J1" s="60">
        <v>2021</v>
      </c>
      <c r="K1" s="62">
        <v>2022</v>
      </c>
    </row>
    <row r="2" spans="1:12" s="3" customFormat="1" x14ac:dyDescent="0.3">
      <c r="A2" s="48" t="s">
        <v>25</v>
      </c>
      <c r="B2" s="7">
        <v>2605609</v>
      </c>
      <c r="C2" s="7">
        <v>2764587</v>
      </c>
      <c r="D2" s="7">
        <f>3027436</f>
        <v>3027436</v>
      </c>
      <c r="E2" s="7">
        <v>3321215</v>
      </c>
      <c r="F2" s="23">
        <v>3515142</v>
      </c>
      <c r="G2" s="33">
        <f>G14*'PRIHODKI IN STROŠKI'!G$6</f>
        <v>3304040.7996</v>
      </c>
      <c r="H2" s="34">
        <f>H14*'PRIHODKI IN STROŠKI'!H$6</f>
        <v>3694343.628672</v>
      </c>
      <c r="I2" s="34">
        <f>I14*'PRIHODKI IN STROŠKI'!I$6</f>
        <v>4130988.2318822411</v>
      </c>
      <c r="J2" s="34">
        <f>J14*'PRIHODKI IN STROŠKI'!J$6</f>
        <v>4619496.0568992784</v>
      </c>
      <c r="K2" s="69">
        <f>K14*'PRIHODKI IN STROŠKI'!K$6</f>
        <v>5166047.9598936532</v>
      </c>
      <c r="L2" s="350" t="s">
        <v>233</v>
      </c>
    </row>
    <row r="3" spans="1:12" s="3" customFormat="1" ht="15" thickBot="1" x14ac:dyDescent="0.35">
      <c r="A3" s="48" t="s">
        <v>26</v>
      </c>
      <c r="B3" s="7">
        <v>7210577</v>
      </c>
      <c r="C3" s="7">
        <f>4566545+22729</f>
        <v>4589274</v>
      </c>
      <c r="D3" s="7">
        <f>2730994+144719</f>
        <v>2875713</v>
      </c>
      <c r="E3" s="7">
        <f>8221704+66679</f>
        <v>8288383</v>
      </c>
      <c r="F3" s="23">
        <v>5979791</v>
      </c>
      <c r="G3" s="33">
        <f>G15*'PRIHODKI IN STROŠKI'!G$6</f>
        <v>6608081.5992000001</v>
      </c>
      <c r="H3" s="34">
        <f>H15*'PRIHODKI IN STROŠKI'!H$6</f>
        <v>5541515.443008</v>
      </c>
      <c r="I3" s="34">
        <f>I15*'PRIHODKI IN STROŠKI'!I$6</f>
        <v>6196482.3478233609</v>
      </c>
      <c r="J3" s="34">
        <f>J15*'PRIHODKI IN STROŠKI'!J$6</f>
        <v>6929244.0853489172</v>
      </c>
      <c r="K3" s="69">
        <f>K15*'PRIHODKI IN STROŠKI'!K$6</f>
        <v>7749071.9398404798</v>
      </c>
      <c r="L3" s="211">
        <f>SUM(B4:F4)/5</f>
        <v>232749</v>
      </c>
    </row>
    <row r="4" spans="1:12" s="3" customFormat="1" x14ac:dyDescent="0.3">
      <c r="A4" s="48" t="s">
        <v>226</v>
      </c>
      <c r="B4" s="7">
        <f>324526</f>
        <v>324526</v>
      </c>
      <c r="C4" s="7">
        <v>222666</v>
      </c>
      <c r="D4" s="7">
        <v>391155</v>
      </c>
      <c r="E4" s="7">
        <v>168084</v>
      </c>
      <c r="F4" s="23">
        <v>57314</v>
      </c>
      <c r="G4" s="283">
        <f>$L$3</f>
        <v>232749</v>
      </c>
      <c r="H4" s="406">
        <f t="shared" ref="H4:K4" si="0">$L$3</f>
        <v>232749</v>
      </c>
      <c r="I4" s="406">
        <f t="shared" si="0"/>
        <v>232749</v>
      </c>
      <c r="J4" s="406">
        <f t="shared" si="0"/>
        <v>232749</v>
      </c>
      <c r="K4" s="351">
        <f t="shared" si="0"/>
        <v>232749</v>
      </c>
    </row>
    <row r="5" spans="1:12" s="41" customFormat="1" x14ac:dyDescent="0.3">
      <c r="A5" s="352" t="s">
        <v>27</v>
      </c>
      <c r="B5" s="39">
        <f>B2+B3+B4</f>
        <v>10140712</v>
      </c>
      <c r="C5" s="39">
        <f>C2+C3+C4</f>
        <v>7576527</v>
      </c>
      <c r="D5" s="39">
        <f>D2+D3+D4</f>
        <v>6294304</v>
      </c>
      <c r="E5" s="39">
        <f t="shared" ref="E5:K5" si="1">E2+E3+E4</f>
        <v>11777682</v>
      </c>
      <c r="F5" s="43">
        <f t="shared" si="1"/>
        <v>9552247</v>
      </c>
      <c r="G5" s="408">
        <f t="shared" si="1"/>
        <v>10144871.398800001</v>
      </c>
      <c r="H5" s="39">
        <f t="shared" si="1"/>
        <v>9468608.0716800001</v>
      </c>
      <c r="I5" s="39">
        <f t="shared" si="1"/>
        <v>10560219.579705602</v>
      </c>
      <c r="J5" s="39">
        <f t="shared" si="1"/>
        <v>11781489.142248195</v>
      </c>
      <c r="K5" s="409">
        <f t="shared" si="1"/>
        <v>13147868.899734132</v>
      </c>
    </row>
    <row r="6" spans="1:12" s="3" customFormat="1" x14ac:dyDescent="0.3">
      <c r="A6" s="353" t="s">
        <v>28</v>
      </c>
      <c r="B6" s="7">
        <v>6213909</v>
      </c>
      <c r="C6" s="7">
        <v>7328284</v>
      </c>
      <c r="D6" s="7">
        <v>6248985</v>
      </c>
      <c r="E6" s="7">
        <v>9191013</v>
      </c>
      <c r="F6" s="23">
        <v>14004086</v>
      </c>
      <c r="G6" s="33">
        <f>G18*'PRIHODKI IN STROŠKI'!G$6</f>
        <v>13216163.1984</v>
      </c>
      <c r="H6" s="407">
        <f>H18*'PRIHODKI IN STROŠKI'!H$6</f>
        <v>14777374.514688</v>
      </c>
      <c r="I6" s="407">
        <f>I18*'PRIHODKI IN STROŠKI'!I$6</f>
        <v>16523952.927528964</v>
      </c>
      <c r="J6" s="407">
        <f>J18*'PRIHODKI IN STROŠKI'!J$6</f>
        <v>16168236.199147476</v>
      </c>
      <c r="K6" s="69">
        <f>K18*'PRIHODKI IN STROŠKI'!K$6</f>
        <v>18081167.859627787</v>
      </c>
    </row>
    <row r="7" spans="1:12" s="3" customFormat="1" x14ac:dyDescent="0.3">
      <c r="A7" s="353" t="s">
        <v>29</v>
      </c>
      <c r="B7" s="7">
        <v>14415756</v>
      </c>
      <c r="C7" s="7">
        <v>14484032</v>
      </c>
      <c r="D7" s="7">
        <v>19795003</v>
      </c>
      <c r="E7" s="7">
        <v>23264538</v>
      </c>
      <c r="F7" s="23">
        <v>26181762</v>
      </c>
      <c r="G7" s="33">
        <f>G19*'PRIHODKI IN STROŠKI'!G$6</f>
        <v>29736367.196399998</v>
      </c>
      <c r="H7" s="34">
        <f>H19*'PRIHODKI IN STROŠKI'!H$6</f>
        <v>33249092.658048</v>
      </c>
      <c r="I7" s="34">
        <f>I19*'PRIHODKI IN STROŠKI'!I$6</f>
        <v>35113399.970999047</v>
      </c>
      <c r="J7" s="34">
        <f>J19*'PRIHODKI IN STROŠKI'!J$6</f>
        <v>39265716.483643867</v>
      </c>
      <c r="K7" s="69">
        <f>K19*'PRIHODKI IN STROŠKI'!K$6</f>
        <v>41328383.679149225</v>
      </c>
    </row>
    <row r="8" spans="1:12" s="41" customFormat="1" ht="15" thickBot="1" x14ac:dyDescent="0.35">
      <c r="A8" s="354" t="s">
        <v>30</v>
      </c>
      <c r="B8" s="355">
        <f>20629665+857946</f>
        <v>21487611</v>
      </c>
      <c r="C8" s="355">
        <f>21812316+549628</f>
        <v>22361944</v>
      </c>
      <c r="D8" s="355">
        <v>26720323</v>
      </c>
      <c r="E8" s="355">
        <v>33763356</v>
      </c>
      <c r="F8" s="356">
        <v>41434412</v>
      </c>
      <c r="G8" s="357">
        <f>G6+G7</f>
        <v>42952530.3948</v>
      </c>
      <c r="H8" s="358">
        <f>H6+H7</f>
        <v>48026467.172736004</v>
      </c>
      <c r="I8" s="358">
        <f>I6+I7</f>
        <v>51637352.89852801</v>
      </c>
      <c r="J8" s="358">
        <f>J6+J7</f>
        <v>55433952.682791345</v>
      </c>
      <c r="K8" s="359">
        <f>K6+K7</f>
        <v>59409551.538777009</v>
      </c>
    </row>
    <row r="9" spans="1:12" x14ac:dyDescent="0.3">
      <c r="F9" s="28"/>
    </row>
    <row r="10" spans="1:12" x14ac:dyDescent="0.3">
      <c r="F10" s="27"/>
    </row>
    <row r="11" spans="1:12" x14ac:dyDescent="0.3">
      <c r="F11" s="27"/>
    </row>
    <row r="12" spans="1:12" ht="15" thickBot="1" x14ac:dyDescent="0.35">
      <c r="F12" s="27"/>
      <c r="H12" s="135"/>
    </row>
    <row r="13" spans="1:12" s="31" customFormat="1" x14ac:dyDescent="0.3">
      <c r="A13" s="191" t="s">
        <v>31</v>
      </c>
      <c r="B13" s="60">
        <v>2013</v>
      </c>
      <c r="C13" s="60">
        <v>2014</v>
      </c>
      <c r="D13" s="60">
        <v>2015</v>
      </c>
      <c r="E13" s="60">
        <v>2016</v>
      </c>
      <c r="F13" s="279">
        <v>2017</v>
      </c>
      <c r="G13" s="191">
        <v>2018</v>
      </c>
      <c r="H13" s="60">
        <v>2019</v>
      </c>
      <c r="I13" s="60">
        <v>2020</v>
      </c>
      <c r="J13" s="60">
        <v>2021</v>
      </c>
      <c r="K13" s="62">
        <v>2022</v>
      </c>
    </row>
    <row r="14" spans="1:12" x14ac:dyDescent="0.3">
      <c r="A14" s="55" t="s">
        <v>25</v>
      </c>
      <c r="B14" s="15">
        <f>B2/'PRIHODKI IN STROŠKI'!B$6</f>
        <v>2.9992645749469957E-2</v>
      </c>
      <c r="C14" s="15">
        <f>C2/'PRIHODKI IN STROŠKI'!C$6</f>
        <v>2.8791064234732652E-2</v>
      </c>
      <c r="D14" s="15">
        <f>D2/'PRIHODKI IN STROŠKI'!D$6</f>
        <v>2.7044935598996751E-2</v>
      </c>
      <c r="E14" s="15">
        <f>E2/'PRIHODKI IN STROŠKI'!E$6</f>
        <v>2.6024049193850107E-2</v>
      </c>
      <c r="F14" s="410">
        <f>F2/'PRIHODKI IN STROŠKI'!F$6</f>
        <v>2.3991998640176166E-2</v>
      </c>
      <c r="G14" s="412">
        <v>0.02</v>
      </c>
      <c r="H14" s="37">
        <v>0.02</v>
      </c>
      <c r="I14" s="37">
        <v>0.02</v>
      </c>
      <c r="J14" s="37">
        <v>0.02</v>
      </c>
      <c r="K14" s="342">
        <v>0.02</v>
      </c>
    </row>
    <row r="15" spans="1:12" x14ac:dyDescent="0.3">
      <c r="A15" s="55" t="s">
        <v>26</v>
      </c>
      <c r="B15" s="15">
        <f>B3/'PRIHODKI IN STROŠKI'!B$6</f>
        <v>8.2999514359320917E-2</v>
      </c>
      <c r="C15" s="15">
        <f>C3/'PRIHODKI IN STROŠKI'!C$6</f>
        <v>4.7793787109896874E-2</v>
      </c>
      <c r="D15" s="15">
        <f>D3/'PRIHODKI IN STROŠKI'!D$6</f>
        <v>2.5689551450863945E-2</v>
      </c>
      <c r="E15" s="15">
        <f>E3/'PRIHODKI IN STROŠKI'!E$6</f>
        <v>6.4945294697714817E-2</v>
      </c>
      <c r="F15" s="410">
        <f>F3/'PRIHODKI IN STROŠKI'!F$6</f>
        <v>4.0814037538323536E-2</v>
      </c>
      <c r="G15" s="412">
        <v>0.04</v>
      </c>
      <c r="H15" s="37">
        <v>0.03</v>
      </c>
      <c r="I15" s="37">
        <v>0.03</v>
      </c>
      <c r="J15" s="37">
        <v>0.03</v>
      </c>
      <c r="K15" s="342">
        <v>0.03</v>
      </c>
    </row>
    <row r="16" spans="1:12" x14ac:dyDescent="0.3">
      <c r="A16" s="48" t="s">
        <v>226</v>
      </c>
      <c r="B16" s="15">
        <f>B4/'PRIHODKI IN STROŠKI'!B6</f>
        <v>3.7355540890795539E-3</v>
      </c>
      <c r="C16" s="15">
        <f>C4/'PRIHODKI IN STROŠKI'!C6</f>
        <v>2.3188964966163049E-3</v>
      </c>
      <c r="D16" s="15">
        <f>D4/'PRIHODKI IN STROŠKI'!D6</f>
        <v>3.4942974134632653E-3</v>
      </c>
      <c r="E16" s="15">
        <f>E4/'PRIHODKI IN STROŠKI'!E6</f>
        <v>1.3170560426527945E-3</v>
      </c>
      <c r="F16" s="410">
        <f>F4/'PRIHODKI IN STROŠKI'!F6</f>
        <v>3.9118687383413154E-4</v>
      </c>
      <c r="G16" s="413">
        <f>G4/'PRIHODKI IN STROŠKI'!G6</f>
        <v>1.4088748542583221E-3</v>
      </c>
      <c r="H16" s="15">
        <f>H4/'PRIHODKI IN STROŠKI'!H6</f>
        <v>1.2600289707412296E-3</v>
      </c>
      <c r="I16" s="15">
        <f>I4/'PRIHODKI IN STROŠKI'!I6</f>
        <v>1.1268441686843073E-3</v>
      </c>
      <c r="J16" s="15">
        <f>J4/'PRIHODKI IN STROŠKI'!J6</f>
        <v>1.007681345034969E-3</v>
      </c>
      <c r="K16" s="303">
        <f>K4/'PRIHODKI IN STROŠKI'!K6</f>
        <v>9.0107177404056193E-4</v>
      </c>
    </row>
    <row r="17" spans="1:11" x14ac:dyDescent="0.3">
      <c r="A17" s="90" t="s">
        <v>27</v>
      </c>
      <c r="B17" s="15">
        <f>B5/'PRIHODKI IN STROŠKI'!B$6</f>
        <v>0.11672771419787044</v>
      </c>
      <c r="C17" s="15">
        <f>C5/'PRIHODKI IN STROŠKI'!C$6</f>
        <v>7.8903747841245833E-2</v>
      </c>
      <c r="D17" s="15">
        <f>D5/'PRIHODKI IN STROŠKI'!D$6</f>
        <v>5.6228784463323959E-2</v>
      </c>
      <c r="E17" s="15">
        <f>E5/'PRIHODKI IN STROŠKI'!E$6</f>
        <v>9.2286399934217722E-2</v>
      </c>
      <c r="F17" s="410">
        <f>F5/'PRIHODKI IN STROŠKI'!F$6</f>
        <v>6.519722305233383E-2</v>
      </c>
      <c r="G17" s="414">
        <f>G14+G15</f>
        <v>0.06</v>
      </c>
      <c r="H17" s="18">
        <f>H14+H15</f>
        <v>0.05</v>
      </c>
      <c r="I17" s="18">
        <f>I14+I15</f>
        <v>0.05</v>
      </c>
      <c r="J17" s="18">
        <f>J14+J15</f>
        <v>0.05</v>
      </c>
      <c r="K17" s="340">
        <f>K14+K15</f>
        <v>0.05</v>
      </c>
    </row>
    <row r="18" spans="1:11" x14ac:dyDescent="0.3">
      <c r="A18" s="55" t="s">
        <v>28</v>
      </c>
      <c r="B18" s="15">
        <f>B6/'PRIHODKI IN STROŠKI'!B$6</f>
        <v>7.1527067705263181E-2</v>
      </c>
      <c r="C18" s="15">
        <f>C6/'PRIHODKI IN STROŠKI'!C$6</f>
        <v>7.631848640479158E-2</v>
      </c>
      <c r="D18" s="15">
        <f>D6/'PRIHODKI IN STROŠKI'!D$6</f>
        <v>5.5823937115135287E-2</v>
      </c>
      <c r="E18" s="15">
        <f>E6/'PRIHODKI IN STROŠKI'!E$6</f>
        <v>7.2018033898231776E-2</v>
      </c>
      <c r="F18" s="410">
        <f>F6/'PRIHODKI IN STROŠKI'!F$6</f>
        <v>9.5582486360127158E-2</v>
      </c>
      <c r="G18" s="412">
        <v>0.08</v>
      </c>
      <c r="H18" s="37">
        <v>0.08</v>
      </c>
      <c r="I18" s="37">
        <v>0.08</v>
      </c>
      <c r="J18" s="37">
        <v>7.0000000000000007E-2</v>
      </c>
      <c r="K18" s="342">
        <v>7.0000000000000007E-2</v>
      </c>
    </row>
    <row r="19" spans="1:11" x14ac:dyDescent="0.3">
      <c r="A19" s="55" t="s">
        <v>29</v>
      </c>
      <c r="B19" s="15">
        <f>B7/'PRIHODKI IN STROŠKI'!B$6</f>
        <v>0.16593689341677742</v>
      </c>
      <c r="C19" s="15">
        <f>C7/'PRIHODKI IN STROŠKI'!C$6</f>
        <v>0.15084014201395118</v>
      </c>
      <c r="D19" s="15">
        <f>D7/'PRIHODKI IN STROŠKI'!D$6</f>
        <v>0.17683431831984142</v>
      </c>
      <c r="E19" s="15">
        <f>E7/'PRIHODKI IN STROŠKI'!E$6</f>
        <v>0.18229397415831108</v>
      </c>
      <c r="F19" s="410">
        <f>F7/'PRIHODKI IN STROŠKI'!F$6</f>
        <v>0.17869912461613671</v>
      </c>
      <c r="G19" s="412">
        <v>0.18</v>
      </c>
      <c r="H19" s="37">
        <v>0.18</v>
      </c>
      <c r="I19" s="37">
        <v>0.17</v>
      </c>
      <c r="J19" s="37">
        <v>0.17</v>
      </c>
      <c r="K19" s="342">
        <v>0.16</v>
      </c>
    </row>
    <row r="20" spans="1:11" ht="15" thickBot="1" x14ac:dyDescent="0.35">
      <c r="A20" s="345" t="s">
        <v>30</v>
      </c>
      <c r="B20" s="346">
        <f>B8/'PRIHODKI IN STROŠKI'!B$6</f>
        <v>0.2473396064894671</v>
      </c>
      <c r="C20" s="346">
        <f>C8/'PRIHODKI IN STROŠKI'!C$6</f>
        <v>0.23288258467449005</v>
      </c>
      <c r="D20" s="346">
        <f>D8/'PRIHODKI IN STROŠKI'!D$6</f>
        <v>0.23870014583938079</v>
      </c>
      <c r="E20" s="346">
        <f>E8/'PRIHODKI IN STROŠKI'!E$6</f>
        <v>0.26455957759237936</v>
      </c>
      <c r="F20" s="411">
        <f>F8/'PRIHODKI IN STROŠKI'!F$6</f>
        <v>0.28280347034643238</v>
      </c>
      <c r="G20" s="415">
        <f>G18+G19</f>
        <v>0.26</v>
      </c>
      <c r="H20" s="361">
        <f>H18+H19</f>
        <v>0.26</v>
      </c>
      <c r="I20" s="361">
        <f>I18+I19</f>
        <v>0.25</v>
      </c>
      <c r="J20" s="361">
        <f>J18+J19</f>
        <v>0.24000000000000002</v>
      </c>
      <c r="K20" s="362">
        <f>K18+K19</f>
        <v>0.23</v>
      </c>
    </row>
    <row r="21" spans="1:11" x14ac:dyDescent="0.3">
      <c r="F21" s="27"/>
    </row>
    <row r="22" spans="1:11" x14ac:dyDescent="0.3">
      <c r="F22" s="42"/>
    </row>
    <row r="23" spans="1:11" s="6" customFormat="1" ht="15" thickBot="1" x14ac:dyDescent="0.35">
      <c r="F23" s="26"/>
    </row>
    <row r="24" spans="1:11" s="3" customFormat="1" x14ac:dyDescent="0.3">
      <c r="A24" s="191" t="s">
        <v>237</v>
      </c>
      <c r="B24" s="60">
        <v>2013</v>
      </c>
      <c r="C24" s="60">
        <v>2014</v>
      </c>
      <c r="D24" s="60">
        <v>2015</v>
      </c>
      <c r="E24" s="60">
        <v>2016</v>
      </c>
      <c r="F24" s="62">
        <v>2017</v>
      </c>
    </row>
    <row r="25" spans="1:11" x14ac:dyDescent="0.3">
      <c r="A25" s="48" t="s">
        <v>253</v>
      </c>
      <c r="B25" s="7">
        <v>23009989</v>
      </c>
      <c r="C25" s="7">
        <v>28584812</v>
      </c>
      <c r="D25" s="7">
        <v>36268092</v>
      </c>
      <c r="E25" s="7">
        <v>45510666</v>
      </c>
      <c r="F25" s="542">
        <v>55347711</v>
      </c>
    </row>
    <row r="26" spans="1:11" x14ac:dyDescent="0.3">
      <c r="A26" s="55" t="s">
        <v>328</v>
      </c>
      <c r="B26" s="540">
        <f>(B3+B6)/(B3+B6+B25)</f>
        <v>0.36845559048126808</v>
      </c>
      <c r="C26" s="540">
        <f t="shared" ref="C26:F26" si="2">(C3+C6)/(C3+C6+C25)</f>
        <v>0.29424347266592055</v>
      </c>
      <c r="D26" s="540">
        <f t="shared" si="2"/>
        <v>0.20101646098422238</v>
      </c>
      <c r="E26" s="540">
        <f t="shared" si="2"/>
        <v>0.27749450381553842</v>
      </c>
      <c r="F26" s="540">
        <f t="shared" si="2"/>
        <v>0.26527884955777115</v>
      </c>
    </row>
    <row r="27" spans="1:11" ht="15" thickBot="1" x14ac:dyDescent="0.35">
      <c r="A27" s="91" t="s">
        <v>329</v>
      </c>
      <c r="B27" s="541">
        <f>B25/(B25+B3+B6)</f>
        <v>0.63154440951873192</v>
      </c>
      <c r="C27" s="541">
        <f t="shared" ref="C27:F27" si="3">C25/(C25+C3+C6)</f>
        <v>0.70575652733407945</v>
      </c>
      <c r="D27" s="541">
        <f t="shared" si="3"/>
        <v>0.79898353901577757</v>
      </c>
      <c r="E27" s="541">
        <f t="shared" si="3"/>
        <v>0.72250549618446158</v>
      </c>
      <c r="F27" s="541">
        <f t="shared" si="3"/>
        <v>0.73472115044222885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15</vt:i4>
      </vt:variant>
    </vt:vector>
  </HeadingPairs>
  <TitlesOfParts>
    <vt:vector size="15" baseType="lpstr">
      <vt:lpstr>LEGENDA</vt:lpstr>
      <vt:lpstr>FCF - KONČNI_IZRAČUN</vt:lpstr>
      <vt:lpstr>WACC IZRAČUN</vt:lpstr>
      <vt:lpstr>ŠTUDIJE - POSEBNA TVEGANJA</vt:lpstr>
      <vt:lpstr>IZRAČUN VREDNOSTI DELNICE</vt:lpstr>
      <vt:lpstr>ANALIZA DELNICE</vt:lpstr>
      <vt:lpstr>PRIHODKI IN STROŠKI</vt:lpstr>
      <vt:lpstr>AKTIVA</vt:lpstr>
      <vt:lpstr>PASIVA</vt:lpstr>
      <vt:lpstr>NALOŽBE</vt:lpstr>
      <vt:lpstr>INVESTICIJE</vt:lpstr>
      <vt:lpstr>AMORTIZACIJA</vt:lpstr>
      <vt:lpstr>MAKRO ANALIZA</vt:lpstr>
      <vt:lpstr>PRIMERJAVA S SORODNIMI PODJETJI</vt:lpstr>
      <vt:lpstr>KAZALNIKI - PODJETJE 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Neža</dc:creator>
  <cp:lastModifiedBy>Neža</cp:lastModifiedBy>
  <dcterms:created xsi:type="dcterms:W3CDTF">2019-10-14T18:42:44Z</dcterms:created>
  <dcterms:modified xsi:type="dcterms:W3CDTF">2020-05-08T20:01:33Z</dcterms:modified>
</cp:coreProperties>
</file>