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-\Documents\Niki\Pénzügy és számvitel\IV. szemeszter - tavasz\Vállalati pénzügy\"/>
    </mc:Choice>
  </mc:AlternateContent>
  <xr:revisionPtr revIDLastSave="0" documentId="13_ncr:1_{02E70E6E-D46A-43E4-AEFB-B114F63FEB39}" xr6:coauthVersionLast="38" xr6:coauthVersionMax="38" xr10:uidLastSave="{00000000-0000-0000-0000-000000000000}"/>
  <bookViews>
    <workbookView xWindow="0" yWindow="0" windowWidth="23040" windowHeight="9072" activeTab="4" xr2:uid="{00000000-000D-0000-FFFF-FFFF00000000}"/>
  </bookViews>
  <sheets>
    <sheet name="Kamatok" sheetId="1" r:id="rId1"/>
    <sheet name="Járadékszámítás" sheetId="2" r:id="rId2"/>
    <sheet name="Reálgazdasági beruházások" sheetId="3" r:id="rId3"/>
    <sheet name="Kockázat" sheetId="4" r:id="rId4"/>
    <sheet name="Befektetési döntések" sheetId="5" r:id="rId5"/>
    <sheet name="Részvény" sheetId="6" r:id="rId6"/>
    <sheet name="Mutatószámok" sheetId="7" r:id="rId7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3" i="7" l="1"/>
  <c r="F44" i="7" s="1"/>
  <c r="F45" i="7" s="1"/>
  <c r="F42" i="7"/>
  <c r="F38" i="7"/>
  <c r="F37" i="7"/>
  <c r="F39" i="7" s="1"/>
  <c r="F47" i="7" s="1"/>
  <c r="C54" i="7"/>
  <c r="B54" i="7"/>
  <c r="C51" i="7"/>
  <c r="C52" i="7" s="1"/>
  <c r="B51" i="7"/>
  <c r="B52" i="7" s="1"/>
  <c r="C49" i="7"/>
  <c r="B49" i="7"/>
  <c r="C48" i="7"/>
  <c r="B48" i="7"/>
  <c r="C47" i="7"/>
  <c r="B47" i="7"/>
  <c r="C45" i="7"/>
  <c r="B45" i="7"/>
  <c r="C44" i="7"/>
  <c r="B44" i="7"/>
  <c r="G1" i="7"/>
  <c r="F1" i="7"/>
  <c r="C43" i="7"/>
  <c r="B43" i="7"/>
  <c r="C42" i="7"/>
  <c r="B42" i="7"/>
  <c r="C36" i="7"/>
  <c r="B36" i="7"/>
  <c r="C16" i="7"/>
  <c r="B16" i="7"/>
  <c r="C41" i="7"/>
  <c r="B41" i="7"/>
  <c r="C40" i="7"/>
  <c r="B40" i="7"/>
  <c r="C39" i="7"/>
  <c r="B39" i="7"/>
  <c r="C38" i="7"/>
  <c r="B38" i="7"/>
  <c r="C37" i="7"/>
  <c r="B37" i="7"/>
  <c r="F32" i="7"/>
  <c r="F31" i="7"/>
  <c r="F30" i="7"/>
  <c r="F29" i="7"/>
  <c r="F28" i="7"/>
  <c r="F27" i="7"/>
  <c r="F26" i="7"/>
  <c r="F25" i="7"/>
  <c r="F24" i="7"/>
  <c r="B53" i="7" l="1"/>
  <c r="C53" i="7"/>
  <c r="F23" i="7"/>
  <c r="C13" i="7"/>
  <c r="B13" i="7"/>
  <c r="C50" i="7" l="1"/>
  <c r="C46" i="7"/>
  <c r="B50" i="7"/>
  <c r="B46" i="7"/>
  <c r="I18" i="6"/>
  <c r="B21" i="6"/>
  <c r="C21" i="6" s="1"/>
  <c r="B18" i="6" s="1"/>
  <c r="I4" i="6"/>
  <c r="D7" i="6"/>
  <c r="B7" i="6"/>
  <c r="C7" i="6" s="1"/>
  <c r="B4" i="6" s="1"/>
  <c r="K23" i="2"/>
  <c r="L23" i="2" s="1"/>
  <c r="M23" i="2" s="1"/>
  <c r="N23" i="2" l="1"/>
  <c r="K21" i="2" s="1"/>
  <c r="C15" i="5"/>
  <c r="F14" i="5" s="1"/>
  <c r="D15" i="5"/>
  <c r="G12" i="5" s="1"/>
  <c r="B15" i="5"/>
  <c r="E12" i="5" s="1"/>
  <c r="E14" i="5" l="1"/>
  <c r="F13" i="5"/>
  <c r="F12" i="5"/>
  <c r="G13" i="5"/>
  <c r="E13" i="5"/>
  <c r="G14" i="5"/>
  <c r="Q5" i="3"/>
  <c r="E37" i="5" l="1"/>
  <c r="F37" i="5" s="1"/>
  <c r="G37" i="5" s="1"/>
  <c r="H37" i="5" s="1"/>
  <c r="E38" i="5"/>
  <c r="F38" i="5" s="1"/>
  <c r="G38" i="5" s="1"/>
  <c r="H38" i="5" s="1"/>
  <c r="E36" i="5"/>
  <c r="F36" i="5" s="1"/>
  <c r="G36" i="5" s="1"/>
  <c r="H36" i="5" s="1"/>
  <c r="E5" i="3"/>
  <c r="E29" i="5"/>
  <c r="E30" i="5"/>
  <c r="E28" i="5"/>
  <c r="E20" i="5"/>
  <c r="F17" i="5"/>
  <c r="F21" i="5"/>
  <c r="F22" i="5"/>
  <c r="F20" i="5"/>
  <c r="E21" i="5"/>
  <c r="E22" i="5"/>
  <c r="H13" i="5"/>
  <c r="H14" i="5"/>
  <c r="H12" i="5"/>
  <c r="F5" i="5"/>
  <c r="F6" i="5"/>
  <c r="F4" i="5"/>
  <c r="E5" i="5"/>
  <c r="E6" i="5"/>
  <c r="E4" i="5"/>
  <c r="J3" i="4"/>
  <c r="J2" i="4"/>
  <c r="P5" i="3"/>
  <c r="U5" i="3" s="1"/>
  <c r="E19" i="3"/>
  <c r="F19" i="3" s="1"/>
  <c r="H19" i="3" s="1"/>
  <c r="E18" i="3"/>
  <c r="F18" i="3" s="1"/>
  <c r="H18" i="3" s="1"/>
  <c r="E17" i="3"/>
  <c r="F17" i="3" s="1"/>
  <c r="H17" i="3" s="1"/>
  <c r="E16" i="3"/>
  <c r="F16" i="3" s="1"/>
  <c r="H16" i="3" s="1"/>
  <c r="E15" i="3"/>
  <c r="F15" i="3" s="1"/>
  <c r="E14" i="3"/>
  <c r="F10" i="3"/>
  <c r="H10" i="3" s="1"/>
  <c r="E6" i="3"/>
  <c r="F6" i="3" s="1"/>
  <c r="H6" i="3" s="1"/>
  <c r="E7" i="3"/>
  <c r="F7" i="3" s="1"/>
  <c r="H7" i="3" s="1"/>
  <c r="E8" i="3"/>
  <c r="F8" i="3" s="1"/>
  <c r="H8" i="3" s="1"/>
  <c r="E9" i="3"/>
  <c r="F9" i="3" s="1"/>
  <c r="H9" i="3" s="1"/>
  <c r="E10" i="3"/>
  <c r="C23" i="2"/>
  <c r="C26" i="2" s="1"/>
  <c r="K13" i="2"/>
  <c r="L13" i="2" s="1"/>
  <c r="G13" i="2"/>
  <c r="C13" i="2" s="1"/>
  <c r="D13" i="2" s="1"/>
  <c r="K5" i="2"/>
  <c r="L5" i="2" s="1"/>
  <c r="M5" i="2" s="1"/>
  <c r="N5" i="2" s="1"/>
  <c r="O5" i="2" s="1"/>
  <c r="K3" i="2" s="1"/>
  <c r="F5" i="2"/>
  <c r="C5" i="2" s="1"/>
  <c r="D5" i="2" s="1"/>
  <c r="E5" i="2" s="1"/>
  <c r="C3" i="2" s="1"/>
  <c r="L22" i="1"/>
  <c r="M22" i="1" s="1"/>
  <c r="J22" i="1"/>
  <c r="K22" i="1" s="1"/>
  <c r="K15" i="1"/>
  <c r="J15" i="1"/>
  <c r="C15" i="1"/>
  <c r="C22" i="1"/>
  <c r="E22" i="1"/>
  <c r="D15" i="1"/>
  <c r="J6" i="1"/>
  <c r="J2" i="1"/>
  <c r="C2" i="1"/>
  <c r="C6" i="1"/>
  <c r="D23" i="2" l="1"/>
  <c r="E23" i="2" s="1"/>
  <c r="J20" i="1"/>
  <c r="G21" i="5"/>
  <c r="G22" i="5"/>
  <c r="K4" i="3"/>
  <c r="N5" i="3" s="1"/>
  <c r="M13" i="2"/>
  <c r="D22" i="1"/>
  <c r="C20" i="1" s="1"/>
  <c r="J7" i="4"/>
  <c r="K7" i="4" s="1"/>
  <c r="D26" i="2"/>
  <c r="C21" i="2" s="1"/>
  <c r="J6" i="4"/>
  <c r="K6" i="4" s="1"/>
  <c r="E13" i="2"/>
  <c r="F13" i="2" s="1"/>
  <c r="C11" i="2" s="1"/>
  <c r="I9" i="4"/>
  <c r="G20" i="5"/>
  <c r="H15" i="3"/>
  <c r="K13" i="3" s="1"/>
  <c r="O5" i="3" s="1"/>
  <c r="N13" i="2"/>
  <c r="J13" i="1"/>
  <c r="C13" i="1"/>
  <c r="O13" i="2" l="1"/>
  <c r="K11" i="2" s="1"/>
  <c r="I11" i="4"/>
  <c r="S5" i="3"/>
  <c r="T5" i="3" s="1"/>
  <c r="Q2" i="3" s="1"/>
</calcChain>
</file>

<file path=xl/sharedStrings.xml><?xml version="1.0" encoding="utf-8"?>
<sst xmlns="http://schemas.openxmlformats.org/spreadsheetml/2006/main" count="410" uniqueCount="214">
  <si>
    <t>Egyszerű kamat=</t>
  </si>
  <si>
    <t>C0</t>
  </si>
  <si>
    <t>n</t>
  </si>
  <si>
    <t>r</t>
  </si>
  <si>
    <r>
      <t>C</t>
    </r>
    <r>
      <rPr>
        <vertAlign val="subscript"/>
        <sz val="11"/>
        <color theme="1"/>
        <rFont val="Calibri"/>
        <family val="2"/>
        <charset val="238"/>
        <scheme val="minor"/>
      </rPr>
      <t>0</t>
    </r>
  </si>
  <si>
    <t>Kamatos kamat=</t>
  </si>
  <si>
    <r>
      <t>C</t>
    </r>
    <r>
      <rPr>
        <b/>
        <vertAlign val="subscript"/>
        <sz val="18"/>
        <color theme="1"/>
        <rFont val="Calibri"/>
        <family val="2"/>
        <charset val="238"/>
        <scheme val="minor"/>
      </rPr>
      <t>0</t>
    </r>
  </si>
  <si>
    <t>Cn</t>
  </si>
  <si>
    <r>
      <t>C</t>
    </r>
    <r>
      <rPr>
        <b/>
        <vertAlign val="subscript"/>
        <sz val="18"/>
        <color theme="1"/>
        <rFont val="Calibri"/>
        <family val="2"/>
        <charset val="238"/>
        <scheme val="minor"/>
      </rPr>
      <t>n</t>
    </r>
  </si>
  <si>
    <t>ebbe írj =&gt;</t>
  </si>
  <si>
    <t>1/n</t>
  </si>
  <si>
    <t>Cn/C0</t>
  </si>
  <si>
    <t>n-edik gyök</t>
  </si>
  <si>
    <t>1/r</t>
  </si>
  <si>
    <t>ln(Cn/C0)</t>
  </si>
  <si>
    <t>1+r</t>
  </si>
  <si>
    <t>ln(1+r)</t>
  </si>
  <si>
    <t>Jövőérték (FVA)</t>
  </si>
  <si>
    <t>Szokásos annuitás</t>
  </si>
  <si>
    <t>q^n</t>
  </si>
  <si>
    <t>C</t>
  </si>
  <si>
    <t>(q^n)-1</t>
  </si>
  <si>
    <t>((q^n)-1)/r</t>
  </si>
  <si>
    <t>q=1+r</t>
  </si>
  <si>
    <t>Esedékes annuitás</t>
  </si>
  <si>
    <t>q=(1+r)</t>
  </si>
  <si>
    <t>((q^n)-1)</t>
  </si>
  <si>
    <t>q*((q^n)-1)</t>
  </si>
  <si>
    <t>(q*((q^n)-1))/r</t>
  </si>
  <si>
    <t>Jelenérték (PVA)</t>
  </si>
  <si>
    <t>r*q^n</t>
  </si>
  <si>
    <t>((q^n)-1)/(r*q^n)</t>
  </si>
  <si>
    <t>((q^n)-1)/r*q^n</t>
  </si>
  <si>
    <t>FVA</t>
  </si>
  <si>
    <t>PVA</t>
  </si>
  <si>
    <t>q*(q^n)-1</t>
  </si>
  <si>
    <t>HA ADOTT:</t>
  </si>
  <si>
    <t>Jelenértrék (PVA)</t>
  </si>
  <si>
    <t>(r*q^n)/(q^n)-1))</t>
  </si>
  <si>
    <t>Járadéktag ( C )</t>
  </si>
  <si>
    <t>Nettó jelenérték módszer (NPV)</t>
  </si>
  <si>
    <t>pénzáram ( C )</t>
  </si>
  <si>
    <r>
      <t>C/(1+r)</t>
    </r>
    <r>
      <rPr>
        <vertAlign val="superscript"/>
        <sz val="11"/>
        <color theme="1"/>
        <rFont val="Calibri"/>
        <family val="2"/>
        <charset val="238"/>
        <scheme val="minor"/>
      </rPr>
      <t>n</t>
    </r>
  </si>
  <si>
    <t>év (n)</t>
  </si>
  <si>
    <r>
      <t>(1+r)</t>
    </r>
    <r>
      <rPr>
        <vertAlign val="superscript"/>
        <sz val="11"/>
        <color theme="1"/>
        <rFont val="Calibri"/>
        <family val="2"/>
        <charset val="238"/>
        <scheme val="minor"/>
      </rPr>
      <t>n</t>
    </r>
  </si>
  <si>
    <r>
      <t>NPV</t>
    </r>
    <r>
      <rPr>
        <vertAlign val="subscript"/>
        <sz val="11"/>
        <color theme="1"/>
        <rFont val="Calibri"/>
        <family val="2"/>
        <charset val="238"/>
        <scheme val="minor"/>
      </rPr>
      <t>1</t>
    </r>
  </si>
  <si>
    <r>
      <t>NPV</t>
    </r>
    <r>
      <rPr>
        <vertAlign val="subscript"/>
        <sz val="11"/>
        <color theme="1"/>
        <rFont val="Calibri"/>
        <family val="2"/>
        <charset val="238"/>
        <scheme val="minor"/>
      </rPr>
      <t>2</t>
    </r>
  </si>
  <si>
    <t>Belső megtérülési ráta (IRR)</t>
  </si>
  <si>
    <r>
      <t>NP</t>
    </r>
    <r>
      <rPr>
        <vertAlign val="subscript"/>
        <sz val="11"/>
        <color theme="1"/>
        <rFont val="Calibri"/>
        <family val="2"/>
        <charset val="238"/>
        <scheme val="minor"/>
      </rPr>
      <t>2</t>
    </r>
  </si>
  <si>
    <r>
      <t>r</t>
    </r>
    <r>
      <rPr>
        <vertAlign val="subscript"/>
        <sz val="11"/>
        <color theme="1"/>
        <rFont val="Calibri"/>
        <family val="2"/>
        <charset val="238"/>
        <scheme val="minor"/>
      </rPr>
      <t>1</t>
    </r>
  </si>
  <si>
    <r>
      <t>r</t>
    </r>
    <r>
      <rPr>
        <vertAlign val="subscript"/>
        <sz val="11"/>
        <color theme="1"/>
        <rFont val="Calibri"/>
        <family val="2"/>
        <charset val="238"/>
        <scheme val="minor"/>
      </rPr>
      <t>2</t>
    </r>
  </si>
  <si>
    <r>
      <t>NPV</t>
    </r>
    <r>
      <rPr>
        <vertAlign val="subscript"/>
        <sz val="11"/>
        <color theme="1"/>
        <rFont val="Calibri"/>
        <family val="2"/>
        <charset val="238"/>
        <scheme val="minor"/>
      </rPr>
      <t>1</t>
    </r>
    <r>
      <rPr>
        <sz val="11"/>
        <color theme="1"/>
        <rFont val="Calibri"/>
        <family val="2"/>
        <charset val="238"/>
        <scheme val="minor"/>
      </rPr>
      <t>-NPV</t>
    </r>
    <r>
      <rPr>
        <vertAlign val="subscript"/>
        <sz val="11"/>
        <color theme="1"/>
        <rFont val="Calibri"/>
        <family val="2"/>
        <charset val="238"/>
        <scheme val="minor"/>
      </rPr>
      <t>2</t>
    </r>
  </si>
  <si>
    <r>
      <t>NPV</t>
    </r>
    <r>
      <rPr>
        <vertAlign val="subscript"/>
        <sz val="11"/>
        <color theme="1"/>
        <rFont val="Calibri"/>
        <family val="2"/>
        <charset val="238"/>
        <scheme val="minor"/>
      </rPr>
      <t>1</t>
    </r>
    <r>
      <rPr>
        <sz val="11"/>
        <color theme="1"/>
        <rFont val="Calibri"/>
        <family val="2"/>
        <charset val="238"/>
        <scheme val="minor"/>
      </rPr>
      <t>/(NPV</t>
    </r>
    <r>
      <rPr>
        <vertAlign val="subscript"/>
        <sz val="11"/>
        <color theme="1"/>
        <rFont val="Calibri"/>
        <family val="2"/>
        <charset val="238"/>
        <scheme val="minor"/>
      </rPr>
      <t>1</t>
    </r>
    <r>
      <rPr>
        <sz val="11"/>
        <color theme="1"/>
        <rFont val="Calibri"/>
        <family val="2"/>
        <charset val="238"/>
        <scheme val="minor"/>
      </rPr>
      <t>-NPV</t>
    </r>
    <r>
      <rPr>
        <vertAlign val="sub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>)</t>
    </r>
  </si>
  <si>
    <r>
      <t>r</t>
    </r>
    <r>
      <rPr>
        <vertAlign val="sub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>-r</t>
    </r>
    <r>
      <rPr>
        <vertAlign val="subscript"/>
        <sz val="11"/>
        <color theme="1"/>
        <rFont val="Calibri"/>
        <family val="2"/>
        <charset val="238"/>
        <scheme val="minor"/>
      </rPr>
      <t>1</t>
    </r>
  </si>
  <si>
    <r>
      <t>kamat ( r</t>
    </r>
    <r>
      <rPr>
        <vertAlign val="subscript"/>
        <sz val="11"/>
        <color theme="1"/>
        <rFont val="Calibri"/>
        <family val="2"/>
        <charset val="238"/>
        <scheme val="minor"/>
      </rPr>
      <t>1</t>
    </r>
    <r>
      <rPr>
        <sz val="11"/>
        <color theme="1"/>
        <rFont val="Calibri"/>
        <family val="2"/>
        <charset val="238"/>
        <scheme val="minor"/>
      </rPr>
      <t xml:space="preserve"> )</t>
    </r>
  </si>
  <si>
    <r>
      <t>kamat ( r</t>
    </r>
    <r>
      <rPr>
        <vertAlign val="sub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 xml:space="preserve"> )</t>
    </r>
  </si>
  <si>
    <t>átlagárfolyam (Ft)</t>
  </si>
  <si>
    <t>(0). Bázis</t>
  </si>
  <si>
    <t>1. állapot</t>
  </si>
  <si>
    <t>2. állapot</t>
  </si>
  <si>
    <t>3. állapot</t>
  </si>
  <si>
    <t>1-es cég</t>
  </si>
  <si>
    <t>2-es cég</t>
  </si>
  <si>
    <t>Hozamráták</t>
  </si>
  <si>
    <t>várható hozamok</t>
  </si>
  <si>
    <t>Varianciák</t>
  </si>
  <si>
    <t>szórás</t>
  </si>
  <si>
    <t>Covariancia</t>
  </si>
  <si>
    <t>Korreáció</t>
  </si>
  <si>
    <t>A</t>
  </si>
  <si>
    <t>B</t>
  </si>
  <si>
    <t>Wald szabály</t>
  </si>
  <si>
    <t>MAX</t>
  </si>
  <si>
    <t>MIN</t>
  </si>
  <si>
    <t>MAXIMAX</t>
  </si>
  <si>
    <t>MINIMIN</t>
  </si>
  <si>
    <t>MAXIMIN</t>
  </si>
  <si>
    <t>MINIMAX</t>
  </si>
  <si>
    <t>B,A,C</t>
  </si>
  <si>
    <t>C,A,B</t>
  </si>
  <si>
    <t>Savage - Niehans szabály</t>
  </si>
  <si>
    <t>Veszteség =eltérés a maximumtól</t>
  </si>
  <si>
    <t>Hurwicz szabály</t>
  </si>
  <si>
    <t>p</t>
  </si>
  <si>
    <t>Várható érték</t>
  </si>
  <si>
    <t>A;C;B</t>
  </si>
  <si>
    <t>Laplace szabály</t>
  </si>
  <si>
    <t>várható érték</t>
  </si>
  <si>
    <t>Várhatóérték - variancia szabály</t>
  </si>
  <si>
    <t>Várható étrék</t>
  </si>
  <si>
    <t>Variancia</t>
  </si>
  <si>
    <t>relatív szórás</t>
  </si>
  <si>
    <t>növekvő!</t>
  </si>
  <si>
    <t>csökkenő!</t>
  </si>
  <si>
    <t>lnq</t>
  </si>
  <si>
    <t>(C*q)/(C*q-r*PVA)</t>
  </si>
  <si>
    <t>ln(C*q)/(C*q-r*PVA)</t>
  </si>
  <si>
    <t>egyperiódusos modell</t>
  </si>
  <si>
    <t>megkövetelt megtérülés</t>
  </si>
  <si>
    <r>
      <rPr>
        <b/>
        <sz val="14"/>
        <color theme="1"/>
        <rFont val="Calibri"/>
        <family val="2"/>
        <charset val="238"/>
        <scheme val="minor"/>
      </rPr>
      <t>P</t>
    </r>
    <r>
      <rPr>
        <b/>
        <vertAlign val="subscript"/>
        <sz val="14"/>
        <color theme="1"/>
        <rFont val="Calibri"/>
        <family val="2"/>
        <charset val="238"/>
        <scheme val="minor"/>
      </rPr>
      <t>0</t>
    </r>
  </si>
  <si>
    <t>Részvényérték</t>
  </si>
  <si>
    <t>DIV</t>
  </si>
  <si>
    <t>osztaléknövekedési ütem - g</t>
  </si>
  <si>
    <t>fizetett osztalék</t>
  </si>
  <si>
    <t>1+g</t>
  </si>
  <si>
    <t>árfolyam - P</t>
  </si>
  <si>
    <r>
      <rPr>
        <b/>
        <sz val="11"/>
        <color theme="1"/>
        <rFont val="Calibri"/>
        <family val="2"/>
        <charset val="238"/>
        <scheme val="minor"/>
      </rPr>
      <t xml:space="preserve">osztalék nem nő </t>
    </r>
    <r>
      <rPr>
        <sz val="11"/>
        <color theme="1"/>
        <rFont val="Calibri"/>
        <family val="2"/>
        <charset val="238"/>
        <scheme val="minor"/>
      </rPr>
      <t>(zérus növekedési ütem)</t>
    </r>
  </si>
  <si>
    <t>fizetett osztalék - DIV</t>
  </si>
  <si>
    <t>növekedés konstans</t>
  </si>
  <si>
    <t>végtelen ideig tartja a részvényt</t>
  </si>
  <si>
    <t>Gordon-Shapiro modell</t>
  </si>
  <si>
    <t>periódus végi osztalék</t>
  </si>
  <si>
    <t>megtérülés/várható hozam - r</t>
  </si>
  <si>
    <t>árfolyam/részvény ára - P</t>
  </si>
  <si>
    <t>várható hozam</t>
  </si>
  <si>
    <t>ESZKÖZÖK (AKTÍVÁK)</t>
  </si>
  <si>
    <t>A) BEFEKTETETT ESZKÖZÖK</t>
  </si>
  <si>
    <t>I. IMMATERIÁLIS JAVAK</t>
  </si>
  <si>
    <t>II. TÁRGYI ESZKÖZÖK</t>
  </si>
  <si>
    <t>III. BEFEKTETETT PÉNZÜGYI ESZKÖZÖK</t>
  </si>
  <si>
    <t>B) FORGÓESZKÖZÖK</t>
  </si>
  <si>
    <t>I. KÉSZLETEK</t>
  </si>
  <si>
    <t>II. KÖVETELÉSEK</t>
  </si>
  <si>
    <t>II/1. Követelések áruszállításból és szolgáltatásból (Vevők)</t>
  </si>
  <si>
    <t>III. ÉRTÉKPAPÍROK</t>
  </si>
  <si>
    <t>IV. PÉNZESZKÖZÖK</t>
  </si>
  <si>
    <t>C) AKTÍV IDŐBELI ELHATÁROLÁSOK</t>
  </si>
  <si>
    <t>ESZKÖZÖK (AKTÍVÁK) ÖSSZESEN</t>
  </si>
  <si>
    <t>FORRÁSOK (PASSZÍVÁK) ÖSSZESEN</t>
  </si>
  <si>
    <t>D) SAJÁT TŐKE</t>
  </si>
  <si>
    <t>I. JEGYZETT TŐKE</t>
  </si>
  <si>
    <t>II. JEGYZETT, DE BE NEM FIZETETT TŐKE (-)</t>
  </si>
  <si>
    <t>III. TŐKETARTALÉK</t>
  </si>
  <si>
    <t>IV. EREDMÉNYTARTALÉK</t>
  </si>
  <si>
    <t>V. LEKÖTÖTT TARTALÉK</t>
  </si>
  <si>
    <t>VI. ÉRTÉKELÉSI TARTALÉK</t>
  </si>
  <si>
    <t>VII. MÉRLEG SZERINTI EREDMÉNY</t>
  </si>
  <si>
    <t>E) CÉLTARTALÉKOK</t>
  </si>
  <si>
    <t>F) KÖTELEZETTSÉGEK</t>
  </si>
  <si>
    <t>I. HÁTRASOROLT KÖTELEZETTSÉGEK</t>
  </si>
  <si>
    <t>II. HOSSZÚ LEJÁRATÚ KÖTELEZETTSÉGEK</t>
  </si>
  <si>
    <t>III. RÖVID LEJÁRATÚ KÖTELEZETTSÉGEK</t>
  </si>
  <si>
    <t>III/4. Kötelezettségek áruszállításból és szolgáltatásból (szállítók)</t>
  </si>
  <si>
    <t>III/8. Egyéb rövid lejáratú kötelezettségek</t>
  </si>
  <si>
    <t>G) PASSZÍV IDŐBELI ELHATÁROLÁSOK</t>
  </si>
  <si>
    <t>FORRÁSOK (PASSZÍVÁK)</t>
  </si>
  <si>
    <t>ÉV 1</t>
  </si>
  <si>
    <t>ÉV 2</t>
  </si>
  <si>
    <t>EREDMÉNYKIMUTATÁS</t>
  </si>
  <si>
    <t>I. Értékesítés nettó árbevétele</t>
  </si>
  <si>
    <t>II. Aktivált saját teljesítmények értéke</t>
  </si>
  <si>
    <t>III. Egyéb bevételek</t>
  </si>
  <si>
    <t>IV. Anyagjellegű ráfordítások</t>
  </si>
  <si>
    <t>V. Személyi jellengű ráfordítások</t>
  </si>
  <si>
    <t>VI. Értékcsökkenési leírás</t>
  </si>
  <si>
    <t>VII. Egyéb ráfordítások</t>
  </si>
  <si>
    <t>VIII. Pénzügyi műveletek bevételei</t>
  </si>
  <si>
    <t>19. Fizetendő kamatok és kamatjellegű ráfordítások</t>
  </si>
  <si>
    <t>ebből: kapcsolt vállalkozásnak adott</t>
  </si>
  <si>
    <t>IX. Pénzügyi műveletek ráfordításai</t>
  </si>
  <si>
    <t>B PÉNZÜGYI MŰVELETEK EREDMÉNYE</t>
  </si>
  <si>
    <t>C SZOKÁSOS VÁLLALKOZÁSI EREDMÉNY</t>
  </si>
  <si>
    <t>D RENDKÍVÜLI EREDMÉNY</t>
  </si>
  <si>
    <t>E ADÓZÁS ELŐTTI EREDMÉNY</t>
  </si>
  <si>
    <t>XII. Adófizetési kötelezettség</t>
  </si>
  <si>
    <t>F ADÓZOTT EREDMÉNY</t>
  </si>
  <si>
    <t>G MÉRLEG SZERINTI EREDMÉNY</t>
  </si>
  <si>
    <t>Működési cash flow</t>
  </si>
  <si>
    <t>Adózás előtti eredmény +-</t>
  </si>
  <si>
    <t>Elszámolt amortizáció +</t>
  </si>
  <si>
    <t>Szállítói kötelezettség változása +-</t>
  </si>
  <si>
    <t>Egyéb rövid lejáratú kötelezettség változása +-</t>
  </si>
  <si>
    <t>Passzív időbeli elhatárolások változása +-</t>
  </si>
  <si>
    <t>Vevőkövetelés változása +-</t>
  </si>
  <si>
    <t>Forgóeszközök (vevőkövetelés és pénzeszközök nélkül) változása +-</t>
  </si>
  <si>
    <t>Aktív időbeli elhatárolások változása +-</t>
  </si>
  <si>
    <t>Fizetett, fizetendő adó (nyereség után) -</t>
  </si>
  <si>
    <t>MUTATÓSZÁMOK</t>
  </si>
  <si>
    <t>Nettó forgótőke</t>
  </si>
  <si>
    <t>eFT</t>
  </si>
  <si>
    <t>Likviditás I. fokozata (Pénzhányad)</t>
  </si>
  <si>
    <t>Likviditás II. fokozata (Gyorsráta)</t>
  </si>
  <si>
    <t>Likviditás III. fokozata</t>
  </si>
  <si>
    <t>Tulajdonosi arány (Tőkeerősség)</t>
  </si>
  <si>
    <t>Adósság ráta (Hitelarány, Idegen források aránya)</t>
  </si>
  <si>
    <t>Eladósodási arány (Tőkefeszültség)</t>
  </si>
  <si>
    <t>Működési profithányad</t>
  </si>
  <si>
    <t>Nettó profithányad (ROS)</t>
  </si>
  <si>
    <t>Eszközarányos forgalom (TATO)</t>
  </si>
  <si>
    <t>Készletek forgási sebessége</t>
  </si>
  <si>
    <t>Vevői követelések forgási sebessége</t>
  </si>
  <si>
    <t>Szállítók forgási sebessége</t>
  </si>
  <si>
    <t>Eszközarányos jövedelmezőség (ROA)</t>
  </si>
  <si>
    <t>Működő-tőke arányos eredmény (ROI)</t>
  </si>
  <si>
    <t>Működő tőke</t>
  </si>
  <si>
    <t>eFt</t>
  </si>
  <si>
    <t>Működő-tőke arányos üzemi eredmény (ROCE)</t>
  </si>
  <si>
    <t>Részvénytőke-arányos megtérülés (ROE)</t>
  </si>
  <si>
    <t>Működési áttétel foka</t>
  </si>
  <si>
    <t>∆R</t>
  </si>
  <si>
    <t>∆EBIT</t>
  </si>
  <si>
    <t>DOL</t>
  </si>
  <si>
    <t>DFL</t>
  </si>
  <si>
    <t>Finanszírozási áttétel</t>
  </si>
  <si>
    <t>Részvények darabszáma</t>
  </si>
  <si>
    <t>&lt;= ebbe írj</t>
  </si>
  <si>
    <t>∆EPS</t>
  </si>
  <si>
    <t>Új adózott eredmény</t>
  </si>
  <si>
    <t>Új üzemi eredmény</t>
  </si>
  <si>
    <t>DCL</t>
  </si>
  <si>
    <t>A ÜZEMI (ÜTLETI) TEVÉKENYSÉG EREDMÉNYE (EBIT)</t>
  </si>
  <si>
    <r>
      <t>EPS</t>
    </r>
    <r>
      <rPr>
        <vertAlign val="subscript"/>
        <sz val="11"/>
        <color theme="1"/>
        <rFont val="Calibri"/>
        <family val="2"/>
        <charset val="238"/>
        <scheme val="minor"/>
      </rPr>
      <t>1</t>
    </r>
  </si>
  <si>
    <r>
      <t>EPS</t>
    </r>
    <r>
      <rPr>
        <vertAlign val="subscript"/>
        <sz val="11"/>
        <color theme="1"/>
        <rFont val="Calibri"/>
        <family val="2"/>
        <charset val="238"/>
        <scheme val="minor"/>
      </rPr>
      <t>2</t>
    </r>
  </si>
  <si>
    <t>&lt;=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</si>
</sst>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#,##0.0000"/>
    <numFmt numFmtId="166" formatCode="0.0000"/>
    <numFmt numFmtId="167" formatCode="0.000"/>
  </numFmts>
  <fonts count="1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vertAlign val="subscript"/>
      <sz val="11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b/>
      <vertAlign val="subscript"/>
      <sz val="18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vertAlign val="superscript"/>
      <sz val="11"/>
      <color theme="1"/>
      <name val="Calibri"/>
      <family val="2"/>
      <charset val="238"/>
      <scheme val="minor"/>
    </font>
    <font>
      <b/>
      <i/>
      <sz val="12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vertAlign val="subscript"/>
      <sz val="14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theme="1"/>
      <name val="Calibri"/>
      <family val="2"/>
      <charset val="238"/>
    </font>
  </fonts>
  <fills count="3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0" fillId="0" borderId="0" xfId="0" applyAlignment="1">
      <alignment horizontal="center"/>
    </xf>
    <xf numFmtId="0" fontId="0" fillId="9" borderId="0" xfId="0" applyFill="1"/>
    <xf numFmtId="0" fontId="0" fillId="0" borderId="0" xfId="0" applyBorder="1"/>
    <xf numFmtId="0" fontId="0" fillId="0" borderId="1" xfId="0" applyBorder="1"/>
    <xf numFmtId="0" fontId="0" fillId="3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2" borderId="0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1" fillId="0" borderId="0" xfId="0" applyFont="1"/>
    <xf numFmtId="0" fontId="6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7" fillId="0" borderId="2" xfId="0" applyFont="1" applyBorder="1"/>
    <xf numFmtId="0" fontId="0" fillId="2" borderId="0" xfId="0" applyFill="1" applyBorder="1"/>
    <xf numFmtId="0" fontId="0" fillId="14" borderId="0" xfId="0" applyFill="1" applyBorder="1"/>
    <xf numFmtId="0" fontId="0" fillId="11" borderId="0" xfId="0" applyFill="1" applyBorder="1"/>
    <xf numFmtId="0" fontId="0" fillId="15" borderId="0" xfId="0" applyFill="1" applyBorder="1"/>
    <xf numFmtId="0" fontId="1" fillId="0" borderId="0" xfId="0" applyFont="1" applyBorder="1"/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0" fontId="0" fillId="12" borderId="0" xfId="0" applyFill="1" applyBorder="1"/>
    <xf numFmtId="0" fontId="0" fillId="8" borderId="0" xfId="0" applyFill="1" applyBorder="1" applyAlignment="1">
      <alignment horizontal="center" vertical="center"/>
    </xf>
    <xf numFmtId="0" fontId="0" fillId="9" borderId="0" xfId="0" applyFill="1" applyBorder="1"/>
    <xf numFmtId="0" fontId="0" fillId="6" borderId="0" xfId="0" applyFill="1" applyBorder="1"/>
    <xf numFmtId="0" fontId="0" fillId="0" borderId="0" xfId="0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4" fontId="6" fillId="0" borderId="0" xfId="0" applyNumberFormat="1" applyFont="1" applyAlignment="1">
      <alignment horizontal="center" vertical="center"/>
    </xf>
    <xf numFmtId="4" fontId="6" fillId="0" borderId="0" xfId="0" applyNumberFormat="1" applyFont="1"/>
    <xf numFmtId="0" fontId="0" fillId="16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5" fillId="0" borderId="7" xfId="0" applyFont="1" applyBorder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4" fontId="0" fillId="0" borderId="0" xfId="0" applyNumberFormat="1"/>
    <xf numFmtId="0" fontId="0" fillId="18" borderId="0" xfId="0" applyFill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0" fillId="22" borderId="0" xfId="0" applyFill="1" applyAlignment="1">
      <alignment horizontal="center" vertical="center"/>
    </xf>
    <xf numFmtId="165" fontId="6" fillId="0" borderId="0" xfId="0" applyNumberFormat="1" applyFont="1" applyAlignment="1">
      <alignment horizontal="center" vertical="center"/>
    </xf>
    <xf numFmtId="0" fontId="0" fillId="23" borderId="0" xfId="0" applyFill="1" applyAlignment="1">
      <alignment horizontal="center" vertical="center"/>
    </xf>
    <xf numFmtId="166" fontId="0" fillId="23" borderId="0" xfId="0" applyNumberFormat="1" applyFill="1" applyAlignment="1">
      <alignment horizontal="center" vertical="center"/>
    </xf>
    <xf numFmtId="0" fontId="1" fillId="0" borderId="7" xfId="0" applyFont="1" applyBorder="1"/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64" fontId="0" fillId="0" borderId="0" xfId="0" applyNumberFormat="1"/>
    <xf numFmtId="164" fontId="0" fillId="0" borderId="0" xfId="0" applyNumberFormat="1" applyAlignment="1">
      <alignment horizontal="center" vertical="center"/>
    </xf>
    <xf numFmtId="0" fontId="9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Font="1" applyBorder="1"/>
    <xf numFmtId="0" fontId="0" fillId="0" borderId="0" xfId="0" applyAlignment="1">
      <alignment horizontal="center"/>
    </xf>
    <xf numFmtId="0" fontId="0" fillId="25" borderId="0" xfId="0" applyFill="1"/>
    <xf numFmtId="4" fontId="0" fillId="25" borderId="0" xfId="0" applyNumberFormat="1" applyFill="1"/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18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10" fillId="9" borderId="0" xfId="0" applyFont="1" applyFill="1" applyBorder="1" applyAlignment="1">
      <alignment horizontal="center"/>
    </xf>
    <xf numFmtId="0" fontId="0" fillId="26" borderId="0" xfId="0" applyFill="1" applyBorder="1" applyAlignment="1">
      <alignment horizontal="center"/>
    </xf>
    <xf numFmtId="0" fontId="0" fillId="15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14" borderId="0" xfId="0" applyFill="1" applyBorder="1" applyAlignment="1">
      <alignment horizontal="center"/>
    </xf>
    <xf numFmtId="0" fontId="0" fillId="4" borderId="0" xfId="0" applyFill="1"/>
    <xf numFmtId="0" fontId="0" fillId="28" borderId="0" xfId="0" applyFill="1"/>
    <xf numFmtId="0" fontId="0" fillId="9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29" borderId="0" xfId="0" applyFill="1" applyAlignment="1">
      <alignment horizontal="center"/>
    </xf>
    <xf numFmtId="0" fontId="0" fillId="27" borderId="0" xfId="0" applyFill="1" applyAlignment="1">
      <alignment horizontal="center"/>
    </xf>
    <xf numFmtId="0" fontId="0" fillId="0" borderId="2" xfId="0" applyBorder="1"/>
    <xf numFmtId="0" fontId="1" fillId="0" borderId="3" xfId="0" applyFont="1" applyBorder="1" applyAlignment="1">
      <alignment horizontal="center"/>
    </xf>
    <xf numFmtId="0" fontId="1" fillId="0" borderId="3" xfId="0" applyFont="1" applyBorder="1"/>
    <xf numFmtId="0" fontId="0" fillId="11" borderId="0" xfId="0" applyFill="1" applyAlignment="1">
      <alignment horizontal="center"/>
    </xf>
    <xf numFmtId="0" fontId="0" fillId="26" borderId="9" xfId="0" applyFill="1" applyBorder="1"/>
    <xf numFmtId="0" fontId="0" fillId="0" borderId="9" xfId="0" applyBorder="1"/>
    <xf numFmtId="0" fontId="0" fillId="26" borderId="9" xfId="0" applyFont="1" applyFill="1" applyBorder="1"/>
    <xf numFmtId="0" fontId="0" fillId="0" borderId="9" xfId="0" applyFont="1" applyBorder="1"/>
    <xf numFmtId="0" fontId="1" fillId="26" borderId="9" xfId="0" applyFont="1" applyFill="1" applyBorder="1"/>
    <xf numFmtId="0" fontId="12" fillId="31" borderId="9" xfId="0" applyFont="1" applyFill="1" applyBorder="1"/>
    <xf numFmtId="0" fontId="1" fillId="0" borderId="9" xfId="0" applyFont="1" applyBorder="1"/>
    <xf numFmtId="0" fontId="12" fillId="30" borderId="9" xfId="0" applyFont="1" applyFill="1" applyBorder="1"/>
    <xf numFmtId="0" fontId="12" fillId="30" borderId="9" xfId="0" applyFont="1" applyFill="1" applyBorder="1" applyAlignment="1">
      <alignment horizontal="left"/>
    </xf>
    <xf numFmtId="0" fontId="12" fillId="30" borderId="9" xfId="0" applyFont="1" applyFill="1" applyBorder="1" applyAlignment="1">
      <alignment horizontal="center"/>
    </xf>
    <xf numFmtId="0" fontId="12" fillId="31" borderId="9" xfId="0" applyFont="1" applyFill="1" applyBorder="1" applyAlignment="1">
      <alignment horizontal="center"/>
    </xf>
    <xf numFmtId="0" fontId="0" fillId="32" borderId="9" xfId="0" applyFill="1" applyBorder="1"/>
    <xf numFmtId="0" fontId="1" fillId="32" borderId="9" xfId="0" applyFont="1" applyFill="1" applyBorder="1"/>
    <xf numFmtId="167" fontId="0" fillId="0" borderId="0" xfId="0" applyNumberFormat="1"/>
    <xf numFmtId="0" fontId="13" fillId="0" borderId="0" xfId="0" applyFont="1"/>
    <xf numFmtId="0" fontId="0" fillId="33" borderId="0" xfId="0" applyFill="1"/>
    <xf numFmtId="0" fontId="0" fillId="34" borderId="0" xfId="0" applyFill="1" applyAlignment="1">
      <alignment horizontal="center"/>
    </xf>
    <xf numFmtId="0" fontId="0" fillId="0" borderId="0" xfId="0" applyAlignment="1">
      <alignment horizontal="left"/>
    </xf>
    <xf numFmtId="0" fontId="12" fillId="33" borderId="9" xfId="0" applyFont="1" applyFill="1" applyBorder="1"/>
    <xf numFmtId="0" fontId="0" fillId="28" borderId="9" xfId="0" applyFill="1" applyBorder="1"/>
    <xf numFmtId="0" fontId="12" fillId="33" borderId="0" xfId="0" applyFont="1" applyFill="1"/>
    <xf numFmtId="0" fontId="12" fillId="33" borderId="0" xfId="0" applyFont="1" applyFill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18" borderId="0" xfId="0" applyFill="1" applyAlignment="1">
      <alignment horizontal="center"/>
    </xf>
    <xf numFmtId="0" fontId="0" fillId="21" borderId="0" xfId="0" applyFill="1" applyAlignment="1">
      <alignment horizontal="center"/>
    </xf>
    <xf numFmtId="0" fontId="0" fillId="24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ál" xfId="0" builtinId="0"/>
  </cellStyles>
  <dxfs count="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zoomScaleNormal="100" workbookViewId="0"/>
  </sheetViews>
  <sheetFormatPr defaultRowHeight="14.4" x14ac:dyDescent="0.3"/>
  <cols>
    <col min="2" max="2" width="17.5546875" bestFit="1" customWidth="1"/>
    <col min="3" max="4" width="13.33203125" bestFit="1" customWidth="1"/>
    <col min="9" max="9" width="17.5546875" bestFit="1" customWidth="1"/>
    <col min="10" max="11" width="13.33203125" bestFit="1" customWidth="1"/>
  </cols>
  <sheetData>
    <row r="1" spans="1:14" ht="27" x14ac:dyDescent="0.6">
      <c r="A1" s="21" t="s">
        <v>8</v>
      </c>
      <c r="B1" s="14"/>
      <c r="C1" s="14"/>
      <c r="D1" s="14"/>
      <c r="E1" s="14"/>
      <c r="F1" s="15"/>
      <c r="H1" s="30" t="s">
        <v>6</v>
      </c>
      <c r="I1" s="14"/>
      <c r="J1" s="14"/>
      <c r="K1" s="14"/>
      <c r="L1" s="14"/>
      <c r="M1" s="15"/>
    </row>
    <row r="2" spans="1:14" ht="15.6" x14ac:dyDescent="0.3">
      <c r="A2" s="16"/>
      <c r="B2" s="40" t="s">
        <v>0</v>
      </c>
      <c r="C2" s="41">
        <f>C4*(1+D4*E4)</f>
        <v>21800</v>
      </c>
      <c r="D2" s="3"/>
      <c r="E2" s="3"/>
      <c r="F2" s="4"/>
      <c r="H2" s="16"/>
      <c r="I2" s="40" t="s">
        <v>0</v>
      </c>
      <c r="J2" s="40">
        <f>(J4)/(1+K4*L4)</f>
        <v>20000</v>
      </c>
      <c r="K2" s="3"/>
      <c r="L2" s="3"/>
      <c r="M2" s="4"/>
    </row>
    <row r="3" spans="1:14" ht="15.6" x14ac:dyDescent="0.35">
      <c r="A3" s="16"/>
      <c r="B3" s="3"/>
      <c r="C3" s="5" t="s">
        <v>4</v>
      </c>
      <c r="D3" s="6" t="s">
        <v>2</v>
      </c>
      <c r="E3" s="7" t="s">
        <v>3</v>
      </c>
      <c r="F3" s="4"/>
      <c r="H3" s="16"/>
      <c r="I3" s="3"/>
      <c r="J3" s="31" t="s">
        <v>7</v>
      </c>
      <c r="K3" s="32" t="s">
        <v>2</v>
      </c>
      <c r="L3" s="33" t="s">
        <v>3</v>
      </c>
      <c r="M3" s="4"/>
    </row>
    <row r="4" spans="1:14" x14ac:dyDescent="0.3">
      <c r="A4" s="16"/>
      <c r="B4" t="s">
        <v>9</v>
      </c>
      <c r="C4" s="8">
        <v>20000</v>
      </c>
      <c r="D4" s="9">
        <v>3</v>
      </c>
      <c r="E4" s="10">
        <v>0.03</v>
      </c>
      <c r="F4" s="4"/>
      <c r="H4" s="16"/>
      <c r="I4" s="3" t="s">
        <v>9</v>
      </c>
      <c r="J4" s="31">
        <v>21800</v>
      </c>
      <c r="K4" s="32">
        <v>3</v>
      </c>
      <c r="L4" s="33">
        <v>0.03</v>
      </c>
      <c r="M4" s="4"/>
    </row>
    <row r="5" spans="1:14" x14ac:dyDescent="0.3">
      <c r="A5" s="16"/>
      <c r="B5" s="3"/>
      <c r="C5" s="3"/>
      <c r="D5" s="3"/>
      <c r="E5" s="3"/>
      <c r="F5" s="4"/>
      <c r="H5" s="16"/>
      <c r="I5" s="3"/>
      <c r="J5" s="3"/>
      <c r="K5" s="3"/>
      <c r="L5" s="3"/>
      <c r="M5" s="4"/>
    </row>
    <row r="6" spans="1:14" ht="15.6" x14ac:dyDescent="0.3">
      <c r="A6" s="16"/>
      <c r="B6" s="40" t="s">
        <v>5</v>
      </c>
      <c r="C6" s="40">
        <f>C8*(1+D8)^E8</f>
        <v>21854.54</v>
      </c>
      <c r="D6" s="3"/>
      <c r="E6" s="3"/>
      <c r="F6" s="4"/>
      <c r="H6" s="16"/>
      <c r="I6" s="40" t="s">
        <v>5</v>
      </c>
      <c r="J6" s="40">
        <f>(J8)/((1+K8)^L8)</f>
        <v>20000</v>
      </c>
      <c r="K6" s="3"/>
      <c r="L6" s="3"/>
      <c r="M6" s="4"/>
    </row>
    <row r="7" spans="1:14" x14ac:dyDescent="0.3">
      <c r="A7" s="16"/>
      <c r="B7" s="3"/>
      <c r="C7" s="11" t="s">
        <v>1</v>
      </c>
      <c r="D7" s="12" t="s">
        <v>3</v>
      </c>
      <c r="E7" s="13" t="s">
        <v>2</v>
      </c>
      <c r="F7" s="4"/>
      <c r="H7" s="16"/>
      <c r="I7" s="3"/>
      <c r="J7" s="31" t="s">
        <v>7</v>
      </c>
      <c r="K7" s="32" t="s">
        <v>3</v>
      </c>
      <c r="L7" s="33" t="s">
        <v>2</v>
      </c>
      <c r="M7" s="4"/>
    </row>
    <row r="8" spans="1:14" x14ac:dyDescent="0.3">
      <c r="A8" s="16"/>
      <c r="B8" t="s">
        <v>9</v>
      </c>
      <c r="C8" s="11">
        <v>20000</v>
      </c>
      <c r="D8" s="12">
        <v>0.03</v>
      </c>
      <c r="E8" s="13">
        <v>3</v>
      </c>
      <c r="F8" s="4"/>
      <c r="H8" s="16"/>
      <c r="I8" s="3" t="s">
        <v>9</v>
      </c>
      <c r="J8" s="31">
        <v>21854.54</v>
      </c>
      <c r="K8" s="32">
        <v>0.03</v>
      </c>
      <c r="L8" s="33">
        <v>3</v>
      </c>
      <c r="M8" s="4"/>
    </row>
    <row r="9" spans="1:14" x14ac:dyDescent="0.3">
      <c r="A9" s="17"/>
      <c r="B9" s="18"/>
      <c r="C9" s="18"/>
      <c r="D9" s="18"/>
      <c r="E9" s="18"/>
      <c r="F9" s="19"/>
      <c r="H9" s="17"/>
      <c r="I9" s="18"/>
      <c r="J9" s="18"/>
      <c r="K9" s="18"/>
      <c r="L9" s="18"/>
      <c r="M9" s="19"/>
    </row>
    <row r="10" spans="1:14" x14ac:dyDescent="0.3">
      <c r="A10" s="3"/>
      <c r="B10" s="3"/>
      <c r="C10" s="3"/>
      <c r="D10" s="3"/>
      <c r="E10" s="3"/>
      <c r="F10" s="3"/>
      <c r="H10" s="3"/>
      <c r="I10" s="3"/>
      <c r="J10" s="3"/>
      <c r="K10" s="3"/>
      <c r="L10" s="3"/>
      <c r="M10" s="3"/>
    </row>
    <row r="12" spans="1:14" ht="23.4" x14ac:dyDescent="0.45">
      <c r="A12" s="34" t="s">
        <v>3</v>
      </c>
      <c r="B12" s="14"/>
      <c r="C12" s="14"/>
      <c r="D12" s="14"/>
      <c r="E12" s="14"/>
      <c r="F12" s="15"/>
      <c r="H12" s="20" t="s">
        <v>2</v>
      </c>
      <c r="I12" s="14"/>
      <c r="J12" s="14"/>
      <c r="K12" s="14"/>
      <c r="L12" s="14"/>
      <c r="M12" s="14"/>
      <c r="N12" s="15"/>
    </row>
    <row r="13" spans="1:14" ht="15.6" x14ac:dyDescent="0.3">
      <c r="A13" s="16"/>
      <c r="B13" s="40" t="s">
        <v>0</v>
      </c>
      <c r="C13" s="40">
        <f>(C15)*(D15-1)</f>
        <v>0.1</v>
      </c>
      <c r="D13" s="3"/>
      <c r="E13" s="3"/>
      <c r="F13" s="4"/>
      <c r="H13" s="16"/>
      <c r="I13" s="40" t="s">
        <v>0</v>
      </c>
      <c r="J13" s="40">
        <f>(J15)*(K15-1)</f>
        <v>3.0909000000000004</v>
      </c>
      <c r="K13" s="3"/>
      <c r="L13" s="3"/>
      <c r="M13" s="3"/>
      <c r="N13" s="4"/>
    </row>
    <row r="14" spans="1:14" x14ac:dyDescent="0.3">
      <c r="A14" s="16"/>
      <c r="B14" s="3"/>
      <c r="C14" s="35" t="s">
        <v>10</v>
      </c>
      <c r="D14" s="36" t="s">
        <v>11</v>
      </c>
      <c r="E14" s="3"/>
      <c r="F14" s="4"/>
      <c r="H14" s="16"/>
      <c r="I14" s="3"/>
      <c r="J14" s="42" t="s">
        <v>13</v>
      </c>
      <c r="K14" s="37" t="s">
        <v>11</v>
      </c>
      <c r="L14" s="3"/>
      <c r="M14" s="3"/>
      <c r="N14" s="4"/>
    </row>
    <row r="15" spans="1:14" x14ac:dyDescent="0.3">
      <c r="A15" s="16"/>
      <c r="B15" s="3"/>
      <c r="C15" s="35">
        <f>1/C18</f>
        <v>0.1</v>
      </c>
      <c r="D15" s="36">
        <f>D18/E18</f>
        <v>2</v>
      </c>
      <c r="E15" s="3"/>
      <c r="F15" s="4"/>
      <c r="H15" s="16"/>
      <c r="I15" s="3"/>
      <c r="J15" s="42">
        <f>1/J18</f>
        <v>33.333333333333336</v>
      </c>
      <c r="K15" s="37">
        <f>K18/L18</f>
        <v>1.092727</v>
      </c>
      <c r="L15" s="3"/>
      <c r="M15" s="3"/>
      <c r="N15" s="4"/>
    </row>
    <row r="16" spans="1:14" x14ac:dyDescent="0.3">
      <c r="A16" s="16"/>
      <c r="B16" s="3"/>
      <c r="C16" s="3"/>
      <c r="D16" s="3"/>
      <c r="E16" s="3"/>
      <c r="F16" s="4"/>
      <c r="H16" s="16"/>
      <c r="I16" s="3"/>
      <c r="J16" s="3"/>
      <c r="K16" s="3"/>
      <c r="L16" s="3"/>
      <c r="M16" s="3"/>
      <c r="N16" s="4"/>
    </row>
    <row r="17" spans="1:14" x14ac:dyDescent="0.3">
      <c r="A17" s="16"/>
      <c r="B17" s="3"/>
      <c r="C17" s="9" t="s">
        <v>2</v>
      </c>
      <c r="D17" s="37" t="s">
        <v>7</v>
      </c>
      <c r="E17" s="38" t="s">
        <v>1</v>
      </c>
      <c r="F17" s="4"/>
      <c r="H17" s="16"/>
      <c r="I17" s="3"/>
      <c r="J17" s="44" t="s">
        <v>3</v>
      </c>
      <c r="K17" s="36" t="s">
        <v>7</v>
      </c>
      <c r="L17" s="37" t="s">
        <v>1</v>
      </c>
      <c r="M17" s="3"/>
      <c r="N17" s="4"/>
    </row>
    <row r="18" spans="1:14" x14ac:dyDescent="0.3">
      <c r="A18" s="16"/>
      <c r="B18" s="3" t="s">
        <v>9</v>
      </c>
      <c r="C18" s="9">
        <v>10</v>
      </c>
      <c r="D18" s="37">
        <v>200000</v>
      </c>
      <c r="E18" s="38">
        <v>100000</v>
      </c>
      <c r="F18" s="4"/>
      <c r="H18" s="16"/>
      <c r="I18" s="3" t="s">
        <v>9</v>
      </c>
      <c r="J18" s="44">
        <v>0.03</v>
      </c>
      <c r="K18" s="36">
        <v>21854.54</v>
      </c>
      <c r="L18" s="37">
        <v>20000</v>
      </c>
      <c r="M18" s="3"/>
      <c r="N18" s="4"/>
    </row>
    <row r="19" spans="1:14" x14ac:dyDescent="0.3">
      <c r="A19" s="16"/>
      <c r="B19" s="3"/>
      <c r="C19" s="3"/>
      <c r="D19" s="3"/>
      <c r="E19" s="3"/>
      <c r="F19" s="4"/>
      <c r="H19" s="16"/>
      <c r="I19" s="3"/>
      <c r="J19" s="3"/>
      <c r="K19" s="3"/>
      <c r="L19" s="3"/>
      <c r="M19" s="3"/>
      <c r="N19" s="4"/>
    </row>
    <row r="20" spans="1:14" ht="15.6" x14ac:dyDescent="0.3">
      <c r="A20" s="16"/>
      <c r="B20" s="40" t="s">
        <v>5</v>
      </c>
      <c r="C20" s="40">
        <f>(D22)-1</f>
        <v>7.1773462536293131E-2</v>
      </c>
      <c r="D20" s="3"/>
      <c r="E20" s="3"/>
      <c r="F20" s="4"/>
      <c r="H20" s="16"/>
      <c r="I20" s="40" t="s">
        <v>5</v>
      </c>
      <c r="J20" s="40">
        <f>K22/M22</f>
        <v>2.9999999999999978</v>
      </c>
      <c r="K20" s="3"/>
      <c r="L20" s="3"/>
      <c r="M20" s="3"/>
      <c r="N20" s="4"/>
    </row>
    <row r="21" spans="1:14" x14ac:dyDescent="0.3">
      <c r="A21" s="16"/>
      <c r="B21" s="3"/>
      <c r="C21" s="42" t="s">
        <v>11</v>
      </c>
      <c r="D21" s="37" t="s">
        <v>12</v>
      </c>
      <c r="E21" s="43" t="s">
        <v>10</v>
      </c>
      <c r="F21" s="4"/>
      <c r="H21" s="16"/>
      <c r="I21" s="3"/>
      <c r="J21" s="37" t="s">
        <v>11</v>
      </c>
      <c r="K21" s="36" t="s">
        <v>14</v>
      </c>
      <c r="L21" s="35" t="s">
        <v>15</v>
      </c>
      <c r="M21" s="10" t="s">
        <v>16</v>
      </c>
      <c r="N21" s="4"/>
    </row>
    <row r="22" spans="1:14" x14ac:dyDescent="0.3">
      <c r="A22" s="16"/>
      <c r="B22" s="3"/>
      <c r="C22" s="42">
        <f>C25/D25</f>
        <v>2</v>
      </c>
      <c r="D22" s="37">
        <f>C22^E22</f>
        <v>1.0717734625362931</v>
      </c>
      <c r="E22" s="43">
        <f>1/E25</f>
        <v>0.1</v>
      </c>
      <c r="F22" s="4"/>
      <c r="H22" s="16"/>
      <c r="I22" s="3"/>
      <c r="J22" s="37">
        <f>J25/K25</f>
        <v>1.092727</v>
      </c>
      <c r="K22" s="36">
        <f>LOG10(J22)</f>
        <v>3.851167411551662E-2</v>
      </c>
      <c r="L22" s="35">
        <f>1+L25</f>
        <v>1.03</v>
      </c>
      <c r="M22" s="10">
        <f>LOG10(L22)</f>
        <v>1.2837224705172217E-2</v>
      </c>
      <c r="N22" s="4"/>
    </row>
    <row r="23" spans="1:14" x14ac:dyDescent="0.3">
      <c r="A23" s="16"/>
      <c r="B23" s="3"/>
      <c r="C23" s="3"/>
      <c r="D23" s="3"/>
      <c r="E23" s="3"/>
      <c r="F23" s="4"/>
      <c r="H23" s="16"/>
      <c r="I23" s="3"/>
      <c r="J23" s="3"/>
      <c r="K23" s="3"/>
      <c r="L23" s="3"/>
      <c r="M23" s="3"/>
      <c r="N23" s="4"/>
    </row>
    <row r="24" spans="1:14" x14ac:dyDescent="0.3">
      <c r="A24" s="16"/>
      <c r="B24" s="3"/>
      <c r="C24" s="44" t="s">
        <v>7</v>
      </c>
      <c r="D24" s="36" t="s">
        <v>1</v>
      </c>
      <c r="E24" s="37" t="s">
        <v>2</v>
      </c>
      <c r="F24" s="4"/>
      <c r="H24" s="16"/>
      <c r="I24" s="3"/>
      <c r="J24" s="44" t="s">
        <v>7</v>
      </c>
      <c r="K24" s="45" t="s">
        <v>1</v>
      </c>
      <c r="L24" s="37" t="s">
        <v>3</v>
      </c>
      <c r="M24" s="3"/>
      <c r="N24" s="4"/>
    </row>
    <row r="25" spans="1:14" x14ac:dyDescent="0.3">
      <c r="A25" s="16"/>
      <c r="B25" s="3" t="s">
        <v>9</v>
      </c>
      <c r="C25" s="44">
        <v>200000</v>
      </c>
      <c r="D25" s="36">
        <v>100000</v>
      </c>
      <c r="E25" s="37">
        <v>10</v>
      </c>
      <c r="F25" s="4"/>
      <c r="H25" s="16"/>
      <c r="I25" s="3" t="s">
        <v>9</v>
      </c>
      <c r="J25" s="44">
        <v>21854.54</v>
      </c>
      <c r="K25" s="45">
        <v>20000</v>
      </c>
      <c r="L25" s="37">
        <v>0.03</v>
      </c>
      <c r="M25" s="3"/>
      <c r="N25" s="4"/>
    </row>
    <row r="26" spans="1:14" x14ac:dyDescent="0.3">
      <c r="A26" s="17"/>
      <c r="B26" s="18"/>
      <c r="C26" s="18"/>
      <c r="D26" s="18"/>
      <c r="E26" s="18"/>
      <c r="F26" s="19"/>
      <c r="H26" s="17"/>
      <c r="I26" s="18"/>
      <c r="J26" s="18"/>
      <c r="K26" s="18"/>
      <c r="L26" s="18"/>
      <c r="M26" s="18"/>
      <c r="N26" s="19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0"/>
  <sheetViews>
    <sheetView topLeftCell="A2" zoomScale="90" zoomScaleNormal="90" workbookViewId="0">
      <selection activeCell="K27" sqref="K27"/>
    </sheetView>
  </sheetViews>
  <sheetFormatPr defaultRowHeight="14.4" x14ac:dyDescent="0.3"/>
  <cols>
    <col min="1" max="1" width="10.5546875" style="22" customWidth="1"/>
    <col min="2" max="2" width="10.5546875" customWidth="1"/>
    <col min="3" max="3" width="19.109375" bestFit="1" customWidth="1"/>
    <col min="4" max="4" width="16.33203125" bestFit="1" customWidth="1"/>
    <col min="5" max="5" width="10.44140625" style="4" bestFit="1" customWidth="1"/>
    <col min="6" max="6" width="16.33203125" bestFit="1" customWidth="1"/>
    <col min="7" max="7" width="17.88671875" bestFit="1" customWidth="1"/>
    <col min="8" max="8" width="17.88671875" style="4" bestFit="1" customWidth="1"/>
    <col min="9" max="9" width="10.5546875" style="39" bestFit="1" customWidth="1"/>
    <col min="10" max="10" width="10.109375" bestFit="1" customWidth="1"/>
    <col min="11" max="11" width="17.6640625" bestFit="1" customWidth="1"/>
    <col min="12" max="12" width="16.88671875" bestFit="1" customWidth="1"/>
    <col min="13" max="13" width="18.5546875" style="4" bestFit="1" customWidth="1"/>
    <col min="14" max="14" width="11" bestFit="1" customWidth="1"/>
    <col min="15" max="15" width="14.109375" bestFit="1" customWidth="1"/>
  </cols>
  <sheetData>
    <row r="1" spans="1:15" s="18" customFormat="1" ht="15.6" x14ac:dyDescent="0.3">
      <c r="A1" s="70"/>
      <c r="B1" s="129" t="s">
        <v>18</v>
      </c>
      <c r="C1" s="129"/>
      <c r="D1" s="129"/>
      <c r="E1" s="129"/>
      <c r="F1" s="129"/>
      <c r="G1" s="54"/>
      <c r="H1" s="19"/>
      <c r="I1" s="70"/>
      <c r="J1" s="130" t="s">
        <v>24</v>
      </c>
      <c r="K1" s="130"/>
      <c r="L1" s="130"/>
      <c r="M1" s="130"/>
      <c r="N1" s="130"/>
      <c r="O1" s="130"/>
    </row>
    <row r="2" spans="1:15" x14ac:dyDescent="0.3">
      <c r="E2"/>
      <c r="M2"/>
    </row>
    <row r="3" spans="1:15" ht="31.2" x14ac:dyDescent="0.35">
      <c r="A3" s="71" t="s">
        <v>17</v>
      </c>
      <c r="B3" s="46"/>
      <c r="C3" s="49">
        <f>E8*E5</f>
        <v>60401983.180742592</v>
      </c>
      <c r="E3"/>
      <c r="I3" s="73" t="s">
        <v>33</v>
      </c>
      <c r="K3" s="50">
        <f>M8*O5</f>
        <v>61610022.844357446</v>
      </c>
      <c r="M3"/>
    </row>
    <row r="4" spans="1:15" x14ac:dyDescent="0.3">
      <c r="C4" s="47" t="s">
        <v>19</v>
      </c>
      <c r="D4" s="29" t="s">
        <v>21</v>
      </c>
      <c r="E4" s="26" t="s">
        <v>22</v>
      </c>
      <c r="F4" s="25" t="s">
        <v>23</v>
      </c>
      <c r="G4" s="56"/>
      <c r="I4" s="73"/>
      <c r="K4" s="28" t="s">
        <v>25</v>
      </c>
      <c r="L4" s="26" t="s">
        <v>19</v>
      </c>
      <c r="M4" s="25" t="s">
        <v>26</v>
      </c>
      <c r="N4" s="51" t="s">
        <v>27</v>
      </c>
      <c r="O4" s="47" t="s">
        <v>28</v>
      </c>
    </row>
    <row r="5" spans="1:15" x14ac:dyDescent="0.3">
      <c r="C5" s="47">
        <f>F5^D8</f>
        <v>2.2080396636148518</v>
      </c>
      <c r="D5" s="29">
        <f>C5-1</f>
        <v>1.2080396636148518</v>
      </c>
      <c r="E5" s="26">
        <f>D5/C8</f>
        <v>60.40198318074259</v>
      </c>
      <c r="F5" s="2">
        <f>1+C8</f>
        <v>1.02</v>
      </c>
      <c r="G5" s="57"/>
      <c r="I5" s="73"/>
      <c r="K5" s="28">
        <f>1+K8</f>
        <v>1.02</v>
      </c>
      <c r="L5" s="26">
        <f>K5^L8</f>
        <v>2.2080396636148518</v>
      </c>
      <c r="M5" s="25">
        <f>L5-1</f>
        <v>1.2080396636148518</v>
      </c>
      <c r="N5" s="51">
        <f>K5*M5</f>
        <v>1.232200456887149</v>
      </c>
      <c r="O5" s="47">
        <f>N5/K8</f>
        <v>61.610022844357445</v>
      </c>
    </row>
    <row r="6" spans="1:15" x14ac:dyDescent="0.3">
      <c r="E6"/>
      <c r="I6" s="73"/>
      <c r="M6"/>
    </row>
    <row r="7" spans="1:15" x14ac:dyDescent="0.3">
      <c r="C7" s="48" t="s">
        <v>3</v>
      </c>
      <c r="D7" s="47" t="s">
        <v>2</v>
      </c>
      <c r="E7" s="25" t="s">
        <v>20</v>
      </c>
      <c r="I7" s="73"/>
      <c r="K7" s="53" t="s">
        <v>3</v>
      </c>
      <c r="L7" s="25" t="s">
        <v>2</v>
      </c>
      <c r="M7" s="26" t="s">
        <v>20</v>
      </c>
    </row>
    <row r="8" spans="1:15" x14ac:dyDescent="0.3">
      <c r="B8" t="s">
        <v>9</v>
      </c>
      <c r="C8" s="48">
        <v>0.02</v>
      </c>
      <c r="D8" s="47">
        <v>40</v>
      </c>
      <c r="E8" s="25">
        <v>1000000</v>
      </c>
      <c r="I8" s="73"/>
      <c r="J8" t="s">
        <v>9</v>
      </c>
      <c r="K8" s="53">
        <v>0.02</v>
      </c>
      <c r="L8" s="25">
        <v>40</v>
      </c>
      <c r="M8" s="26">
        <v>1000000</v>
      </c>
    </row>
    <row r="9" spans="1:15" s="18" customFormat="1" x14ac:dyDescent="0.3">
      <c r="A9" s="70"/>
      <c r="H9" s="19"/>
      <c r="I9" s="74"/>
    </row>
    <row r="10" spans="1:15" x14ac:dyDescent="0.3">
      <c r="E10"/>
      <c r="I10" s="73"/>
      <c r="M10"/>
    </row>
    <row r="11" spans="1:15" ht="28.8" x14ac:dyDescent="0.3">
      <c r="A11" s="72" t="s">
        <v>29</v>
      </c>
      <c r="C11" s="67">
        <f>E16*F13</f>
        <v>298422.23891810694</v>
      </c>
      <c r="E11"/>
      <c r="I11" s="73" t="s">
        <v>34</v>
      </c>
      <c r="K11" s="49">
        <f>M16*O13</f>
        <v>9998845.5747207832</v>
      </c>
      <c r="M11"/>
    </row>
    <row r="12" spans="1:15" x14ac:dyDescent="0.3">
      <c r="C12" s="25" t="s">
        <v>19</v>
      </c>
      <c r="D12" s="26" t="s">
        <v>21</v>
      </c>
      <c r="E12" s="48" t="s">
        <v>30</v>
      </c>
      <c r="F12" s="62" t="s">
        <v>31</v>
      </c>
      <c r="G12" s="63" t="s">
        <v>25</v>
      </c>
      <c r="I12" s="22"/>
      <c r="K12" s="26" t="s">
        <v>23</v>
      </c>
      <c r="L12" s="48" t="s">
        <v>19</v>
      </c>
      <c r="M12" s="65" t="s">
        <v>35</v>
      </c>
      <c r="N12" s="55" t="s">
        <v>30</v>
      </c>
      <c r="O12" s="59" t="s">
        <v>32</v>
      </c>
    </row>
    <row r="13" spans="1:15" x14ac:dyDescent="0.3">
      <c r="C13" s="25">
        <f>G13^D16</f>
        <v>1.3310000000000004</v>
      </c>
      <c r="D13" s="26">
        <f>C13-1</f>
        <v>0.33100000000000041</v>
      </c>
      <c r="E13" s="48">
        <f>C16*G13^D16</f>
        <v>0.13310000000000005</v>
      </c>
      <c r="F13" s="52">
        <f>D13/E13</f>
        <v>2.4868519909842246</v>
      </c>
      <c r="G13" s="63">
        <f>1+C16</f>
        <v>1.1000000000000001</v>
      </c>
      <c r="I13" s="22"/>
      <c r="K13" s="26">
        <f>1+K16</f>
        <v>1.02</v>
      </c>
      <c r="L13" s="48">
        <f>K13^L16</f>
        <v>1.1086817403236127</v>
      </c>
      <c r="M13" s="65">
        <f>K13*(L13-1)</f>
        <v>0.11085537513008492</v>
      </c>
      <c r="N13" s="55">
        <f>K16*K13^L16</f>
        <v>2.2173634806472255E-2</v>
      </c>
      <c r="O13" s="59">
        <f>M13/N13</f>
        <v>4.999422787360392</v>
      </c>
    </row>
    <row r="14" spans="1:15" x14ac:dyDescent="0.3">
      <c r="E14"/>
      <c r="M14"/>
    </row>
    <row r="15" spans="1:15" x14ac:dyDescent="0.3">
      <c r="C15" s="29" t="s">
        <v>3</v>
      </c>
      <c r="D15" s="53" t="s">
        <v>2</v>
      </c>
      <c r="E15" s="48" t="s">
        <v>20</v>
      </c>
      <c r="K15" s="65" t="s">
        <v>3</v>
      </c>
      <c r="L15" s="66" t="s">
        <v>2</v>
      </c>
      <c r="M15" s="59" t="s">
        <v>20</v>
      </c>
    </row>
    <row r="16" spans="1:15" x14ac:dyDescent="0.3">
      <c r="B16" t="s">
        <v>9</v>
      </c>
      <c r="C16" s="29">
        <v>0.1</v>
      </c>
      <c r="D16" s="53">
        <v>3</v>
      </c>
      <c r="E16" s="48">
        <v>120000</v>
      </c>
      <c r="J16" t="s">
        <v>9</v>
      </c>
      <c r="K16" s="65">
        <v>0.02</v>
      </c>
      <c r="L16" s="66">
        <v>5.21</v>
      </c>
      <c r="M16" s="59">
        <v>2000000</v>
      </c>
    </row>
    <row r="17" spans="1:17" s="18" customFormat="1" x14ac:dyDescent="0.3">
      <c r="A17" s="70"/>
      <c r="H17" s="19"/>
      <c r="I17" s="70"/>
      <c r="J17" s="3"/>
      <c r="K17" s="3"/>
      <c r="L17" s="3"/>
      <c r="M17" s="3"/>
      <c r="N17" s="3"/>
      <c r="O17" s="3"/>
      <c r="P17" s="3"/>
      <c r="Q17" s="3"/>
    </row>
    <row r="18" spans="1:17" x14ac:dyDescent="0.3">
      <c r="E18" s="15"/>
      <c r="J18" s="14"/>
      <c r="K18" s="14"/>
      <c r="L18" s="14"/>
      <c r="M18" s="14"/>
      <c r="N18" s="14"/>
      <c r="O18" s="14"/>
      <c r="P18" s="14"/>
      <c r="Q18" s="14"/>
    </row>
    <row r="19" spans="1:17" s="22" customFormat="1" x14ac:dyDescent="0.3">
      <c r="A19" s="22" t="s">
        <v>36</v>
      </c>
      <c r="C19" s="131" t="s">
        <v>37</v>
      </c>
      <c r="D19" s="131"/>
      <c r="E19" s="132"/>
      <c r="F19" s="133" t="s">
        <v>17</v>
      </c>
      <c r="G19" s="133"/>
      <c r="H19" s="132"/>
      <c r="K19" s="131"/>
      <c r="L19" s="131"/>
      <c r="M19" s="131"/>
      <c r="N19" s="131"/>
      <c r="O19" s="131"/>
      <c r="P19" s="131"/>
    </row>
    <row r="20" spans="1:17" x14ac:dyDescent="0.3">
      <c r="K20" s="3"/>
      <c r="L20" s="3"/>
      <c r="M20" s="3"/>
      <c r="N20" s="3"/>
      <c r="O20" s="3"/>
      <c r="P20" s="3"/>
    </row>
    <row r="21" spans="1:17" ht="28.8" x14ac:dyDescent="0.3">
      <c r="A21" s="72" t="s">
        <v>39</v>
      </c>
      <c r="C21" s="23">
        <f>C29*D26</f>
        <v>1576139.7448815065</v>
      </c>
      <c r="I21" s="23" t="s">
        <v>2</v>
      </c>
      <c r="K21" s="89">
        <f>M23/N23</f>
        <v>13.253227898138054</v>
      </c>
      <c r="L21" s="3"/>
      <c r="M21" s="3"/>
      <c r="N21" s="3"/>
      <c r="O21" s="3"/>
      <c r="P21" s="3"/>
    </row>
    <row r="22" spans="1:17" x14ac:dyDescent="0.3">
      <c r="C22" s="59" t="s">
        <v>23</v>
      </c>
      <c r="D22" s="61" t="s">
        <v>19</v>
      </c>
      <c r="E22" s="60" t="s">
        <v>21</v>
      </c>
      <c r="K22" s="90" t="s">
        <v>23</v>
      </c>
      <c r="L22" s="92" t="s">
        <v>95</v>
      </c>
      <c r="M22" s="94" t="s">
        <v>96</v>
      </c>
      <c r="N22" s="13" t="s">
        <v>94</v>
      </c>
      <c r="O22" s="3"/>
      <c r="P22" s="3"/>
    </row>
    <row r="23" spans="1:17" x14ac:dyDescent="0.3">
      <c r="C23" s="59">
        <f>1+D29</f>
        <v>1.05</v>
      </c>
      <c r="D23" s="61">
        <f>C23^E29</f>
        <v>1.340095640625</v>
      </c>
      <c r="E23" s="60">
        <f>D23-1</f>
        <v>0.34009564062499997</v>
      </c>
      <c r="K23" s="90">
        <f>1+L26</f>
        <v>1.05</v>
      </c>
      <c r="L23" s="92">
        <f>(K26*K23)/(K26*K23-L26*M26)</f>
        <v>1.9090909090909092</v>
      </c>
      <c r="M23" s="94">
        <f>LN(L23)</f>
        <v>0.64662716492505246</v>
      </c>
      <c r="N23" s="13">
        <f>LN(K23)</f>
        <v>4.8790164169432049E-2</v>
      </c>
      <c r="O23" s="3"/>
      <c r="P23" s="3"/>
    </row>
    <row r="24" spans="1:17" x14ac:dyDescent="0.3">
      <c r="K24" s="3"/>
      <c r="L24" s="3"/>
      <c r="M24" s="3"/>
      <c r="N24" s="3"/>
      <c r="O24" s="3"/>
      <c r="P24" s="3"/>
    </row>
    <row r="25" spans="1:17" x14ac:dyDescent="0.3">
      <c r="C25" s="64" t="s">
        <v>30</v>
      </c>
      <c r="D25" s="24" t="s">
        <v>38</v>
      </c>
      <c r="K25" s="93" t="s">
        <v>20</v>
      </c>
      <c r="L25" s="91" t="s">
        <v>3</v>
      </c>
      <c r="M25" s="6" t="s">
        <v>34</v>
      </c>
      <c r="N25" s="3"/>
      <c r="O25" s="3"/>
      <c r="P25" s="3"/>
    </row>
    <row r="26" spans="1:17" x14ac:dyDescent="0.3">
      <c r="C26" s="64">
        <f>D29*C23^E29</f>
        <v>6.7004782031250001E-2</v>
      </c>
      <c r="D26" s="24">
        <f>C26/E23</f>
        <v>0.19701746811018833</v>
      </c>
      <c r="J26" t="s">
        <v>9</v>
      </c>
      <c r="K26" s="93">
        <v>1000000</v>
      </c>
      <c r="L26" s="91">
        <v>0.05</v>
      </c>
      <c r="M26" s="6">
        <v>10000000</v>
      </c>
      <c r="N26" s="3"/>
      <c r="O26" s="3"/>
      <c r="P26" s="3"/>
    </row>
    <row r="27" spans="1:17" x14ac:dyDescent="0.3">
      <c r="K27" s="3"/>
      <c r="L27" s="3"/>
      <c r="M27" s="3"/>
      <c r="N27" s="3"/>
      <c r="O27" s="3"/>
      <c r="P27" s="3"/>
    </row>
    <row r="28" spans="1:17" x14ac:dyDescent="0.3">
      <c r="C28" s="68" t="s">
        <v>34</v>
      </c>
      <c r="D28" s="61" t="s">
        <v>3</v>
      </c>
      <c r="E28" s="62" t="s">
        <v>2</v>
      </c>
      <c r="K28" s="3"/>
      <c r="L28" s="3"/>
      <c r="M28" s="3"/>
      <c r="N28" s="3"/>
      <c r="O28" s="3"/>
      <c r="P28" s="3"/>
    </row>
    <row r="29" spans="1:17" x14ac:dyDescent="0.3">
      <c r="B29" t="s">
        <v>9</v>
      </c>
      <c r="C29" s="69">
        <v>8000000</v>
      </c>
      <c r="D29" s="61">
        <v>0.05</v>
      </c>
      <c r="E29" s="62">
        <v>6</v>
      </c>
      <c r="K29" s="3"/>
      <c r="L29" s="3"/>
      <c r="M29" s="3"/>
      <c r="N29" s="3"/>
      <c r="O29" s="3"/>
      <c r="P29" s="3"/>
    </row>
    <row r="30" spans="1:17" x14ac:dyDescent="0.3">
      <c r="K30" s="3"/>
      <c r="L30" s="3"/>
      <c r="M30" s="3"/>
      <c r="N30" s="3"/>
      <c r="O30" s="3"/>
      <c r="P30" s="3"/>
    </row>
  </sheetData>
  <mergeCells count="6">
    <mergeCell ref="B1:F1"/>
    <mergeCell ref="J1:O1"/>
    <mergeCell ref="C19:E19"/>
    <mergeCell ref="F19:H19"/>
    <mergeCell ref="K19:M19"/>
    <mergeCell ref="N19:P1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U19"/>
  <sheetViews>
    <sheetView workbookViewId="0">
      <selection activeCell="D18" sqref="D18"/>
    </sheetView>
  </sheetViews>
  <sheetFormatPr defaultRowHeight="14.4" x14ac:dyDescent="0.3"/>
  <cols>
    <col min="3" max="3" width="13.6640625" bestFit="1" customWidth="1"/>
    <col min="4" max="4" width="10.5546875" bestFit="1" customWidth="1"/>
    <col min="11" max="11" width="9.6640625" bestFit="1" customWidth="1"/>
    <col min="15" max="15" width="9.6640625" bestFit="1" customWidth="1"/>
    <col min="19" max="19" width="11.44140625" bestFit="1" customWidth="1"/>
    <col min="20" max="20" width="18.88671875" bestFit="1" customWidth="1"/>
  </cols>
  <sheetData>
    <row r="2" spans="2:21" x14ac:dyDescent="0.3">
      <c r="B2" s="135" t="s">
        <v>40</v>
      </c>
      <c r="C2" s="135"/>
      <c r="D2" s="135"/>
      <c r="N2" s="134" t="s">
        <v>47</v>
      </c>
      <c r="O2" s="134"/>
      <c r="P2" s="134"/>
      <c r="Q2">
        <f>P5+T5*U5</f>
        <v>0.17953704772053178</v>
      </c>
    </row>
    <row r="4" spans="2:21" ht="16.2" x14ac:dyDescent="0.3">
      <c r="B4" s="27" t="s">
        <v>43</v>
      </c>
      <c r="C4" s="27" t="s">
        <v>41</v>
      </c>
      <c r="D4" s="27" t="s">
        <v>54</v>
      </c>
      <c r="E4" s="27" t="s">
        <v>15</v>
      </c>
      <c r="F4" s="27" t="s">
        <v>44</v>
      </c>
      <c r="H4" s="27" t="s">
        <v>42</v>
      </c>
      <c r="J4" s="65" t="s">
        <v>45</v>
      </c>
      <c r="K4" s="75">
        <f>C5+SUM(H6:H10)</f>
        <v>281.74305033809105</v>
      </c>
      <c r="N4" s="27" t="s">
        <v>45</v>
      </c>
      <c r="O4" s="27" t="s">
        <v>48</v>
      </c>
      <c r="P4" s="27" t="s">
        <v>49</v>
      </c>
      <c r="Q4" s="27" t="s">
        <v>50</v>
      </c>
      <c r="R4" s="27"/>
      <c r="S4" s="27" t="s">
        <v>51</v>
      </c>
      <c r="T4" s="27" t="s">
        <v>52</v>
      </c>
      <c r="U4" s="27" t="s">
        <v>53</v>
      </c>
    </row>
    <row r="5" spans="2:21" x14ac:dyDescent="0.3">
      <c r="B5" s="81">
        <v>0</v>
      </c>
      <c r="C5" s="82">
        <v>-2000</v>
      </c>
      <c r="D5" s="81">
        <v>0.1</v>
      </c>
      <c r="E5">
        <f>1+D5</f>
        <v>1.1000000000000001</v>
      </c>
      <c r="N5" s="76">
        <f>K4</f>
        <v>281.74305033809105</v>
      </c>
      <c r="O5" s="76">
        <f>K13</f>
        <v>-249.59999999999991</v>
      </c>
      <c r="P5" s="27">
        <f>D5</f>
        <v>0.1</v>
      </c>
      <c r="Q5" s="27">
        <f>D14</f>
        <v>0.25</v>
      </c>
      <c r="R5" s="27"/>
      <c r="S5" s="76">
        <f>N5-O5</f>
        <v>531.34305033809096</v>
      </c>
      <c r="T5" s="27">
        <f>N5/S5</f>
        <v>0.53024698480354515</v>
      </c>
      <c r="U5" s="27">
        <f>Q5-P5</f>
        <v>0.15</v>
      </c>
    </row>
    <row r="6" spans="2:21" x14ac:dyDescent="0.3">
      <c r="B6" s="81">
        <v>1</v>
      </c>
      <c r="C6" s="82">
        <v>700</v>
      </c>
      <c r="D6" s="81">
        <v>0.1</v>
      </c>
      <c r="E6">
        <f t="shared" ref="E6:E10" si="0">1+D6</f>
        <v>1.1000000000000001</v>
      </c>
      <c r="F6">
        <f>E6^B6</f>
        <v>1.1000000000000001</v>
      </c>
      <c r="H6">
        <f>C6/F6</f>
        <v>636.36363636363626</v>
      </c>
    </row>
    <row r="7" spans="2:21" x14ac:dyDescent="0.3">
      <c r="B7" s="81">
        <v>2</v>
      </c>
      <c r="C7" s="82">
        <v>900</v>
      </c>
      <c r="D7" s="81">
        <v>0.1</v>
      </c>
      <c r="E7">
        <f t="shared" si="0"/>
        <v>1.1000000000000001</v>
      </c>
      <c r="F7">
        <f t="shared" ref="F7:F10" si="1">E7^B7</f>
        <v>1.2100000000000002</v>
      </c>
      <c r="H7">
        <f t="shared" ref="H7:H10" si="2">C7/F7</f>
        <v>743.80165289256183</v>
      </c>
    </row>
    <row r="8" spans="2:21" x14ac:dyDescent="0.3">
      <c r="B8" s="81">
        <v>3</v>
      </c>
      <c r="C8" s="82">
        <v>1200</v>
      </c>
      <c r="D8" s="81">
        <v>0.1</v>
      </c>
      <c r="E8">
        <f t="shared" si="0"/>
        <v>1.1000000000000001</v>
      </c>
      <c r="F8">
        <f t="shared" si="1"/>
        <v>1.3310000000000004</v>
      </c>
      <c r="H8">
        <f t="shared" si="2"/>
        <v>901.57776108189307</v>
      </c>
    </row>
    <row r="9" spans="2:21" x14ac:dyDescent="0.3">
      <c r="B9" s="81">
        <v>4</v>
      </c>
      <c r="C9" s="82">
        <v>0</v>
      </c>
      <c r="D9" s="81">
        <v>0.1</v>
      </c>
      <c r="E9">
        <f t="shared" si="0"/>
        <v>1.1000000000000001</v>
      </c>
      <c r="F9">
        <f t="shared" si="1"/>
        <v>1.4641000000000004</v>
      </c>
      <c r="H9">
        <f t="shared" si="2"/>
        <v>0</v>
      </c>
    </row>
    <row r="10" spans="2:21" x14ac:dyDescent="0.3">
      <c r="B10" s="81">
        <v>5</v>
      </c>
      <c r="C10" s="82">
        <v>0</v>
      </c>
      <c r="D10" s="81">
        <v>0.1</v>
      </c>
      <c r="E10">
        <f t="shared" si="0"/>
        <v>1.1000000000000001</v>
      </c>
      <c r="F10">
        <f t="shared" si="1"/>
        <v>1.6105100000000006</v>
      </c>
      <c r="H10">
        <f t="shared" si="2"/>
        <v>0</v>
      </c>
    </row>
    <row r="11" spans="2:21" x14ac:dyDescent="0.3">
      <c r="C11" s="58"/>
    </row>
    <row r="12" spans="2:21" x14ac:dyDescent="0.3">
      <c r="C12" s="58"/>
    </row>
    <row r="13" spans="2:21" ht="16.2" x14ac:dyDescent="0.3">
      <c r="B13" s="27" t="s">
        <v>43</v>
      </c>
      <c r="C13" s="27" t="s">
        <v>41</v>
      </c>
      <c r="D13" s="27" t="s">
        <v>55</v>
      </c>
      <c r="E13" s="27" t="s">
        <v>15</v>
      </c>
      <c r="F13" s="27" t="s">
        <v>44</v>
      </c>
      <c r="H13" s="27" t="s">
        <v>42</v>
      </c>
      <c r="J13" s="65" t="s">
        <v>46</v>
      </c>
      <c r="K13" s="75">
        <f>C14+SUM(H15:H19)</f>
        <v>-249.59999999999991</v>
      </c>
    </row>
    <row r="14" spans="2:21" x14ac:dyDescent="0.3">
      <c r="B14" s="81">
        <v>0</v>
      </c>
      <c r="C14" s="82">
        <v>-2000</v>
      </c>
      <c r="D14" s="81">
        <v>0.25</v>
      </c>
      <c r="E14">
        <f>1+D14</f>
        <v>1.25</v>
      </c>
    </row>
    <row r="15" spans="2:21" x14ac:dyDescent="0.3">
      <c r="B15" s="81">
        <v>1</v>
      </c>
      <c r="C15" s="82">
        <v>700</v>
      </c>
      <c r="D15" s="81">
        <v>0.25</v>
      </c>
      <c r="E15">
        <f t="shared" ref="E15:E19" si="3">1+D15</f>
        <v>1.25</v>
      </c>
      <c r="F15">
        <f>E15^B15</f>
        <v>1.25</v>
      </c>
      <c r="H15">
        <f>C15/F15</f>
        <v>560</v>
      </c>
    </row>
    <row r="16" spans="2:21" x14ac:dyDescent="0.3">
      <c r="B16" s="81">
        <v>2</v>
      </c>
      <c r="C16" s="82">
        <v>900</v>
      </c>
      <c r="D16" s="81">
        <v>0.25</v>
      </c>
      <c r="E16">
        <f t="shared" si="3"/>
        <v>1.25</v>
      </c>
      <c r="F16">
        <f t="shared" ref="F16:F19" si="4">E16^B16</f>
        <v>1.5625</v>
      </c>
      <c r="H16">
        <f t="shared" ref="H16:H19" si="5">C16/F16</f>
        <v>576</v>
      </c>
    </row>
    <row r="17" spans="2:8" x14ac:dyDescent="0.3">
      <c r="B17" s="81">
        <v>3</v>
      </c>
      <c r="C17" s="82">
        <v>1200</v>
      </c>
      <c r="D17" s="81">
        <v>0.25</v>
      </c>
      <c r="E17">
        <f t="shared" si="3"/>
        <v>1.25</v>
      </c>
      <c r="F17">
        <f t="shared" si="4"/>
        <v>1.953125</v>
      </c>
      <c r="H17">
        <f t="shared" si="5"/>
        <v>614.4</v>
      </c>
    </row>
    <row r="18" spans="2:8" x14ac:dyDescent="0.3">
      <c r="B18" s="81">
        <v>4</v>
      </c>
      <c r="C18" s="82">
        <v>0</v>
      </c>
      <c r="D18" s="81">
        <v>0.25</v>
      </c>
      <c r="E18">
        <f t="shared" si="3"/>
        <v>1.25</v>
      </c>
      <c r="F18">
        <f t="shared" si="4"/>
        <v>2.44140625</v>
      </c>
      <c r="H18">
        <f t="shared" si="5"/>
        <v>0</v>
      </c>
    </row>
    <row r="19" spans="2:8" x14ac:dyDescent="0.3">
      <c r="B19" s="81">
        <v>5</v>
      </c>
      <c r="C19" s="82">
        <v>0</v>
      </c>
      <c r="D19" s="81">
        <v>0.25</v>
      </c>
      <c r="E19">
        <f t="shared" si="3"/>
        <v>1.25</v>
      </c>
      <c r="F19">
        <f t="shared" si="4"/>
        <v>3.0517578125</v>
      </c>
      <c r="H19">
        <f t="shared" si="5"/>
        <v>0</v>
      </c>
    </row>
  </sheetData>
  <mergeCells count="2">
    <mergeCell ref="N2:P2"/>
    <mergeCell ref="B2:D2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2"/>
  <sheetViews>
    <sheetView workbookViewId="0">
      <selection activeCell="A9" sqref="A9:D9"/>
    </sheetView>
  </sheetViews>
  <sheetFormatPr defaultRowHeight="14.4" x14ac:dyDescent="0.3"/>
  <cols>
    <col min="1" max="1" width="14.33203125" customWidth="1"/>
    <col min="2" max="2" width="11.33203125" customWidth="1"/>
    <col min="3" max="3" width="12.88671875" customWidth="1"/>
    <col min="4" max="4" width="11.6640625" customWidth="1"/>
    <col min="5" max="5" width="12.88671875" customWidth="1"/>
    <col min="8" max="8" width="16.33203125" bestFit="1" customWidth="1"/>
    <col min="9" max="9" width="16.33203125" customWidth="1"/>
  </cols>
  <sheetData>
    <row r="1" spans="1:11" ht="28.8" x14ac:dyDescent="0.3">
      <c r="A1" s="46" t="s">
        <v>56</v>
      </c>
      <c r="B1" s="27" t="s">
        <v>57</v>
      </c>
      <c r="C1" s="27" t="s">
        <v>58</v>
      </c>
      <c r="D1" s="27" t="s">
        <v>59</v>
      </c>
      <c r="E1" s="27" t="s">
        <v>60</v>
      </c>
    </row>
    <row r="2" spans="1:11" x14ac:dyDescent="0.3">
      <c r="A2" t="s">
        <v>61</v>
      </c>
      <c r="B2">
        <v>4811</v>
      </c>
      <c r="C2">
        <v>4576</v>
      </c>
      <c r="D2">
        <v>5208</v>
      </c>
      <c r="E2">
        <v>5849</v>
      </c>
      <c r="H2" t="s">
        <v>64</v>
      </c>
      <c r="I2" t="s">
        <v>61</v>
      </c>
      <c r="J2">
        <f>SUMPRODUCT(B11:D11,B9:D9)</f>
        <v>-28.5365</v>
      </c>
    </row>
    <row r="3" spans="1:11" x14ac:dyDescent="0.3">
      <c r="A3" t="s">
        <v>62</v>
      </c>
      <c r="B3">
        <v>7646</v>
      </c>
      <c r="C3">
        <v>3156</v>
      </c>
      <c r="D3">
        <v>2541</v>
      </c>
      <c r="E3">
        <v>2248</v>
      </c>
      <c r="I3" t="s">
        <v>62</v>
      </c>
      <c r="J3">
        <f>SUMPRODUCT(B12:D12,B9:D9)</f>
        <v>66.734499999999997</v>
      </c>
    </row>
    <row r="5" spans="1:11" x14ac:dyDescent="0.3">
      <c r="K5" t="s">
        <v>66</v>
      </c>
    </row>
    <row r="6" spans="1:11" x14ac:dyDescent="0.3">
      <c r="H6" t="s">
        <v>65</v>
      </c>
      <c r="I6" t="s">
        <v>61</v>
      </c>
      <c r="J6">
        <f>$B$9*((B11-J2)^2)+$C$9*((C11-J2)^2)+$D$9*((D11-J2)^2)</f>
        <v>370.37303274999999</v>
      </c>
      <c r="K6">
        <f>SQRT(J6)</f>
        <v>19.24507814351503</v>
      </c>
    </row>
    <row r="7" spans="1:11" x14ac:dyDescent="0.3">
      <c r="I7" t="s">
        <v>62</v>
      </c>
      <c r="J7">
        <f>$B$9*((B12-J3)^2)+$C$9*((C12-J3)^2)+$D$9*((D12-J3)^2)</f>
        <v>82.383544749999999</v>
      </c>
      <c r="K7">
        <f>SQRT(J7)</f>
        <v>9.0765381478843565</v>
      </c>
    </row>
    <row r="9" spans="1:11" x14ac:dyDescent="0.3">
      <c r="A9" s="96" t="s">
        <v>63</v>
      </c>
      <c r="B9" s="96">
        <v>0.05</v>
      </c>
      <c r="C9" s="96">
        <v>0.3</v>
      </c>
      <c r="D9" s="96">
        <v>0.65</v>
      </c>
      <c r="H9" t="s">
        <v>67</v>
      </c>
      <c r="I9">
        <f>B9*(B11-J2)*(B12-J3)+C9*(C11-J2)*(C12-J3)+D9*(D11-J2)*(D12-J3)</f>
        <v>-156.58640075</v>
      </c>
    </row>
    <row r="10" spans="1:11" x14ac:dyDescent="0.3">
      <c r="B10" s="27" t="s">
        <v>58</v>
      </c>
      <c r="C10" s="27" t="s">
        <v>59</v>
      </c>
      <c r="D10" s="27" t="s">
        <v>60</v>
      </c>
    </row>
    <row r="11" spans="1:11" x14ac:dyDescent="0.3">
      <c r="A11" t="s">
        <v>61</v>
      </c>
      <c r="B11" s="95">
        <v>4.2</v>
      </c>
      <c r="C11" s="95">
        <v>-3.5</v>
      </c>
      <c r="D11" s="95">
        <v>-42.61</v>
      </c>
      <c r="H11" t="s">
        <v>68</v>
      </c>
      <c r="I11">
        <f>I9/(K6*K7)</f>
        <v>-0.89642534186442313</v>
      </c>
    </row>
    <row r="12" spans="1:11" x14ac:dyDescent="0.3">
      <c r="A12" t="s">
        <v>62</v>
      </c>
      <c r="B12" s="95">
        <v>36.75</v>
      </c>
      <c r="C12" s="95">
        <v>59.37</v>
      </c>
      <c r="D12" s="95">
        <v>72.44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8"/>
  <sheetViews>
    <sheetView tabSelected="1" workbookViewId="0">
      <selection activeCell="H28" sqref="H28"/>
    </sheetView>
  </sheetViews>
  <sheetFormatPr defaultRowHeight="14.4" x14ac:dyDescent="0.3"/>
  <cols>
    <col min="5" max="5" width="12.88671875" bestFit="1" customWidth="1"/>
    <col min="7" max="7" width="15" customWidth="1"/>
    <col min="8" max="8" width="12.44140625" bestFit="1" customWidth="1"/>
  </cols>
  <sheetData>
    <row r="1" spans="1:11" x14ac:dyDescent="0.3">
      <c r="A1" s="136" t="s">
        <v>71</v>
      </c>
      <c r="B1" s="136"/>
      <c r="C1" s="136"/>
      <c r="D1" s="136"/>
    </row>
    <row r="3" spans="1:11" x14ac:dyDescent="0.3">
      <c r="B3" t="s">
        <v>58</v>
      </c>
      <c r="C3" t="s">
        <v>59</v>
      </c>
      <c r="D3" s="79" t="s">
        <v>60</v>
      </c>
      <c r="E3" s="27" t="s">
        <v>72</v>
      </c>
      <c r="F3" s="27" t="s">
        <v>73</v>
      </c>
      <c r="H3" t="s">
        <v>74</v>
      </c>
      <c r="I3" s="27" t="s">
        <v>78</v>
      </c>
    </row>
    <row r="4" spans="1:11" x14ac:dyDescent="0.3">
      <c r="A4" t="s">
        <v>69</v>
      </c>
      <c r="B4">
        <v>20</v>
      </c>
      <c r="C4">
        <v>50</v>
      </c>
      <c r="D4" s="79">
        <v>15</v>
      </c>
      <c r="E4" s="27">
        <f>MAX(B4:D4)</f>
        <v>50</v>
      </c>
      <c r="F4" s="27">
        <f>MIN(B4:D4)</f>
        <v>15</v>
      </c>
      <c r="H4" t="s">
        <v>75</v>
      </c>
      <c r="I4" s="27" t="s">
        <v>78</v>
      </c>
    </row>
    <row r="5" spans="1:11" x14ac:dyDescent="0.3">
      <c r="A5" t="s">
        <v>70</v>
      </c>
      <c r="B5">
        <v>80</v>
      </c>
      <c r="C5">
        <v>-20</v>
      </c>
      <c r="D5" s="79">
        <v>10</v>
      </c>
      <c r="E5" s="27">
        <f t="shared" ref="E5:E6" si="0">MAX(B5:D5)</f>
        <v>80</v>
      </c>
      <c r="F5" s="27">
        <f t="shared" ref="F5:F6" si="1">MIN(B5:D5)</f>
        <v>-20</v>
      </c>
      <c r="H5" t="s">
        <v>76</v>
      </c>
      <c r="I5" s="27" t="s">
        <v>79</v>
      </c>
    </row>
    <row r="6" spans="1:11" x14ac:dyDescent="0.3">
      <c r="A6" t="s">
        <v>20</v>
      </c>
      <c r="B6">
        <v>25</v>
      </c>
      <c r="C6">
        <v>30</v>
      </c>
      <c r="D6" s="79">
        <v>35</v>
      </c>
      <c r="E6" s="27">
        <f t="shared" si="0"/>
        <v>35</v>
      </c>
      <c r="F6" s="27">
        <f t="shared" si="1"/>
        <v>25</v>
      </c>
      <c r="H6" t="s">
        <v>77</v>
      </c>
      <c r="I6" s="27" t="s">
        <v>79</v>
      </c>
    </row>
    <row r="9" spans="1:11" x14ac:dyDescent="0.3">
      <c r="A9" s="136" t="s">
        <v>80</v>
      </c>
      <c r="B9" s="136"/>
      <c r="C9" s="136"/>
      <c r="D9" s="136"/>
    </row>
    <row r="11" spans="1:11" x14ac:dyDescent="0.3">
      <c r="B11" t="s">
        <v>58</v>
      </c>
      <c r="C11" s="57" t="s">
        <v>59</v>
      </c>
      <c r="D11" s="4" t="s">
        <v>60</v>
      </c>
      <c r="E11" s="137" t="s">
        <v>81</v>
      </c>
      <c r="F11" s="137"/>
      <c r="G11" s="137"/>
      <c r="H11" t="s">
        <v>72</v>
      </c>
    </row>
    <row r="12" spans="1:11" ht="15.6" x14ac:dyDescent="0.3">
      <c r="A12" t="s">
        <v>69</v>
      </c>
      <c r="B12" s="83">
        <v>30</v>
      </c>
      <c r="C12" s="83">
        <v>50</v>
      </c>
      <c r="D12" s="87">
        <v>15</v>
      </c>
      <c r="E12" s="77">
        <f>$B$15-B12</f>
        <v>60</v>
      </c>
      <c r="F12" s="77">
        <f>$C$15-C12</f>
        <v>0</v>
      </c>
      <c r="G12" s="77">
        <f t="shared" ref="G12:G13" si="2">$D$15-D12</f>
        <v>20</v>
      </c>
      <c r="H12">
        <f>MAX(E12:G12)</f>
        <v>60</v>
      </c>
      <c r="J12" t="s">
        <v>76</v>
      </c>
      <c r="K12" t="s">
        <v>79</v>
      </c>
    </row>
    <row r="13" spans="1:11" ht="15.6" x14ac:dyDescent="0.3">
      <c r="A13" t="s">
        <v>70</v>
      </c>
      <c r="B13" s="83">
        <v>70</v>
      </c>
      <c r="C13" s="83">
        <v>-20</v>
      </c>
      <c r="D13" s="87">
        <v>10</v>
      </c>
      <c r="E13" s="77">
        <f t="shared" ref="E13:E14" si="3">$B$15-B13</f>
        <v>20</v>
      </c>
      <c r="F13" s="77">
        <f t="shared" ref="F13:F14" si="4">$C$15-C13</f>
        <v>70</v>
      </c>
      <c r="G13" s="77">
        <f t="shared" si="2"/>
        <v>25</v>
      </c>
      <c r="H13">
        <f t="shared" ref="H13:H14" si="5">MAX(E13:G13)</f>
        <v>70</v>
      </c>
    </row>
    <row r="14" spans="1:11" ht="15.6" x14ac:dyDescent="0.3">
      <c r="A14" t="s">
        <v>20</v>
      </c>
      <c r="B14" s="83">
        <v>90</v>
      </c>
      <c r="C14" s="83">
        <v>30</v>
      </c>
      <c r="D14" s="87">
        <v>35</v>
      </c>
      <c r="E14" s="77">
        <f t="shared" si="3"/>
        <v>0</v>
      </c>
      <c r="F14" s="77">
        <f t="shared" si="4"/>
        <v>20</v>
      </c>
      <c r="G14" s="77">
        <f>$D$15-D14</f>
        <v>0</v>
      </c>
      <c r="H14">
        <f t="shared" si="5"/>
        <v>20</v>
      </c>
    </row>
    <row r="15" spans="1:11" x14ac:dyDescent="0.3">
      <c r="A15" s="14" t="s">
        <v>72</v>
      </c>
      <c r="B15" s="88">
        <f>MAX(B12:B14)</f>
        <v>90</v>
      </c>
      <c r="C15" s="88">
        <f t="shared" ref="C15:D15" si="6">MAX(C12:C14)</f>
        <v>50</v>
      </c>
      <c r="D15" s="88">
        <f t="shared" si="6"/>
        <v>35</v>
      </c>
    </row>
    <row r="17" spans="1:10" x14ac:dyDescent="0.3">
      <c r="A17" s="136" t="s">
        <v>82</v>
      </c>
      <c r="B17" s="136"/>
      <c r="C17" s="136"/>
      <c r="D17" t="s">
        <v>83</v>
      </c>
      <c r="E17">
        <v>0.3</v>
      </c>
      <c r="F17">
        <f>1-E17</f>
        <v>0.7</v>
      </c>
    </row>
    <row r="19" spans="1:10" x14ac:dyDescent="0.3">
      <c r="B19" t="s">
        <v>58</v>
      </c>
      <c r="C19" t="s">
        <v>59</v>
      </c>
      <c r="D19" s="4" t="s">
        <v>60</v>
      </c>
      <c r="E19" t="s">
        <v>72</v>
      </c>
      <c r="F19" t="s">
        <v>73</v>
      </c>
      <c r="G19" t="s">
        <v>84</v>
      </c>
    </row>
    <row r="20" spans="1:10" x14ac:dyDescent="0.3">
      <c r="A20" t="s">
        <v>69</v>
      </c>
      <c r="B20">
        <v>20</v>
      </c>
      <c r="C20">
        <v>50</v>
      </c>
      <c r="D20" s="4">
        <v>15</v>
      </c>
      <c r="E20">
        <f>MAX(B20:D20)</f>
        <v>50</v>
      </c>
      <c r="F20">
        <f>MIN(B20:D20)</f>
        <v>15</v>
      </c>
      <c r="G20">
        <f>$E$17*E20+$F$17*F20</f>
        <v>25.5</v>
      </c>
      <c r="I20" t="s">
        <v>85</v>
      </c>
      <c r="J20" t="s">
        <v>93</v>
      </c>
    </row>
    <row r="21" spans="1:10" x14ac:dyDescent="0.3">
      <c r="A21" t="s">
        <v>70</v>
      </c>
      <c r="B21">
        <v>80</v>
      </c>
      <c r="C21">
        <v>-20</v>
      </c>
      <c r="D21" s="4">
        <v>10</v>
      </c>
      <c r="E21">
        <f t="shared" ref="E21:E22" si="7">MAX(B21:D21)</f>
        <v>80</v>
      </c>
      <c r="F21">
        <f t="shared" ref="F21:F22" si="8">MIN(B21:D21)</f>
        <v>-20</v>
      </c>
      <c r="G21">
        <f t="shared" ref="G21:G22" si="9">$E$17*E21+$F$17*F21</f>
        <v>10</v>
      </c>
    </row>
    <row r="22" spans="1:10" x14ac:dyDescent="0.3">
      <c r="A22" t="s">
        <v>20</v>
      </c>
      <c r="B22">
        <v>25</v>
      </c>
      <c r="C22">
        <v>30</v>
      </c>
      <c r="D22" s="4">
        <v>35</v>
      </c>
      <c r="E22">
        <f t="shared" si="7"/>
        <v>35</v>
      </c>
      <c r="F22">
        <f t="shared" si="8"/>
        <v>25</v>
      </c>
      <c r="G22">
        <f t="shared" si="9"/>
        <v>28</v>
      </c>
    </row>
    <row r="25" spans="1:10" x14ac:dyDescent="0.3">
      <c r="A25" s="136" t="s">
        <v>86</v>
      </c>
      <c r="B25" s="136"/>
      <c r="C25" s="136"/>
      <c r="D25" s="136"/>
    </row>
    <row r="27" spans="1:10" x14ac:dyDescent="0.3">
      <c r="B27" t="s">
        <v>58</v>
      </c>
      <c r="C27" t="s">
        <v>59</v>
      </c>
      <c r="D27" s="4" t="s">
        <v>60</v>
      </c>
      <c r="E27" t="s">
        <v>87</v>
      </c>
    </row>
    <row r="28" spans="1:10" x14ac:dyDescent="0.3">
      <c r="A28" t="s">
        <v>69</v>
      </c>
      <c r="B28">
        <v>20</v>
      </c>
      <c r="C28">
        <v>50</v>
      </c>
      <c r="D28" s="4">
        <v>15</v>
      </c>
      <c r="E28">
        <f>AVERAGE(B28:D28)</f>
        <v>28.333333333333332</v>
      </c>
      <c r="G28" t="s">
        <v>79</v>
      </c>
      <c r="H28" t="s">
        <v>93</v>
      </c>
    </row>
    <row r="29" spans="1:10" x14ac:dyDescent="0.3">
      <c r="A29" t="s">
        <v>70</v>
      </c>
      <c r="B29">
        <v>80</v>
      </c>
      <c r="C29">
        <v>-20</v>
      </c>
      <c r="D29" s="4">
        <v>10</v>
      </c>
      <c r="E29">
        <f t="shared" ref="E29:E30" si="10">AVERAGE(B29:D29)</f>
        <v>23.333333333333332</v>
      </c>
    </row>
    <row r="30" spans="1:10" x14ac:dyDescent="0.3">
      <c r="A30" t="s">
        <v>20</v>
      </c>
      <c r="B30">
        <v>25</v>
      </c>
      <c r="C30">
        <v>30</v>
      </c>
      <c r="D30" s="4">
        <v>35</v>
      </c>
      <c r="E30">
        <f t="shared" si="10"/>
        <v>30</v>
      </c>
    </row>
    <row r="33" spans="1:11" x14ac:dyDescent="0.3">
      <c r="A33" s="136" t="s">
        <v>88</v>
      </c>
      <c r="B33" s="136"/>
      <c r="C33" s="136"/>
      <c r="D33" s="136"/>
    </row>
    <row r="35" spans="1:11" x14ac:dyDescent="0.3">
      <c r="A35" s="22" t="s">
        <v>83</v>
      </c>
      <c r="B35" s="22">
        <v>0.3</v>
      </c>
      <c r="C35" s="22">
        <v>0.5</v>
      </c>
      <c r="D35" s="78">
        <v>0.2</v>
      </c>
      <c r="E35" s="1" t="s">
        <v>89</v>
      </c>
      <c r="F35" s="1" t="s">
        <v>90</v>
      </c>
      <c r="G35" s="1" t="s">
        <v>66</v>
      </c>
      <c r="H35" s="1" t="s">
        <v>91</v>
      </c>
      <c r="J35" t="s">
        <v>85</v>
      </c>
      <c r="K35" s="80" t="s">
        <v>92</v>
      </c>
    </row>
    <row r="36" spans="1:11" x14ac:dyDescent="0.3">
      <c r="A36" s="22" t="s">
        <v>69</v>
      </c>
      <c r="B36">
        <v>40</v>
      </c>
      <c r="C36">
        <v>70</v>
      </c>
      <c r="D36" s="4">
        <v>25</v>
      </c>
      <c r="E36" s="1">
        <f>$B$35*B36+$C$35*C36+$D$35*D36</f>
        <v>52</v>
      </c>
      <c r="F36" s="1">
        <f>$B$35*((B36-E36)^2)+$C$35*((C36-E36)^2)+$D$35*((D36-E36)^2)</f>
        <v>351</v>
      </c>
      <c r="G36" s="1">
        <f>SQRT(F36)</f>
        <v>18.734993995195193</v>
      </c>
      <c r="H36" s="1">
        <f>G36/E36</f>
        <v>0.360288346061446</v>
      </c>
    </row>
    <row r="37" spans="1:11" x14ac:dyDescent="0.3">
      <c r="A37" s="22" t="s">
        <v>70</v>
      </c>
      <c r="B37">
        <v>90</v>
      </c>
      <c r="C37">
        <v>-10</v>
      </c>
      <c r="D37" s="4">
        <v>40</v>
      </c>
      <c r="E37" s="1">
        <f t="shared" ref="E37:E38" si="11">$B$35*B37+$C$35*C37+$D$35*D37</f>
        <v>30</v>
      </c>
      <c r="F37" s="1">
        <f t="shared" ref="F37:F38" si="12">$B$35*((B37-E37)^2)+$C$35*((C37-E37)^2)+$D$35*((D37-E37)^2)</f>
        <v>1900</v>
      </c>
      <c r="G37" s="1">
        <f t="shared" ref="G37:G38" si="13">SQRT(F37)</f>
        <v>43.588989435406738</v>
      </c>
      <c r="H37" s="80">
        <f t="shared" ref="H37:H38" si="14">G37/E37</f>
        <v>1.4529663145135578</v>
      </c>
    </row>
    <row r="38" spans="1:11" x14ac:dyDescent="0.3">
      <c r="A38" s="22" t="s">
        <v>20</v>
      </c>
      <c r="B38">
        <v>30</v>
      </c>
      <c r="C38">
        <v>50</v>
      </c>
      <c r="D38" s="4">
        <v>45</v>
      </c>
      <c r="E38" s="1">
        <f t="shared" si="11"/>
        <v>43</v>
      </c>
      <c r="F38" s="1">
        <f t="shared" si="12"/>
        <v>75.999999999999986</v>
      </c>
      <c r="G38" s="1">
        <f t="shared" si="13"/>
        <v>8.7177978870813462</v>
      </c>
      <c r="H38" s="80">
        <f t="shared" si="14"/>
        <v>0.20273948574607781</v>
      </c>
    </row>
  </sheetData>
  <mergeCells count="6">
    <mergeCell ref="A33:D33"/>
    <mergeCell ref="A1:D1"/>
    <mergeCell ref="E11:G11"/>
    <mergeCell ref="A9:D9"/>
    <mergeCell ref="A17:C17"/>
    <mergeCell ref="A25:D25"/>
  </mergeCells>
  <conditionalFormatting sqref="E28:E30">
    <cfRule type="top10" dxfId="7" priority="13" bottom="1" rank="1"/>
    <cfRule type="top10" dxfId="6" priority="14" rank="1"/>
  </conditionalFormatting>
  <conditionalFormatting sqref="G20:G22">
    <cfRule type="top10" dxfId="5" priority="11" bottom="1" rank="1"/>
    <cfRule type="top10" dxfId="4" priority="12" rank="1"/>
  </conditionalFormatting>
  <conditionalFormatting sqref="H12:H14">
    <cfRule type="top10" dxfId="3" priority="9" bottom="1" rank="1"/>
    <cfRule type="top10" dxfId="2" priority="10" rank="1"/>
  </conditionalFormatting>
  <conditionalFormatting sqref="E36:E38">
    <cfRule type="top10" dxfId="1" priority="1" bottom="1" rank="1"/>
    <cfRule type="top10" dxfId="0" priority="2" rank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5A776-9161-48DB-A1A1-3BB08D1E450B}">
  <dimension ref="A1:M28"/>
  <sheetViews>
    <sheetView zoomScale="90" zoomScaleNormal="90" workbookViewId="0">
      <selection activeCell="I25" sqref="I25"/>
    </sheetView>
  </sheetViews>
  <sheetFormatPr defaultRowHeight="14.4" x14ac:dyDescent="0.3"/>
  <cols>
    <col min="1" max="1" width="20.77734375" bestFit="1" customWidth="1"/>
    <col min="2" max="3" width="25.6640625" bestFit="1" customWidth="1"/>
    <col min="4" max="4" width="28" bestFit="1" customWidth="1"/>
    <col min="5" max="5" width="11.6640625" bestFit="1" customWidth="1"/>
    <col min="7" max="7" width="3.33203125" customWidth="1"/>
    <col min="8" max="8" width="14.44140625" customWidth="1"/>
    <col min="9" max="9" width="26.109375" customWidth="1"/>
    <col min="10" max="10" width="28" bestFit="1" customWidth="1"/>
    <col min="11" max="11" width="22.109375" bestFit="1" customWidth="1"/>
  </cols>
  <sheetData>
    <row r="1" spans="1:13" x14ac:dyDescent="0.3">
      <c r="A1" s="84" t="s">
        <v>100</v>
      </c>
    </row>
    <row r="2" spans="1:13" x14ac:dyDescent="0.3">
      <c r="A2" s="14"/>
      <c r="B2" s="104" t="s">
        <v>97</v>
      </c>
      <c r="C2" s="104" t="s">
        <v>111</v>
      </c>
      <c r="D2" s="14"/>
      <c r="E2" s="14"/>
      <c r="F2" s="14"/>
      <c r="G2" s="103"/>
      <c r="H2" s="14" t="s">
        <v>106</v>
      </c>
      <c r="I2" s="14"/>
      <c r="J2" s="105" t="s">
        <v>109</v>
      </c>
      <c r="K2" s="14"/>
      <c r="L2" s="14"/>
      <c r="M2" s="14"/>
    </row>
    <row r="3" spans="1:13" ht="21.6" customHeight="1" x14ac:dyDescent="0.3">
      <c r="G3" s="16"/>
    </row>
    <row r="4" spans="1:13" ht="20.399999999999999" x14ac:dyDescent="0.3">
      <c r="A4" s="23" t="s">
        <v>99</v>
      </c>
      <c r="B4" s="23">
        <f>C7/D7+E10/D7</f>
        <v>10341.517857142857</v>
      </c>
      <c r="G4" s="16"/>
      <c r="H4" s="23" t="s">
        <v>99</v>
      </c>
      <c r="I4" s="23">
        <f>J7/I7</f>
        <v>59.523809523809518</v>
      </c>
    </row>
    <row r="5" spans="1:13" x14ac:dyDescent="0.3">
      <c r="G5" s="16"/>
    </row>
    <row r="6" spans="1:13" x14ac:dyDescent="0.3">
      <c r="A6" s="86"/>
      <c r="B6" s="99" t="s">
        <v>104</v>
      </c>
      <c r="C6" s="98" t="s">
        <v>101</v>
      </c>
      <c r="D6" s="100" t="s">
        <v>15</v>
      </c>
      <c r="E6" s="86"/>
      <c r="G6" s="16"/>
      <c r="I6" s="101" t="s">
        <v>112</v>
      </c>
      <c r="J6" s="85" t="s">
        <v>107</v>
      </c>
      <c r="L6" s="57"/>
    </row>
    <row r="7" spans="1:13" x14ac:dyDescent="0.3">
      <c r="A7" s="86"/>
      <c r="B7" s="99">
        <f>1+D10</f>
        <v>1.05</v>
      </c>
      <c r="C7" s="98">
        <f>C10*B7</f>
        <v>682.5</v>
      </c>
      <c r="D7" s="100">
        <f>1+B10</f>
        <v>1.1200000000000001</v>
      </c>
      <c r="E7" s="86"/>
      <c r="G7" s="16"/>
      <c r="H7" t="s">
        <v>9</v>
      </c>
      <c r="I7" s="101">
        <v>7.1400000000000005E-2</v>
      </c>
      <c r="J7" s="85">
        <v>4.25</v>
      </c>
      <c r="L7" s="57"/>
    </row>
    <row r="8" spans="1:13" x14ac:dyDescent="0.3">
      <c r="A8" s="86"/>
      <c r="B8" s="86"/>
      <c r="C8" s="86"/>
      <c r="D8" s="86"/>
      <c r="E8" s="86"/>
      <c r="G8" s="16"/>
    </row>
    <row r="9" spans="1:13" x14ac:dyDescent="0.3">
      <c r="A9" s="86"/>
      <c r="B9" s="101" t="s">
        <v>112</v>
      </c>
      <c r="C9" s="85" t="s">
        <v>103</v>
      </c>
      <c r="D9" s="97" t="s">
        <v>102</v>
      </c>
      <c r="E9" s="102" t="s">
        <v>105</v>
      </c>
      <c r="G9" s="16"/>
    </row>
    <row r="10" spans="1:13" x14ac:dyDescent="0.3">
      <c r="A10" s="86" t="s">
        <v>9</v>
      </c>
      <c r="B10" s="101">
        <v>0.12</v>
      </c>
      <c r="C10" s="85">
        <v>650</v>
      </c>
      <c r="D10" s="97">
        <v>0.05</v>
      </c>
      <c r="E10" s="102">
        <v>10900</v>
      </c>
      <c r="G10" s="16"/>
    </row>
    <row r="11" spans="1:13" x14ac:dyDescent="0.3">
      <c r="G11" s="16"/>
    </row>
    <row r="12" spans="1:13" x14ac:dyDescent="0.3">
      <c r="G12" s="16"/>
    </row>
    <row r="13" spans="1:13" x14ac:dyDescent="0.3">
      <c r="G13" s="16"/>
    </row>
    <row r="14" spans="1:13" x14ac:dyDescent="0.3">
      <c r="A14" s="14"/>
      <c r="B14" s="14"/>
      <c r="C14" s="14"/>
      <c r="D14" s="14"/>
      <c r="E14" s="14"/>
      <c r="F14" s="14"/>
      <c r="G14" s="103"/>
      <c r="H14" s="14"/>
      <c r="I14" s="14"/>
      <c r="J14" s="14"/>
      <c r="K14" s="14"/>
      <c r="L14" s="14"/>
      <c r="M14" s="14"/>
    </row>
    <row r="15" spans="1:13" x14ac:dyDescent="0.3">
      <c r="G15" s="16"/>
    </row>
    <row r="16" spans="1:13" x14ac:dyDescent="0.3">
      <c r="B16" s="84" t="s">
        <v>110</v>
      </c>
      <c r="C16" s="84" t="s">
        <v>108</v>
      </c>
      <c r="D16" s="84" t="s">
        <v>109</v>
      </c>
      <c r="G16" s="16"/>
      <c r="I16" s="22" t="s">
        <v>114</v>
      </c>
      <c r="J16" s="22" t="s">
        <v>98</v>
      </c>
    </row>
    <row r="17" spans="1:11" x14ac:dyDescent="0.3">
      <c r="G17" s="16"/>
    </row>
    <row r="18" spans="1:11" ht="20.399999999999999" x14ac:dyDescent="0.3">
      <c r="A18" s="23" t="s">
        <v>99</v>
      </c>
      <c r="B18" s="23">
        <f>C21/(C24-D24)</f>
        <v>208.52803738317758</v>
      </c>
      <c r="G18" s="16"/>
      <c r="H18" s="23" t="s">
        <v>3</v>
      </c>
      <c r="I18" s="23">
        <f>I21/K21+J21</f>
        <v>0.2</v>
      </c>
    </row>
    <row r="19" spans="1:11" x14ac:dyDescent="0.3">
      <c r="G19" s="16"/>
    </row>
    <row r="20" spans="1:11" x14ac:dyDescent="0.3">
      <c r="B20" s="99" t="s">
        <v>104</v>
      </c>
      <c r="C20" s="98" t="s">
        <v>101</v>
      </c>
      <c r="G20" s="16"/>
      <c r="I20" s="99" t="s">
        <v>103</v>
      </c>
      <c r="J20" s="97" t="s">
        <v>102</v>
      </c>
      <c r="K20" s="106" t="s">
        <v>113</v>
      </c>
    </row>
    <row r="21" spans="1:11" x14ac:dyDescent="0.3">
      <c r="B21" s="99">
        <f>1+D24</f>
        <v>1.05</v>
      </c>
      <c r="C21" s="98">
        <f>B24*B21</f>
        <v>4.4625000000000004</v>
      </c>
      <c r="G21" s="16"/>
      <c r="H21" t="s">
        <v>9</v>
      </c>
      <c r="I21" s="99">
        <v>300</v>
      </c>
      <c r="J21" s="97">
        <v>0.05</v>
      </c>
      <c r="K21" s="106">
        <v>2000</v>
      </c>
    </row>
    <row r="22" spans="1:11" x14ac:dyDescent="0.3">
      <c r="G22" s="16"/>
    </row>
    <row r="23" spans="1:11" x14ac:dyDescent="0.3">
      <c r="B23" s="85" t="s">
        <v>103</v>
      </c>
      <c r="C23" s="101" t="s">
        <v>112</v>
      </c>
      <c r="D23" s="97" t="s">
        <v>102</v>
      </c>
      <c r="G23" s="16"/>
    </row>
    <row r="24" spans="1:11" x14ac:dyDescent="0.3">
      <c r="A24" s="86" t="s">
        <v>9</v>
      </c>
      <c r="B24" s="85">
        <v>4.25</v>
      </c>
      <c r="C24" s="101">
        <v>7.1400000000000005E-2</v>
      </c>
      <c r="D24" s="97">
        <v>0.05</v>
      </c>
      <c r="G24" s="16"/>
    </row>
    <row r="25" spans="1:11" x14ac:dyDescent="0.3">
      <c r="G25" s="16"/>
    </row>
    <row r="26" spans="1:11" x14ac:dyDescent="0.3">
      <c r="G26" s="16"/>
    </row>
    <row r="27" spans="1:11" x14ac:dyDescent="0.3">
      <c r="G27" s="16"/>
    </row>
    <row r="28" spans="1:11" x14ac:dyDescent="0.3">
      <c r="G28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7482E-7253-4E2D-8BFC-73F3CF33C151}">
  <dimension ref="A1:J54"/>
  <sheetViews>
    <sheetView topLeftCell="A24" zoomScale="90" zoomScaleNormal="90" workbookViewId="0">
      <selection activeCell="I11" sqref="I11"/>
    </sheetView>
  </sheetViews>
  <sheetFormatPr defaultRowHeight="14.4" x14ac:dyDescent="0.3"/>
  <cols>
    <col min="1" max="1" width="54.44140625" bestFit="1" customWidth="1"/>
    <col min="2" max="2" width="9.88671875" customWidth="1"/>
    <col min="3" max="3" width="10" customWidth="1"/>
    <col min="4" max="4" width="11.21875" customWidth="1"/>
    <col min="5" max="5" width="56.6640625" bestFit="1" customWidth="1"/>
    <col min="8" max="8" width="19.77734375" customWidth="1"/>
    <col min="9" max="9" width="21.6640625" customWidth="1"/>
    <col min="10" max="10" width="20.77734375" bestFit="1" customWidth="1"/>
  </cols>
  <sheetData>
    <row r="1" spans="1:8" x14ac:dyDescent="0.3">
      <c r="A1" s="114" t="s">
        <v>115</v>
      </c>
      <c r="B1" s="116" t="s">
        <v>146</v>
      </c>
      <c r="C1" s="116" t="s">
        <v>147</v>
      </c>
      <c r="E1" s="115" t="s">
        <v>148</v>
      </c>
      <c r="F1" s="116" t="str">
        <f>B1</f>
        <v>ÉV 1</v>
      </c>
      <c r="G1" s="116" t="str">
        <f>C1</f>
        <v>ÉV 2</v>
      </c>
    </row>
    <row r="2" spans="1:8" x14ac:dyDescent="0.3">
      <c r="A2" s="111" t="s">
        <v>116</v>
      </c>
      <c r="B2" s="111">
        <v>7357</v>
      </c>
      <c r="C2" s="111">
        <v>5362</v>
      </c>
      <c r="D2" t="s">
        <v>205</v>
      </c>
      <c r="E2" s="107" t="s">
        <v>149</v>
      </c>
      <c r="F2" s="107">
        <v>91842</v>
      </c>
      <c r="G2" s="107">
        <v>76313</v>
      </c>
      <c r="H2" t="s">
        <v>213</v>
      </c>
    </row>
    <row r="3" spans="1:8" x14ac:dyDescent="0.3">
      <c r="A3" s="108" t="s">
        <v>117</v>
      </c>
      <c r="B3" s="110">
        <v>1564</v>
      </c>
      <c r="C3" s="108">
        <v>958</v>
      </c>
      <c r="D3" t="s">
        <v>213</v>
      </c>
      <c r="E3" s="118" t="s">
        <v>150</v>
      </c>
      <c r="F3" s="118">
        <v>0</v>
      </c>
      <c r="G3" s="118">
        <v>0</v>
      </c>
      <c r="H3" t="s">
        <v>213</v>
      </c>
    </row>
    <row r="4" spans="1:8" x14ac:dyDescent="0.3">
      <c r="A4" s="107" t="s">
        <v>118</v>
      </c>
      <c r="B4" s="109">
        <v>5439</v>
      </c>
      <c r="C4" s="107">
        <v>4124</v>
      </c>
      <c r="D4" t="s">
        <v>213</v>
      </c>
      <c r="E4" s="107" t="s">
        <v>151</v>
      </c>
      <c r="F4" s="107">
        <v>12015</v>
      </c>
      <c r="G4" s="107">
        <v>5353</v>
      </c>
      <c r="H4" t="s">
        <v>213</v>
      </c>
    </row>
    <row r="5" spans="1:8" x14ac:dyDescent="0.3">
      <c r="A5" s="108" t="s">
        <v>119</v>
      </c>
      <c r="B5" s="110">
        <v>354</v>
      </c>
      <c r="C5" s="108">
        <v>280</v>
      </c>
      <c r="D5" t="s">
        <v>213</v>
      </c>
      <c r="E5" s="118" t="s">
        <v>152</v>
      </c>
      <c r="F5" s="118">
        <v>68096</v>
      </c>
      <c r="G5" s="118">
        <v>44734</v>
      </c>
      <c r="H5" t="s">
        <v>213</v>
      </c>
    </row>
    <row r="6" spans="1:8" x14ac:dyDescent="0.3">
      <c r="A6" s="111" t="s">
        <v>120</v>
      </c>
      <c r="B6" s="111">
        <v>62368</v>
      </c>
      <c r="C6" s="111">
        <v>67625</v>
      </c>
      <c r="D6" t="s">
        <v>213</v>
      </c>
      <c r="E6" s="107" t="s">
        <v>153</v>
      </c>
      <c r="F6" s="107">
        <v>20416</v>
      </c>
      <c r="G6" s="107">
        <v>20008</v>
      </c>
      <c r="H6" t="s">
        <v>213</v>
      </c>
    </row>
    <row r="7" spans="1:8" x14ac:dyDescent="0.3">
      <c r="A7" s="108" t="s">
        <v>121</v>
      </c>
      <c r="B7" s="110">
        <v>23458</v>
      </c>
      <c r="C7" s="108">
        <v>19587</v>
      </c>
      <c r="D7" t="s">
        <v>213</v>
      </c>
      <c r="E7" s="118" t="s">
        <v>154</v>
      </c>
      <c r="F7" s="118">
        <v>1742</v>
      </c>
      <c r="G7" s="118">
        <v>1284</v>
      </c>
      <c r="H7" t="s">
        <v>213</v>
      </c>
    </row>
    <row r="8" spans="1:8" x14ac:dyDescent="0.3">
      <c r="A8" s="107" t="s">
        <v>122</v>
      </c>
      <c r="B8" s="109">
        <v>12536</v>
      </c>
      <c r="C8" s="107">
        <v>15164</v>
      </c>
      <c r="D8" t="s">
        <v>213</v>
      </c>
      <c r="E8" s="107" t="s">
        <v>155</v>
      </c>
      <c r="F8" s="107">
        <v>0</v>
      </c>
      <c r="G8" s="107">
        <v>12412</v>
      </c>
      <c r="H8" t="s">
        <v>213</v>
      </c>
    </row>
    <row r="9" spans="1:8" x14ac:dyDescent="0.3">
      <c r="A9" s="108" t="s">
        <v>123</v>
      </c>
      <c r="B9" s="110">
        <v>12536</v>
      </c>
      <c r="C9" s="108">
        <v>15164</v>
      </c>
      <c r="D9" t="s">
        <v>213</v>
      </c>
      <c r="E9" s="119" t="s">
        <v>210</v>
      </c>
      <c r="F9" s="119">
        <v>15345</v>
      </c>
      <c r="G9" s="119">
        <v>4512</v>
      </c>
      <c r="H9" t="s">
        <v>213</v>
      </c>
    </row>
    <row r="10" spans="1:8" x14ac:dyDescent="0.3">
      <c r="A10" s="107" t="s">
        <v>124</v>
      </c>
      <c r="B10" s="109">
        <v>540</v>
      </c>
      <c r="C10" s="107">
        <v>1215</v>
      </c>
      <c r="D10" t="s">
        <v>213</v>
      </c>
      <c r="E10" s="107" t="s">
        <v>156</v>
      </c>
      <c r="F10" s="107">
        <v>90</v>
      </c>
      <c r="G10" s="107">
        <v>73</v>
      </c>
      <c r="H10" t="s">
        <v>213</v>
      </c>
    </row>
    <row r="11" spans="1:8" x14ac:dyDescent="0.3">
      <c r="A11" s="108" t="s">
        <v>125</v>
      </c>
      <c r="B11" s="110">
        <v>25834</v>
      </c>
      <c r="C11" s="108">
        <v>31659</v>
      </c>
      <c r="D11" t="s">
        <v>213</v>
      </c>
      <c r="E11" s="118" t="s">
        <v>157</v>
      </c>
      <c r="F11" s="118">
        <v>3452</v>
      </c>
      <c r="G11" s="118">
        <v>1536</v>
      </c>
      <c r="H11" t="s">
        <v>213</v>
      </c>
    </row>
    <row r="12" spans="1:8" x14ac:dyDescent="0.3">
      <c r="A12" s="111" t="s">
        <v>126</v>
      </c>
      <c r="B12" s="111">
        <v>235</v>
      </c>
      <c r="C12" s="111">
        <v>290</v>
      </c>
      <c r="D12" t="s">
        <v>213</v>
      </c>
      <c r="E12" s="107" t="s">
        <v>158</v>
      </c>
      <c r="F12" s="107"/>
      <c r="G12" s="107"/>
      <c r="H12" t="s">
        <v>213</v>
      </c>
    </row>
    <row r="13" spans="1:8" x14ac:dyDescent="0.3">
      <c r="A13" s="112" t="s">
        <v>127</v>
      </c>
      <c r="B13" s="112">
        <f>SUM(B2,B6,B12)</f>
        <v>69960</v>
      </c>
      <c r="C13" s="112">
        <f>SUM(C12,C6,C2)</f>
        <v>73277</v>
      </c>
      <c r="D13" t="s">
        <v>213</v>
      </c>
      <c r="E13" s="118" t="s">
        <v>159</v>
      </c>
      <c r="F13" s="118">
        <v>3452</v>
      </c>
      <c r="G13" s="118">
        <v>1536</v>
      </c>
      <c r="H13" t="s">
        <v>213</v>
      </c>
    </row>
    <row r="14" spans="1:8" x14ac:dyDescent="0.3">
      <c r="E14" s="111" t="s">
        <v>160</v>
      </c>
      <c r="F14" s="111">
        <v>-3362</v>
      </c>
      <c r="G14" s="111">
        <v>-1463</v>
      </c>
      <c r="H14" t="s">
        <v>213</v>
      </c>
    </row>
    <row r="15" spans="1:8" x14ac:dyDescent="0.3">
      <c r="E15" s="119" t="s">
        <v>161</v>
      </c>
      <c r="F15" s="119">
        <v>11983</v>
      </c>
      <c r="G15" s="119">
        <v>3049</v>
      </c>
      <c r="H15" t="s">
        <v>213</v>
      </c>
    </row>
    <row r="16" spans="1:8" x14ac:dyDescent="0.3">
      <c r="A16" s="112" t="s">
        <v>145</v>
      </c>
      <c r="B16" s="117" t="str">
        <f>B1</f>
        <v>ÉV 1</v>
      </c>
      <c r="C16" s="117" t="str">
        <f>C1</f>
        <v>ÉV 2</v>
      </c>
      <c r="E16" s="111" t="s">
        <v>162</v>
      </c>
      <c r="F16" s="111">
        <v>1445</v>
      </c>
      <c r="G16" s="111">
        <v>1230</v>
      </c>
      <c r="H16" t="s">
        <v>213</v>
      </c>
    </row>
    <row r="17" spans="1:8" x14ac:dyDescent="0.3">
      <c r="A17" s="111" t="s">
        <v>129</v>
      </c>
      <c r="B17" s="111">
        <v>32577</v>
      </c>
      <c r="C17" s="111">
        <v>36428</v>
      </c>
      <c r="D17" t="s">
        <v>213</v>
      </c>
      <c r="E17" s="119" t="s">
        <v>163</v>
      </c>
      <c r="F17" s="119">
        <v>13428</v>
      </c>
      <c r="G17" s="119">
        <v>4279</v>
      </c>
      <c r="H17" t="s">
        <v>213</v>
      </c>
    </row>
    <row r="18" spans="1:8" x14ac:dyDescent="0.3">
      <c r="A18" s="108" t="s">
        <v>130</v>
      </c>
      <c r="B18" s="108">
        <v>12000</v>
      </c>
      <c r="C18" s="108">
        <v>12000</v>
      </c>
      <c r="D18" t="s">
        <v>213</v>
      </c>
      <c r="E18" s="107" t="s">
        <v>164</v>
      </c>
      <c r="F18" s="107">
        <v>1343</v>
      </c>
      <c r="G18" s="107">
        <v>428</v>
      </c>
      <c r="H18" t="s">
        <v>213</v>
      </c>
    </row>
    <row r="19" spans="1:8" x14ac:dyDescent="0.3">
      <c r="A19" s="107" t="s">
        <v>131</v>
      </c>
      <c r="B19" s="107"/>
      <c r="C19" s="107"/>
      <c r="D19" t="s">
        <v>213</v>
      </c>
      <c r="E19" s="119" t="s">
        <v>165</v>
      </c>
      <c r="F19" s="119">
        <v>12085</v>
      </c>
      <c r="G19" s="119">
        <v>3851</v>
      </c>
      <c r="H19" t="s">
        <v>213</v>
      </c>
    </row>
    <row r="20" spans="1:8" x14ac:dyDescent="0.3">
      <c r="A20" s="108" t="s">
        <v>132</v>
      </c>
      <c r="B20" s="108"/>
      <c r="C20" s="108"/>
      <c r="D20" t="s">
        <v>213</v>
      </c>
      <c r="E20" s="111" t="s">
        <v>166</v>
      </c>
      <c r="F20" s="111">
        <v>12085</v>
      </c>
      <c r="G20" s="111">
        <v>3851</v>
      </c>
      <c r="H20" t="s">
        <v>213</v>
      </c>
    </row>
    <row r="21" spans="1:8" x14ac:dyDescent="0.3">
      <c r="A21" s="107" t="s">
        <v>133</v>
      </c>
      <c r="B21" s="107">
        <v>8492</v>
      </c>
      <c r="C21" s="107">
        <v>20577</v>
      </c>
      <c r="D21" t="s">
        <v>213</v>
      </c>
    </row>
    <row r="22" spans="1:8" x14ac:dyDescent="0.3">
      <c r="A22" s="108" t="s">
        <v>134</v>
      </c>
      <c r="B22" s="108"/>
      <c r="C22" s="108"/>
      <c r="D22" t="s">
        <v>213</v>
      </c>
    </row>
    <row r="23" spans="1:8" x14ac:dyDescent="0.3">
      <c r="A23" s="107" t="s">
        <v>135</v>
      </c>
      <c r="B23" s="107"/>
      <c r="C23" s="107"/>
      <c r="D23" t="s">
        <v>213</v>
      </c>
      <c r="E23" s="125" t="s">
        <v>167</v>
      </c>
      <c r="F23" s="125">
        <f>SUM(F24:F32)</f>
        <v>9592</v>
      </c>
    </row>
    <row r="24" spans="1:8" x14ac:dyDescent="0.3">
      <c r="A24" s="108" t="s">
        <v>136</v>
      </c>
      <c r="B24" s="110">
        <v>12085</v>
      </c>
      <c r="C24" s="110">
        <v>3851</v>
      </c>
      <c r="D24" t="s">
        <v>213</v>
      </c>
      <c r="E24" s="126" t="s">
        <v>168</v>
      </c>
      <c r="F24" s="126">
        <f>G17</f>
        <v>4279</v>
      </c>
    </row>
    <row r="25" spans="1:8" x14ac:dyDescent="0.3">
      <c r="A25" s="111" t="s">
        <v>137</v>
      </c>
      <c r="B25" s="111"/>
      <c r="C25" s="111"/>
      <c r="D25" t="s">
        <v>213</v>
      </c>
      <c r="E25" s="108" t="s">
        <v>169</v>
      </c>
      <c r="F25" s="108">
        <f>G7</f>
        <v>1284</v>
      </c>
    </row>
    <row r="26" spans="1:8" x14ac:dyDescent="0.3">
      <c r="A26" s="113" t="s">
        <v>138</v>
      </c>
      <c r="B26" s="113">
        <v>29738</v>
      </c>
      <c r="C26" s="113">
        <v>28387</v>
      </c>
      <c r="D26" t="s">
        <v>213</v>
      </c>
      <c r="E26" s="126" t="s">
        <v>170</v>
      </c>
      <c r="F26" s="126">
        <f>C30-B30</f>
        <v>1997</v>
      </c>
    </row>
    <row r="27" spans="1:8" x14ac:dyDescent="0.3">
      <c r="A27" s="107" t="s">
        <v>139</v>
      </c>
      <c r="B27" s="107"/>
      <c r="C27" s="107"/>
      <c r="D27" t="s">
        <v>213</v>
      </c>
      <c r="E27" s="108" t="s">
        <v>171</v>
      </c>
      <c r="F27" s="108">
        <f>C31-B31</f>
        <v>1130</v>
      </c>
    </row>
    <row r="28" spans="1:8" x14ac:dyDescent="0.3">
      <c r="A28" s="108" t="s">
        <v>140</v>
      </c>
      <c r="B28" s="108">
        <v>13680</v>
      </c>
      <c r="C28" s="108">
        <v>9642</v>
      </c>
      <c r="D28" t="s">
        <v>213</v>
      </c>
      <c r="E28" s="126" t="s">
        <v>172</v>
      </c>
      <c r="F28" s="126">
        <f>C32-B32</f>
        <v>817</v>
      </c>
    </row>
    <row r="29" spans="1:8" x14ac:dyDescent="0.3">
      <c r="A29" s="107" t="s">
        <v>141</v>
      </c>
      <c r="B29" s="107">
        <v>16058</v>
      </c>
      <c r="C29" s="107">
        <v>18745</v>
      </c>
      <c r="D29" t="s">
        <v>213</v>
      </c>
      <c r="E29" s="108" t="s">
        <v>173</v>
      </c>
      <c r="F29" s="108">
        <f>B9-C9</f>
        <v>-2628</v>
      </c>
    </row>
    <row r="30" spans="1:8" x14ac:dyDescent="0.3">
      <c r="A30" s="108" t="s">
        <v>142</v>
      </c>
      <c r="B30" s="108">
        <v>10456</v>
      </c>
      <c r="C30" s="108">
        <v>12453</v>
      </c>
      <c r="D30" t="s">
        <v>213</v>
      </c>
      <c r="E30" s="126" t="s">
        <v>174</v>
      </c>
      <c r="F30" s="126">
        <f>(B6-B9-B11)-(C6-C9-C11)</f>
        <v>3196</v>
      </c>
    </row>
    <row r="31" spans="1:8" x14ac:dyDescent="0.3">
      <c r="A31" s="107" t="s">
        <v>143</v>
      </c>
      <c r="B31" s="107">
        <v>3456</v>
      </c>
      <c r="C31" s="107">
        <v>4586</v>
      </c>
      <c r="D31" t="s">
        <v>213</v>
      </c>
      <c r="E31" s="108" t="s">
        <v>175</v>
      </c>
      <c r="F31" s="108">
        <f>B12-C12</f>
        <v>-55</v>
      </c>
    </row>
    <row r="32" spans="1:8" x14ac:dyDescent="0.3">
      <c r="A32" s="113" t="s">
        <v>144</v>
      </c>
      <c r="B32" s="113">
        <v>7645</v>
      </c>
      <c r="C32" s="113">
        <v>8462</v>
      </c>
      <c r="D32" t="s">
        <v>213</v>
      </c>
      <c r="E32" s="126" t="s">
        <v>176</v>
      </c>
      <c r="F32" s="126">
        <f>-G18</f>
        <v>-428</v>
      </c>
    </row>
    <row r="33" spans="1:10" x14ac:dyDescent="0.3">
      <c r="A33" s="114" t="s">
        <v>128</v>
      </c>
      <c r="B33" s="114">
        <v>69960</v>
      </c>
      <c r="C33" s="114">
        <v>73277</v>
      </c>
      <c r="D33" t="s">
        <v>213</v>
      </c>
    </row>
    <row r="36" spans="1:10" x14ac:dyDescent="0.3">
      <c r="A36" s="127" t="s">
        <v>177</v>
      </c>
      <c r="B36" s="128" t="str">
        <f>B1</f>
        <v>ÉV 1</v>
      </c>
      <c r="C36" s="128" t="str">
        <f>C1</f>
        <v>ÉV 2</v>
      </c>
      <c r="E36" s="127" t="s">
        <v>198</v>
      </c>
      <c r="F36" s="122"/>
    </row>
    <row r="37" spans="1:10" x14ac:dyDescent="0.3">
      <c r="A37" t="s">
        <v>178</v>
      </c>
      <c r="B37">
        <f>B6-B29</f>
        <v>46310</v>
      </c>
      <c r="C37">
        <f>C6-C29</f>
        <v>48880</v>
      </c>
      <c r="D37" s="124" t="s">
        <v>179</v>
      </c>
      <c r="E37" s="121" t="s">
        <v>199</v>
      </c>
      <c r="F37">
        <f>G2-F2</f>
        <v>-15529</v>
      </c>
      <c r="G37" t="s">
        <v>179</v>
      </c>
    </row>
    <row r="38" spans="1:10" x14ac:dyDescent="0.3">
      <c r="A38" t="s">
        <v>180</v>
      </c>
      <c r="B38" s="120">
        <f>(B11+B10)/B29</f>
        <v>1.6424212230663844</v>
      </c>
      <c r="C38" s="120">
        <f>(C11+C10)/C29</f>
        <v>1.7537476660442786</v>
      </c>
      <c r="D38" s="124"/>
      <c r="E38" s="121" t="s">
        <v>200</v>
      </c>
      <c r="F38">
        <f>G9-F9</f>
        <v>-10833</v>
      </c>
      <c r="G38" t="s">
        <v>179</v>
      </c>
    </row>
    <row r="39" spans="1:10" x14ac:dyDescent="0.3">
      <c r="A39" t="s">
        <v>181</v>
      </c>
      <c r="B39" s="120">
        <f>(B11+B10+B8)/B29</f>
        <v>2.4230912940590361</v>
      </c>
      <c r="C39" s="120">
        <f>(C11+C10+C8)/C29</f>
        <v>2.5627100560149372</v>
      </c>
      <c r="D39" s="124"/>
      <c r="E39" s="121" t="s">
        <v>201</v>
      </c>
      <c r="F39" s="120">
        <f>(F38/F9)/(F37/F2)</f>
        <v>4.1752231611313162</v>
      </c>
    </row>
    <row r="40" spans="1:10" x14ac:dyDescent="0.3">
      <c r="A40" t="s">
        <v>182</v>
      </c>
      <c r="B40" s="120">
        <f>B6/B29</f>
        <v>3.8839207871465935</v>
      </c>
      <c r="C40" s="120">
        <f>C6/C29</f>
        <v>3.6076287009869299</v>
      </c>
      <c r="D40" s="124"/>
    </row>
    <row r="41" spans="1:10" x14ac:dyDescent="0.3">
      <c r="A41" t="s">
        <v>183</v>
      </c>
      <c r="B41" s="120">
        <f>B17/B33</f>
        <v>0.46565180102915954</v>
      </c>
      <c r="C41" s="120">
        <f>C17/C33</f>
        <v>0.49712733872838683</v>
      </c>
      <c r="D41" s="124"/>
      <c r="E41" s="127" t="s">
        <v>203</v>
      </c>
      <c r="F41" s="122"/>
    </row>
    <row r="42" spans="1:10" ht="15.6" x14ac:dyDescent="0.35">
      <c r="A42" t="s">
        <v>184</v>
      </c>
      <c r="B42" s="120">
        <f>B26/B33</f>
        <v>0.42507146941109203</v>
      </c>
      <c r="C42" s="120">
        <f>C26/C33</f>
        <v>0.38739304283745241</v>
      </c>
      <c r="D42" s="124"/>
      <c r="E42" t="s">
        <v>211</v>
      </c>
      <c r="F42" s="120">
        <f>G19/I43</f>
        <v>7.7020000000000005E-2</v>
      </c>
      <c r="H42" s="95" t="s">
        <v>207</v>
      </c>
      <c r="I42" s="2" t="s">
        <v>204</v>
      </c>
    </row>
    <row r="43" spans="1:10" ht="15.6" x14ac:dyDescent="0.35">
      <c r="A43" t="s">
        <v>185</v>
      </c>
      <c r="B43" s="120">
        <f>B26/B17</f>
        <v>0.9128526260858888</v>
      </c>
      <c r="C43" s="120">
        <f>C26/C17</f>
        <v>0.77926320412869221</v>
      </c>
      <c r="D43" s="124"/>
      <c r="E43" t="s">
        <v>212</v>
      </c>
      <c r="F43" s="120">
        <f>H43/I43</f>
        <v>0.17884</v>
      </c>
      <c r="H43" s="98">
        <v>8942</v>
      </c>
      <c r="I43" s="97">
        <v>50000</v>
      </c>
      <c r="J43" t="s">
        <v>205</v>
      </c>
    </row>
    <row r="44" spans="1:10" x14ac:dyDescent="0.3">
      <c r="A44" t="s">
        <v>186</v>
      </c>
      <c r="B44" s="120">
        <f>F9/F2</f>
        <v>0.16708042072254525</v>
      </c>
      <c r="C44" s="120">
        <f>G9/G2</f>
        <v>5.9124919738445615E-2</v>
      </c>
      <c r="D44" s="124"/>
      <c r="E44" s="121" t="s">
        <v>206</v>
      </c>
      <c r="F44" s="120">
        <f>F43-F42</f>
        <v>0.10181999999999999</v>
      </c>
    </row>
    <row r="45" spans="1:10" x14ac:dyDescent="0.3">
      <c r="A45" t="s">
        <v>187</v>
      </c>
      <c r="B45" s="120">
        <f>F19/F2</f>
        <v>0.13158467803401494</v>
      </c>
      <c r="C45" s="120">
        <f>G19/G2</f>
        <v>5.0463223828181303E-2</v>
      </c>
      <c r="D45" s="124"/>
      <c r="E45" s="121" t="s">
        <v>202</v>
      </c>
      <c r="F45">
        <f>(F44/F42)/((H46-G9)/G9)</f>
        <v>1.4164897230676714</v>
      </c>
      <c r="H45" s="123" t="s">
        <v>208</v>
      </c>
    </row>
    <row r="46" spans="1:10" x14ac:dyDescent="0.3">
      <c r="A46" t="s">
        <v>188</v>
      </c>
      <c r="B46" s="120">
        <f>F2/B13</f>
        <v>1.312778730703259</v>
      </c>
      <c r="C46" s="120">
        <f>G2/C13</f>
        <v>1.041431827176331</v>
      </c>
      <c r="D46" s="124"/>
      <c r="H46" s="123">
        <v>8723</v>
      </c>
      <c r="I46" t="s">
        <v>205</v>
      </c>
    </row>
    <row r="47" spans="1:10" x14ac:dyDescent="0.3">
      <c r="A47" t="s">
        <v>189</v>
      </c>
      <c r="B47" s="120">
        <f>F2/B7</f>
        <v>3.9151675334640634</v>
      </c>
      <c r="C47" s="120">
        <f>G2/C7</f>
        <v>3.8961045591463725</v>
      </c>
      <c r="D47" s="124"/>
      <c r="E47" t="s">
        <v>209</v>
      </c>
      <c r="F47">
        <f>F39*F45</f>
        <v>5.9141606992566258</v>
      </c>
    </row>
    <row r="48" spans="1:10" x14ac:dyDescent="0.3">
      <c r="A48" t="s">
        <v>190</v>
      </c>
      <c r="B48" s="120">
        <f>F2/B9</f>
        <v>7.3262603701340137</v>
      </c>
      <c r="C48" s="120">
        <f>G2/C9</f>
        <v>5.0325112107623315</v>
      </c>
      <c r="D48" s="124"/>
    </row>
    <row r="49" spans="1:4" x14ac:dyDescent="0.3">
      <c r="A49" t="s">
        <v>191</v>
      </c>
      <c r="B49" s="120">
        <f>F2/B30</f>
        <v>8.7836648814078035</v>
      </c>
      <c r="C49" s="120">
        <f>G2/C30</f>
        <v>6.1280815867662408</v>
      </c>
      <c r="D49" s="124"/>
    </row>
    <row r="50" spans="1:4" x14ac:dyDescent="0.3">
      <c r="A50" t="s">
        <v>192</v>
      </c>
      <c r="B50" s="120">
        <f>F19/B13</f>
        <v>0.17274156660949114</v>
      </c>
      <c r="C50" s="120">
        <f>G19/C13</f>
        <v>5.2554007396591017E-2</v>
      </c>
      <c r="D50" s="124"/>
    </row>
    <row r="51" spans="1:4" x14ac:dyDescent="0.3">
      <c r="A51" t="s">
        <v>194</v>
      </c>
      <c r="B51">
        <f>B17+B28+B27</f>
        <v>46257</v>
      </c>
      <c r="C51">
        <f>C17+C28+C27</f>
        <v>46070</v>
      </c>
      <c r="D51" s="124" t="s">
        <v>195</v>
      </c>
    </row>
    <row r="52" spans="1:4" x14ac:dyDescent="0.3">
      <c r="A52" t="s">
        <v>193</v>
      </c>
      <c r="B52" s="120">
        <f>F19/B51</f>
        <v>0.26125775558293879</v>
      </c>
      <c r="C52" s="120">
        <f>G19/C51</f>
        <v>8.3590188843064905E-2</v>
      </c>
    </row>
    <row r="53" spans="1:4" x14ac:dyDescent="0.3">
      <c r="A53" t="s">
        <v>196</v>
      </c>
      <c r="B53" s="120">
        <f>F9/B51</f>
        <v>0.33173357545884946</v>
      </c>
      <c r="C53" s="120">
        <f>G9/C51</f>
        <v>9.7937920555676142E-2</v>
      </c>
    </row>
    <row r="54" spans="1:4" x14ac:dyDescent="0.3">
      <c r="A54" t="s">
        <v>197</v>
      </c>
      <c r="B54" s="120">
        <f>F19/B17</f>
        <v>0.37096724683058602</v>
      </c>
      <c r="C54" s="120">
        <f>G19/C17</f>
        <v>0.10571538377072581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7</vt:i4>
      </vt:variant>
    </vt:vector>
  </HeadingPairs>
  <TitlesOfParts>
    <vt:vector size="7" baseType="lpstr">
      <vt:lpstr>Kamatok</vt:lpstr>
      <vt:lpstr>Járadékszámítás</vt:lpstr>
      <vt:lpstr>Reálgazdasági beruházások</vt:lpstr>
      <vt:lpstr>Kockázat</vt:lpstr>
      <vt:lpstr>Befektetési döntések</vt:lpstr>
      <vt:lpstr>Részvény</vt:lpstr>
      <vt:lpstr>Mutatószámok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</dc:creator>
  <cp:lastModifiedBy>-</cp:lastModifiedBy>
  <dcterms:created xsi:type="dcterms:W3CDTF">2017-05-08T16:13:17Z</dcterms:created>
  <dcterms:modified xsi:type="dcterms:W3CDTF">2018-11-14T13:44:08Z</dcterms:modified>
</cp:coreProperties>
</file>