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tumok\Asztal\Egyetem 3\Vállalati pénzügy\Segéd\"/>
    </mc:Choice>
  </mc:AlternateContent>
  <bookViews>
    <workbookView xWindow="0" yWindow="0" windowWidth="20490" windowHeight="7755" activeTab="1"/>
  </bookViews>
  <sheets>
    <sheet name="Kamatok" sheetId="1" r:id="rId1"/>
    <sheet name="Járadékszámítás" sheetId="2" r:id="rId2"/>
    <sheet name="Nettó jelenérték" sheetId="3" r:id="rId3"/>
    <sheet name="Hitel törlesztés" sheetId="6" r:id="rId4"/>
    <sheet name="Várható érték" sheetId="4" r:id="rId5"/>
    <sheet name="Bizonytalanság" sheetId="5" r:id="rId6"/>
    <sheet name="Kötvény értékelés" sheetId="7" r:id="rId7"/>
    <sheet name="Résszvények értékelése" sheetId="8" r:id="rId8"/>
    <sheet name="Cash Flow" sheetId="9" r:id="rId9"/>
    <sheet name="Kockázat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8" l="1"/>
  <c r="D11" i="8" s="1"/>
  <c r="D20" i="5" l="1"/>
  <c r="D35" i="5" s="1"/>
  <c r="C21" i="5"/>
  <c r="C36" i="5" s="1"/>
  <c r="C20" i="5"/>
  <c r="C35" i="5" s="1"/>
  <c r="D14" i="5"/>
  <c r="D22" i="5" s="1"/>
  <c r="D37" i="5" s="1"/>
  <c r="D13" i="5"/>
  <c r="D21" i="5" s="1"/>
  <c r="D36" i="5" s="1"/>
  <c r="D12" i="5"/>
  <c r="C14" i="5"/>
  <c r="C22" i="5" s="1"/>
  <c r="C37" i="5" s="1"/>
  <c r="C13" i="5"/>
  <c r="C12" i="5"/>
  <c r="B14" i="5"/>
  <c r="B22" i="5" s="1"/>
  <c r="B37" i="5" s="1"/>
  <c r="B13" i="5"/>
  <c r="B21" i="5" s="1"/>
  <c r="B36" i="5" s="1"/>
  <c r="B12" i="5"/>
  <c r="B20" i="5" s="1"/>
  <c r="B35" i="5" s="1"/>
  <c r="J21" i="4"/>
  <c r="J20" i="4"/>
  <c r="I23" i="4"/>
  <c r="K21" i="4"/>
  <c r="K20" i="4"/>
  <c r="J16" i="4"/>
  <c r="J17" i="4"/>
  <c r="I25" i="4" l="1"/>
  <c r="P5" i="3"/>
  <c r="Q5" i="3"/>
  <c r="D18" i="1"/>
  <c r="M11" i="10" l="1"/>
  <c r="M10" i="10"/>
  <c r="G10" i="10"/>
  <c r="E20" i="10"/>
  <c r="F17" i="10"/>
  <c r="F16" i="10"/>
  <c r="C10" i="10"/>
  <c r="B18" i="10"/>
  <c r="A18" i="10"/>
  <c r="AI5" i="7"/>
  <c r="AI6" i="7"/>
  <c r="AI4" i="7"/>
  <c r="AF13" i="7"/>
  <c r="AF11" i="7"/>
  <c r="AF10" i="7"/>
  <c r="AF9" i="7"/>
  <c r="S7" i="7"/>
  <c r="O7" i="7"/>
  <c r="K16" i="7"/>
  <c r="K13" i="7"/>
  <c r="K10" i="7"/>
  <c r="J13" i="7"/>
  <c r="I13" i="7"/>
  <c r="J6" i="7"/>
  <c r="C17" i="7"/>
  <c r="D17" i="7"/>
  <c r="G14" i="7"/>
  <c r="B9" i="7"/>
  <c r="E17" i="7" s="1"/>
  <c r="J23" i="6"/>
  <c r="K23" i="6"/>
  <c r="I23" i="6"/>
  <c r="J8" i="6"/>
  <c r="C23" i="2"/>
  <c r="C26" i="2" s="1"/>
  <c r="I17" i="6"/>
  <c r="J17" i="6" s="1"/>
  <c r="K17" i="6" s="1"/>
  <c r="C8" i="6"/>
  <c r="B9" i="6"/>
  <c r="B10" i="6"/>
  <c r="B11" i="6"/>
  <c r="B12" i="6"/>
  <c r="B8" i="6"/>
  <c r="E8" i="6" s="1"/>
  <c r="C38" i="5"/>
  <c r="F35" i="5" s="1"/>
  <c r="D38" i="5"/>
  <c r="G37" i="5" s="1"/>
  <c r="B38" i="5"/>
  <c r="E36" i="5" s="1"/>
  <c r="C29" i="5"/>
  <c r="C30" i="5"/>
  <c r="C28" i="5"/>
  <c r="B29" i="5"/>
  <c r="B30" i="5"/>
  <c r="B28" i="5"/>
  <c r="O34" i="2"/>
  <c r="N39" i="2"/>
  <c r="P36" i="2"/>
  <c r="O36" i="2"/>
  <c r="N36" i="2"/>
  <c r="J39" i="2"/>
  <c r="L36" i="2"/>
  <c r="K36" i="2"/>
  <c r="K39" i="2" s="1"/>
  <c r="J36" i="2"/>
  <c r="G34" i="2"/>
  <c r="H38" i="2"/>
  <c r="G38" i="2"/>
  <c r="F38" i="2"/>
  <c r="C39" i="2"/>
  <c r="E36" i="2"/>
  <c r="C34" i="2"/>
  <c r="D36" i="2"/>
  <c r="C36" i="2"/>
  <c r="O21" i="2"/>
  <c r="P25" i="2"/>
  <c r="O25" i="2"/>
  <c r="N25" i="2"/>
  <c r="J21" i="2"/>
  <c r="J26" i="2"/>
  <c r="L23" i="2"/>
  <c r="K23" i="2"/>
  <c r="J23" i="2"/>
  <c r="G21" i="2"/>
  <c r="H25" i="2"/>
  <c r="G25" i="2"/>
  <c r="F25" i="2"/>
  <c r="L22" i="1"/>
  <c r="F37" i="5" l="1"/>
  <c r="E35" i="5"/>
  <c r="J34" i="2"/>
  <c r="E14" i="7"/>
  <c r="C14" i="7"/>
  <c r="D14" i="7" s="1"/>
  <c r="F14" i="7" s="1"/>
  <c r="C12" i="7" s="1"/>
  <c r="B19" i="7" s="1"/>
  <c r="I20" i="6"/>
  <c r="J20" i="6" s="1"/>
  <c r="I15" i="6" s="1"/>
  <c r="D23" i="2"/>
  <c r="E23" i="2" s="1"/>
  <c r="D26" i="2" s="1"/>
  <c r="C21" i="2" s="1"/>
  <c r="C9" i="6"/>
  <c r="D9" i="6" s="1"/>
  <c r="E9" i="6"/>
  <c r="D8" i="6"/>
  <c r="F36" i="5"/>
  <c r="G36" i="5"/>
  <c r="E37" i="5"/>
  <c r="H37" i="5" s="1"/>
  <c r="G35" i="5"/>
  <c r="H35" i="5" s="1"/>
  <c r="E21" i="5"/>
  <c r="E22" i="5"/>
  <c r="E20" i="5"/>
  <c r="E13" i="5"/>
  <c r="E14" i="5"/>
  <c r="E12" i="5"/>
  <c r="E4" i="5"/>
  <c r="F7" i="5"/>
  <c r="G4" i="5" s="1"/>
  <c r="F5" i="5"/>
  <c r="F6" i="5"/>
  <c r="F4" i="5"/>
  <c r="E5" i="5"/>
  <c r="E6" i="5"/>
  <c r="C12" i="4"/>
  <c r="D12" i="4"/>
  <c r="B12" i="4"/>
  <c r="C11" i="4"/>
  <c r="D11" i="4"/>
  <c r="B11" i="4"/>
  <c r="U5" i="3"/>
  <c r="E19" i="3"/>
  <c r="F19" i="3" s="1"/>
  <c r="H19" i="3" s="1"/>
  <c r="E18" i="3"/>
  <c r="F18" i="3" s="1"/>
  <c r="H18" i="3" s="1"/>
  <c r="E17" i="3"/>
  <c r="F17" i="3" s="1"/>
  <c r="H17" i="3" s="1"/>
  <c r="E16" i="3"/>
  <c r="F16" i="3" s="1"/>
  <c r="H16" i="3" s="1"/>
  <c r="E15" i="3"/>
  <c r="F15" i="3" s="1"/>
  <c r="H7" i="3"/>
  <c r="F7" i="3"/>
  <c r="F10" i="3"/>
  <c r="H10" i="3" s="1"/>
  <c r="E6" i="3"/>
  <c r="F6" i="3" s="1"/>
  <c r="H6" i="3" s="1"/>
  <c r="E7" i="3"/>
  <c r="E8" i="3"/>
  <c r="F8" i="3" s="1"/>
  <c r="H8" i="3" s="1"/>
  <c r="E9" i="3"/>
  <c r="F9" i="3" s="1"/>
  <c r="H9" i="3" s="1"/>
  <c r="E10" i="3"/>
  <c r="K13" i="2"/>
  <c r="L13" i="2"/>
  <c r="M13" i="2" s="1"/>
  <c r="G13" i="2"/>
  <c r="C13" i="2" s="1"/>
  <c r="D13" i="2" s="1"/>
  <c r="K5" i="2"/>
  <c r="L5" i="2" s="1"/>
  <c r="M5" i="2" s="1"/>
  <c r="N5" i="2" s="1"/>
  <c r="O5" i="2" s="1"/>
  <c r="K3" i="2" s="1"/>
  <c r="F5" i="2"/>
  <c r="C5" i="2" s="1"/>
  <c r="M22" i="1"/>
  <c r="J22" i="1"/>
  <c r="K22" i="1" s="1"/>
  <c r="J20" i="1" s="1"/>
  <c r="K15" i="1"/>
  <c r="J15" i="1"/>
  <c r="C15" i="1"/>
  <c r="C22" i="1"/>
  <c r="E22" i="1"/>
  <c r="D15" i="1"/>
  <c r="J6" i="1"/>
  <c r="J2" i="1"/>
  <c r="C2" i="1"/>
  <c r="C6" i="1"/>
  <c r="J3" i="4" l="1"/>
  <c r="J7" i="4" s="1"/>
  <c r="K7" i="4" s="1"/>
  <c r="J2" i="4"/>
  <c r="H36" i="5"/>
  <c r="F22" i="5"/>
  <c r="G22" i="5" s="1"/>
  <c r="H22" i="5" s="1"/>
  <c r="F21" i="5"/>
  <c r="G21" i="5" s="1"/>
  <c r="H21" i="5" s="1"/>
  <c r="F20" i="5"/>
  <c r="G20" i="5" s="1"/>
  <c r="H20" i="5" s="1"/>
  <c r="K9" i="6"/>
  <c r="K8" i="6"/>
  <c r="I8" i="6" s="1"/>
  <c r="L8" i="6" s="1"/>
  <c r="K10" i="6"/>
  <c r="K11" i="6"/>
  <c r="K12" i="6"/>
  <c r="E10" i="6"/>
  <c r="C10" i="6"/>
  <c r="D10" i="6" s="1"/>
  <c r="G6" i="5"/>
  <c r="G5" i="5"/>
  <c r="D5" i="2"/>
  <c r="E5" i="2" s="1"/>
  <c r="C3" i="2" s="1"/>
  <c r="D22" i="1"/>
  <c r="C20" i="1" s="1"/>
  <c r="K4" i="3"/>
  <c r="N5" i="3" s="1"/>
  <c r="E13" i="2"/>
  <c r="F13" i="2" s="1"/>
  <c r="C11" i="2" s="1"/>
  <c r="H15" i="3"/>
  <c r="O13" i="2"/>
  <c r="K11" i="2" s="1"/>
  <c r="N13" i="2"/>
  <c r="J13" i="1"/>
  <c r="C13" i="1"/>
  <c r="I9" i="4" l="1"/>
  <c r="J6" i="4"/>
  <c r="K6" i="4" s="1"/>
  <c r="K13" i="3"/>
  <c r="O5" i="3" s="1"/>
  <c r="S5" i="3" s="1"/>
  <c r="T5" i="3" s="1"/>
  <c r="Q2" i="3" s="1"/>
  <c r="J9" i="6"/>
  <c r="I9" i="6" s="1"/>
  <c r="L9" i="6" s="1"/>
  <c r="C11" i="6"/>
  <c r="D11" i="6" s="1"/>
  <c r="E11" i="6"/>
  <c r="I11" i="4" l="1"/>
  <c r="J10" i="6"/>
  <c r="I10" i="6" s="1"/>
  <c r="C12" i="6"/>
  <c r="D12" i="6" s="1"/>
  <c r="E12" i="6"/>
  <c r="L10" i="6" l="1"/>
  <c r="J11" i="6" l="1"/>
  <c r="I11" i="6" s="1"/>
  <c r="L11" i="6" s="1"/>
  <c r="J12" i="6" s="1"/>
  <c r="I12" i="6" s="1"/>
  <c r="L12" i="6" s="1"/>
</calcChain>
</file>

<file path=xl/sharedStrings.xml><?xml version="1.0" encoding="utf-8"?>
<sst xmlns="http://schemas.openxmlformats.org/spreadsheetml/2006/main" count="478" uniqueCount="238">
  <si>
    <t>Egyszerű kamat=</t>
  </si>
  <si>
    <t>C0</t>
  </si>
  <si>
    <t>n</t>
  </si>
  <si>
    <t>r</t>
  </si>
  <si>
    <t>Kamatos kamat=</t>
  </si>
  <si>
    <t>Cn</t>
  </si>
  <si>
    <t>ebbe írj =&gt;</t>
  </si>
  <si>
    <t>1/n</t>
  </si>
  <si>
    <t>Cn/C0</t>
  </si>
  <si>
    <t>n-edik gyök</t>
  </si>
  <si>
    <t>1/r</t>
  </si>
  <si>
    <t>ln(Cn/C0)</t>
  </si>
  <si>
    <t>1+r</t>
  </si>
  <si>
    <t>ln(1+r)</t>
  </si>
  <si>
    <t>Jövőérték (FVA)</t>
  </si>
  <si>
    <t>Szokásos annuitás</t>
  </si>
  <si>
    <t>q^n</t>
  </si>
  <si>
    <t>C</t>
  </si>
  <si>
    <t>(q^n)-1</t>
  </si>
  <si>
    <t>((q^n)-1)/r</t>
  </si>
  <si>
    <t>q=1+r</t>
  </si>
  <si>
    <t>Esedékes annuitás</t>
  </si>
  <si>
    <t>q=(1+r)</t>
  </si>
  <si>
    <t>((q^n)-1)</t>
  </si>
  <si>
    <t>q*((q^n)-1)</t>
  </si>
  <si>
    <t>(q*((q^n)-1))/r</t>
  </si>
  <si>
    <t>Jelenérték (PVA)</t>
  </si>
  <si>
    <t>r*q^n</t>
  </si>
  <si>
    <t>((q^n)-1)/(r*q^n)</t>
  </si>
  <si>
    <t>((q^n)-1)/r*q^n</t>
  </si>
  <si>
    <t>FVA</t>
  </si>
  <si>
    <t>PVA</t>
  </si>
  <si>
    <t>q*(q^n)-1</t>
  </si>
  <si>
    <t>HA ADOTT:</t>
  </si>
  <si>
    <t>Jelenértrék (PVA)</t>
  </si>
  <si>
    <t>(r*q^n)/(q^n)-1))</t>
  </si>
  <si>
    <t>Nettó jelenérték módszer (NPV)</t>
  </si>
  <si>
    <t>pénzáram ( C )</t>
  </si>
  <si>
    <t>év (n)</t>
  </si>
  <si>
    <t>Belső megtérülési ráta (IRR)</t>
  </si>
  <si>
    <t>átlagárfolyam (Ft)</t>
  </si>
  <si>
    <t>(0). Bázis</t>
  </si>
  <si>
    <t>1. állapot</t>
  </si>
  <si>
    <t>2. állapot</t>
  </si>
  <si>
    <t>3. állapot</t>
  </si>
  <si>
    <t>1-es cég</t>
  </si>
  <si>
    <t>2-es cég</t>
  </si>
  <si>
    <t>Hozamráták</t>
  </si>
  <si>
    <t>várható hozamok</t>
  </si>
  <si>
    <t>Varianciák</t>
  </si>
  <si>
    <t>szórás</t>
  </si>
  <si>
    <t>Covariancia</t>
  </si>
  <si>
    <t>Korreáció</t>
  </si>
  <si>
    <t>A</t>
  </si>
  <si>
    <t>B</t>
  </si>
  <si>
    <t>MAX</t>
  </si>
  <si>
    <t>MIN</t>
  </si>
  <si>
    <t>MAXIMAX</t>
  </si>
  <si>
    <t>MINIMIN</t>
  </si>
  <si>
    <t>MAXIMIN</t>
  </si>
  <si>
    <t>MINIMAX</t>
  </si>
  <si>
    <t>Hurwicz szabály</t>
  </si>
  <si>
    <t>p</t>
  </si>
  <si>
    <t>Laplace szabály</t>
  </si>
  <si>
    <t>várható érték</t>
  </si>
  <si>
    <t>Várhatóérték - variancia szabály</t>
  </si>
  <si>
    <t>Várható étrék</t>
  </si>
  <si>
    <t>Variancia</t>
  </si>
  <si>
    <t>kamat</t>
  </si>
  <si>
    <t>évek száma</t>
  </si>
  <si>
    <t>összeg</t>
  </si>
  <si>
    <t>FV</t>
  </si>
  <si>
    <t>PV</t>
  </si>
  <si>
    <t>Egyszerű kamat</t>
  </si>
  <si>
    <t>jövőérték</t>
  </si>
  <si>
    <r>
      <t>C</t>
    </r>
    <r>
      <rPr>
        <sz val="8"/>
        <color theme="1"/>
        <rFont val="Times New Roman"/>
        <family val="1"/>
        <charset val="238"/>
      </rPr>
      <t>0</t>
    </r>
  </si>
  <si>
    <t>a kezdeti befektetés értéke</t>
  </si>
  <si>
    <t xml:space="preserve">r </t>
  </si>
  <si>
    <t>kamatláb (elvárt hozam)</t>
  </si>
  <si>
    <t>periódusok száma</t>
  </si>
  <si>
    <t>kiveszük a kamatot év végén</t>
  </si>
  <si>
    <t>változik a kamatláb</t>
  </si>
  <si>
    <t>Kamatos kamat</t>
  </si>
  <si>
    <r>
      <t>C</t>
    </r>
    <r>
      <rPr>
        <vertAlign val="subscript"/>
        <sz val="11"/>
        <color theme="1"/>
        <rFont val="Times New Roman"/>
        <family val="1"/>
        <charset val="238"/>
      </rPr>
      <t>0</t>
    </r>
  </si>
  <si>
    <r>
      <t>FV=C</t>
    </r>
    <r>
      <rPr>
        <b/>
        <sz val="8"/>
        <color theme="0"/>
        <rFont val="Times New Roman"/>
        <family val="1"/>
        <charset val="238"/>
      </rPr>
      <t>0</t>
    </r>
    <r>
      <rPr>
        <b/>
        <sz val="14"/>
        <color theme="0"/>
        <rFont val="Times New Roman"/>
        <family val="1"/>
        <charset val="238"/>
      </rPr>
      <t>*r*n</t>
    </r>
  </si>
  <si>
    <r>
      <t>FV=C</t>
    </r>
    <r>
      <rPr>
        <b/>
        <sz val="8"/>
        <color theme="0"/>
        <rFont val="Times New Roman"/>
        <family val="1"/>
        <charset val="238"/>
      </rPr>
      <t>0</t>
    </r>
    <r>
      <rPr>
        <b/>
        <sz val="14"/>
        <color theme="0"/>
        <rFont val="Times New Roman"/>
        <family val="1"/>
        <charset val="238"/>
      </rPr>
      <t>*(1+r)^n</t>
    </r>
  </si>
  <si>
    <t>FVAe</t>
  </si>
  <si>
    <t>PVAe</t>
  </si>
  <si>
    <t>Járadéktag ( C)</t>
  </si>
  <si>
    <t>q</t>
  </si>
  <si>
    <t>Járadéktag</t>
  </si>
  <si>
    <t>Futamidő (n)</t>
  </si>
  <si>
    <t>lnq</t>
  </si>
  <si>
    <t>C-r*PVA</t>
  </si>
  <si>
    <t>r*PVA</t>
  </si>
  <si>
    <t>(r*Cn)/C</t>
  </si>
  <si>
    <t>C*q</t>
  </si>
  <si>
    <t>(C*q)-r*PVA</t>
  </si>
  <si>
    <t>r*FVA</t>
  </si>
  <si>
    <t>Kamatláb ( r)</t>
  </si>
  <si>
    <t>Közelítéses módszer</t>
  </si>
  <si>
    <t>Akkor esedékes, ha év elején történik a befizetés</t>
  </si>
  <si>
    <r>
      <t>kamat ( r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)</t>
    </r>
  </si>
  <si>
    <r>
      <t>(1+r)</t>
    </r>
    <r>
      <rPr>
        <vertAlign val="superscript"/>
        <sz val="12"/>
        <color theme="1"/>
        <rFont val="Times New Roman"/>
        <family val="1"/>
        <charset val="238"/>
      </rPr>
      <t>n</t>
    </r>
  </si>
  <si>
    <r>
      <t>C/(1+r)</t>
    </r>
    <r>
      <rPr>
        <vertAlign val="superscript"/>
        <sz val="12"/>
        <color theme="1"/>
        <rFont val="Times New Roman"/>
        <family val="1"/>
        <charset val="238"/>
      </rPr>
      <t>n</t>
    </r>
  </si>
  <si>
    <r>
      <t>NPV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</si>
  <si>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NP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</si>
  <si>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r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</si>
  <si>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r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</si>
  <si>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NPV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-NPV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</si>
  <si>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NPV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/(NPV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-NPV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)</t>
    </r>
  </si>
  <si>
    <r>
      <t>r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>-r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</si>
  <si>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kamat ( r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)</t>
    </r>
  </si>
  <si>
    <r>
      <t>NPV</t>
    </r>
    <r>
      <rPr>
        <vertAlign val="subscript"/>
        <sz val="12"/>
        <color theme="1"/>
        <rFont val="Times New Roman"/>
        <family val="1"/>
        <charset val="238"/>
      </rPr>
      <t>2</t>
    </r>
  </si>
  <si>
    <t>Bekövetkezési érték valószínűsége mindig 1 vagyis 100%</t>
  </si>
  <si>
    <t>Wald-szabály</t>
  </si>
  <si>
    <t>maximum oszlom maximum szerinti sorrend</t>
  </si>
  <si>
    <t>maximum oszlom minimum szerinti sorrend szerinti sorrend</t>
  </si>
  <si>
    <t>minumum oszlom maximum szerinti sorrend</t>
  </si>
  <si>
    <t>minumum oszlom minimum szerinti sorrend</t>
  </si>
  <si>
    <t>Savage-Niehans szabály</t>
  </si>
  <si>
    <t>Eltérés/veszteség</t>
  </si>
  <si>
    <t>Az optimizmus paraméter megváltoztatásával a rangsor is változtatható</t>
  </si>
  <si>
    <t>Hasznossági függvény</t>
  </si>
  <si>
    <t>Preferencia függvény</t>
  </si>
  <si>
    <t>Relatív szórás</t>
  </si>
  <si>
    <t>Szórás</t>
  </si>
  <si>
    <t>Ráta törlesztés</t>
  </si>
  <si>
    <t>Év</t>
  </si>
  <si>
    <t xml:space="preserve">Törlesztés </t>
  </si>
  <si>
    <t>Kamat</t>
  </si>
  <si>
    <t>Teljes törlesztés</t>
  </si>
  <si>
    <t>Fennálló összeg</t>
  </si>
  <si>
    <t>Hitel öszzeg</t>
  </si>
  <si>
    <t>Évek száma</t>
  </si>
  <si>
    <t>Annoitásos törlesztés</t>
  </si>
  <si>
    <t>Fix kamatozású kötvény</t>
  </si>
  <si>
    <t>i</t>
  </si>
  <si>
    <t>M</t>
  </si>
  <si>
    <t>névérték</t>
  </si>
  <si>
    <t>Kötvény jelenértéke</t>
  </si>
  <si>
    <t>névleges kamatláb</t>
  </si>
  <si>
    <t>Névértéket mindig az utolsó periódusban fizet</t>
  </si>
  <si>
    <t>Kamatos kamatozású kötvény</t>
  </si>
  <si>
    <t>(1+i)^n</t>
  </si>
  <si>
    <t>(1+r)^n</t>
  </si>
  <si>
    <t>lejárat elötti év</t>
  </si>
  <si>
    <t>X. évi kötvény érték</t>
  </si>
  <si>
    <t>(1+r)^lejárat és a megadott év különbsége</t>
  </si>
  <si>
    <t>Örök járadékos kötvény</t>
  </si>
  <si>
    <r>
      <t>P</t>
    </r>
    <r>
      <rPr>
        <b/>
        <sz val="8"/>
        <color theme="1"/>
        <rFont val="Times New Roman"/>
        <family val="1"/>
        <charset val="238"/>
      </rPr>
      <t>0</t>
    </r>
    <r>
      <rPr>
        <b/>
        <sz val="14"/>
        <color theme="1"/>
        <rFont val="Times New Roman"/>
        <family val="1"/>
        <charset val="238"/>
      </rPr>
      <t>=(M*(1+i)^n)/(1+r^n)</t>
    </r>
  </si>
  <si>
    <t>Zero bond</t>
  </si>
  <si>
    <t>egyszerű jelen</t>
  </si>
  <si>
    <r>
      <t>P</t>
    </r>
    <r>
      <rPr>
        <b/>
        <sz val="8"/>
        <color theme="1"/>
        <rFont val="Times New Roman"/>
        <family val="1"/>
        <charset val="238"/>
      </rPr>
      <t>0</t>
    </r>
    <r>
      <rPr>
        <b/>
        <sz val="14"/>
        <color theme="1"/>
        <rFont val="Times New Roman"/>
        <family val="1"/>
        <charset val="238"/>
      </rPr>
      <t>=C/r=(M*i)/r</t>
    </r>
  </si>
  <si>
    <r>
      <t>P</t>
    </r>
    <r>
      <rPr>
        <b/>
        <sz val="8"/>
        <color theme="1"/>
        <rFont val="Times New Roman"/>
        <family val="1"/>
        <charset val="238"/>
      </rPr>
      <t>0</t>
    </r>
    <r>
      <rPr>
        <b/>
        <sz val="12"/>
        <color theme="1"/>
        <rFont val="Times New Roman"/>
        <family val="1"/>
        <charset val="238"/>
      </rPr>
      <t>=M/(1+i)^n</t>
    </r>
  </si>
  <si>
    <t>ha meg van adva a vásárlási árfolyam akkor jövőértéket számolunk képlet a kamatoknál</t>
  </si>
  <si>
    <t>Változó kamatozású kötvény</t>
  </si>
  <si>
    <r>
      <t>i</t>
    </r>
    <r>
      <rPr>
        <sz val="8"/>
        <color theme="1"/>
        <rFont val="Times New Roman"/>
        <family val="1"/>
        <charset val="238"/>
      </rPr>
      <t>1</t>
    </r>
  </si>
  <si>
    <r>
      <t>i</t>
    </r>
    <r>
      <rPr>
        <sz val="8"/>
        <color theme="1"/>
        <rFont val="Times New Roman"/>
        <family val="1"/>
        <charset val="238"/>
      </rPr>
      <t>2</t>
    </r>
  </si>
  <si>
    <r>
      <t>i</t>
    </r>
    <r>
      <rPr>
        <sz val="8"/>
        <color theme="1"/>
        <rFont val="Times New Roman"/>
        <family val="1"/>
        <charset val="238"/>
      </rPr>
      <t>3</t>
    </r>
  </si>
  <si>
    <r>
      <t>C</t>
    </r>
    <r>
      <rPr>
        <sz val="8"/>
        <color theme="1"/>
        <rFont val="Times New Roman"/>
        <family val="1"/>
        <charset val="238"/>
      </rPr>
      <t>1</t>
    </r>
  </si>
  <si>
    <r>
      <t>C</t>
    </r>
    <r>
      <rPr>
        <sz val="8"/>
        <color theme="1"/>
        <rFont val="Times New Roman"/>
        <family val="1"/>
        <charset val="238"/>
      </rPr>
      <t>2</t>
    </r>
  </si>
  <si>
    <r>
      <t>C</t>
    </r>
    <r>
      <rPr>
        <sz val="8"/>
        <color theme="1"/>
        <rFont val="Times New Roman"/>
        <family val="1"/>
        <charset val="238"/>
      </rPr>
      <t>3</t>
    </r>
  </si>
  <si>
    <t>Figyelem! Utolsóhoz mindig hozzá kell addni a névértéket</t>
  </si>
  <si>
    <t>+</t>
  </si>
  <si>
    <r>
      <t>P</t>
    </r>
    <r>
      <rPr>
        <b/>
        <sz val="8"/>
        <color theme="1"/>
        <rFont val="Times New Roman"/>
        <family val="1"/>
        <charset val="238"/>
      </rPr>
      <t>0</t>
    </r>
  </si>
  <si>
    <t>év</t>
  </si>
  <si>
    <t>Ha más az év akkor kell a képletet alakítani!</t>
  </si>
  <si>
    <t>Eszköz oldali növekedés --&gt;  Cash Flowban negatív</t>
  </si>
  <si>
    <t>Eszköz oldali csökkenés --&gt;  Cash Flowban negatív</t>
  </si>
  <si>
    <t>Eszköz oldali csökkenés --&gt;  Cash Flowban pozitív</t>
  </si>
  <si>
    <t>Eszköz oldali növekedés --&gt;  Cash Flowban pozitív</t>
  </si>
  <si>
    <t>osztalék a következő periódusban</t>
  </si>
  <si>
    <t xml:space="preserve">re </t>
  </si>
  <si>
    <t>a részvényesi megtérülés</t>
  </si>
  <si>
    <t>a vételi árfolyam</t>
  </si>
  <si>
    <t>az eladási árfolyam</t>
  </si>
  <si>
    <r>
      <t>P</t>
    </r>
    <r>
      <rPr>
        <sz val="8"/>
        <color theme="1"/>
        <rFont val="Times New Roman"/>
        <family val="1"/>
        <charset val="238"/>
      </rPr>
      <t>0</t>
    </r>
  </si>
  <si>
    <r>
      <t>P</t>
    </r>
    <r>
      <rPr>
        <sz val="8"/>
        <color theme="1"/>
        <rFont val="Times New Roman"/>
        <family val="1"/>
        <charset val="238"/>
      </rPr>
      <t xml:space="preserve">1 </t>
    </r>
  </si>
  <si>
    <r>
      <t>DIV</t>
    </r>
    <r>
      <rPr>
        <sz val="8"/>
        <color theme="1"/>
        <rFont val="Times New Roman"/>
        <family val="1"/>
        <charset val="238"/>
      </rPr>
      <t>1</t>
    </r>
  </si>
  <si>
    <t>A részvényesi megtérulés</t>
  </si>
  <si>
    <t>Diszkontált osztalék modellek</t>
  </si>
  <si>
    <r>
      <t>re=DIV</t>
    </r>
    <r>
      <rPr>
        <sz val="8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/Po+(P</t>
    </r>
    <r>
      <rPr>
        <sz val="8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-P</t>
    </r>
    <r>
      <rPr>
        <sz val="8"/>
        <color theme="1"/>
        <rFont val="Times New Roman"/>
        <family val="1"/>
        <charset val="238"/>
      </rPr>
      <t>0)</t>
    </r>
    <r>
      <rPr>
        <sz val="12"/>
        <color theme="1"/>
        <rFont val="Times New Roman"/>
        <family val="1"/>
        <charset val="238"/>
      </rPr>
      <t>/P</t>
    </r>
    <r>
      <rPr>
        <sz val="8"/>
        <color theme="1"/>
        <rFont val="Times New Roman"/>
        <family val="1"/>
        <charset val="238"/>
      </rPr>
      <t>0</t>
    </r>
  </si>
  <si>
    <r>
      <t>P</t>
    </r>
    <r>
      <rPr>
        <sz val="8"/>
        <color theme="1"/>
        <rFont val="Times New Roman"/>
        <family val="1"/>
        <charset val="238"/>
      </rPr>
      <t>0</t>
    </r>
    <r>
      <rPr>
        <sz val="12"/>
        <color theme="1"/>
        <rFont val="Times New Roman"/>
        <family val="1"/>
        <charset val="238"/>
      </rPr>
      <t>=DIV</t>
    </r>
    <r>
      <rPr>
        <sz val="8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/(1+re)+P</t>
    </r>
    <r>
      <rPr>
        <sz val="8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/(1+re)</t>
    </r>
  </si>
  <si>
    <r>
      <t>P0=DIV</t>
    </r>
    <r>
      <rPr>
        <sz val="8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>/(r-g)</t>
    </r>
  </si>
  <si>
    <t xml:space="preserve">g </t>
  </si>
  <si>
    <t>növekedés üteme</t>
  </si>
  <si>
    <t>növekvő örökjáradék</t>
  </si>
  <si>
    <t xml:space="preserve">R </t>
  </si>
  <si>
    <t>árbevétel</t>
  </si>
  <si>
    <t>EBIT</t>
  </si>
  <si>
    <t>üzemi eredmény</t>
  </si>
  <si>
    <t>DOL</t>
  </si>
  <si>
    <t>EPS</t>
  </si>
  <si>
    <t>DFL</t>
  </si>
  <si>
    <t>DCL</t>
  </si>
  <si>
    <t>működési áttétel foka</t>
  </si>
  <si>
    <t>Működési eredmény számítás</t>
  </si>
  <si>
    <t>DOL= (delta EBIT/EBIT)/(deltaR/R)</t>
  </si>
  <si>
    <t>R1</t>
  </si>
  <si>
    <t>R2</t>
  </si>
  <si>
    <t>EBIT1</t>
  </si>
  <si>
    <t>EBIT2</t>
  </si>
  <si>
    <t>delta EBIT</t>
  </si>
  <si>
    <t>delta R</t>
  </si>
  <si>
    <t>Azt mutatja meg, hogy 1%-os árnövekedés esetén 5% változik az EBIT</t>
  </si>
  <si>
    <t xml:space="preserve">finanszírozási áttétel </t>
  </si>
  <si>
    <t>teljes kockázat</t>
  </si>
  <si>
    <t>adózott eredmény/részvények darab száma</t>
  </si>
  <si>
    <t>DFL= (deltaEPS/EPS)*(EBIT/deltaEBIT)</t>
  </si>
  <si>
    <t>EPS1</t>
  </si>
  <si>
    <t>EPS2</t>
  </si>
  <si>
    <t>delta EPS</t>
  </si>
  <si>
    <t>adózott eredmény1</t>
  </si>
  <si>
    <t>részvények darab száma1</t>
  </si>
  <si>
    <t>adózott eredmény2</t>
  </si>
  <si>
    <t>részvények darab száma2</t>
  </si>
  <si>
    <t>Finanszírozási áttétel számítás</t>
  </si>
  <si>
    <t>DCL=(deltaEPS/EPS)/(deltaR/R)</t>
  </si>
  <si>
    <t>DCL=DOL*DFL</t>
  </si>
  <si>
    <t>Teljes kockázat</t>
  </si>
  <si>
    <t>Azt mutatja me, hogy 1% árváltozás esetén hány százalékkal (2,67%) változik az EPS</t>
  </si>
  <si>
    <t>Ha nincs kamat = nics kölcsöntőke akkor DFL mindig 1</t>
  </si>
  <si>
    <t>C részvény</t>
  </si>
  <si>
    <t>D részvény</t>
  </si>
  <si>
    <t>Várható érték alaján rangsoroljuk a legnagyobbtól a legkissebb felé</t>
  </si>
  <si>
    <t>Variancia alaján rangsoroljuk a legkisebbtől a legnagyobb felé</t>
  </si>
  <si>
    <t>Szórás alaján rangsoroljuk a legkisebbtől a legnagyobb felé</t>
  </si>
  <si>
    <t>Relatív szórás alaján rangsoroljuk a legkisebbtől a legnagyobb felé</t>
  </si>
  <si>
    <t>Preferencia függvény alaján rangsoroljuk a legnagyobbtól a legkissebb felé</t>
  </si>
  <si>
    <t>Max alaján rangsoroljuk a legkisebbtől a legnagyobb felé</t>
  </si>
  <si>
    <t>Preferencia és a hasznossági függvényt a feladat szabja meg</t>
  </si>
  <si>
    <t>Várhatő érték=mű=átlag</t>
  </si>
  <si>
    <t>idei osztalék</t>
  </si>
  <si>
    <t xml:space="preserve">Hasznossági függvénynél az x=jelenlegi vagyon+az adott állaot értéke, amit be kell szorozni a </t>
  </si>
  <si>
    <t>Változtatni kell!!</t>
  </si>
  <si>
    <t>Várható érték E(X)</t>
  </si>
  <si>
    <t>Optimizmus paraméter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</si>
</sst>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0.0000"/>
  </numFmts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b/>
      <sz val="18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vertAlign val="subscript"/>
      <sz val="11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sz val="14"/>
      <color theme="0"/>
      <name val="Calibri"/>
      <family val="2"/>
      <charset val="238"/>
      <scheme val="minor"/>
    </font>
    <font>
      <b/>
      <sz val="14"/>
      <color theme="0"/>
      <name val="Times New Roman"/>
      <family val="1"/>
      <charset val="238"/>
    </font>
    <font>
      <b/>
      <sz val="8"/>
      <color theme="0"/>
      <name val="Times New Roman"/>
      <family val="1"/>
      <charset val="238"/>
    </font>
    <font>
      <b/>
      <sz val="14"/>
      <color theme="0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b/>
      <sz val="8"/>
      <color theme="1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14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vertAlign val="superscript"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sz val="12"/>
      <name val="Times New Roman"/>
      <family val="1"/>
      <charset val="238"/>
    </font>
    <font>
      <sz val="12"/>
      <color theme="4"/>
      <name val="Times New Roman"/>
      <family val="1"/>
      <charset val="238"/>
    </font>
    <font>
      <sz val="12"/>
      <color rgb="FFC00000"/>
      <name val="Times New Roman"/>
      <family val="1"/>
      <charset val="238"/>
    </font>
  </fonts>
  <fills count="3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4" fillId="0" borderId="0" xfId="0" applyFont="1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5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7" fillId="3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3" borderId="0" xfId="0" applyFont="1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0" fillId="0" borderId="2" xfId="0" applyFont="1" applyBorder="1"/>
    <xf numFmtId="0" fontId="6" fillId="0" borderId="2" xfId="0" applyFont="1" applyBorder="1"/>
    <xf numFmtId="0" fontId="7" fillId="2" borderId="0" xfId="0" applyFont="1" applyFill="1" applyBorder="1"/>
    <xf numFmtId="0" fontId="7" fillId="14" borderId="0" xfId="0" applyFont="1" applyFill="1" applyBorder="1"/>
    <xf numFmtId="0" fontId="7" fillId="12" borderId="0" xfId="0" applyFont="1" applyFill="1" applyBorder="1"/>
    <xf numFmtId="0" fontId="7" fillId="11" borderId="0" xfId="0" applyFont="1" applyFill="1" applyBorder="1"/>
    <xf numFmtId="0" fontId="7" fillId="15" borderId="0" xfId="0" applyFont="1" applyFill="1" applyBorder="1"/>
    <xf numFmtId="0" fontId="7" fillId="9" borderId="0" xfId="0" applyFont="1" applyFill="1" applyBorder="1"/>
    <xf numFmtId="0" fontId="7" fillId="8" borderId="0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7" fillId="0" borderId="11" xfId="0" applyFont="1" applyBorder="1"/>
    <xf numFmtId="0" fontId="7" fillId="0" borderId="12" xfId="0" applyFont="1" applyBorder="1"/>
    <xf numFmtId="2" fontId="8" fillId="0" borderId="0" xfId="0" applyNumberFormat="1" applyFont="1" applyBorder="1"/>
    <xf numFmtId="0" fontId="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8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9" borderId="0" xfId="0" applyFont="1" applyFill="1"/>
    <xf numFmtId="0" fontId="4" fillId="0" borderId="0" xfId="0" applyFont="1" applyFill="1"/>
    <xf numFmtId="0" fontId="4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0" borderId="4" xfId="0" applyFont="1" applyBorder="1"/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166" fontId="4" fillId="2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4" fontId="4" fillId="25" borderId="0" xfId="0" applyNumberFormat="1" applyFont="1" applyFill="1" applyAlignment="1">
      <alignment horizontal="center" vertical="center"/>
    </xf>
    <xf numFmtId="0" fontId="4" fillId="3" borderId="0" xfId="0" applyFont="1" applyFill="1"/>
    <xf numFmtId="0" fontId="4" fillId="28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16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0" borderId="11" xfId="0" applyFont="1" applyBorder="1"/>
    <xf numFmtId="0" fontId="18" fillId="0" borderId="13" xfId="0" applyFont="1" applyBorder="1"/>
    <xf numFmtId="0" fontId="4" fillId="27" borderId="0" xfId="0" applyFont="1" applyFill="1" applyAlignment="1">
      <alignment horizontal="center" vertical="center"/>
    </xf>
    <xf numFmtId="0" fontId="4" fillId="20" borderId="0" xfId="0" applyFont="1" applyFill="1" applyBorder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4" fillId="0" borderId="3" xfId="0" applyFont="1" applyBorder="1"/>
    <xf numFmtId="0" fontId="19" fillId="0" borderId="0" xfId="0" applyFont="1"/>
    <xf numFmtId="0" fontId="18" fillId="0" borderId="0" xfId="0" applyFont="1"/>
    <xf numFmtId="164" fontId="4" fillId="0" borderId="0" xfId="0" applyNumberFormat="1" applyFont="1"/>
    <xf numFmtId="0" fontId="4" fillId="24" borderId="0" xfId="0" applyFont="1" applyFill="1"/>
    <xf numFmtId="4" fontId="4" fillId="24" borderId="0" xfId="0" applyNumberFormat="1" applyFont="1" applyFill="1"/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/>
    <xf numFmtId="0" fontId="8" fillId="0" borderId="1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0" xfId="0" applyFont="1" applyBorder="1"/>
    <xf numFmtId="0" fontId="4" fillId="18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1" fontId="4" fillId="23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4" fillId="0" borderId="0" xfId="0" applyNumberFormat="1" applyFont="1"/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0" xfId="0" applyFont="1" applyBorder="1"/>
    <xf numFmtId="0" fontId="4" fillId="0" borderId="0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9" xfId="0" applyFont="1" applyBorder="1"/>
    <xf numFmtId="0" fontId="4" fillId="0" borderId="9" xfId="0" applyFont="1" applyBorder="1"/>
    <xf numFmtId="0" fontId="18" fillId="0" borderId="7" xfId="0" applyFont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4" fillId="0" borderId="7" xfId="0" applyFont="1" applyBorder="1" applyAlignment="1">
      <alignment horizontal="center"/>
    </xf>
    <xf numFmtId="0" fontId="23" fillId="0" borderId="8" xfId="0" applyFont="1" applyBorder="1"/>
    <xf numFmtId="0" fontId="23" fillId="0" borderId="7" xfId="0" applyFont="1" applyBorder="1"/>
    <xf numFmtId="0" fontId="26" fillId="0" borderId="0" xfId="0" applyFont="1"/>
    <xf numFmtId="0" fontId="26" fillId="0" borderId="3" xfId="0" applyFont="1" applyBorder="1"/>
    <xf numFmtId="10" fontId="4" fillId="0" borderId="0" xfId="0" applyNumberFormat="1" applyFont="1"/>
    <xf numFmtId="0" fontId="13" fillId="26" borderId="9" xfId="0" applyFont="1" applyFill="1" applyBorder="1" applyAlignment="1">
      <alignment horizontal="center" vertical="center"/>
    </xf>
    <xf numFmtId="0" fontId="13" fillId="26" borderId="10" xfId="0" applyFont="1" applyFill="1" applyBorder="1" applyAlignment="1">
      <alignment horizontal="center" vertical="center"/>
    </xf>
    <xf numFmtId="0" fontId="13" fillId="26" borderId="11" xfId="0" applyFont="1" applyFill="1" applyBorder="1" applyAlignment="1">
      <alignment horizontal="center" vertical="center"/>
    </xf>
    <xf numFmtId="0" fontId="13" fillId="26" borderId="12" xfId="0" applyFont="1" applyFill="1" applyBorder="1" applyAlignment="1">
      <alignment horizontal="center" vertical="center"/>
    </xf>
    <xf numFmtId="0" fontId="15" fillId="26" borderId="10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5" fillId="26" borderId="1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26" borderId="7" xfId="0" applyFont="1" applyFill="1" applyBorder="1" applyAlignment="1">
      <alignment horizontal="center"/>
    </xf>
    <xf numFmtId="0" fontId="12" fillId="26" borderId="7" xfId="0" applyFont="1" applyFill="1" applyBorder="1" applyAlignment="1"/>
    <xf numFmtId="0" fontId="12" fillId="26" borderId="8" xfId="0" applyFont="1" applyFill="1" applyBorder="1" applyAlignment="1"/>
    <xf numFmtId="0" fontId="13" fillId="26" borderId="6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13" fillId="26" borderId="0" xfId="0" applyFont="1" applyFill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9" xfId="0" applyFont="1" applyBorder="1" applyAlignment="1"/>
    <xf numFmtId="0" fontId="0" fillId="0" borderId="18" xfId="0" applyBorder="1" applyAlignment="1"/>
    <xf numFmtId="0" fontId="0" fillId="0" borderId="10" xfId="0" applyBorder="1" applyAlignment="1"/>
    <xf numFmtId="0" fontId="18" fillId="0" borderId="11" xfId="0" applyFont="1" applyBorder="1" applyAlignment="1"/>
    <xf numFmtId="0" fontId="0" fillId="0" borderId="0" xfId="0" applyBorder="1" applyAlignment="1"/>
    <xf numFmtId="0" fontId="0" fillId="0" borderId="12" xfId="0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18" fillId="0" borderId="13" xfId="0" applyFont="1" applyBorder="1" applyAlignment="1"/>
    <xf numFmtId="0" fontId="0" fillId="0" borderId="19" xfId="0" applyBorder="1" applyAlignment="1"/>
    <xf numFmtId="0" fontId="0" fillId="0" borderId="14" xfId="0" applyBorder="1" applyAlignment="1"/>
    <xf numFmtId="0" fontId="13" fillId="2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18" fillId="0" borderId="0" xfId="0" applyFont="1" applyAlignment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0" fontId="1" fillId="0" borderId="0" xfId="0" applyFont="1" applyAlignment="1"/>
  </cellXfs>
  <cellStyles count="1">
    <cellStyle name="Normá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5" zoomScaleNormal="100" workbookViewId="0">
      <selection activeCell="D22" sqref="D22"/>
    </sheetView>
  </sheetViews>
  <sheetFormatPr defaultRowHeight="15" x14ac:dyDescent="0.25"/>
  <cols>
    <col min="1" max="1" width="9.140625" style="5"/>
    <col min="2" max="2" width="17.5703125" style="5" bestFit="1" customWidth="1"/>
    <col min="3" max="4" width="13.28515625" style="5" bestFit="1" customWidth="1"/>
    <col min="5" max="8" width="9.140625" style="5"/>
    <col min="9" max="9" width="17.5703125" style="5" bestFit="1" customWidth="1"/>
    <col min="10" max="11" width="13.28515625" style="5" bestFit="1" customWidth="1"/>
    <col min="12" max="16" width="9.140625" style="5"/>
    <col min="17" max="17" width="24.5703125" style="5" bestFit="1" customWidth="1"/>
    <col min="18" max="16384" width="9.140625" style="5"/>
  </cols>
  <sheetData>
    <row r="1" spans="1:17" ht="22.5" x14ac:dyDescent="0.3">
      <c r="A1" s="2" t="s">
        <v>71</v>
      </c>
      <c r="B1" s="3"/>
      <c r="C1" s="3"/>
      <c r="D1" s="3"/>
      <c r="E1" s="3"/>
      <c r="F1" s="4"/>
      <c r="H1" s="6" t="s">
        <v>72</v>
      </c>
      <c r="I1" s="3"/>
      <c r="J1" s="3"/>
      <c r="K1" s="3"/>
      <c r="L1" s="3"/>
      <c r="M1" s="4"/>
      <c r="P1" s="150" t="s">
        <v>73</v>
      </c>
      <c r="Q1" s="151"/>
    </row>
    <row r="2" spans="1:17" ht="15.75" x14ac:dyDescent="0.25">
      <c r="A2" s="7"/>
      <c r="B2" s="8" t="s">
        <v>0</v>
      </c>
      <c r="C2" s="9">
        <f>C4*(1+D4*E4)</f>
        <v>21800</v>
      </c>
      <c r="D2" s="10"/>
      <c r="E2" s="10"/>
      <c r="F2" s="11"/>
      <c r="H2" s="7"/>
      <c r="I2" s="8" t="s">
        <v>0</v>
      </c>
      <c r="J2" s="8">
        <f>(J4)/(1+K4*L4)</f>
        <v>20000</v>
      </c>
      <c r="K2" s="10"/>
      <c r="L2" s="10"/>
      <c r="M2" s="11"/>
      <c r="P2" s="37"/>
      <c r="Q2" s="38"/>
    </row>
    <row r="3" spans="1:17" ht="16.5" x14ac:dyDescent="0.3">
      <c r="A3" s="7"/>
      <c r="B3" s="10"/>
      <c r="C3" s="12" t="s">
        <v>83</v>
      </c>
      <c r="D3" s="13" t="s">
        <v>2</v>
      </c>
      <c r="E3" s="14" t="s">
        <v>3</v>
      </c>
      <c r="F3" s="11"/>
      <c r="H3" s="7"/>
      <c r="I3" s="10"/>
      <c r="J3" s="15" t="s">
        <v>5</v>
      </c>
      <c r="K3" s="16" t="s">
        <v>2</v>
      </c>
      <c r="L3" s="17" t="s">
        <v>3</v>
      </c>
      <c r="M3" s="11"/>
      <c r="P3" s="37" t="s">
        <v>71</v>
      </c>
      <c r="Q3" s="38" t="s">
        <v>74</v>
      </c>
    </row>
    <row r="4" spans="1:17" ht="15.75" x14ac:dyDescent="0.25">
      <c r="A4" s="7"/>
      <c r="B4" s="5" t="s">
        <v>6</v>
      </c>
      <c r="C4" s="18">
        <v>20000</v>
      </c>
      <c r="D4" s="19">
        <v>3</v>
      </c>
      <c r="E4" s="20">
        <v>0.03</v>
      </c>
      <c r="F4" s="11"/>
      <c r="H4" s="7"/>
      <c r="I4" s="10" t="s">
        <v>6</v>
      </c>
      <c r="J4" s="15">
        <v>21800</v>
      </c>
      <c r="K4" s="16">
        <v>3</v>
      </c>
      <c r="L4" s="17">
        <v>0.03</v>
      </c>
      <c r="M4" s="11"/>
      <c r="P4" s="37" t="s">
        <v>75</v>
      </c>
      <c r="Q4" s="38" t="s">
        <v>76</v>
      </c>
    </row>
    <row r="5" spans="1:17" ht="15.75" x14ac:dyDescent="0.25">
      <c r="A5" s="7"/>
      <c r="B5" s="10"/>
      <c r="C5" s="10"/>
      <c r="D5" s="10"/>
      <c r="E5" s="10"/>
      <c r="F5" s="11"/>
      <c r="H5" s="7"/>
      <c r="I5" s="10"/>
      <c r="J5" s="10"/>
      <c r="K5" s="10"/>
      <c r="L5" s="10"/>
      <c r="M5" s="11"/>
      <c r="P5" s="37" t="s">
        <v>77</v>
      </c>
      <c r="Q5" s="38" t="s">
        <v>78</v>
      </c>
    </row>
    <row r="6" spans="1:17" ht="15.75" x14ac:dyDescent="0.25">
      <c r="A6" s="7"/>
      <c r="B6" s="8" t="s">
        <v>4</v>
      </c>
      <c r="C6" s="8">
        <f>C8*(1+E8)^D8</f>
        <v>21854.54</v>
      </c>
      <c r="D6" s="10"/>
      <c r="E6" s="10"/>
      <c r="F6" s="11"/>
      <c r="H6" s="7"/>
      <c r="I6" s="8" t="s">
        <v>4</v>
      </c>
      <c r="J6" s="8">
        <f>(J8)/((1+K8)^L8)</f>
        <v>20000</v>
      </c>
      <c r="K6" s="10"/>
      <c r="L6" s="10"/>
      <c r="M6" s="11"/>
      <c r="P6" s="37" t="s">
        <v>2</v>
      </c>
      <c r="Q6" s="38" t="s">
        <v>79</v>
      </c>
    </row>
    <row r="7" spans="1:17" ht="15.75" x14ac:dyDescent="0.25">
      <c r="A7" s="7"/>
      <c r="B7" s="10"/>
      <c r="C7" s="21" t="s">
        <v>1</v>
      </c>
      <c r="D7" s="23" t="s">
        <v>2</v>
      </c>
      <c r="E7" s="22" t="s">
        <v>3</v>
      </c>
      <c r="F7" s="11"/>
      <c r="H7" s="7"/>
      <c r="I7" s="10"/>
      <c r="J7" s="15" t="s">
        <v>5</v>
      </c>
      <c r="K7" s="16" t="s">
        <v>3</v>
      </c>
      <c r="L7" s="17" t="s">
        <v>2</v>
      </c>
      <c r="M7" s="11"/>
      <c r="P7" s="37"/>
      <c r="Q7" s="38"/>
    </row>
    <row r="8" spans="1:17" ht="18.75" x14ac:dyDescent="0.25">
      <c r="A8" s="7"/>
      <c r="B8" s="5" t="s">
        <v>6</v>
      </c>
      <c r="C8" s="21">
        <v>20000</v>
      </c>
      <c r="D8" s="23">
        <v>3</v>
      </c>
      <c r="E8" s="22">
        <v>0.03</v>
      </c>
      <c r="F8" s="11"/>
      <c r="H8" s="7"/>
      <c r="I8" s="10" t="s">
        <v>6</v>
      </c>
      <c r="J8" s="15">
        <v>21854.54</v>
      </c>
      <c r="K8" s="16">
        <v>0.03</v>
      </c>
      <c r="L8" s="17">
        <v>3</v>
      </c>
      <c r="M8" s="11"/>
      <c r="P8" s="152" t="s">
        <v>84</v>
      </c>
      <c r="Q8" s="153"/>
    </row>
    <row r="9" spans="1:17" ht="15.75" x14ac:dyDescent="0.25">
      <c r="A9" s="24"/>
      <c r="B9" s="25"/>
      <c r="C9" s="25"/>
      <c r="D9" s="25"/>
      <c r="E9" s="25"/>
      <c r="F9" s="26"/>
      <c r="H9" s="24"/>
      <c r="I9" s="25"/>
      <c r="J9" s="25"/>
      <c r="K9" s="25"/>
      <c r="L9" s="25"/>
      <c r="M9" s="26"/>
      <c r="P9" s="37"/>
      <c r="Q9" s="38"/>
    </row>
    <row r="10" spans="1:17" ht="15.75" x14ac:dyDescent="0.25">
      <c r="A10" s="10"/>
      <c r="B10" s="10"/>
      <c r="C10" s="10"/>
      <c r="D10" s="10"/>
      <c r="E10" s="10"/>
      <c r="F10" s="10"/>
      <c r="H10" s="10"/>
      <c r="I10" s="10"/>
      <c r="J10" s="10"/>
      <c r="K10" s="10"/>
      <c r="L10" s="10"/>
      <c r="M10" s="10"/>
      <c r="P10" s="97" t="s">
        <v>80</v>
      </c>
      <c r="Q10" s="38"/>
    </row>
    <row r="11" spans="1:17" ht="16.5" thickBot="1" x14ac:dyDescent="0.3">
      <c r="P11" s="98" t="s">
        <v>81</v>
      </c>
      <c r="Q11" s="39"/>
    </row>
    <row r="12" spans="1:17" ht="23.25" thickBot="1" x14ac:dyDescent="0.35">
      <c r="A12" s="27" t="s">
        <v>3</v>
      </c>
      <c r="B12" s="3"/>
      <c r="C12" s="3"/>
      <c r="D12" s="3"/>
      <c r="E12" s="3"/>
      <c r="F12" s="4"/>
      <c r="H12" s="28" t="s">
        <v>2</v>
      </c>
      <c r="I12" s="3"/>
      <c r="J12" s="3"/>
      <c r="K12" s="3"/>
      <c r="L12" s="3"/>
      <c r="M12" s="3"/>
      <c r="N12" s="4"/>
    </row>
    <row r="13" spans="1:17" ht="18.75" x14ac:dyDescent="0.25">
      <c r="A13" s="7"/>
      <c r="B13" s="8" t="s">
        <v>0</v>
      </c>
      <c r="C13" s="42">
        <f>(C15)*(D15-1)</f>
        <v>0.1</v>
      </c>
      <c r="D13" s="10"/>
      <c r="E13" s="10"/>
      <c r="F13" s="11"/>
      <c r="H13" s="7"/>
      <c r="I13" s="8" t="s">
        <v>0</v>
      </c>
      <c r="J13" s="8">
        <f>(J15)*(K15-1)</f>
        <v>2.0000000000000004</v>
      </c>
      <c r="K13" s="10"/>
      <c r="L13" s="10"/>
      <c r="M13" s="10"/>
      <c r="N13" s="11"/>
      <c r="P13" s="150" t="s">
        <v>82</v>
      </c>
      <c r="Q13" s="154"/>
    </row>
    <row r="14" spans="1:17" x14ac:dyDescent="0.25">
      <c r="A14" s="7"/>
      <c r="B14" s="10"/>
      <c r="C14" s="29" t="s">
        <v>7</v>
      </c>
      <c r="D14" s="30" t="s">
        <v>8</v>
      </c>
      <c r="E14" s="10"/>
      <c r="F14" s="11"/>
      <c r="H14" s="7"/>
      <c r="I14" s="10"/>
      <c r="J14" s="31" t="s">
        <v>10</v>
      </c>
      <c r="K14" s="32" t="s">
        <v>8</v>
      </c>
      <c r="L14" s="10"/>
      <c r="M14" s="10"/>
      <c r="N14" s="11"/>
      <c r="P14" s="40"/>
      <c r="Q14" s="41"/>
    </row>
    <row r="15" spans="1:17" ht="15.75" x14ac:dyDescent="0.25">
      <c r="A15" s="7"/>
      <c r="B15" s="10"/>
      <c r="C15" s="29">
        <f>1/C18</f>
        <v>0.1</v>
      </c>
      <c r="D15" s="30">
        <f>D18/E18</f>
        <v>2</v>
      </c>
      <c r="E15" s="10"/>
      <c r="F15" s="11"/>
      <c r="H15" s="7"/>
      <c r="I15" s="10"/>
      <c r="J15" s="31">
        <f>1/J18</f>
        <v>6.666666666666667</v>
      </c>
      <c r="K15" s="32">
        <f>K18/L18</f>
        <v>1.3</v>
      </c>
      <c r="L15" s="10"/>
      <c r="M15" s="10"/>
      <c r="N15" s="11"/>
      <c r="P15" s="37" t="s">
        <v>71</v>
      </c>
      <c r="Q15" s="38" t="s">
        <v>74</v>
      </c>
    </row>
    <row r="16" spans="1:17" ht="15.75" x14ac:dyDescent="0.25">
      <c r="A16" s="7"/>
      <c r="B16" s="10"/>
      <c r="C16" s="10"/>
      <c r="D16" s="10"/>
      <c r="E16" s="10"/>
      <c r="F16" s="11"/>
      <c r="H16" s="7"/>
      <c r="I16" s="10"/>
      <c r="J16" s="10"/>
      <c r="K16" s="10"/>
      <c r="L16" s="10"/>
      <c r="M16" s="10"/>
      <c r="N16" s="11"/>
      <c r="P16" s="37" t="s">
        <v>75</v>
      </c>
      <c r="Q16" s="38" t="s">
        <v>76</v>
      </c>
    </row>
    <row r="17" spans="1:17" ht="15.75" x14ac:dyDescent="0.25">
      <c r="A17" s="7"/>
      <c r="B17" s="10"/>
      <c r="C17" s="19" t="s">
        <v>2</v>
      </c>
      <c r="D17" s="32" t="s">
        <v>5</v>
      </c>
      <c r="E17" s="33" t="s">
        <v>1</v>
      </c>
      <c r="F17" s="11"/>
      <c r="H17" s="7"/>
      <c r="I17" s="10"/>
      <c r="J17" s="34" t="s">
        <v>3</v>
      </c>
      <c r="K17" s="30" t="s">
        <v>5</v>
      </c>
      <c r="L17" s="32" t="s">
        <v>1</v>
      </c>
      <c r="M17" s="10"/>
      <c r="N17" s="11"/>
      <c r="P17" s="37" t="s">
        <v>77</v>
      </c>
      <c r="Q17" s="38" t="s">
        <v>78</v>
      </c>
    </row>
    <row r="18" spans="1:17" ht="15.75" x14ac:dyDescent="0.25">
      <c r="A18" s="7"/>
      <c r="B18" s="10" t="s">
        <v>6</v>
      </c>
      <c r="C18" s="19">
        <v>10</v>
      </c>
      <c r="D18" s="32">
        <f>2*E18</f>
        <v>200000</v>
      </c>
      <c r="E18" s="33">
        <v>100000</v>
      </c>
      <c r="F18" s="11"/>
      <c r="H18" s="7"/>
      <c r="I18" s="10" t="s">
        <v>6</v>
      </c>
      <c r="J18" s="34">
        <v>0.15</v>
      </c>
      <c r="K18" s="30">
        <v>130000</v>
      </c>
      <c r="L18" s="32">
        <v>100000</v>
      </c>
      <c r="M18" s="10"/>
      <c r="N18" s="11"/>
      <c r="P18" s="37" t="s">
        <v>2</v>
      </c>
      <c r="Q18" s="38" t="s">
        <v>79</v>
      </c>
    </row>
    <row r="19" spans="1:17" x14ac:dyDescent="0.25">
      <c r="A19" s="7"/>
      <c r="B19" s="10"/>
      <c r="C19" s="10"/>
      <c r="D19" s="10"/>
      <c r="E19" s="10"/>
      <c r="F19" s="11"/>
      <c r="H19" s="7"/>
      <c r="I19" s="10"/>
      <c r="J19" s="10"/>
      <c r="K19" s="10"/>
      <c r="L19" s="10"/>
      <c r="M19" s="10"/>
      <c r="N19" s="11"/>
      <c r="P19" s="40"/>
      <c r="Q19" s="41"/>
    </row>
    <row r="20" spans="1:17" ht="19.5" thickBot="1" x14ac:dyDescent="0.3">
      <c r="A20" s="7"/>
      <c r="B20" s="8" t="s">
        <v>4</v>
      </c>
      <c r="C20" s="8">
        <f>(D22)-1</f>
        <v>7.1773462536293131E-2</v>
      </c>
      <c r="D20" s="10"/>
      <c r="E20" s="10"/>
      <c r="F20" s="11"/>
      <c r="H20" s="7"/>
      <c r="I20" s="8" t="s">
        <v>4</v>
      </c>
      <c r="J20" s="8">
        <f>K22/M22</f>
        <v>1.9996714515831182</v>
      </c>
      <c r="K20" s="10"/>
      <c r="L20" s="10"/>
      <c r="M20" s="10"/>
      <c r="N20" s="11"/>
      <c r="P20" s="155" t="s">
        <v>85</v>
      </c>
      <c r="Q20" s="156"/>
    </row>
    <row r="21" spans="1:17" x14ac:dyDescent="0.25">
      <c r="A21" s="7"/>
      <c r="B21" s="10"/>
      <c r="C21" s="31" t="s">
        <v>8</v>
      </c>
      <c r="D21" s="32" t="s">
        <v>9</v>
      </c>
      <c r="E21" s="35" t="s">
        <v>7</v>
      </c>
      <c r="F21" s="11"/>
      <c r="H21" s="7"/>
      <c r="I21" s="10"/>
      <c r="J21" s="32" t="s">
        <v>8</v>
      </c>
      <c r="K21" s="30" t="s">
        <v>11</v>
      </c>
      <c r="L21" s="29" t="s">
        <v>12</v>
      </c>
      <c r="M21" s="20" t="s">
        <v>13</v>
      </c>
      <c r="N21" s="11"/>
    </row>
    <row r="22" spans="1:17" x14ac:dyDescent="0.25">
      <c r="A22" s="7"/>
      <c r="C22" s="31">
        <f>D25/E25</f>
        <v>2</v>
      </c>
      <c r="D22" s="32">
        <f>C22^E22</f>
        <v>1.0717734625362931</v>
      </c>
      <c r="E22" s="35">
        <f>1/C25</f>
        <v>0.1</v>
      </c>
      <c r="F22" s="11"/>
      <c r="H22" s="7"/>
      <c r="I22" s="10"/>
      <c r="J22" s="32">
        <f>J25/K25</f>
        <v>1.3</v>
      </c>
      <c r="K22" s="30">
        <f>LOG10(J22)</f>
        <v>0.11394335230683679</v>
      </c>
      <c r="L22" s="29">
        <f>1+L25</f>
        <v>1.1402000000000001</v>
      </c>
      <c r="M22" s="20">
        <f>LOG10(L22)</f>
        <v>5.6981036668113189E-2</v>
      </c>
      <c r="N22" s="11"/>
    </row>
    <row r="23" spans="1:17" x14ac:dyDescent="0.25">
      <c r="A23" s="7"/>
      <c r="C23" s="10"/>
      <c r="D23" s="10"/>
      <c r="E23" s="10"/>
      <c r="F23" s="11"/>
      <c r="H23" s="7"/>
      <c r="I23" s="10"/>
      <c r="J23" s="10"/>
      <c r="K23" s="10"/>
      <c r="L23" s="10"/>
      <c r="M23" s="10"/>
      <c r="N23" s="11"/>
    </row>
    <row r="24" spans="1:17" x14ac:dyDescent="0.25">
      <c r="A24" s="7"/>
      <c r="B24" s="10"/>
      <c r="C24" s="32" t="s">
        <v>2</v>
      </c>
      <c r="D24" s="34" t="s">
        <v>5</v>
      </c>
      <c r="E24" s="30" t="s">
        <v>1</v>
      </c>
      <c r="F24" s="11"/>
      <c r="H24" s="7"/>
      <c r="I24" s="10"/>
      <c r="J24" s="34" t="s">
        <v>5</v>
      </c>
      <c r="K24" s="36" t="s">
        <v>1</v>
      </c>
      <c r="L24" s="32" t="s">
        <v>3</v>
      </c>
      <c r="M24" s="10"/>
      <c r="N24" s="11"/>
    </row>
    <row r="25" spans="1:17" x14ac:dyDescent="0.25">
      <c r="A25" s="7"/>
      <c r="B25" s="10" t="s">
        <v>6</v>
      </c>
      <c r="C25" s="32">
        <v>10</v>
      </c>
      <c r="D25" s="34">
        <v>200000</v>
      </c>
      <c r="E25" s="30">
        <v>100000</v>
      </c>
      <c r="F25" s="11"/>
      <c r="H25" s="7"/>
      <c r="I25" s="10" t="s">
        <v>6</v>
      </c>
      <c r="J25" s="34">
        <v>130000</v>
      </c>
      <c r="K25" s="36">
        <v>100000</v>
      </c>
      <c r="L25" s="32">
        <v>0.14019999999999999</v>
      </c>
      <c r="M25" s="10"/>
      <c r="N25" s="11"/>
    </row>
    <row r="26" spans="1:17" x14ac:dyDescent="0.25">
      <c r="A26" s="24"/>
      <c r="B26" s="25"/>
      <c r="C26" s="25"/>
      <c r="D26" s="25"/>
      <c r="E26" s="25"/>
      <c r="F26" s="26"/>
      <c r="H26" s="24"/>
      <c r="I26" s="25"/>
      <c r="J26" s="25"/>
      <c r="K26" s="25"/>
      <c r="L26" s="25"/>
      <c r="M26" s="25"/>
      <c r="N26" s="26"/>
    </row>
  </sheetData>
  <mergeCells count="4">
    <mergeCell ref="P1:Q1"/>
    <mergeCell ref="P8:Q8"/>
    <mergeCell ref="P13:Q13"/>
    <mergeCell ref="P20:Q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J22" sqref="J22"/>
    </sheetView>
  </sheetViews>
  <sheetFormatPr defaultRowHeight="15.75" x14ac:dyDescent="0.25"/>
  <cols>
    <col min="1" max="1" width="17" style="1" customWidth="1"/>
    <col min="2" max="2" width="36.140625" style="1" customWidth="1"/>
    <col min="3" max="4" width="9.140625" style="1"/>
    <col min="5" max="5" width="27.28515625" style="1" bestFit="1" customWidth="1"/>
    <col min="6" max="6" width="13.42578125" style="1" customWidth="1"/>
    <col min="7" max="11" width="9.140625" style="1"/>
    <col min="12" max="12" width="11.7109375" style="1" customWidth="1"/>
    <col min="13" max="13" width="16.140625" style="1" bestFit="1" customWidth="1"/>
    <col min="14" max="16384" width="9.140625" style="1"/>
  </cols>
  <sheetData>
    <row r="1" spans="1:13" x14ac:dyDescent="0.25">
      <c r="A1" s="1" t="s">
        <v>188</v>
      </c>
      <c r="B1" s="1" t="s">
        <v>189</v>
      </c>
    </row>
    <row r="2" spans="1:13" x14ac:dyDescent="0.25">
      <c r="A2" s="1" t="s">
        <v>190</v>
      </c>
      <c r="B2" s="1" t="s">
        <v>191</v>
      </c>
    </row>
    <row r="3" spans="1:13" x14ac:dyDescent="0.25">
      <c r="A3" s="1" t="s">
        <v>192</v>
      </c>
      <c r="B3" s="1" t="s">
        <v>196</v>
      </c>
    </row>
    <row r="4" spans="1:13" x14ac:dyDescent="0.25">
      <c r="A4" s="1" t="s">
        <v>193</v>
      </c>
      <c r="B4" s="1" t="s">
        <v>208</v>
      </c>
    </row>
    <row r="5" spans="1:13" x14ac:dyDescent="0.25">
      <c r="A5" s="1" t="s">
        <v>194</v>
      </c>
      <c r="B5" s="1" t="s">
        <v>206</v>
      </c>
    </row>
    <row r="6" spans="1:13" x14ac:dyDescent="0.25">
      <c r="A6" s="1" t="s">
        <v>195</v>
      </c>
      <c r="B6" s="1" t="s">
        <v>207</v>
      </c>
    </row>
    <row r="8" spans="1:13" ht="18.75" x14ac:dyDescent="0.25">
      <c r="A8" s="169" t="s">
        <v>197</v>
      </c>
      <c r="B8" s="170"/>
      <c r="C8" s="170"/>
      <c r="E8" s="169" t="s">
        <v>217</v>
      </c>
      <c r="F8" s="188"/>
      <c r="G8" s="188"/>
      <c r="I8" s="169" t="s">
        <v>220</v>
      </c>
      <c r="J8" s="170"/>
      <c r="K8" s="170"/>
      <c r="L8" s="170"/>
      <c r="M8" s="170"/>
    </row>
    <row r="10" spans="1:13" ht="18.75" x14ac:dyDescent="0.3">
      <c r="A10" s="194" t="s">
        <v>198</v>
      </c>
      <c r="B10" s="195"/>
      <c r="C10" s="94">
        <f>(A18/B14)/(B18/B12)</f>
        <v>1.7142857142857142</v>
      </c>
      <c r="E10" s="196" t="s">
        <v>209</v>
      </c>
      <c r="F10" s="197"/>
      <c r="G10" s="94">
        <f>(E20/F16)*(B14/A18)</f>
        <v>1.5555555555555551</v>
      </c>
      <c r="I10" s="191" t="s">
        <v>219</v>
      </c>
      <c r="J10" s="192"/>
      <c r="K10" s="192"/>
      <c r="L10" s="192"/>
      <c r="M10" s="91">
        <f>C10*G10</f>
        <v>2.6666666666666656</v>
      </c>
    </row>
    <row r="11" spans="1:13" ht="18.75" x14ac:dyDescent="0.3">
      <c r="I11" s="191" t="s">
        <v>218</v>
      </c>
      <c r="J11" s="192"/>
      <c r="K11" s="192"/>
      <c r="L11" s="192"/>
      <c r="M11" s="91">
        <f>(E20/F16)/(B18/B12)</f>
        <v>2.6666666666666661</v>
      </c>
    </row>
    <row r="12" spans="1:13" x14ac:dyDescent="0.25">
      <c r="A12" s="1" t="s">
        <v>199</v>
      </c>
      <c r="B12" s="1">
        <v>1400000</v>
      </c>
      <c r="E12" s="1" t="s">
        <v>213</v>
      </c>
      <c r="F12" s="1">
        <v>148500</v>
      </c>
    </row>
    <row r="13" spans="1:13" x14ac:dyDescent="0.25">
      <c r="A13" s="1" t="s">
        <v>200</v>
      </c>
      <c r="B13" s="1">
        <v>1540000</v>
      </c>
      <c r="E13" s="1" t="s">
        <v>214</v>
      </c>
      <c r="F13" s="1">
        <v>100000</v>
      </c>
    </row>
    <row r="14" spans="1:13" x14ac:dyDescent="0.25">
      <c r="A14" s="1" t="s">
        <v>201</v>
      </c>
      <c r="B14" s="1">
        <v>350000</v>
      </c>
      <c r="E14" s="1" t="s">
        <v>215</v>
      </c>
      <c r="F14" s="1">
        <v>188100</v>
      </c>
      <c r="I14" s="111" t="s">
        <v>221</v>
      </c>
    </row>
    <row r="15" spans="1:13" x14ac:dyDescent="0.25">
      <c r="A15" s="1" t="s">
        <v>202</v>
      </c>
      <c r="B15" s="1">
        <v>410000</v>
      </c>
      <c r="E15" s="1" t="s">
        <v>216</v>
      </c>
      <c r="F15" s="1">
        <v>100000</v>
      </c>
    </row>
    <row r="16" spans="1:13" x14ac:dyDescent="0.25">
      <c r="E16" s="1" t="s">
        <v>210</v>
      </c>
      <c r="F16" s="1">
        <f>F12/F13</f>
        <v>1.4850000000000001</v>
      </c>
    </row>
    <row r="17" spans="1:6" x14ac:dyDescent="0.25">
      <c r="A17" s="81" t="s">
        <v>203</v>
      </c>
      <c r="B17" s="81" t="s">
        <v>204</v>
      </c>
      <c r="E17" s="1" t="s">
        <v>211</v>
      </c>
      <c r="F17" s="1">
        <f>F14/F15</f>
        <v>1.881</v>
      </c>
    </row>
    <row r="18" spans="1:6" x14ac:dyDescent="0.25">
      <c r="A18" s="81">
        <f>B15-B14</f>
        <v>60000</v>
      </c>
      <c r="B18" s="81">
        <f>B13-B12</f>
        <v>140000</v>
      </c>
    </row>
    <row r="19" spans="1:6" x14ac:dyDescent="0.25">
      <c r="E19" s="81" t="s">
        <v>212</v>
      </c>
    </row>
    <row r="20" spans="1:6" x14ac:dyDescent="0.25">
      <c r="A20" s="111" t="s">
        <v>205</v>
      </c>
      <c r="E20" s="81">
        <f>F17-F16</f>
        <v>0.39599999999999991</v>
      </c>
    </row>
    <row r="22" spans="1:6" x14ac:dyDescent="0.25">
      <c r="E22" s="111" t="s">
        <v>222</v>
      </c>
    </row>
  </sheetData>
  <mergeCells count="7">
    <mergeCell ref="A10:B10"/>
    <mergeCell ref="A8:C8"/>
    <mergeCell ref="E10:F10"/>
    <mergeCell ref="E8:G8"/>
    <mergeCell ref="I11:L11"/>
    <mergeCell ref="I10:L10"/>
    <mergeCell ref="I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80" zoomScaleNormal="80" workbookViewId="0">
      <selection activeCell="C9" sqref="C9"/>
    </sheetView>
  </sheetViews>
  <sheetFormatPr defaultRowHeight="15.75" x14ac:dyDescent="0.25"/>
  <cols>
    <col min="1" max="1" width="19.85546875" style="48" bestFit="1" customWidth="1"/>
    <col min="2" max="2" width="10.5703125" style="1" customWidth="1"/>
    <col min="3" max="3" width="19.28515625" style="1" customWidth="1"/>
    <col min="4" max="4" width="16.42578125" style="1" bestFit="1" customWidth="1"/>
    <col min="5" max="5" width="10.5703125" style="49" bestFit="1" customWidth="1"/>
    <col min="6" max="6" width="19.85546875" style="1" bestFit="1" customWidth="1"/>
    <col min="7" max="7" width="18" style="1" bestFit="1" customWidth="1"/>
    <col min="8" max="8" width="17.85546875" style="49" bestFit="1" customWidth="1"/>
    <col min="9" max="9" width="17" style="8" bestFit="1" customWidth="1"/>
    <col min="10" max="10" width="13.5703125" style="1" customWidth="1"/>
    <col min="11" max="11" width="18" style="1" bestFit="1" customWidth="1"/>
    <col min="12" max="12" width="9.28515625" style="1" bestFit="1" customWidth="1"/>
    <col min="13" max="13" width="9.28515625" style="49" bestFit="1" customWidth="1"/>
    <col min="14" max="14" width="17" style="1" bestFit="1" customWidth="1"/>
    <col min="15" max="15" width="14.28515625" style="1" bestFit="1" customWidth="1"/>
    <col min="16" max="16384" width="9.140625" style="1"/>
  </cols>
  <sheetData>
    <row r="1" spans="1:19" s="47" customFormat="1" ht="18.75" x14ac:dyDescent="0.3">
      <c r="A1" s="163" t="s">
        <v>15</v>
      </c>
      <c r="B1" s="164"/>
      <c r="C1" s="164"/>
      <c r="D1" s="164"/>
      <c r="E1" s="164"/>
      <c r="F1" s="164"/>
      <c r="G1" s="164"/>
      <c r="H1" s="165"/>
      <c r="I1" s="166" t="s">
        <v>21</v>
      </c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5">
      <c r="E2" s="1"/>
      <c r="M2" s="1"/>
    </row>
    <row r="3" spans="1:19" ht="37.5" x14ac:dyDescent="0.25">
      <c r="A3" s="90" t="s">
        <v>14</v>
      </c>
      <c r="B3" s="50"/>
      <c r="C3" s="51">
        <f>E8*E5</f>
        <v>60401983.180742592</v>
      </c>
      <c r="E3" s="1"/>
      <c r="I3" s="93" t="s">
        <v>86</v>
      </c>
      <c r="K3" s="51">
        <f>M8*O5</f>
        <v>61610022.844357446</v>
      </c>
      <c r="M3" s="1"/>
    </row>
    <row r="4" spans="1:19" x14ac:dyDescent="0.25">
      <c r="C4" s="53" t="s">
        <v>16</v>
      </c>
      <c r="D4" s="54" t="s">
        <v>18</v>
      </c>
      <c r="E4" s="55" t="s">
        <v>19</v>
      </c>
      <c r="F4" s="56" t="s">
        <v>20</v>
      </c>
      <c r="G4" s="57"/>
      <c r="I4" s="52"/>
      <c r="K4" s="58" t="s">
        <v>22</v>
      </c>
      <c r="L4" s="55" t="s">
        <v>16</v>
      </c>
      <c r="M4" s="56" t="s">
        <v>23</v>
      </c>
      <c r="N4" s="59" t="s">
        <v>24</v>
      </c>
      <c r="O4" s="53" t="s">
        <v>25</v>
      </c>
    </row>
    <row r="5" spans="1:19" x14ac:dyDescent="0.25">
      <c r="C5" s="53">
        <f>F5^D8</f>
        <v>2.2080396636148518</v>
      </c>
      <c r="D5" s="54">
        <f>C5-1</f>
        <v>1.2080396636148518</v>
      </c>
      <c r="E5" s="55">
        <f>D5/C8</f>
        <v>60.40198318074259</v>
      </c>
      <c r="F5" s="60">
        <f>1+C8</f>
        <v>1.02</v>
      </c>
      <c r="G5" s="61"/>
      <c r="I5" s="52"/>
      <c r="K5" s="58">
        <f>1+K8</f>
        <v>1.02</v>
      </c>
      <c r="L5" s="55">
        <f>K5^L8</f>
        <v>2.2080396636148518</v>
      </c>
      <c r="M5" s="56">
        <f>L5-1</f>
        <v>1.2080396636148518</v>
      </c>
      <c r="N5" s="59">
        <f>K5*M5</f>
        <v>1.232200456887149</v>
      </c>
      <c r="O5" s="53">
        <f>N5/K8</f>
        <v>61.610022844357445</v>
      </c>
    </row>
    <row r="6" spans="1:19" x14ac:dyDescent="0.25">
      <c r="C6" s="1" t="s">
        <v>68</v>
      </c>
      <c r="D6" s="1" t="s">
        <v>69</v>
      </c>
      <c r="E6" s="1" t="s">
        <v>70</v>
      </c>
      <c r="I6" s="52"/>
      <c r="M6" s="1"/>
    </row>
    <row r="7" spans="1:19" x14ac:dyDescent="0.25">
      <c r="C7" s="62" t="s">
        <v>3</v>
      </c>
      <c r="D7" s="53" t="s">
        <v>2</v>
      </c>
      <c r="E7" s="56" t="s">
        <v>17</v>
      </c>
      <c r="I7" s="52"/>
      <c r="K7" s="63" t="s">
        <v>3</v>
      </c>
      <c r="L7" s="56" t="s">
        <v>2</v>
      </c>
      <c r="M7" s="55" t="s">
        <v>17</v>
      </c>
    </row>
    <row r="8" spans="1:19" x14ac:dyDescent="0.25">
      <c r="B8" s="1" t="s">
        <v>6</v>
      </c>
      <c r="C8" s="62">
        <v>0.02</v>
      </c>
      <c r="D8" s="53">
        <v>40</v>
      </c>
      <c r="E8" s="56">
        <v>1000000</v>
      </c>
      <c r="I8" s="52"/>
      <c r="J8" s="1" t="s">
        <v>6</v>
      </c>
      <c r="K8" s="63">
        <v>0.02</v>
      </c>
      <c r="L8" s="56">
        <v>40</v>
      </c>
      <c r="M8" s="55">
        <v>1000000</v>
      </c>
    </row>
    <row r="9" spans="1:19" s="47" customFormat="1" x14ac:dyDescent="0.25">
      <c r="A9" s="45"/>
      <c r="H9" s="46"/>
      <c r="I9" s="64"/>
    </row>
    <row r="10" spans="1:19" x14ac:dyDescent="0.25">
      <c r="E10" s="1"/>
      <c r="I10" s="52"/>
      <c r="M10" s="1"/>
    </row>
    <row r="11" spans="1:19" ht="37.5" x14ac:dyDescent="0.25">
      <c r="A11" s="90" t="s">
        <v>26</v>
      </c>
      <c r="C11" s="65">
        <f>E16*F13</f>
        <v>298422.23891810694</v>
      </c>
      <c r="E11" s="1"/>
      <c r="I11" s="93" t="s">
        <v>87</v>
      </c>
      <c r="K11" s="51">
        <f>M16*O13</f>
        <v>1250959.6339047889</v>
      </c>
      <c r="M11" s="1"/>
    </row>
    <row r="12" spans="1:19" x14ac:dyDescent="0.25">
      <c r="C12" s="56" t="s">
        <v>16</v>
      </c>
      <c r="D12" s="55" t="s">
        <v>18</v>
      </c>
      <c r="E12" s="62" t="s">
        <v>27</v>
      </c>
      <c r="F12" s="66" t="s">
        <v>28</v>
      </c>
      <c r="G12" s="67" t="s">
        <v>22</v>
      </c>
      <c r="I12" s="48"/>
      <c r="K12" s="55" t="s">
        <v>20</v>
      </c>
      <c r="L12" s="62" t="s">
        <v>16</v>
      </c>
      <c r="M12" s="68" t="s">
        <v>32</v>
      </c>
      <c r="N12" s="69" t="s">
        <v>27</v>
      </c>
      <c r="O12" s="70" t="s">
        <v>29</v>
      </c>
    </row>
    <row r="13" spans="1:19" x14ac:dyDescent="0.25">
      <c r="C13" s="56">
        <f>G13^D16</f>
        <v>1.3310000000000004</v>
      </c>
      <c r="D13" s="55">
        <f>C13-1</f>
        <v>0.33100000000000041</v>
      </c>
      <c r="E13" s="62">
        <f>C16*G13^D16</f>
        <v>0.13310000000000005</v>
      </c>
      <c r="F13" s="71">
        <f>D13/E13</f>
        <v>2.4868519909842246</v>
      </c>
      <c r="G13" s="67">
        <f>1+C16</f>
        <v>1.1000000000000001</v>
      </c>
      <c r="I13" s="48"/>
      <c r="K13" s="55">
        <f>1+K16</f>
        <v>1.1000000000000001</v>
      </c>
      <c r="L13" s="62">
        <f>K13^L16</f>
        <v>1.6105100000000006</v>
      </c>
      <c r="M13" s="68">
        <f>K13*(L13-1)</f>
        <v>0.67156100000000063</v>
      </c>
      <c r="N13" s="69">
        <f>K16*K13^L16</f>
        <v>0.16105100000000006</v>
      </c>
      <c r="O13" s="70">
        <f>M13/N13</f>
        <v>4.1698654463492959</v>
      </c>
    </row>
    <row r="14" spans="1:19" x14ac:dyDescent="0.25">
      <c r="E14" s="1"/>
      <c r="M14" s="1"/>
    </row>
    <row r="15" spans="1:19" x14ac:dyDescent="0.25">
      <c r="C15" s="54" t="s">
        <v>3</v>
      </c>
      <c r="D15" s="63" t="s">
        <v>2</v>
      </c>
      <c r="E15" s="62" t="s">
        <v>17</v>
      </c>
      <c r="K15" s="68" t="s">
        <v>3</v>
      </c>
      <c r="L15" s="72" t="s">
        <v>2</v>
      </c>
      <c r="M15" s="70" t="s">
        <v>17</v>
      </c>
    </row>
    <row r="16" spans="1:19" x14ac:dyDescent="0.25">
      <c r="B16" s="1" t="s">
        <v>6</v>
      </c>
      <c r="C16" s="54">
        <v>0.1</v>
      </c>
      <c r="D16" s="63">
        <v>3</v>
      </c>
      <c r="E16" s="62">
        <v>120000</v>
      </c>
      <c r="J16" s="1" t="s">
        <v>6</v>
      </c>
      <c r="K16" s="68">
        <v>0.1</v>
      </c>
      <c r="L16" s="72">
        <v>5</v>
      </c>
      <c r="M16" s="70">
        <v>300000</v>
      </c>
    </row>
    <row r="17" spans="1:22" s="47" customFormat="1" x14ac:dyDescent="0.25">
      <c r="A17" s="45"/>
      <c r="H17" s="46"/>
      <c r="I17" s="45"/>
    </row>
    <row r="18" spans="1:22" x14ac:dyDescent="0.25">
      <c r="E18" s="73"/>
      <c r="M18" s="73"/>
    </row>
    <row r="19" spans="1:22" s="48" customFormat="1" ht="18.75" x14ac:dyDescent="0.3">
      <c r="A19" s="48" t="s">
        <v>33</v>
      </c>
      <c r="C19" s="157" t="s">
        <v>34</v>
      </c>
      <c r="D19" s="157"/>
      <c r="E19" s="158"/>
      <c r="F19" s="159" t="s">
        <v>14</v>
      </c>
      <c r="G19" s="159"/>
      <c r="H19" s="158"/>
      <c r="I19" s="48" t="s">
        <v>33</v>
      </c>
      <c r="K19" s="157" t="s">
        <v>34</v>
      </c>
      <c r="L19" s="157"/>
      <c r="M19" s="158"/>
      <c r="N19" s="159" t="s">
        <v>14</v>
      </c>
      <c r="O19" s="159"/>
      <c r="P19" s="159"/>
    </row>
    <row r="21" spans="1:22" ht="37.5" x14ac:dyDescent="0.3">
      <c r="A21" s="90" t="s">
        <v>88</v>
      </c>
      <c r="B21" s="91"/>
      <c r="C21" s="44">
        <f>C29*D26</f>
        <v>299999.99999405531</v>
      </c>
      <c r="D21" s="91"/>
      <c r="E21" s="92"/>
      <c r="F21" s="90" t="s">
        <v>88</v>
      </c>
      <c r="G21" s="44">
        <f>F29*(G29/H25)</f>
        <v>1000000.0000000001</v>
      </c>
      <c r="H21" s="92"/>
      <c r="I21" s="93" t="s">
        <v>90</v>
      </c>
      <c r="J21" s="44">
        <f>J29*L23/(J23*J26)</f>
        <v>300000.08779544954</v>
      </c>
      <c r="K21" s="91"/>
      <c r="L21" s="91"/>
      <c r="M21" s="92"/>
      <c r="N21" s="44" t="s">
        <v>90</v>
      </c>
      <c r="O21" s="44">
        <f>N29*O29/(N25*P25)</f>
        <v>1000000.0025262537</v>
      </c>
      <c r="P21" s="81"/>
    </row>
    <row r="22" spans="1:22" x14ac:dyDescent="0.25">
      <c r="C22" s="70" t="s">
        <v>20</v>
      </c>
      <c r="D22" s="75" t="s">
        <v>16</v>
      </c>
      <c r="E22" s="76" t="s">
        <v>18</v>
      </c>
      <c r="J22" s="85" t="s">
        <v>89</v>
      </c>
      <c r="K22" s="99" t="s">
        <v>16</v>
      </c>
      <c r="L22" s="72" t="s">
        <v>27</v>
      </c>
      <c r="N22" s="81"/>
      <c r="O22" s="81"/>
      <c r="P22" s="81"/>
    </row>
    <row r="23" spans="1:22" x14ac:dyDescent="0.25">
      <c r="C23" s="70">
        <f>1+D29</f>
        <v>1.1000000000000001</v>
      </c>
      <c r="D23" s="75">
        <f>C23^E29</f>
        <v>1.6105100000000006</v>
      </c>
      <c r="E23" s="76">
        <f>D23-1</f>
        <v>0.61051000000000055</v>
      </c>
      <c r="J23" s="85">
        <f>1+K29</f>
        <v>1.1000000000000001</v>
      </c>
      <c r="K23" s="99">
        <f>J23^L29</f>
        <v>1.6105100000000006</v>
      </c>
      <c r="L23" s="72">
        <f>K29*K23</f>
        <v>0.16105100000000006</v>
      </c>
      <c r="N23" s="81"/>
      <c r="O23" s="81"/>
      <c r="P23" s="81"/>
    </row>
    <row r="24" spans="1:22" x14ac:dyDescent="0.25">
      <c r="F24" s="83" t="s">
        <v>89</v>
      </c>
      <c r="G24" s="56" t="s">
        <v>16</v>
      </c>
      <c r="H24" s="84" t="s">
        <v>18</v>
      </c>
      <c r="J24" s="81"/>
      <c r="K24" s="81"/>
      <c r="L24" s="81"/>
      <c r="N24" s="54" t="s">
        <v>89</v>
      </c>
      <c r="O24" s="62" t="s">
        <v>16</v>
      </c>
      <c r="P24" s="102" t="s">
        <v>18</v>
      </c>
    </row>
    <row r="25" spans="1:22" x14ac:dyDescent="0.25">
      <c r="C25" s="77" t="s">
        <v>27</v>
      </c>
      <c r="D25" s="78" t="s">
        <v>35</v>
      </c>
      <c r="F25" s="83">
        <f>1+G29</f>
        <v>1.02</v>
      </c>
      <c r="G25" s="56">
        <f>F25^H29</f>
        <v>2.2080396636148518</v>
      </c>
      <c r="H25" s="84">
        <f>G25-1</f>
        <v>1.2080396636148518</v>
      </c>
      <c r="J25" s="78" t="s">
        <v>18</v>
      </c>
      <c r="K25" s="81"/>
      <c r="L25" s="81"/>
      <c r="N25" s="54">
        <f>1+O29</f>
        <v>1.02</v>
      </c>
      <c r="O25" s="62">
        <f>N25^P29</f>
        <v>2.2080396636148518</v>
      </c>
      <c r="P25" s="102">
        <f>O25-1</f>
        <v>1.2080396636148518</v>
      </c>
    </row>
    <row r="26" spans="1:22" x14ac:dyDescent="0.25">
      <c r="C26" s="77">
        <f>D29*C23^E29</f>
        <v>0.16105100000000006</v>
      </c>
      <c r="D26" s="78">
        <f>C26/E23</f>
        <v>0.26379748079474524</v>
      </c>
      <c r="J26" s="78">
        <f>K23-1</f>
        <v>0.61051000000000055</v>
      </c>
      <c r="K26" s="81"/>
      <c r="L26" s="81"/>
      <c r="N26" s="81"/>
      <c r="O26" s="81"/>
      <c r="P26" s="81"/>
    </row>
    <row r="27" spans="1:22" x14ac:dyDescent="0.25">
      <c r="N27" s="81"/>
      <c r="O27" s="81"/>
      <c r="P27" s="81"/>
    </row>
    <row r="28" spans="1:22" x14ac:dyDescent="0.25">
      <c r="C28" s="79" t="s">
        <v>31</v>
      </c>
      <c r="D28" s="75" t="s">
        <v>3</v>
      </c>
      <c r="E28" s="66" t="s">
        <v>2</v>
      </c>
      <c r="F28" s="85" t="s">
        <v>30</v>
      </c>
      <c r="G28" s="58" t="s">
        <v>3</v>
      </c>
      <c r="H28" s="88" t="s">
        <v>2</v>
      </c>
      <c r="I28" s="1"/>
      <c r="J28" s="100" t="s">
        <v>87</v>
      </c>
      <c r="K28" s="101" t="s">
        <v>3</v>
      </c>
      <c r="L28" s="55" t="s">
        <v>2</v>
      </c>
      <c r="N28" s="75" t="s">
        <v>86</v>
      </c>
      <c r="O28" s="103" t="s">
        <v>3</v>
      </c>
      <c r="P28" s="83" t="s">
        <v>2</v>
      </c>
    </row>
    <row r="29" spans="1:22" x14ac:dyDescent="0.25">
      <c r="B29" s="1" t="s">
        <v>6</v>
      </c>
      <c r="C29" s="80">
        <v>1137236.0308000001</v>
      </c>
      <c r="D29" s="75">
        <v>0.1</v>
      </c>
      <c r="E29" s="66">
        <v>5</v>
      </c>
      <c r="F29" s="86">
        <v>60401983.180742592</v>
      </c>
      <c r="G29" s="58">
        <v>0.02</v>
      </c>
      <c r="H29" s="88">
        <v>40</v>
      </c>
      <c r="I29" s="1" t="s">
        <v>6</v>
      </c>
      <c r="J29" s="77">
        <v>1250960</v>
      </c>
      <c r="K29" s="101">
        <v>0.1</v>
      </c>
      <c r="L29" s="55">
        <v>5</v>
      </c>
      <c r="N29" s="75">
        <v>61610023</v>
      </c>
      <c r="O29" s="103">
        <v>0.02</v>
      </c>
      <c r="P29" s="83">
        <v>40</v>
      </c>
    </row>
    <row r="30" spans="1:22" x14ac:dyDescent="0.25">
      <c r="A30" s="45"/>
      <c r="B30" s="47"/>
      <c r="C30" s="47"/>
      <c r="D30" s="47"/>
      <c r="E30" s="46"/>
      <c r="F30" s="47"/>
      <c r="G30" s="47"/>
      <c r="H30" s="46"/>
      <c r="I30" s="45"/>
      <c r="J30" s="47"/>
      <c r="K30" s="47"/>
      <c r="L30" s="47"/>
      <c r="M30" s="46"/>
      <c r="N30" s="47"/>
      <c r="O30" s="47"/>
      <c r="P30" s="47"/>
      <c r="Q30" s="47"/>
      <c r="R30" s="47"/>
      <c r="S30" s="47"/>
      <c r="T30" s="47"/>
      <c r="U30" s="47"/>
      <c r="V30" s="47"/>
    </row>
    <row r="32" spans="1:22" ht="18.75" x14ac:dyDescent="0.3">
      <c r="C32" s="157" t="s">
        <v>34</v>
      </c>
      <c r="D32" s="157"/>
      <c r="E32" s="158"/>
      <c r="F32" s="159" t="s">
        <v>14</v>
      </c>
      <c r="G32" s="159"/>
      <c r="H32" s="158"/>
      <c r="K32" s="157" t="s">
        <v>34</v>
      </c>
      <c r="L32" s="157"/>
      <c r="M32" s="158"/>
      <c r="N32" s="159" t="s">
        <v>14</v>
      </c>
      <c r="O32" s="159"/>
      <c r="P32" s="159"/>
    </row>
    <row r="34" spans="1:16" s="94" customFormat="1" ht="18.75" x14ac:dyDescent="0.3">
      <c r="A34" s="94" t="s">
        <v>91</v>
      </c>
      <c r="C34" s="44">
        <f>LN(D42/C39)/D36</f>
        <v>4.9997970575688795</v>
      </c>
      <c r="D34" s="44"/>
      <c r="E34" s="95"/>
      <c r="F34" s="94" t="s">
        <v>91</v>
      </c>
      <c r="G34" s="44">
        <f>LN(1+H38)/G38</f>
        <v>6.3205321739379565</v>
      </c>
      <c r="H34" s="95"/>
      <c r="I34" s="94" t="s">
        <v>91</v>
      </c>
      <c r="J34" s="44">
        <f>LN(K36/K39)/J39</f>
        <v>5.2106336544109393</v>
      </c>
      <c r="K34" s="44"/>
      <c r="L34" s="44"/>
      <c r="M34" s="95"/>
      <c r="N34" s="94" t="s">
        <v>91</v>
      </c>
      <c r="O34" s="94">
        <f>LN(1+P36/N39)/O36</f>
        <v>40.000000069795625</v>
      </c>
    </row>
    <row r="35" spans="1:16" x14ac:dyDescent="0.25">
      <c r="C35" s="58" t="s">
        <v>89</v>
      </c>
      <c r="D35" s="56" t="s">
        <v>92</v>
      </c>
      <c r="E35" s="66" t="s">
        <v>94</v>
      </c>
      <c r="G35" s="81"/>
      <c r="H35" s="82"/>
      <c r="J35" s="56" t="s">
        <v>89</v>
      </c>
      <c r="K35" s="79" t="s">
        <v>96</v>
      </c>
      <c r="L35" s="104" t="s">
        <v>94</v>
      </c>
      <c r="M35" s="82"/>
      <c r="N35" s="56" t="s">
        <v>89</v>
      </c>
      <c r="O35" s="58" t="s">
        <v>92</v>
      </c>
      <c r="P35" s="71" t="s">
        <v>98</v>
      </c>
    </row>
    <row r="36" spans="1:16" x14ac:dyDescent="0.25">
      <c r="C36" s="58">
        <f>1+E42</f>
        <v>1.1000000000000001</v>
      </c>
      <c r="D36" s="56">
        <f>LN(C36)</f>
        <v>9.5310179804324935E-2</v>
      </c>
      <c r="E36" s="66">
        <f>E42*C42</f>
        <v>113720</v>
      </c>
      <c r="J36" s="56">
        <f>1+L42</f>
        <v>1.02</v>
      </c>
      <c r="K36" s="79">
        <f>K42*J36</f>
        <v>2040000</v>
      </c>
      <c r="L36" s="104">
        <f>L42*J42</f>
        <v>200000</v>
      </c>
      <c r="M36" s="82"/>
      <c r="N36" s="56">
        <f>1+P42</f>
        <v>1.02</v>
      </c>
      <c r="O36" s="58">
        <f>LN(N36)</f>
        <v>1.980262729617973E-2</v>
      </c>
      <c r="P36" s="71">
        <f>P42*N42</f>
        <v>1232200.46</v>
      </c>
    </row>
    <row r="37" spans="1:16" x14ac:dyDescent="0.25">
      <c r="C37" s="81"/>
      <c r="D37" s="81"/>
      <c r="E37" s="82"/>
      <c r="F37" s="104" t="s">
        <v>89</v>
      </c>
      <c r="G37" s="58" t="s">
        <v>92</v>
      </c>
      <c r="H37" s="105" t="s">
        <v>95</v>
      </c>
      <c r="J37" s="81"/>
      <c r="K37" s="81"/>
      <c r="L37" s="81"/>
      <c r="M37" s="82"/>
      <c r="N37" s="81"/>
      <c r="O37" s="81"/>
      <c r="P37" s="81"/>
    </row>
    <row r="38" spans="1:16" x14ac:dyDescent="0.25">
      <c r="C38" s="104" t="s">
        <v>93</v>
      </c>
      <c r="D38" s="81"/>
      <c r="E38" s="82"/>
      <c r="F38" s="104">
        <f>1+H42</f>
        <v>1.02</v>
      </c>
      <c r="G38" s="58">
        <f>LN(F38)</f>
        <v>1.980262729617973E-2</v>
      </c>
      <c r="H38" s="105">
        <f>(H42*F45)/G42</f>
        <v>0.13333333333333333</v>
      </c>
      <c r="J38" s="62" t="s">
        <v>92</v>
      </c>
      <c r="K38" s="71" t="s">
        <v>97</v>
      </c>
      <c r="L38" s="81"/>
      <c r="M38" s="82"/>
      <c r="N38" s="62" t="s">
        <v>96</v>
      </c>
      <c r="O38" s="81"/>
      <c r="P38" s="81"/>
    </row>
    <row r="39" spans="1:16" x14ac:dyDescent="0.25">
      <c r="C39" s="104">
        <f>D42-E36</f>
        <v>186280</v>
      </c>
      <c r="D39" s="81"/>
      <c r="E39" s="82"/>
      <c r="F39" s="81"/>
      <c r="G39" s="81"/>
      <c r="H39" s="82"/>
      <c r="J39" s="62">
        <f>LN(J36)</f>
        <v>1.980262729617973E-2</v>
      </c>
      <c r="K39" s="71">
        <f>K36-L36</f>
        <v>1840000</v>
      </c>
      <c r="L39" s="81"/>
      <c r="M39" s="82"/>
      <c r="N39" s="62">
        <f>O42*N36</f>
        <v>1020000</v>
      </c>
      <c r="O39" s="81"/>
      <c r="P39" s="81"/>
    </row>
    <row r="40" spans="1:16" x14ac:dyDescent="0.25">
      <c r="C40" s="81"/>
      <c r="D40" s="81"/>
      <c r="E40" s="82"/>
      <c r="F40" s="81"/>
      <c r="G40" s="81"/>
      <c r="H40" s="82"/>
      <c r="J40" s="81"/>
      <c r="K40" s="81"/>
      <c r="L40" s="81"/>
      <c r="M40" s="82"/>
      <c r="N40" s="81"/>
      <c r="O40" s="81"/>
      <c r="P40" s="81"/>
    </row>
    <row r="41" spans="1:16" x14ac:dyDescent="0.25">
      <c r="C41" s="79" t="s">
        <v>31</v>
      </c>
      <c r="D41" s="62" t="s">
        <v>17</v>
      </c>
      <c r="E41" s="107" t="s">
        <v>3</v>
      </c>
      <c r="F41" s="79" t="s">
        <v>30</v>
      </c>
      <c r="G41" s="56" t="s">
        <v>17</v>
      </c>
      <c r="H41" s="66" t="s">
        <v>3</v>
      </c>
      <c r="J41" s="85" t="s">
        <v>87</v>
      </c>
      <c r="K41" s="58" t="s">
        <v>17</v>
      </c>
      <c r="L41" s="106" t="s">
        <v>3</v>
      </c>
      <c r="M41" s="82"/>
      <c r="N41" s="104" t="s">
        <v>86</v>
      </c>
      <c r="O41" s="79" t="s">
        <v>17</v>
      </c>
      <c r="P41" s="56" t="s">
        <v>3</v>
      </c>
    </row>
    <row r="42" spans="1:16" x14ac:dyDescent="0.25">
      <c r="B42" s="1" t="s">
        <v>6</v>
      </c>
      <c r="C42" s="79">
        <v>1137200</v>
      </c>
      <c r="D42" s="62">
        <v>300000</v>
      </c>
      <c r="E42" s="107">
        <v>0.1</v>
      </c>
      <c r="F42" s="79">
        <v>60401983.180742592</v>
      </c>
      <c r="G42" s="56">
        <v>1200000</v>
      </c>
      <c r="H42" s="66">
        <v>0.02</v>
      </c>
      <c r="I42" s="1" t="s">
        <v>6</v>
      </c>
      <c r="J42" s="85">
        <v>10000000</v>
      </c>
      <c r="K42" s="58">
        <v>2000000</v>
      </c>
      <c r="L42" s="104">
        <v>0.02</v>
      </c>
      <c r="M42" s="82"/>
      <c r="N42" s="104">
        <v>61610023</v>
      </c>
      <c r="O42" s="79">
        <v>1000000</v>
      </c>
      <c r="P42" s="56">
        <v>0.02</v>
      </c>
    </row>
    <row r="43" spans="1:16" x14ac:dyDescent="0.25">
      <c r="J43" s="81"/>
      <c r="K43" s="81"/>
      <c r="L43" s="81"/>
      <c r="M43" s="82"/>
    </row>
    <row r="44" spans="1:16" x14ac:dyDescent="0.25">
      <c r="F44" s="63" t="s">
        <v>5</v>
      </c>
    </row>
    <row r="45" spans="1:16" x14ac:dyDescent="0.25">
      <c r="F45" s="63">
        <v>8000000</v>
      </c>
    </row>
    <row r="47" spans="1:16" s="109" customFormat="1" x14ac:dyDescent="0.25">
      <c r="A47" s="108"/>
      <c r="E47" s="73"/>
      <c r="H47" s="73"/>
      <c r="I47" s="108"/>
      <c r="M47" s="73"/>
    </row>
    <row r="48" spans="1:16" s="91" customFormat="1" ht="18.75" x14ac:dyDescent="0.3">
      <c r="A48" s="94" t="s">
        <v>99</v>
      </c>
      <c r="C48" s="110" t="s">
        <v>100</v>
      </c>
      <c r="E48" s="92"/>
      <c r="F48" s="110" t="s">
        <v>100</v>
      </c>
      <c r="H48" s="92"/>
      <c r="I48" s="110" t="s">
        <v>100</v>
      </c>
      <c r="M48" s="92"/>
      <c r="N48" s="110" t="s">
        <v>100</v>
      </c>
    </row>
    <row r="49" spans="8:17" ht="16.5" thickBot="1" x14ac:dyDescent="0.3"/>
    <row r="50" spans="8:17" ht="19.5" thickBot="1" x14ac:dyDescent="0.3">
      <c r="H50" s="89"/>
      <c r="I50" s="160" t="s">
        <v>101</v>
      </c>
      <c r="J50" s="161"/>
      <c r="K50" s="161"/>
      <c r="L50" s="161"/>
      <c r="M50" s="161"/>
      <c r="N50" s="161"/>
      <c r="O50" s="161"/>
      <c r="P50" s="161"/>
      <c r="Q50" s="162"/>
    </row>
  </sheetData>
  <mergeCells count="11">
    <mergeCell ref="C19:E19"/>
    <mergeCell ref="F19:H19"/>
    <mergeCell ref="K19:M19"/>
    <mergeCell ref="N19:P19"/>
    <mergeCell ref="A1:H1"/>
    <mergeCell ref="I1:S1"/>
    <mergeCell ref="C32:E32"/>
    <mergeCell ref="F32:H32"/>
    <mergeCell ref="K32:M32"/>
    <mergeCell ref="N32:P32"/>
    <mergeCell ref="I50:Q5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>
      <selection activeCell="Q2" sqref="Q2"/>
    </sheetView>
  </sheetViews>
  <sheetFormatPr defaultRowHeight="15.75" x14ac:dyDescent="0.25"/>
  <cols>
    <col min="1" max="1" width="9.140625" style="1"/>
    <col min="2" max="2" width="9.28515625" style="1" bestFit="1" customWidth="1"/>
    <col min="3" max="3" width="13.85546875" style="1" bestFit="1" customWidth="1"/>
    <col min="4" max="4" width="10.7109375" style="1" bestFit="1" customWidth="1"/>
    <col min="5" max="6" width="9.28515625" style="1" bestFit="1" customWidth="1"/>
    <col min="7" max="7" width="9.140625" style="1"/>
    <col min="8" max="8" width="9.28515625" style="1" bestFit="1" customWidth="1"/>
    <col min="9" max="10" width="9.140625" style="1"/>
    <col min="11" max="11" width="11" style="1" bestFit="1" customWidth="1"/>
    <col min="12" max="13" width="9.140625" style="1"/>
    <col min="14" max="14" width="10.140625" style="1" bestFit="1" customWidth="1"/>
    <col min="15" max="15" width="11" style="1" bestFit="1" customWidth="1"/>
    <col min="16" max="17" width="9.28515625" style="1" bestFit="1" customWidth="1"/>
    <col min="18" max="18" width="9.140625" style="1"/>
    <col min="19" max="19" width="12.7109375" style="1" bestFit="1" customWidth="1"/>
    <col min="20" max="20" width="20.42578125" style="1" bestFit="1" customWidth="1"/>
    <col min="21" max="21" width="9.28515625" style="1" bestFit="1" customWidth="1"/>
    <col min="22" max="16384" width="9.140625" style="1"/>
  </cols>
  <sheetData>
    <row r="2" spans="2:21" x14ac:dyDescent="0.25">
      <c r="B2" s="168" t="s">
        <v>36</v>
      </c>
      <c r="C2" s="168"/>
      <c r="D2" s="168"/>
      <c r="N2" s="167" t="s">
        <v>39</v>
      </c>
      <c r="O2" s="167"/>
      <c r="P2" s="167"/>
      <c r="Q2" s="1">
        <f>P5+T5*U5</f>
        <v>0.21543664694880632</v>
      </c>
    </row>
    <row r="4" spans="2:21" ht="18.75" x14ac:dyDescent="0.25">
      <c r="B4" s="81" t="s">
        <v>38</v>
      </c>
      <c r="C4" s="81" t="s">
        <v>37</v>
      </c>
      <c r="D4" s="81" t="s">
        <v>102</v>
      </c>
      <c r="E4" s="81" t="s">
        <v>12</v>
      </c>
      <c r="F4" s="81" t="s">
        <v>103</v>
      </c>
      <c r="H4" s="81" t="s">
        <v>104</v>
      </c>
      <c r="J4" s="68" t="s">
        <v>105</v>
      </c>
      <c r="K4" s="112">
        <f>C5+SUM(H6:H10)</f>
        <v>9193.4232013461442</v>
      </c>
      <c r="N4" s="81" t="s">
        <v>105</v>
      </c>
      <c r="O4" s="81" t="s">
        <v>106</v>
      </c>
      <c r="P4" s="81" t="s">
        <v>107</v>
      </c>
      <c r="Q4" s="81" t="s">
        <v>108</v>
      </c>
      <c r="R4" s="81"/>
      <c r="S4" s="81" t="s">
        <v>109</v>
      </c>
      <c r="T4" s="81" t="s">
        <v>110</v>
      </c>
      <c r="U4" s="81" t="s">
        <v>111</v>
      </c>
    </row>
    <row r="5" spans="2:21" x14ac:dyDescent="0.25">
      <c r="B5" s="113">
        <v>0</v>
      </c>
      <c r="C5" s="114">
        <v>-30000</v>
      </c>
      <c r="D5" s="113"/>
      <c r="N5" s="115">
        <f>K4</f>
        <v>9193.4232013461442</v>
      </c>
      <c r="O5" s="115">
        <f>K13</f>
        <v>-2752.6399999999994</v>
      </c>
      <c r="P5" s="81">
        <f>D6</f>
        <v>0.1</v>
      </c>
      <c r="Q5" s="81">
        <f>D15</f>
        <v>0.25</v>
      </c>
      <c r="R5" s="81"/>
      <c r="S5" s="115">
        <f>N5-O5</f>
        <v>11946.063201346144</v>
      </c>
      <c r="T5" s="81">
        <f>N5/S5</f>
        <v>0.7695776463253754</v>
      </c>
      <c r="U5" s="81">
        <f>Q5-P5</f>
        <v>0.15</v>
      </c>
    </row>
    <row r="6" spans="2:21" x14ac:dyDescent="0.25">
      <c r="B6" s="113">
        <v>1</v>
      </c>
      <c r="C6" s="114">
        <v>9000</v>
      </c>
      <c r="D6" s="113">
        <v>0.1</v>
      </c>
      <c r="E6" s="1">
        <f t="shared" ref="E6:E10" si="0">1+D6</f>
        <v>1.1000000000000001</v>
      </c>
      <c r="F6" s="1">
        <f>E6^B6</f>
        <v>1.1000000000000001</v>
      </c>
      <c r="H6" s="1">
        <f>C6/F6</f>
        <v>8181.8181818181811</v>
      </c>
    </row>
    <row r="7" spans="2:21" x14ac:dyDescent="0.25">
      <c r="B7" s="113">
        <v>2</v>
      </c>
      <c r="C7" s="114">
        <v>9500</v>
      </c>
      <c r="D7" s="113">
        <v>0.1</v>
      </c>
      <c r="E7" s="1">
        <f t="shared" si="0"/>
        <v>1.1000000000000001</v>
      </c>
      <c r="F7" s="1">
        <f t="shared" ref="F7:F10" si="1">E7^B7</f>
        <v>1.2100000000000002</v>
      </c>
      <c r="H7" s="1">
        <f t="shared" ref="H7:H10" si="2">C7/F7</f>
        <v>7851.2396694214867</v>
      </c>
    </row>
    <row r="8" spans="2:21" x14ac:dyDescent="0.25">
      <c r="B8" s="113">
        <v>3</v>
      </c>
      <c r="C8" s="114">
        <v>10000</v>
      </c>
      <c r="D8" s="113">
        <v>0.1</v>
      </c>
      <c r="E8" s="1">
        <f t="shared" si="0"/>
        <v>1.1000000000000001</v>
      </c>
      <c r="F8" s="1">
        <f t="shared" si="1"/>
        <v>1.3310000000000004</v>
      </c>
      <c r="H8" s="1">
        <f t="shared" si="2"/>
        <v>7513.1480090157756</v>
      </c>
    </row>
    <row r="9" spans="2:21" x14ac:dyDescent="0.25">
      <c r="B9" s="113">
        <v>4</v>
      </c>
      <c r="C9" s="114">
        <v>12000</v>
      </c>
      <c r="D9" s="113">
        <v>0.1</v>
      </c>
      <c r="E9" s="1">
        <f t="shared" si="0"/>
        <v>1.1000000000000001</v>
      </c>
      <c r="F9" s="1">
        <f t="shared" si="1"/>
        <v>1.4641000000000004</v>
      </c>
      <c r="H9" s="1">
        <f t="shared" si="2"/>
        <v>8196.1614643808462</v>
      </c>
    </row>
    <row r="10" spans="2:21" x14ac:dyDescent="0.25">
      <c r="B10" s="113">
        <v>5</v>
      </c>
      <c r="C10" s="114">
        <v>12000</v>
      </c>
      <c r="D10" s="113">
        <v>0.1</v>
      </c>
      <c r="E10" s="1">
        <f t="shared" si="0"/>
        <v>1.1000000000000001</v>
      </c>
      <c r="F10" s="1">
        <f t="shared" si="1"/>
        <v>1.6105100000000006</v>
      </c>
      <c r="H10" s="1">
        <f t="shared" si="2"/>
        <v>7451.0558767098591</v>
      </c>
    </row>
    <row r="11" spans="2:21" x14ac:dyDescent="0.25">
      <c r="C11" s="116"/>
      <c r="N11" s="112"/>
    </row>
    <row r="12" spans="2:21" x14ac:dyDescent="0.25">
      <c r="C12" s="116"/>
      <c r="N12" s="112"/>
    </row>
    <row r="13" spans="2:21" ht="18.75" x14ac:dyDescent="0.25">
      <c r="B13" s="81" t="s">
        <v>38</v>
      </c>
      <c r="C13" s="81" t="s">
        <v>37</v>
      </c>
      <c r="D13" s="81" t="s">
        <v>112</v>
      </c>
      <c r="E13" s="81" t="s">
        <v>12</v>
      </c>
      <c r="F13" s="81" t="s">
        <v>103</v>
      </c>
      <c r="H13" s="81" t="s">
        <v>104</v>
      </c>
      <c r="J13" s="68" t="s">
        <v>113</v>
      </c>
      <c r="K13" s="112">
        <f>C14+SUM(H15:H19)</f>
        <v>-2752.6399999999994</v>
      </c>
    </row>
    <row r="14" spans="2:21" x14ac:dyDescent="0.25">
      <c r="B14" s="113">
        <v>0</v>
      </c>
      <c r="C14" s="114">
        <v>-30000</v>
      </c>
      <c r="D14" s="113"/>
    </row>
    <row r="15" spans="2:21" x14ac:dyDescent="0.25">
      <c r="B15" s="113">
        <v>1</v>
      </c>
      <c r="C15" s="114">
        <v>9000</v>
      </c>
      <c r="D15" s="113">
        <v>0.25</v>
      </c>
      <c r="E15" s="1">
        <f t="shared" ref="E15:E19" si="3">1+D15</f>
        <v>1.25</v>
      </c>
      <c r="F15" s="1">
        <f>E15^B15</f>
        <v>1.25</v>
      </c>
      <c r="H15" s="1">
        <f>C15/F15</f>
        <v>7200</v>
      </c>
    </row>
    <row r="16" spans="2:21" x14ac:dyDescent="0.25">
      <c r="B16" s="113">
        <v>2</v>
      </c>
      <c r="C16" s="114">
        <v>9500</v>
      </c>
      <c r="D16" s="113">
        <v>0.25</v>
      </c>
      <c r="E16" s="1">
        <f t="shared" si="3"/>
        <v>1.25</v>
      </c>
      <c r="F16" s="1">
        <f t="shared" ref="F16:F19" si="4">E16^B16</f>
        <v>1.5625</v>
      </c>
      <c r="H16" s="1">
        <f t="shared" ref="H16:H19" si="5">C16/F16</f>
        <v>6080</v>
      </c>
    </row>
    <row r="17" spans="2:8" x14ac:dyDescent="0.25">
      <c r="B17" s="113">
        <v>3</v>
      </c>
      <c r="C17" s="114">
        <v>10000</v>
      </c>
      <c r="D17" s="113">
        <v>0.25</v>
      </c>
      <c r="E17" s="1">
        <f t="shared" si="3"/>
        <v>1.25</v>
      </c>
      <c r="F17" s="1">
        <f t="shared" si="4"/>
        <v>1.953125</v>
      </c>
      <c r="H17" s="1">
        <f t="shared" si="5"/>
        <v>5120</v>
      </c>
    </row>
    <row r="18" spans="2:8" x14ac:dyDescent="0.25">
      <c r="B18" s="113">
        <v>4</v>
      </c>
      <c r="C18" s="114">
        <v>12000</v>
      </c>
      <c r="D18" s="113">
        <v>0.25</v>
      </c>
      <c r="E18" s="1">
        <f t="shared" si="3"/>
        <v>1.25</v>
      </c>
      <c r="F18" s="1">
        <f t="shared" si="4"/>
        <v>2.44140625</v>
      </c>
      <c r="H18" s="1">
        <f t="shared" si="5"/>
        <v>4915.2</v>
      </c>
    </row>
    <row r="19" spans="2:8" x14ac:dyDescent="0.25">
      <c r="B19" s="113">
        <v>5</v>
      </c>
      <c r="C19" s="114">
        <v>12000</v>
      </c>
      <c r="D19" s="113">
        <v>0.25</v>
      </c>
      <c r="E19" s="1">
        <f t="shared" si="3"/>
        <v>1.25</v>
      </c>
      <c r="F19" s="1">
        <f t="shared" si="4"/>
        <v>3.0517578125</v>
      </c>
      <c r="H19" s="1">
        <f t="shared" si="5"/>
        <v>3932.16</v>
      </c>
    </row>
  </sheetData>
  <mergeCells count="2">
    <mergeCell ref="N2:P2"/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6" sqref="F16"/>
    </sheetView>
  </sheetViews>
  <sheetFormatPr defaultRowHeight="15.75" x14ac:dyDescent="0.25"/>
  <cols>
    <col min="1" max="1" width="13.7109375" style="1" bestFit="1" customWidth="1"/>
    <col min="2" max="2" width="10.28515625" style="1" bestFit="1" customWidth="1"/>
    <col min="3" max="3" width="9.85546875" style="1" bestFit="1" customWidth="1"/>
    <col min="4" max="4" width="14.85546875" style="1" bestFit="1" customWidth="1"/>
    <col min="5" max="5" width="14.7109375" style="1" bestFit="1" customWidth="1"/>
    <col min="6" max="7" width="9.140625" style="1"/>
    <col min="8" max="8" width="14.42578125" style="1" customWidth="1"/>
    <col min="9" max="9" width="15.42578125" style="1" bestFit="1" customWidth="1"/>
    <col min="10" max="10" width="16.42578125" style="1" bestFit="1" customWidth="1"/>
    <col min="11" max="11" width="14.85546875" style="1" bestFit="1" customWidth="1"/>
    <col min="12" max="12" width="14.7109375" style="1" bestFit="1" customWidth="1"/>
    <col min="13" max="16384" width="9.140625" style="1"/>
  </cols>
  <sheetData>
    <row r="1" spans="1:12" ht="18.75" x14ac:dyDescent="0.25">
      <c r="A1" s="169" t="s">
        <v>127</v>
      </c>
      <c r="B1" s="170"/>
      <c r="C1" s="170"/>
      <c r="D1" s="170"/>
      <c r="E1" s="170"/>
      <c r="H1" s="169" t="s">
        <v>135</v>
      </c>
      <c r="I1" s="170"/>
      <c r="J1" s="170"/>
      <c r="K1" s="170"/>
      <c r="L1" s="170"/>
    </row>
    <row r="3" spans="1:12" x14ac:dyDescent="0.25">
      <c r="A3" s="1" t="s">
        <v>133</v>
      </c>
      <c r="B3" s="1">
        <v>10000000</v>
      </c>
      <c r="H3" s="1" t="s">
        <v>133</v>
      </c>
      <c r="I3" s="1">
        <v>10000000</v>
      </c>
    </row>
    <row r="4" spans="1:12" x14ac:dyDescent="0.25">
      <c r="A4" s="1" t="s">
        <v>134</v>
      </c>
      <c r="B4" s="1">
        <v>5</v>
      </c>
      <c r="H4" s="1" t="s">
        <v>134</v>
      </c>
      <c r="I4" s="1">
        <v>5</v>
      </c>
    </row>
    <row r="5" spans="1:12" x14ac:dyDescent="0.25">
      <c r="A5" s="1" t="s">
        <v>130</v>
      </c>
      <c r="B5" s="149">
        <v>2.5000000000000001E-2</v>
      </c>
      <c r="H5" s="1" t="s">
        <v>130</v>
      </c>
      <c r="I5" s="149">
        <v>2.5000000000000001E-2</v>
      </c>
    </row>
    <row r="7" spans="1:12" x14ac:dyDescent="0.25">
      <c r="A7" s="1" t="s">
        <v>128</v>
      </c>
      <c r="B7" s="1" t="s">
        <v>129</v>
      </c>
      <c r="C7" s="1" t="s">
        <v>130</v>
      </c>
      <c r="D7" s="1" t="s">
        <v>131</v>
      </c>
      <c r="E7" s="1" t="s">
        <v>132</v>
      </c>
      <c r="H7" s="1" t="s">
        <v>128</v>
      </c>
      <c r="I7" s="1" t="s">
        <v>129</v>
      </c>
      <c r="J7" s="1" t="s">
        <v>130</v>
      </c>
      <c r="K7" s="1" t="s">
        <v>131</v>
      </c>
      <c r="L7" s="1" t="s">
        <v>132</v>
      </c>
    </row>
    <row r="8" spans="1:12" x14ac:dyDescent="0.25">
      <c r="A8" s="1">
        <v>1</v>
      </c>
      <c r="B8" s="1">
        <f>$B$3/$B$4</f>
        <v>2000000</v>
      </c>
      <c r="C8" s="1">
        <f>B3*$B$5</f>
        <v>250000</v>
      </c>
      <c r="D8" s="1">
        <f>B8+C8</f>
        <v>2250000</v>
      </c>
      <c r="E8" s="1">
        <f>$B$3-B8</f>
        <v>8000000</v>
      </c>
      <c r="H8" s="1">
        <v>1</v>
      </c>
      <c r="I8" s="130">
        <f>K8-J8</f>
        <v>1902468.6090821675</v>
      </c>
      <c r="J8" s="1">
        <f>I3*I5</f>
        <v>250000</v>
      </c>
      <c r="K8" s="130">
        <f>$I$15</f>
        <v>2152468.6090821675</v>
      </c>
      <c r="L8" s="130">
        <f>$I$3-I8</f>
        <v>8097531.390917832</v>
      </c>
    </row>
    <row r="9" spans="1:12" x14ac:dyDescent="0.25">
      <c r="A9" s="1">
        <v>2</v>
      </c>
      <c r="B9" s="1">
        <f t="shared" ref="B9:B12" si="0">$B$3/$B$4</f>
        <v>2000000</v>
      </c>
      <c r="C9" s="1">
        <f>E8*$B$5</f>
        <v>200000</v>
      </c>
      <c r="D9" s="1">
        <f>B9+C9</f>
        <v>2200000</v>
      </c>
      <c r="E9" s="1">
        <f>E8-B9</f>
        <v>6000000</v>
      </c>
      <c r="H9" s="1">
        <v>2</v>
      </c>
      <c r="I9" s="130">
        <f>K9-J9</f>
        <v>1950030.3243092217</v>
      </c>
      <c r="J9" s="130">
        <f>L8*$I$5</f>
        <v>202438.2847729458</v>
      </c>
      <c r="K9" s="130">
        <f t="shared" ref="K9:K12" si="1">$I$15</f>
        <v>2152468.6090821675</v>
      </c>
      <c r="L9" s="130">
        <f>L8-I9</f>
        <v>6147501.0666086106</v>
      </c>
    </row>
    <row r="10" spans="1:12" x14ac:dyDescent="0.25">
      <c r="A10" s="1">
        <v>3</v>
      </c>
      <c r="B10" s="1">
        <f t="shared" si="0"/>
        <v>2000000</v>
      </c>
      <c r="C10" s="1">
        <f t="shared" ref="C10:C12" si="2">E9*$B$5</f>
        <v>150000</v>
      </c>
      <c r="D10" s="1">
        <f t="shared" ref="D10:D12" si="3">B10+C10</f>
        <v>2150000</v>
      </c>
      <c r="E10" s="1">
        <f t="shared" ref="E10:E12" si="4">E9-B10</f>
        <v>4000000</v>
      </c>
      <c r="H10" s="1">
        <v>3</v>
      </c>
      <c r="I10" s="130">
        <f t="shared" ref="I10:I12" si="5">K10-J10</f>
        <v>1998781.0824169521</v>
      </c>
      <c r="J10" s="130">
        <f t="shared" ref="J10:J12" si="6">L9*$I$5</f>
        <v>153687.52666521526</v>
      </c>
      <c r="K10" s="130">
        <f t="shared" si="1"/>
        <v>2152468.6090821675</v>
      </c>
      <c r="L10" s="130">
        <f t="shared" ref="L10:L12" si="7">L9-I10</f>
        <v>4148719.9841916584</v>
      </c>
    </row>
    <row r="11" spans="1:12" x14ac:dyDescent="0.25">
      <c r="A11" s="1">
        <v>4</v>
      </c>
      <c r="B11" s="1">
        <f t="shared" si="0"/>
        <v>2000000</v>
      </c>
      <c r="C11" s="1">
        <f t="shared" si="2"/>
        <v>100000</v>
      </c>
      <c r="D11" s="1">
        <f t="shared" si="3"/>
        <v>2100000</v>
      </c>
      <c r="E11" s="1">
        <f t="shared" si="4"/>
        <v>2000000</v>
      </c>
      <c r="H11" s="1">
        <v>4</v>
      </c>
      <c r="I11" s="130">
        <f t="shared" si="5"/>
        <v>2048750.6094773761</v>
      </c>
      <c r="J11" s="130">
        <f t="shared" si="6"/>
        <v>103717.99960479146</v>
      </c>
      <c r="K11" s="130">
        <f t="shared" si="1"/>
        <v>2152468.6090821675</v>
      </c>
      <c r="L11" s="130">
        <f t="shared" si="7"/>
        <v>2099969.3747142823</v>
      </c>
    </row>
    <row r="12" spans="1:12" x14ac:dyDescent="0.25">
      <c r="A12" s="1">
        <v>5</v>
      </c>
      <c r="B12" s="1">
        <f t="shared" si="0"/>
        <v>2000000</v>
      </c>
      <c r="C12" s="1">
        <f t="shared" si="2"/>
        <v>50000</v>
      </c>
      <c r="D12" s="1">
        <f t="shared" si="3"/>
        <v>2050000</v>
      </c>
      <c r="E12" s="1">
        <f t="shared" si="4"/>
        <v>0</v>
      </c>
      <c r="H12" s="1">
        <v>5</v>
      </c>
      <c r="I12" s="130">
        <f t="shared" si="5"/>
        <v>2099969.3747143103</v>
      </c>
      <c r="J12" s="130">
        <f t="shared" si="6"/>
        <v>52499.234367857061</v>
      </c>
      <c r="K12" s="130">
        <f t="shared" si="1"/>
        <v>2152468.6090821675</v>
      </c>
      <c r="L12" s="130">
        <f t="shared" si="7"/>
        <v>-2.7939677238464355E-8</v>
      </c>
    </row>
    <row r="13" spans="1:12" x14ac:dyDescent="0.25">
      <c r="I13" s="130"/>
      <c r="J13" s="130"/>
      <c r="K13" s="130"/>
      <c r="L13" s="130"/>
    </row>
    <row r="15" spans="1:12" ht="37.5" x14ac:dyDescent="0.3">
      <c r="H15" s="90" t="s">
        <v>88</v>
      </c>
      <c r="I15" s="129">
        <f>I23*J20</f>
        <v>2152468.6090821675</v>
      </c>
      <c r="J15" s="121"/>
      <c r="K15" s="121"/>
    </row>
    <row r="16" spans="1:12" x14ac:dyDescent="0.25">
      <c r="I16" s="122" t="s">
        <v>20</v>
      </c>
      <c r="J16" s="123" t="s">
        <v>16</v>
      </c>
      <c r="K16" s="124" t="s">
        <v>18</v>
      </c>
    </row>
    <row r="17" spans="9:11" x14ac:dyDescent="0.25">
      <c r="I17" s="122">
        <f>1+J23</f>
        <v>1.0249999999999999</v>
      </c>
      <c r="J17" s="123">
        <f>I17^K23</f>
        <v>1.1314082128906247</v>
      </c>
      <c r="K17" s="124">
        <f>J17-1</f>
        <v>0.13140821289062465</v>
      </c>
    </row>
    <row r="18" spans="9:11" x14ac:dyDescent="0.25">
      <c r="I18" s="89"/>
      <c r="J18" s="89"/>
      <c r="K18" s="89"/>
    </row>
    <row r="19" spans="9:11" x14ac:dyDescent="0.25">
      <c r="I19" s="100" t="s">
        <v>27</v>
      </c>
      <c r="J19" s="125" t="s">
        <v>35</v>
      </c>
      <c r="K19" s="89"/>
    </row>
    <row r="20" spans="9:11" x14ac:dyDescent="0.25">
      <c r="I20" s="100">
        <f>J23*I17^K23</f>
        <v>2.8285205322265618E-2</v>
      </c>
      <c r="J20" s="125">
        <f>I20/K17</f>
        <v>0.21524686090821674</v>
      </c>
      <c r="K20" s="89"/>
    </row>
    <row r="21" spans="9:11" x14ac:dyDescent="0.25">
      <c r="I21" s="89"/>
      <c r="J21" s="89"/>
      <c r="K21" s="89"/>
    </row>
    <row r="22" spans="9:11" x14ac:dyDescent="0.25">
      <c r="I22" s="126" t="s">
        <v>31</v>
      </c>
      <c r="J22" s="123" t="s">
        <v>3</v>
      </c>
      <c r="K22" s="127" t="s">
        <v>2</v>
      </c>
    </row>
    <row r="23" spans="9:11" x14ac:dyDescent="0.25">
      <c r="I23" s="128">
        <f>$I$3</f>
        <v>10000000</v>
      </c>
      <c r="J23" s="123">
        <f>$I$5</f>
        <v>2.5000000000000001E-2</v>
      </c>
      <c r="K23" s="127">
        <f>$I$4</f>
        <v>5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10" sqref="D10"/>
    </sheetView>
  </sheetViews>
  <sheetFormatPr defaultRowHeight="15.75" x14ac:dyDescent="0.25"/>
  <cols>
    <col min="1" max="1" width="14.28515625" style="1" customWidth="1"/>
    <col min="2" max="2" width="11.28515625" style="1" customWidth="1"/>
    <col min="3" max="3" width="12.85546875" style="1" customWidth="1"/>
    <col min="4" max="4" width="11.7109375" style="1" customWidth="1"/>
    <col min="5" max="5" width="12.85546875" style="1" customWidth="1"/>
    <col min="6" max="6" width="9.140625" style="1"/>
    <col min="7" max="7" width="8.85546875" style="1" customWidth="1"/>
    <col min="8" max="8" width="16.28515625" style="1" bestFit="1" customWidth="1"/>
    <col min="9" max="9" width="16.28515625" style="1" customWidth="1"/>
    <col min="10" max="16384" width="9.140625" style="1"/>
  </cols>
  <sheetData>
    <row r="1" spans="1:15" ht="31.5" x14ac:dyDescent="0.25">
      <c r="A1" s="133" t="s">
        <v>40</v>
      </c>
      <c r="B1" s="134" t="s">
        <v>41</v>
      </c>
      <c r="C1" s="134" t="s">
        <v>42</v>
      </c>
      <c r="D1" s="134" t="s">
        <v>43</v>
      </c>
      <c r="E1" s="134" t="s">
        <v>44</v>
      </c>
      <c r="F1" s="135"/>
      <c r="G1" s="135"/>
      <c r="H1" s="135"/>
      <c r="I1" s="135"/>
      <c r="J1" s="135"/>
      <c r="K1" s="135"/>
      <c r="L1" s="136"/>
    </row>
    <row r="2" spans="1:15" x14ac:dyDescent="0.25">
      <c r="A2" s="37" t="s">
        <v>45</v>
      </c>
      <c r="B2" s="89">
        <v>4811</v>
      </c>
      <c r="C2" s="89">
        <v>4576</v>
      </c>
      <c r="D2" s="89">
        <v>5208</v>
      </c>
      <c r="E2" s="89">
        <v>5849</v>
      </c>
      <c r="F2" s="89"/>
      <c r="G2" s="89"/>
      <c r="H2" s="89" t="s">
        <v>48</v>
      </c>
      <c r="I2" s="89" t="s">
        <v>45</v>
      </c>
      <c r="J2" s="89">
        <f>SUMPRODUCT(B11:D11,B9:D9)</f>
        <v>15.176678445229683</v>
      </c>
      <c r="K2" s="89"/>
      <c r="L2" s="38"/>
      <c r="O2" s="111" t="s">
        <v>114</v>
      </c>
    </row>
    <row r="3" spans="1:15" x14ac:dyDescent="0.25">
      <c r="A3" s="37" t="s">
        <v>46</v>
      </c>
      <c r="B3" s="89">
        <v>7646</v>
      </c>
      <c r="C3" s="89">
        <v>3156</v>
      </c>
      <c r="D3" s="89">
        <v>2541</v>
      </c>
      <c r="E3" s="89">
        <v>2248</v>
      </c>
      <c r="F3" s="89"/>
      <c r="G3" s="89"/>
      <c r="H3" s="89"/>
      <c r="I3" s="89" t="s">
        <v>46</v>
      </c>
      <c r="J3" s="89">
        <f>SUMPRODUCT(B12:D12,B9:D9)</f>
        <v>-65.32566047606592</v>
      </c>
      <c r="K3" s="89"/>
      <c r="L3" s="38"/>
    </row>
    <row r="4" spans="1:15" x14ac:dyDescent="0.25">
      <c r="A4" s="37"/>
      <c r="B4" s="89"/>
      <c r="C4" s="89"/>
      <c r="D4" s="89"/>
      <c r="E4" s="89"/>
      <c r="F4" s="89"/>
      <c r="G4" s="89"/>
      <c r="H4" s="89"/>
      <c r="I4" s="89"/>
      <c r="J4" s="89"/>
      <c r="K4" s="89"/>
      <c r="L4" s="38"/>
    </row>
    <row r="5" spans="1:15" x14ac:dyDescent="0.25">
      <c r="A5" s="37"/>
      <c r="B5" s="89"/>
      <c r="C5" s="89"/>
      <c r="D5" s="89"/>
      <c r="E5" s="89"/>
      <c r="F5" s="89"/>
      <c r="G5" s="89"/>
      <c r="H5" s="89"/>
      <c r="I5" s="89"/>
      <c r="J5" s="89"/>
      <c r="K5" s="89" t="s">
        <v>50</v>
      </c>
      <c r="L5" s="38"/>
    </row>
    <row r="6" spans="1:15" x14ac:dyDescent="0.25">
      <c r="A6" s="37"/>
      <c r="B6" s="89"/>
      <c r="C6" s="89"/>
      <c r="D6" s="89"/>
      <c r="E6" s="89"/>
      <c r="F6" s="89"/>
      <c r="G6" s="89"/>
      <c r="H6" s="89" t="s">
        <v>49</v>
      </c>
      <c r="I6" s="89" t="s">
        <v>45</v>
      </c>
      <c r="J6" s="89">
        <f>$B$9*((B11-J2)^2)+$C$9*((C11-J2)^2)+$D$9*((D11-J2)^2)</f>
        <v>59.075876865101762</v>
      </c>
      <c r="K6" s="89">
        <f>SQRT(J6)</f>
        <v>7.6860833241060922</v>
      </c>
      <c r="L6" s="38"/>
    </row>
    <row r="7" spans="1:15" x14ac:dyDescent="0.25">
      <c r="A7" s="37"/>
      <c r="B7" s="89"/>
      <c r="C7" s="89"/>
      <c r="D7" s="89"/>
      <c r="E7" s="89"/>
      <c r="F7" s="89"/>
      <c r="G7" s="89"/>
      <c r="H7" s="89"/>
      <c r="I7" s="89" t="s">
        <v>46</v>
      </c>
      <c r="J7" s="89">
        <f>$B$9*((B12-J3)^2)+$C$9*((C12-J3)^2)+$D$9*((D12-J3)^2)</f>
        <v>19.487503155077768</v>
      </c>
      <c r="K7" s="89">
        <f>SQRT(J7)</f>
        <v>4.4144652173369501</v>
      </c>
      <c r="L7" s="38"/>
    </row>
    <row r="8" spans="1:15" x14ac:dyDescent="0.25">
      <c r="A8" s="37"/>
      <c r="B8" s="89"/>
      <c r="C8" s="89"/>
      <c r="D8" s="89"/>
      <c r="E8" s="89"/>
      <c r="F8" s="89"/>
      <c r="G8" s="89"/>
      <c r="H8" s="89"/>
      <c r="I8" s="89"/>
      <c r="J8" s="89"/>
      <c r="K8" s="89"/>
      <c r="L8" s="38"/>
    </row>
    <row r="9" spans="1:15" x14ac:dyDescent="0.25">
      <c r="A9" s="37" t="s">
        <v>47</v>
      </c>
      <c r="B9" s="89">
        <v>0.05</v>
      </c>
      <c r="C9" s="89">
        <v>0.3</v>
      </c>
      <c r="D9" s="89">
        <v>0.6</v>
      </c>
      <c r="E9" s="89"/>
      <c r="F9" s="89"/>
      <c r="G9" s="89"/>
      <c r="H9" s="89" t="s">
        <v>51</v>
      </c>
      <c r="I9" s="89">
        <f>B9*(B11-J2)*(B12-J3)+C9*(C11-J2)*(C12-J3)+D9*(D11-J2)*(D12-J3)</f>
        <v>-23.874335576662883</v>
      </c>
      <c r="J9" s="89"/>
      <c r="K9" s="89"/>
      <c r="L9" s="38"/>
    </row>
    <row r="10" spans="1:15" x14ac:dyDescent="0.25">
      <c r="A10" s="37"/>
      <c r="B10" s="137" t="s">
        <v>42</v>
      </c>
      <c r="C10" s="137" t="s">
        <v>43</v>
      </c>
      <c r="D10" s="137" t="s">
        <v>44</v>
      </c>
      <c r="E10" s="89"/>
      <c r="F10" s="89"/>
      <c r="G10" s="89"/>
      <c r="H10" s="89"/>
      <c r="I10" s="89"/>
      <c r="J10" s="89"/>
      <c r="K10" s="89"/>
      <c r="L10" s="38"/>
    </row>
    <row r="11" spans="1:15" x14ac:dyDescent="0.25">
      <c r="A11" s="37" t="s">
        <v>45</v>
      </c>
      <c r="B11" s="89">
        <f>((C2-$B$2)/$B$2)*100</f>
        <v>-4.8846393681147369</v>
      </c>
      <c r="C11" s="89">
        <f t="shared" ref="C11:D11" si="0">((D2-$B$2)/$B$2)*100</f>
        <v>8.2519226771980883</v>
      </c>
      <c r="D11" s="89">
        <f t="shared" si="0"/>
        <v>21.575556017459988</v>
      </c>
      <c r="E11" s="89"/>
      <c r="F11" s="89"/>
      <c r="G11" s="89"/>
      <c r="H11" s="89" t="s">
        <v>52</v>
      </c>
      <c r="I11" s="89">
        <f>I9/(K6*K7)</f>
        <v>-0.70363608969388147</v>
      </c>
      <c r="J11" s="89"/>
      <c r="K11" s="89"/>
      <c r="L11" s="38"/>
    </row>
    <row r="12" spans="1:15" ht="16.5" thickBot="1" x14ac:dyDescent="0.3">
      <c r="A12" s="138" t="s">
        <v>46</v>
      </c>
      <c r="B12" s="139">
        <f>((C3-$B$3)/$B$3)*100</f>
        <v>-58.723515563693432</v>
      </c>
      <c r="C12" s="139">
        <f t="shared" ref="C12:D12" si="1">((D3-$B$3)/$B$3)*100</f>
        <v>-66.766936960502221</v>
      </c>
      <c r="D12" s="139">
        <f t="shared" si="1"/>
        <v>-70.599006016217629</v>
      </c>
      <c r="E12" s="139"/>
      <c r="F12" s="139"/>
      <c r="G12" s="139"/>
      <c r="H12" s="139"/>
      <c r="I12" s="139"/>
      <c r="J12" s="139"/>
      <c r="K12" s="139"/>
      <c r="L12" s="39"/>
    </row>
    <row r="14" spans="1:15" ht="16.5" thickBot="1" x14ac:dyDescent="0.3"/>
    <row r="15" spans="1:15" x14ac:dyDescent="0.25">
      <c r="A15" s="140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5" x14ac:dyDescent="0.25">
      <c r="A16" s="37" t="s">
        <v>47</v>
      </c>
      <c r="B16" s="89">
        <v>0.05</v>
      </c>
      <c r="C16" s="89">
        <v>0.3</v>
      </c>
      <c r="D16" s="89">
        <v>0.65</v>
      </c>
      <c r="E16" s="89"/>
      <c r="F16" s="89"/>
      <c r="G16" s="89"/>
      <c r="H16" s="89" t="s">
        <v>48</v>
      </c>
      <c r="I16" s="89" t="s">
        <v>223</v>
      </c>
      <c r="J16" s="89">
        <f>SUMPRODUCT(B18:D18,$B$16:$D$16)</f>
        <v>-28.5365</v>
      </c>
      <c r="K16" s="89"/>
      <c r="L16" s="38"/>
    </row>
    <row r="17" spans="1:12" x14ac:dyDescent="0.25">
      <c r="A17" s="37"/>
      <c r="B17" s="89" t="s">
        <v>42</v>
      </c>
      <c r="C17" s="89" t="s">
        <v>43</v>
      </c>
      <c r="D17" s="89" t="s">
        <v>44</v>
      </c>
      <c r="E17" s="89"/>
      <c r="F17" s="89"/>
      <c r="G17" s="89"/>
      <c r="H17" s="89"/>
      <c r="I17" s="89" t="s">
        <v>224</v>
      </c>
      <c r="J17" s="89">
        <f>SUMPRODUCT(B19:D19,$B$16:$D$16)</f>
        <v>66.734499999999997</v>
      </c>
      <c r="K17" s="89"/>
      <c r="L17" s="38"/>
    </row>
    <row r="18" spans="1:12" x14ac:dyDescent="0.25">
      <c r="A18" s="37" t="s">
        <v>223</v>
      </c>
      <c r="B18" s="89">
        <v>4.2</v>
      </c>
      <c r="C18" s="89">
        <v>-3.5</v>
      </c>
      <c r="D18" s="89">
        <v>-42.61</v>
      </c>
      <c r="E18" s="89"/>
      <c r="F18" s="89"/>
      <c r="G18" s="89"/>
      <c r="H18" s="89"/>
      <c r="I18" s="89"/>
      <c r="J18" s="89"/>
      <c r="K18" s="89"/>
      <c r="L18" s="38"/>
    </row>
    <row r="19" spans="1:12" x14ac:dyDescent="0.25">
      <c r="A19" s="37" t="s">
        <v>224</v>
      </c>
      <c r="B19" s="89">
        <v>36.75</v>
      </c>
      <c r="C19" s="89">
        <v>59.37</v>
      </c>
      <c r="D19" s="89">
        <v>72.44</v>
      </c>
      <c r="E19" s="89"/>
      <c r="F19" s="89"/>
      <c r="G19" s="89"/>
      <c r="H19" s="89"/>
      <c r="I19" s="89"/>
      <c r="J19" s="89"/>
      <c r="K19" s="89" t="s">
        <v>50</v>
      </c>
      <c r="L19" s="38"/>
    </row>
    <row r="20" spans="1:12" x14ac:dyDescent="0.25">
      <c r="A20" s="37"/>
      <c r="B20" s="89"/>
      <c r="C20" s="89"/>
      <c r="D20" s="89"/>
      <c r="E20" s="89"/>
      <c r="F20" s="89"/>
      <c r="G20" s="89"/>
      <c r="H20" s="89" t="s">
        <v>49</v>
      </c>
      <c r="I20" s="89" t="s">
        <v>223</v>
      </c>
      <c r="J20" s="89">
        <f>$B$16*((B18-J16)^2)+$C$16*((C18-J16)^2)+$D$16*((D18-J16)^2)</f>
        <v>370.37303274999999</v>
      </c>
      <c r="K20" s="89">
        <f>SQRT(J20)</f>
        <v>19.24507814351503</v>
      </c>
      <c r="L20" s="38"/>
    </row>
    <row r="21" spans="1:12" x14ac:dyDescent="0.25">
      <c r="A21" s="37"/>
      <c r="B21" s="89"/>
      <c r="C21" s="89"/>
      <c r="D21" s="89"/>
      <c r="E21" s="89"/>
      <c r="F21" s="89"/>
      <c r="G21" s="89"/>
      <c r="H21" s="89"/>
      <c r="I21" s="89" t="s">
        <v>224</v>
      </c>
      <c r="J21" s="89">
        <f>$B$16*((B19-J17)^2)+$C$16*((C19-J17)^2)+$D$16*((D19-J17)^2)</f>
        <v>82.383544749999999</v>
      </c>
      <c r="K21" s="89">
        <f>SQRT(J21)</f>
        <v>9.0765381478843565</v>
      </c>
      <c r="L21" s="38"/>
    </row>
    <row r="22" spans="1:12" x14ac:dyDescent="0.25">
      <c r="A22" s="37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38"/>
    </row>
    <row r="23" spans="1:12" x14ac:dyDescent="0.25">
      <c r="A23" s="37"/>
      <c r="B23" s="89"/>
      <c r="C23" s="89"/>
      <c r="D23" s="89"/>
      <c r="E23" s="89"/>
      <c r="F23" s="89"/>
      <c r="G23" s="89"/>
      <c r="H23" s="89" t="s">
        <v>51</v>
      </c>
      <c r="I23" s="89">
        <f>B16*(B18-J16)*(B19-J17)+C16*(C18-J16)*(C19-J17)+D16*(D18-J16)*(D19-J17)</f>
        <v>-156.58640075</v>
      </c>
      <c r="J23" s="89"/>
      <c r="K23" s="89"/>
      <c r="L23" s="38"/>
    </row>
    <row r="24" spans="1:12" x14ac:dyDescent="0.25">
      <c r="A24" s="37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38"/>
    </row>
    <row r="25" spans="1:12" x14ac:dyDescent="0.25">
      <c r="A25" s="37"/>
      <c r="B25" s="89"/>
      <c r="C25" s="89"/>
      <c r="D25" s="89"/>
      <c r="E25" s="89"/>
      <c r="F25" s="89"/>
      <c r="G25" s="89"/>
      <c r="H25" s="89" t="s">
        <v>52</v>
      </c>
      <c r="I25" s="89">
        <f>I23/(K20*K21)</f>
        <v>-0.89642534186442313</v>
      </c>
      <c r="J25" s="89"/>
      <c r="K25" s="89"/>
      <c r="L25" s="38"/>
    </row>
    <row r="26" spans="1:12" ht="16.5" thickBot="1" x14ac:dyDescent="0.3">
      <c r="A26" s="138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J21" sqref="J21"/>
    </sheetView>
  </sheetViews>
  <sheetFormatPr defaultRowHeight="15.75" x14ac:dyDescent="0.25"/>
  <cols>
    <col min="1" max="1" width="12" style="1" bestFit="1" customWidth="1"/>
    <col min="2" max="3" width="9.140625" style="1"/>
    <col min="4" max="4" width="15" style="1" customWidth="1"/>
    <col min="5" max="5" width="12.85546875" style="1" bestFit="1" customWidth="1"/>
    <col min="6" max="6" width="9.28515625" style="1" customWidth="1"/>
    <col min="7" max="7" width="19.140625" style="1" customWidth="1"/>
    <col min="8" max="8" width="12.42578125" style="1" bestFit="1" customWidth="1"/>
    <col min="9" max="9" width="19" style="1" bestFit="1" customWidth="1"/>
    <col min="10" max="10" width="20" style="1" bestFit="1" customWidth="1"/>
    <col min="11" max="16384" width="9.140625" style="1"/>
  </cols>
  <sheetData>
    <row r="1" spans="1:21" ht="18.75" x14ac:dyDescent="0.25">
      <c r="A1" s="169" t="s">
        <v>61</v>
      </c>
      <c r="B1" s="187"/>
      <c r="C1" s="187"/>
      <c r="D1" s="188"/>
    </row>
    <row r="2" spans="1:21" ht="16.5" thickBot="1" x14ac:dyDescent="0.3"/>
    <row r="3" spans="1:21" x14ac:dyDescent="0.25">
      <c r="A3" s="46"/>
      <c r="B3" s="47" t="s">
        <v>42</v>
      </c>
      <c r="C3" s="47" t="s">
        <v>43</v>
      </c>
      <c r="D3" s="46" t="s">
        <v>44</v>
      </c>
      <c r="E3" s="47" t="s">
        <v>55</v>
      </c>
      <c r="F3" s="47" t="s">
        <v>56</v>
      </c>
      <c r="G3" s="47" t="s">
        <v>236</v>
      </c>
      <c r="O3" s="174" t="s">
        <v>122</v>
      </c>
      <c r="P3" s="175"/>
      <c r="Q3" s="175"/>
      <c r="R3" s="175"/>
      <c r="S3" s="175"/>
      <c r="T3" s="175"/>
      <c r="U3" s="176"/>
    </row>
    <row r="4" spans="1:21" x14ac:dyDescent="0.25">
      <c r="A4" s="49" t="s">
        <v>53</v>
      </c>
      <c r="B4" s="1">
        <v>40</v>
      </c>
      <c r="C4" s="1">
        <v>70</v>
      </c>
      <c r="D4" s="49">
        <v>25</v>
      </c>
      <c r="E4" s="1">
        <f>MAX(B4:D4)</f>
        <v>70</v>
      </c>
      <c r="F4" s="1">
        <f>MIN(B4:D4)</f>
        <v>25</v>
      </c>
      <c r="G4" s="61">
        <f>$E$7*E4+$F$7*F4</f>
        <v>38.5</v>
      </c>
      <c r="I4" s="142" t="s">
        <v>225</v>
      </c>
      <c r="O4" s="177" t="s">
        <v>231</v>
      </c>
      <c r="P4" s="178"/>
      <c r="Q4" s="178"/>
      <c r="R4" s="178"/>
      <c r="S4" s="178"/>
      <c r="T4" s="178"/>
      <c r="U4" s="179"/>
    </row>
    <row r="5" spans="1:21" x14ac:dyDescent="0.25">
      <c r="A5" s="49" t="s">
        <v>54</v>
      </c>
      <c r="B5" s="1">
        <v>90</v>
      </c>
      <c r="C5" s="1">
        <v>-10</v>
      </c>
      <c r="D5" s="49">
        <v>40</v>
      </c>
      <c r="E5" s="1">
        <f t="shared" ref="E5:E6" si="0">MAX(B5:D5)</f>
        <v>90</v>
      </c>
      <c r="F5" s="1">
        <f t="shared" ref="F5:F6" si="1">MIN(B5:D5)</f>
        <v>-10</v>
      </c>
      <c r="G5" s="61">
        <f>$E$7*E5+$F$7*F5</f>
        <v>20</v>
      </c>
      <c r="O5" s="177" t="s">
        <v>232</v>
      </c>
      <c r="P5" s="180"/>
      <c r="Q5" s="180"/>
      <c r="R5" s="180"/>
      <c r="S5" s="180"/>
      <c r="T5" s="180"/>
      <c r="U5" s="181"/>
    </row>
    <row r="6" spans="1:21" ht="16.5" thickBot="1" x14ac:dyDescent="0.3">
      <c r="A6" s="49" t="s">
        <v>17</v>
      </c>
      <c r="B6" s="1">
        <v>30</v>
      </c>
      <c r="C6" s="1">
        <v>50</v>
      </c>
      <c r="D6" s="49">
        <v>45</v>
      </c>
      <c r="E6" s="1">
        <f t="shared" si="0"/>
        <v>50</v>
      </c>
      <c r="F6" s="1">
        <f t="shared" si="1"/>
        <v>30</v>
      </c>
      <c r="G6" s="61">
        <f>$E$7*E6+$F$7*F6</f>
        <v>36</v>
      </c>
      <c r="O6" s="182" t="s">
        <v>234</v>
      </c>
      <c r="P6" s="183"/>
      <c r="Q6" s="183"/>
      <c r="R6" s="183"/>
      <c r="S6" s="183"/>
      <c r="T6" s="183"/>
      <c r="U6" s="184"/>
    </row>
    <row r="7" spans="1:21" x14ac:dyDescent="0.25">
      <c r="D7" s="73" t="s">
        <v>62</v>
      </c>
      <c r="E7" s="148">
        <v>0.3</v>
      </c>
      <c r="F7" s="109">
        <f>1-E7</f>
        <v>0.7</v>
      </c>
      <c r="I7" s="147" t="s">
        <v>237</v>
      </c>
    </row>
    <row r="9" spans="1:21" ht="18.75" x14ac:dyDescent="0.3">
      <c r="A9" s="185" t="s">
        <v>63</v>
      </c>
      <c r="B9" s="186"/>
      <c r="C9" s="186"/>
      <c r="D9" s="186"/>
    </row>
    <row r="11" spans="1:21" x14ac:dyDescent="0.25">
      <c r="B11" s="1" t="s">
        <v>42</v>
      </c>
      <c r="C11" s="1" t="s">
        <v>43</v>
      </c>
      <c r="D11" s="49" t="s">
        <v>44</v>
      </c>
      <c r="E11" s="1" t="s">
        <v>64</v>
      </c>
    </row>
    <row r="12" spans="1:21" x14ac:dyDescent="0.25">
      <c r="A12" s="1" t="s">
        <v>53</v>
      </c>
      <c r="B12" s="1">
        <f t="shared" ref="B12:D14" si="2">B4</f>
        <v>40</v>
      </c>
      <c r="C12" s="1">
        <f t="shared" si="2"/>
        <v>70</v>
      </c>
      <c r="D12" s="49">
        <f t="shared" si="2"/>
        <v>25</v>
      </c>
      <c r="E12" s="1">
        <f>AVERAGE(B12:D12)</f>
        <v>45</v>
      </c>
      <c r="G12" s="142" t="s">
        <v>225</v>
      </c>
    </row>
    <row r="13" spans="1:21" x14ac:dyDescent="0.25">
      <c r="A13" s="1" t="s">
        <v>54</v>
      </c>
      <c r="B13" s="1">
        <f t="shared" si="2"/>
        <v>90</v>
      </c>
      <c r="C13" s="1">
        <f t="shared" si="2"/>
        <v>-10</v>
      </c>
      <c r="D13" s="49">
        <f t="shared" si="2"/>
        <v>40</v>
      </c>
      <c r="E13" s="1">
        <f t="shared" ref="E13:E14" si="3">AVERAGE(B13:D13)</f>
        <v>40</v>
      </c>
    </row>
    <row r="14" spans="1:21" x14ac:dyDescent="0.25">
      <c r="A14" s="1" t="s">
        <v>17</v>
      </c>
      <c r="B14" s="1">
        <f t="shared" si="2"/>
        <v>30</v>
      </c>
      <c r="C14" s="1">
        <f t="shared" si="2"/>
        <v>50</v>
      </c>
      <c r="D14" s="49">
        <f t="shared" si="2"/>
        <v>45</v>
      </c>
      <c r="E14" s="1">
        <f t="shared" si="3"/>
        <v>41.666666666666664</v>
      </c>
    </row>
    <row r="17" spans="1:12" ht="18.75" x14ac:dyDescent="0.3">
      <c r="A17" s="185" t="s">
        <v>65</v>
      </c>
      <c r="B17" s="186"/>
      <c r="C17" s="186"/>
      <c r="D17" s="186"/>
    </row>
    <row r="19" spans="1:12" x14ac:dyDescent="0.25">
      <c r="A19" s="145" t="s">
        <v>62</v>
      </c>
      <c r="B19" s="146">
        <v>0.3</v>
      </c>
      <c r="C19" s="146">
        <v>0.5</v>
      </c>
      <c r="D19" s="145">
        <v>0.2</v>
      </c>
      <c r="E19" s="144" t="s">
        <v>66</v>
      </c>
      <c r="F19" s="144" t="s">
        <v>67</v>
      </c>
      <c r="G19" s="144" t="s">
        <v>126</v>
      </c>
      <c r="H19" s="144" t="s">
        <v>125</v>
      </c>
      <c r="I19" s="47" t="s">
        <v>124</v>
      </c>
      <c r="J19" s="47" t="s">
        <v>123</v>
      </c>
      <c r="L19" s="142" t="s">
        <v>225</v>
      </c>
    </row>
    <row r="20" spans="1:12" x14ac:dyDescent="0.25">
      <c r="A20" s="117" t="s">
        <v>53</v>
      </c>
      <c r="B20" s="1">
        <f>B12</f>
        <v>40</v>
      </c>
      <c r="C20" s="1">
        <f>C12</f>
        <v>70</v>
      </c>
      <c r="D20" s="49">
        <f>D12</f>
        <v>25</v>
      </c>
      <c r="E20" s="96">
        <f>$B$19*B20+$C$19*C20+$D$19*D20</f>
        <v>52</v>
      </c>
      <c r="F20" s="96">
        <f>$B$19*((B20-E20)^2)+$C$19*((C20-E20)^2)+$D$19*((D20-E20)^2)</f>
        <v>351</v>
      </c>
      <c r="G20" s="96">
        <f>SQRT(F20)</f>
        <v>18.734993995195193</v>
      </c>
      <c r="H20" s="96">
        <f>G20/E20</f>
        <v>0.360288346061446</v>
      </c>
      <c r="L20" s="142" t="s">
        <v>226</v>
      </c>
    </row>
    <row r="21" spans="1:12" x14ac:dyDescent="0.25">
      <c r="A21" s="117" t="s">
        <v>54</v>
      </c>
      <c r="B21" s="1">
        <f>B13</f>
        <v>90</v>
      </c>
      <c r="C21" s="1">
        <f>C13</f>
        <v>-10</v>
      </c>
      <c r="D21" s="49">
        <f t="shared" ref="D21:D22" si="4">D13</f>
        <v>40</v>
      </c>
      <c r="E21" s="96">
        <f>$B$19*B21+$C$19*C21+$D$19*D21</f>
        <v>30</v>
      </c>
      <c r="F21" s="96">
        <f>$B$19*((B21-E21)^2)+$C$19*((C21-E21)^2)+$D$19*((D21-E21)^2)</f>
        <v>1900</v>
      </c>
      <c r="G21" s="96">
        <f t="shared" ref="G21:G22" si="5">SQRT(F21)</f>
        <v>43.588989435406738</v>
      </c>
      <c r="H21" s="96">
        <f>G21/E21</f>
        <v>1.4529663145135578</v>
      </c>
      <c r="L21" s="142" t="s">
        <v>227</v>
      </c>
    </row>
    <row r="22" spans="1:12" x14ac:dyDescent="0.25">
      <c r="A22" s="117" t="s">
        <v>17</v>
      </c>
      <c r="B22" s="1">
        <f>B14</f>
        <v>30</v>
      </c>
      <c r="C22" s="1">
        <f>C14</f>
        <v>50</v>
      </c>
      <c r="D22" s="49">
        <f t="shared" si="4"/>
        <v>45</v>
      </c>
      <c r="E22" s="96">
        <f>$B$19*B22+$C$19*C22+$D$19*D22</f>
        <v>43</v>
      </c>
      <c r="F22" s="96">
        <f>$B$19*((B22-E22)^2)+$C$19*((C22-E22)^2)+$D$19*((D22-E22)^2)</f>
        <v>75.999999999999986</v>
      </c>
      <c r="G22" s="96">
        <f t="shared" si="5"/>
        <v>8.7177978870813462</v>
      </c>
      <c r="H22" s="96">
        <f>G22/E22</f>
        <v>0.20273948574607781</v>
      </c>
      <c r="L22" s="142" t="s">
        <v>228</v>
      </c>
    </row>
    <row r="23" spans="1:12" x14ac:dyDescent="0.25">
      <c r="A23" s="111" t="s">
        <v>235</v>
      </c>
      <c r="E23" s="48"/>
      <c r="F23" s="48"/>
      <c r="G23" s="48"/>
      <c r="H23" s="48"/>
      <c r="I23" s="48"/>
      <c r="L23" s="142" t="s">
        <v>229</v>
      </c>
    </row>
    <row r="25" spans="1:12" ht="18.75" x14ac:dyDescent="0.25">
      <c r="A25" s="169" t="s">
        <v>115</v>
      </c>
      <c r="B25" s="170"/>
      <c r="C25" s="170"/>
      <c r="D25" s="170"/>
    </row>
    <row r="27" spans="1:12" x14ac:dyDescent="0.25">
      <c r="A27" s="46"/>
      <c r="B27" s="47" t="s">
        <v>55</v>
      </c>
      <c r="C27" s="47" t="s">
        <v>56</v>
      </c>
      <c r="E27" s="1" t="s">
        <v>57</v>
      </c>
      <c r="F27" s="48"/>
      <c r="G27" s="142" t="s">
        <v>116</v>
      </c>
    </row>
    <row r="28" spans="1:12" x14ac:dyDescent="0.25">
      <c r="A28" s="49" t="s">
        <v>53</v>
      </c>
      <c r="B28" s="1">
        <f>MAX(B4:D4)</f>
        <v>70</v>
      </c>
      <c r="C28" s="1">
        <f>MIN(B4:D4)</f>
        <v>25</v>
      </c>
      <c r="E28" s="1" t="s">
        <v>59</v>
      </c>
      <c r="F28" s="48"/>
      <c r="G28" s="142" t="s">
        <v>117</v>
      </c>
    </row>
    <row r="29" spans="1:12" x14ac:dyDescent="0.25">
      <c r="A29" s="49" t="s">
        <v>54</v>
      </c>
      <c r="B29" s="1">
        <f>MAX(B5:D5)</f>
        <v>90</v>
      </c>
      <c r="C29" s="1">
        <f>MIN(B5:D5)</f>
        <v>-10</v>
      </c>
      <c r="E29" s="1" t="s">
        <v>60</v>
      </c>
      <c r="F29" s="48"/>
      <c r="G29" s="142" t="s">
        <v>118</v>
      </c>
    </row>
    <row r="30" spans="1:12" x14ac:dyDescent="0.25">
      <c r="A30" s="49" t="s">
        <v>17</v>
      </c>
      <c r="B30" s="1">
        <f>MAX(B6:D6)</f>
        <v>50</v>
      </c>
      <c r="C30" s="1">
        <f>MIN(B6:D6)</f>
        <v>30</v>
      </c>
      <c r="E30" s="1" t="s">
        <v>58</v>
      </c>
      <c r="F30" s="48"/>
      <c r="G30" s="142" t="s">
        <v>119</v>
      </c>
    </row>
    <row r="32" spans="1:12" ht="18.75" x14ac:dyDescent="0.25">
      <c r="A32" s="169" t="s">
        <v>120</v>
      </c>
      <c r="B32" s="187"/>
      <c r="C32" s="187"/>
      <c r="D32" s="187"/>
    </row>
    <row r="34" spans="1:10" x14ac:dyDescent="0.25">
      <c r="A34" s="46"/>
      <c r="B34" s="119" t="s">
        <v>42</v>
      </c>
      <c r="C34" s="119" t="s">
        <v>43</v>
      </c>
      <c r="D34" s="120" t="s">
        <v>44</v>
      </c>
      <c r="E34" s="171" t="s">
        <v>121</v>
      </c>
      <c r="F34" s="172"/>
      <c r="G34" s="173"/>
      <c r="H34" s="141" t="s">
        <v>55</v>
      </c>
    </row>
    <row r="35" spans="1:10" x14ac:dyDescent="0.25">
      <c r="A35" s="49" t="s">
        <v>53</v>
      </c>
      <c r="B35" s="87">
        <f>B20</f>
        <v>40</v>
      </c>
      <c r="C35" s="87">
        <f t="shared" ref="C35:D35" si="6">C20</f>
        <v>70</v>
      </c>
      <c r="D35" s="87">
        <f t="shared" si="6"/>
        <v>25</v>
      </c>
      <c r="E35" s="118">
        <f>$B$38-B35</f>
        <v>50</v>
      </c>
      <c r="F35" s="89">
        <f>$C$38-C35</f>
        <v>0</v>
      </c>
      <c r="G35" s="49">
        <f>$D$38-D35</f>
        <v>20</v>
      </c>
      <c r="H35" s="1">
        <f>MAX(E35:G35)</f>
        <v>50</v>
      </c>
      <c r="J35" s="142" t="s">
        <v>230</v>
      </c>
    </row>
    <row r="36" spans="1:10" x14ac:dyDescent="0.25">
      <c r="A36" s="49" t="s">
        <v>54</v>
      </c>
      <c r="B36" s="87">
        <f t="shared" ref="B36:D37" si="7">B21</f>
        <v>90</v>
      </c>
      <c r="C36" s="87">
        <f t="shared" si="7"/>
        <v>-10</v>
      </c>
      <c r="D36" s="87">
        <f t="shared" si="7"/>
        <v>40</v>
      </c>
      <c r="E36" s="118">
        <f>$B$38-B36</f>
        <v>0</v>
      </c>
      <c r="F36" s="89">
        <f>$C$38-C36</f>
        <v>80</v>
      </c>
      <c r="G36" s="49">
        <f>$D$38-D36</f>
        <v>5</v>
      </c>
      <c r="H36" s="1">
        <f t="shared" ref="H36:H37" si="8">MAX(E36:G36)</f>
        <v>80</v>
      </c>
    </row>
    <row r="37" spans="1:10" x14ac:dyDescent="0.25">
      <c r="A37" s="49" t="s">
        <v>17</v>
      </c>
      <c r="B37" s="87">
        <f t="shared" si="7"/>
        <v>30</v>
      </c>
      <c r="C37" s="87">
        <f t="shared" si="7"/>
        <v>50</v>
      </c>
      <c r="D37" s="87">
        <f t="shared" si="7"/>
        <v>45</v>
      </c>
      <c r="E37" s="118">
        <f>$B$38-B37</f>
        <v>60</v>
      </c>
      <c r="F37" s="89">
        <f>$C$38-C37</f>
        <v>20</v>
      </c>
      <c r="G37" s="49">
        <f>$D$38-D37</f>
        <v>0</v>
      </c>
      <c r="H37" s="1">
        <f t="shared" si="8"/>
        <v>60</v>
      </c>
    </row>
    <row r="38" spans="1:10" x14ac:dyDescent="0.25">
      <c r="A38" s="73" t="s">
        <v>55</v>
      </c>
      <c r="B38" s="109">
        <f>MAX(B35:B37)</f>
        <v>90</v>
      </c>
      <c r="C38" s="109">
        <f t="shared" ref="C38:D38" si="9">MAX(C35:C37)</f>
        <v>70</v>
      </c>
      <c r="D38" s="73">
        <f t="shared" si="9"/>
        <v>45</v>
      </c>
    </row>
  </sheetData>
  <mergeCells count="10">
    <mergeCell ref="A25:D25"/>
    <mergeCell ref="A17:D17"/>
    <mergeCell ref="A9:D9"/>
    <mergeCell ref="A32:D32"/>
    <mergeCell ref="A1:D1"/>
    <mergeCell ref="E34:G34"/>
    <mergeCell ref="O3:U3"/>
    <mergeCell ref="O4:U4"/>
    <mergeCell ref="O5:U5"/>
    <mergeCell ref="O6:U6"/>
  </mergeCells>
  <conditionalFormatting sqref="E12:E14">
    <cfRule type="top10" dxfId="5" priority="13" bottom="1" rank="1"/>
    <cfRule type="top10" dxfId="4" priority="14" rank="1"/>
  </conditionalFormatting>
  <conditionalFormatting sqref="G4:G6">
    <cfRule type="top10" dxfId="3" priority="11" bottom="1" rank="1"/>
    <cfRule type="top10" dxfId="2" priority="12" rank="1"/>
  </conditionalFormatting>
  <conditionalFormatting sqref="E20:E22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opLeftCell="A2" workbookViewId="0">
      <selection activeCell="B19" sqref="B19"/>
    </sheetView>
  </sheetViews>
  <sheetFormatPr defaultRowHeight="15.75" x14ac:dyDescent="0.25"/>
  <cols>
    <col min="1" max="1" width="25" style="1" bestFit="1" customWidth="1"/>
    <col min="2" max="2" width="17.140625" style="1" bestFit="1" customWidth="1"/>
    <col min="3" max="3" width="15.42578125" style="1" bestFit="1" customWidth="1"/>
    <col min="4" max="5" width="9.140625" style="1"/>
    <col min="6" max="6" width="16.42578125" style="1" bestFit="1" customWidth="1"/>
    <col min="7" max="8" width="9.140625" style="1"/>
    <col min="9" max="9" width="18.7109375" style="1" customWidth="1"/>
    <col min="10" max="10" width="11.42578125" style="1" customWidth="1"/>
    <col min="11" max="11" width="38.42578125" style="1" bestFit="1" customWidth="1"/>
    <col min="12" max="13" width="9.140625" style="1"/>
    <col min="14" max="14" width="12.5703125" style="1" customWidth="1"/>
    <col min="15" max="15" width="12.85546875" style="1" customWidth="1"/>
    <col min="16" max="32" width="9.140625" style="1"/>
    <col min="33" max="33" width="2.7109375" style="1" customWidth="1"/>
    <col min="34" max="34" width="6.5703125" style="1" customWidth="1"/>
    <col min="35" max="16384" width="9.140625" style="1"/>
  </cols>
  <sheetData>
    <row r="1" spans="1:41" ht="18.75" x14ac:dyDescent="0.25">
      <c r="A1" s="169" t="s">
        <v>136</v>
      </c>
      <c r="B1" s="170"/>
      <c r="C1" s="170"/>
      <c r="D1" s="170"/>
      <c r="E1" s="170"/>
      <c r="F1" s="170"/>
      <c r="G1" s="170"/>
      <c r="I1" s="169" t="s">
        <v>143</v>
      </c>
      <c r="J1" s="170"/>
      <c r="K1" s="170"/>
      <c r="M1" s="169" t="s">
        <v>149</v>
      </c>
      <c r="N1" s="170"/>
      <c r="O1" s="170"/>
      <c r="Q1" s="169" t="s">
        <v>151</v>
      </c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E1" s="169" t="s">
        <v>156</v>
      </c>
      <c r="AF1" s="170"/>
      <c r="AG1" s="170"/>
      <c r="AH1" s="170"/>
      <c r="AI1" s="170"/>
      <c r="AJ1" s="170"/>
      <c r="AK1" s="170"/>
      <c r="AL1" s="170"/>
      <c r="AM1" s="170"/>
      <c r="AN1" s="170"/>
      <c r="AO1" s="170"/>
    </row>
    <row r="3" spans="1:41" x14ac:dyDescent="0.25">
      <c r="A3" s="1" t="s">
        <v>137</v>
      </c>
      <c r="B3" s="1" t="s">
        <v>141</v>
      </c>
      <c r="I3" s="1" t="s">
        <v>137</v>
      </c>
      <c r="J3" s="1">
        <v>7.0000000000000007E-2</v>
      </c>
      <c r="M3" s="1" t="s">
        <v>138</v>
      </c>
      <c r="N3" s="1">
        <v>10000</v>
      </c>
      <c r="Q3" s="1" t="s">
        <v>138</v>
      </c>
      <c r="R3" s="1">
        <v>10000</v>
      </c>
      <c r="AE3" s="1" t="s">
        <v>138</v>
      </c>
      <c r="AF3" s="1">
        <v>10000</v>
      </c>
      <c r="AG3" s="1" t="s">
        <v>166</v>
      </c>
    </row>
    <row r="4" spans="1:41" x14ac:dyDescent="0.25">
      <c r="A4" s="1" t="s">
        <v>138</v>
      </c>
      <c r="B4" s="1" t="s">
        <v>139</v>
      </c>
      <c r="I4" s="1" t="s">
        <v>138</v>
      </c>
      <c r="J4" s="1">
        <v>10000</v>
      </c>
      <c r="M4" s="1" t="s">
        <v>137</v>
      </c>
      <c r="N4" s="1">
        <v>7.0000000000000007E-2</v>
      </c>
      <c r="Q4" s="1" t="s">
        <v>137</v>
      </c>
      <c r="R4" s="1">
        <v>7.0000000000000007E-2</v>
      </c>
      <c r="AE4" s="1" t="s">
        <v>157</v>
      </c>
      <c r="AF4" s="1">
        <v>0.05</v>
      </c>
      <c r="AG4" s="1">
        <v>1</v>
      </c>
      <c r="AI4" s="1">
        <f>($AF$7+1)^AG4</f>
        <v>1.06</v>
      </c>
    </row>
    <row r="5" spans="1:41" x14ac:dyDescent="0.25">
      <c r="I5" s="1" t="s">
        <v>69</v>
      </c>
      <c r="J5" s="1">
        <v>10</v>
      </c>
      <c r="M5" s="1" t="s">
        <v>3</v>
      </c>
      <c r="N5" s="1">
        <v>0.05</v>
      </c>
      <c r="Q5" s="1" t="s">
        <v>2</v>
      </c>
      <c r="R5" s="1">
        <v>1</v>
      </c>
      <c r="AE5" s="1" t="s">
        <v>158</v>
      </c>
      <c r="AF5" s="1">
        <v>0.04</v>
      </c>
      <c r="AG5" s="1">
        <v>2</v>
      </c>
      <c r="AI5" s="1">
        <f t="shared" ref="AI5:AI6" si="0">($AF$7+1)^AG5</f>
        <v>1.1236000000000002</v>
      </c>
    </row>
    <row r="6" spans="1:41" x14ac:dyDescent="0.25">
      <c r="A6" s="1" t="s">
        <v>137</v>
      </c>
      <c r="B6" s="1">
        <v>0.04</v>
      </c>
      <c r="I6" s="1" t="s">
        <v>68</v>
      </c>
      <c r="J6" s="1">
        <f>J4*J3</f>
        <v>700.00000000000011</v>
      </c>
      <c r="AE6" s="1" t="s">
        <v>159</v>
      </c>
      <c r="AF6" s="1">
        <v>0.03</v>
      </c>
      <c r="AG6" s="1">
        <v>3</v>
      </c>
      <c r="AI6" s="1">
        <f t="shared" si="0"/>
        <v>1.1910160000000003</v>
      </c>
    </row>
    <row r="7" spans="1:41" ht="18.75" x14ac:dyDescent="0.3">
      <c r="A7" s="1" t="s">
        <v>138</v>
      </c>
      <c r="B7" s="1">
        <v>15000</v>
      </c>
      <c r="I7" s="1" t="s">
        <v>3</v>
      </c>
      <c r="J7" s="1">
        <v>7.0000000000000007E-2</v>
      </c>
      <c r="M7" s="191" t="s">
        <v>153</v>
      </c>
      <c r="N7" s="192"/>
      <c r="O7" s="1">
        <f>N3*N4/N5</f>
        <v>14000.000000000002</v>
      </c>
      <c r="Q7" s="189" t="s">
        <v>154</v>
      </c>
      <c r="R7" s="187"/>
      <c r="S7" s="94">
        <f>R3/(1+R4)^R5</f>
        <v>9345.7943925233631</v>
      </c>
      <c r="U7" s="111" t="s">
        <v>152</v>
      </c>
      <c r="AE7" s="1" t="s">
        <v>3</v>
      </c>
      <c r="AF7" s="1">
        <v>0.06</v>
      </c>
    </row>
    <row r="8" spans="1:41" x14ac:dyDescent="0.25">
      <c r="A8" s="1" t="s">
        <v>69</v>
      </c>
      <c r="B8" s="1">
        <v>5</v>
      </c>
      <c r="I8" s="111" t="s">
        <v>146</v>
      </c>
      <c r="J8" s="111">
        <v>6</v>
      </c>
      <c r="U8" s="190" t="s">
        <v>155</v>
      </c>
      <c r="V8" s="188"/>
      <c r="W8" s="188"/>
      <c r="X8" s="188"/>
      <c r="Y8" s="188"/>
      <c r="Z8" s="188"/>
      <c r="AA8" s="188"/>
      <c r="AB8" s="188"/>
      <c r="AC8" s="188"/>
    </row>
    <row r="9" spans="1:41" x14ac:dyDescent="0.25">
      <c r="A9" s="1" t="s">
        <v>68</v>
      </c>
      <c r="B9" s="1">
        <f>B7*B6</f>
        <v>600</v>
      </c>
      <c r="AE9" s="1" t="s">
        <v>160</v>
      </c>
      <c r="AF9" s="1">
        <f>$AF$3*AF4</f>
        <v>500</v>
      </c>
    </row>
    <row r="10" spans="1:41" ht="18.75" x14ac:dyDescent="0.3">
      <c r="A10" s="1" t="s">
        <v>3</v>
      </c>
      <c r="B10" s="1">
        <v>0.06</v>
      </c>
      <c r="I10" s="191" t="s">
        <v>150</v>
      </c>
      <c r="J10" s="192"/>
      <c r="K10" s="94">
        <f>J4*I13/J13</f>
        <v>10000</v>
      </c>
      <c r="AE10" s="1" t="s">
        <v>161</v>
      </c>
      <c r="AF10" s="1">
        <f t="shared" ref="AF10" si="1">$AF$3*AF5</f>
        <v>400</v>
      </c>
    </row>
    <row r="11" spans="1:41" x14ac:dyDescent="0.25">
      <c r="AE11" s="1" t="s">
        <v>162</v>
      </c>
      <c r="AF11" s="1">
        <f>$AF$3*AF6</f>
        <v>300</v>
      </c>
      <c r="AG11" s="1" t="s">
        <v>164</v>
      </c>
      <c r="AH11" s="1">
        <v>10000</v>
      </c>
      <c r="AJ11" s="111" t="s">
        <v>163</v>
      </c>
    </row>
    <row r="12" spans="1:41" x14ac:dyDescent="0.25">
      <c r="A12" s="43" t="s">
        <v>26</v>
      </c>
      <c r="B12" s="74" t="s">
        <v>130</v>
      </c>
      <c r="C12" s="65">
        <f>E17*F14</f>
        <v>2527.4182713394307</v>
      </c>
      <c r="I12" s="1" t="s">
        <v>144</v>
      </c>
      <c r="J12" s="1" t="s">
        <v>145</v>
      </c>
      <c r="K12" s="111" t="s">
        <v>148</v>
      </c>
    </row>
    <row r="13" spans="1:41" ht="18.75" x14ac:dyDescent="0.3">
      <c r="A13" s="48"/>
      <c r="C13" s="56" t="s">
        <v>16</v>
      </c>
      <c r="D13" s="55" t="s">
        <v>18</v>
      </c>
      <c r="E13" s="62" t="s">
        <v>27</v>
      </c>
      <c r="F13" s="66" t="s">
        <v>28</v>
      </c>
      <c r="G13" s="67" t="s">
        <v>22</v>
      </c>
      <c r="I13" s="1">
        <f>(1+J3)^J5</f>
        <v>1.9671513572895656</v>
      </c>
      <c r="J13" s="1">
        <f>(1+J7)^J5</f>
        <v>1.9671513572895656</v>
      </c>
      <c r="K13" s="1">
        <f>(1+J7)^(J5-J8)</f>
        <v>1.31079601</v>
      </c>
      <c r="AE13" s="94" t="s">
        <v>165</v>
      </c>
      <c r="AF13" s="1">
        <f>AF9/AI4+AF10/AI5+(AF11+AH11)/AI6</f>
        <v>9475.7753044459496</v>
      </c>
      <c r="AJ13" s="111" t="s">
        <v>167</v>
      </c>
    </row>
    <row r="14" spans="1:41" x14ac:dyDescent="0.25">
      <c r="A14" s="48"/>
      <c r="C14" s="56">
        <f>G14^D17</f>
        <v>1.3382255776000005</v>
      </c>
      <c r="D14" s="55">
        <f>C14-1</f>
        <v>0.33822557760000049</v>
      </c>
      <c r="E14" s="62">
        <f>C17*G14^D17</f>
        <v>8.0293534656000032E-2</v>
      </c>
      <c r="F14" s="71">
        <f>D14/E14</f>
        <v>4.2123637855657181</v>
      </c>
      <c r="G14" s="67">
        <f>1+C17</f>
        <v>1.06</v>
      </c>
    </row>
    <row r="15" spans="1:41" x14ac:dyDescent="0.25">
      <c r="A15" s="48"/>
      <c r="I15" s="111" t="s">
        <v>147</v>
      </c>
    </row>
    <row r="16" spans="1:41" ht="18.75" x14ac:dyDescent="0.3">
      <c r="A16" s="48"/>
      <c r="C16" s="54" t="s">
        <v>3</v>
      </c>
      <c r="D16" s="63" t="s">
        <v>2</v>
      </c>
      <c r="E16" s="62" t="s">
        <v>17</v>
      </c>
      <c r="I16" s="191" t="s">
        <v>150</v>
      </c>
      <c r="J16" s="192"/>
      <c r="K16" s="94">
        <f>J4*I13/K13</f>
        <v>15007.303518490002</v>
      </c>
    </row>
    <row r="17" spans="1:5" x14ac:dyDescent="0.25">
      <c r="A17" s="48"/>
      <c r="C17" s="54">
        <f>B10</f>
        <v>0.06</v>
      </c>
      <c r="D17" s="63">
        <f>B8</f>
        <v>5</v>
      </c>
      <c r="E17" s="62">
        <f>B9</f>
        <v>600</v>
      </c>
    </row>
    <row r="18" spans="1:5" ht="16.5" thickBot="1" x14ac:dyDescent="0.3"/>
    <row r="19" spans="1:5" ht="19.5" thickBot="1" x14ac:dyDescent="0.3">
      <c r="A19" s="131" t="s">
        <v>140</v>
      </c>
      <c r="B19" s="132">
        <f>C12+B7/(C14)</f>
        <v>13736.290864330285</v>
      </c>
    </row>
    <row r="21" spans="1:5" x14ac:dyDescent="0.25">
      <c r="A21" s="111" t="s">
        <v>142</v>
      </c>
    </row>
  </sheetData>
  <mergeCells count="10">
    <mergeCell ref="I10:J10"/>
    <mergeCell ref="I16:J16"/>
    <mergeCell ref="I1:K1"/>
    <mergeCell ref="M7:N7"/>
    <mergeCell ref="M1:O1"/>
    <mergeCell ref="Q7:R7"/>
    <mergeCell ref="U8:AC8"/>
    <mergeCell ref="Q1:AC1"/>
    <mergeCell ref="AE1:AO1"/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6" sqref="I6"/>
    </sheetView>
  </sheetViews>
  <sheetFormatPr defaultRowHeight="15.75" x14ac:dyDescent="0.25"/>
  <cols>
    <col min="1" max="1" width="9.140625" style="1"/>
    <col min="2" max="2" width="31" style="1" bestFit="1" customWidth="1"/>
    <col min="3" max="16384" width="9.140625" style="1"/>
  </cols>
  <sheetData>
    <row r="1" spans="1:8" x14ac:dyDescent="0.25">
      <c r="A1" s="1" t="s">
        <v>179</v>
      </c>
      <c r="B1" s="1" t="s">
        <v>172</v>
      </c>
      <c r="C1" s="143">
        <v>4.25</v>
      </c>
      <c r="D1" s="1">
        <f>(1+D2)*C1</f>
        <v>4.5534499999999998</v>
      </c>
      <c r="H1" s="143" t="s">
        <v>233</v>
      </c>
    </row>
    <row r="2" spans="1:8" x14ac:dyDescent="0.25">
      <c r="A2" s="1" t="s">
        <v>173</v>
      </c>
      <c r="B2" s="1" t="s">
        <v>174</v>
      </c>
      <c r="D2" s="1">
        <v>7.1400000000000005E-2</v>
      </c>
    </row>
    <row r="3" spans="1:8" x14ac:dyDescent="0.25">
      <c r="A3" s="1" t="s">
        <v>177</v>
      </c>
      <c r="B3" s="1" t="s">
        <v>175</v>
      </c>
    </row>
    <row r="4" spans="1:8" x14ac:dyDescent="0.25">
      <c r="A4" s="1" t="s">
        <v>178</v>
      </c>
      <c r="B4" s="1" t="s">
        <v>176</v>
      </c>
      <c r="D4" s="1">
        <v>190</v>
      </c>
    </row>
    <row r="5" spans="1:8" x14ac:dyDescent="0.25">
      <c r="A5" s="1" t="s">
        <v>185</v>
      </c>
      <c r="B5" s="1" t="s">
        <v>186</v>
      </c>
      <c r="D5" s="1">
        <v>0.05</v>
      </c>
    </row>
    <row r="7" spans="1:8" ht="18.75" x14ac:dyDescent="0.25">
      <c r="A7" s="169" t="s">
        <v>180</v>
      </c>
      <c r="B7" s="170"/>
    </row>
    <row r="8" spans="1:8" x14ac:dyDescent="0.25">
      <c r="A8" s="193" t="s">
        <v>182</v>
      </c>
      <c r="B8" s="187"/>
    </row>
    <row r="10" spans="1:8" ht="18.75" x14ac:dyDescent="0.25">
      <c r="A10" s="169" t="s">
        <v>181</v>
      </c>
      <c r="B10" s="187"/>
    </row>
    <row r="11" spans="1:8" x14ac:dyDescent="0.25">
      <c r="A11" s="193" t="s">
        <v>183</v>
      </c>
      <c r="B11" s="187"/>
      <c r="D11" s="1">
        <f>D1/(1+D2)+D4/(1+D2)</f>
        <v>181.58806234832932</v>
      </c>
    </row>
    <row r="13" spans="1:8" x14ac:dyDescent="0.25">
      <c r="A13" s="193" t="s">
        <v>184</v>
      </c>
      <c r="B13" s="187"/>
      <c r="D13" s="111" t="s">
        <v>187</v>
      </c>
    </row>
  </sheetData>
  <mergeCells count="5">
    <mergeCell ref="A10:B10"/>
    <mergeCell ref="A11:B11"/>
    <mergeCell ref="A13:B13"/>
    <mergeCell ref="A8:B8"/>
    <mergeCell ref="A7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7" sqref="E7"/>
    </sheetView>
  </sheetViews>
  <sheetFormatPr defaultRowHeight="15.75" x14ac:dyDescent="0.25"/>
  <cols>
    <col min="1" max="16384" width="9.140625" style="1"/>
  </cols>
  <sheetData>
    <row r="1" spans="1:1" ht="18.75" x14ac:dyDescent="0.3">
      <c r="A1" s="91" t="s">
        <v>168</v>
      </c>
    </row>
    <row r="2" spans="1:1" ht="18.75" x14ac:dyDescent="0.3">
      <c r="A2" s="91" t="s">
        <v>170</v>
      </c>
    </row>
    <row r="3" spans="1:1" ht="18.75" x14ac:dyDescent="0.3">
      <c r="A3" s="91" t="s">
        <v>171</v>
      </c>
    </row>
    <row r="4" spans="1:1" ht="18.75" x14ac:dyDescent="0.3">
      <c r="A4" s="9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Kamatok</vt:lpstr>
      <vt:lpstr>Járadékszámítás</vt:lpstr>
      <vt:lpstr>Nettó jelenérték</vt:lpstr>
      <vt:lpstr>Hitel törlesztés</vt:lpstr>
      <vt:lpstr>Várható érték</vt:lpstr>
      <vt:lpstr>Bizonytalanság</vt:lpstr>
      <vt:lpstr>Kötvény értékelés</vt:lpstr>
      <vt:lpstr>Résszvények értékelése</vt:lpstr>
      <vt:lpstr>Cash Flow</vt:lpstr>
      <vt:lpstr>Kockázat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Windows-felhasználó</cp:lastModifiedBy>
  <dcterms:created xsi:type="dcterms:W3CDTF">2017-05-08T16:13:17Z</dcterms:created>
  <dcterms:modified xsi:type="dcterms:W3CDTF">2018-12-04T07:58:15Z</dcterms:modified>
</cp:coreProperties>
</file>