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530" tabRatio="774"/>
  </bookViews>
  <sheets>
    <sheet name="Kamat,annuitás" sheetId="1" r:id="rId1"/>
    <sheet name="Projektek_rang,NPV" sheetId="4" r:id="rId2"/>
    <sheet name="E,részvényárf" sheetId="2" r:id="rId3"/>
    <sheet name="Rangs.,kockázat" sheetId="3" r:id="rId4"/>
    <sheet name="Kötvényárfolyam" sheetId="6" r:id="rId5"/>
    <sheet name="Részvényértékelés" sheetId="9" r:id="rId6"/>
    <sheet name="Műk.-fin._kockázat" sheetId="5" r:id="rId7"/>
    <sheet name="Jövedelemáramok" sheetId="7" r:id="rId8"/>
    <sheet name="Pénzügyi elemzés" sheetId="8" r:id="rId9"/>
    <sheet name="Pénzügyi elemzés függvényelt" sheetId="10" r:id="rId10"/>
    <sheet name="Munka1" sheetId="11" r:id="rId1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9"/>
  <c r="E12"/>
  <c r="E7"/>
  <c r="B13" i="6" l="1"/>
  <c r="I26" i="3" l="1"/>
  <c r="J26"/>
  <c r="K26"/>
  <c r="I27"/>
  <c r="J27"/>
  <c r="K27"/>
  <c r="J25"/>
  <c r="K25"/>
  <c r="I25"/>
  <c r="B23"/>
  <c r="C23"/>
  <c r="D23"/>
  <c r="B24"/>
  <c r="C24"/>
  <c r="D24"/>
  <c r="C22"/>
  <c r="D22"/>
  <c r="B22"/>
  <c r="I17"/>
  <c r="J17"/>
  <c r="K17"/>
  <c r="I18"/>
  <c r="J18"/>
  <c r="K18"/>
  <c r="J16"/>
  <c r="K16"/>
  <c r="I16"/>
  <c r="I5"/>
  <c r="J5"/>
  <c r="K5"/>
  <c r="I6"/>
  <c r="J6"/>
  <c r="K6"/>
  <c r="J4"/>
  <c r="K4"/>
  <c r="I4"/>
  <c r="D25" l="1"/>
  <c r="B25"/>
  <c r="B30" s="1"/>
  <c r="C25"/>
  <c r="E18" i="5"/>
  <c r="B13"/>
  <c r="E16" s="1"/>
  <c r="E9" i="9"/>
  <c r="E10" s="1"/>
  <c r="E16"/>
  <c r="B10"/>
  <c r="E2"/>
  <c r="F23" i="6"/>
  <c r="B2"/>
  <c r="F2" s="1"/>
  <c r="L11" i="3"/>
  <c r="M11"/>
  <c r="N11"/>
  <c r="L12"/>
  <c r="M12"/>
  <c r="N12"/>
  <c r="M10"/>
  <c r="N10"/>
  <c r="L10"/>
  <c r="N9"/>
  <c r="M9"/>
  <c r="L9"/>
  <c r="E5" i="9" l="1"/>
  <c r="F22" i="6"/>
  <c r="B7" s="1"/>
  <c r="B8"/>
  <c r="B10" s="1"/>
  <c r="O10" i="3"/>
  <c r="P3"/>
  <c r="L4"/>
  <c r="M17"/>
  <c r="M18"/>
  <c r="M16"/>
  <c r="L17"/>
  <c r="L18"/>
  <c r="L16"/>
  <c r="E9"/>
  <c r="F9"/>
  <c r="E10"/>
  <c r="F10"/>
  <c r="F8"/>
  <c r="E8"/>
  <c r="G13" i="4"/>
  <c r="D13"/>
  <c r="G12" s="1"/>
  <c r="K13"/>
  <c r="K12"/>
  <c r="G3"/>
  <c r="G2"/>
  <c r="M4" i="3" l="1"/>
  <c r="N4" s="1"/>
  <c r="O4" s="1"/>
  <c r="H24" i="1"/>
  <c r="I3"/>
  <c r="P4" i="3" l="1"/>
  <c r="I21" i="1"/>
  <c r="H21"/>
  <c r="I19"/>
  <c r="H19"/>
  <c r="I6"/>
  <c r="I2" i="5"/>
  <c r="B4"/>
  <c r="I3" l="1"/>
  <c r="I4" s="1"/>
  <c r="I11" i="1"/>
  <c r="H11"/>
  <c r="I15"/>
  <c r="I17"/>
  <c r="H15"/>
  <c r="H17"/>
  <c r="H13"/>
  <c r="I13"/>
  <c r="B15" i="5"/>
  <c r="E22" i="1"/>
  <c r="E17"/>
  <c r="B31" i="3"/>
  <c r="C31"/>
  <c r="D31"/>
  <c r="B32"/>
  <c r="C32"/>
  <c r="D32"/>
  <c r="C30"/>
  <c r="D30"/>
  <c r="I31"/>
  <c r="I30"/>
  <c r="I29"/>
  <c r="N17"/>
  <c r="N18"/>
  <c r="N16"/>
  <c r="K14" i="4"/>
  <c r="L14" s="1"/>
  <c r="E13" i="2"/>
  <c r="F13" s="1"/>
  <c r="E12"/>
  <c r="L6" i="3"/>
  <c r="L5"/>
  <c r="E12" i="1"/>
  <c r="E7"/>
  <c r="B22"/>
  <c r="B17"/>
  <c r="B12"/>
  <c r="B7"/>
  <c r="J30" i="3" l="1"/>
  <c r="E2" i="5"/>
  <c r="E6"/>
  <c r="B9"/>
  <c r="E12" s="1"/>
  <c r="E4"/>
  <c r="J29" i="3"/>
  <c r="J31"/>
  <c r="O18"/>
  <c r="O16"/>
  <c r="O17"/>
  <c r="O11"/>
  <c r="O12"/>
  <c r="E30"/>
  <c r="E32"/>
  <c r="E31"/>
  <c r="J10" i="2"/>
  <c r="B19" s="1"/>
  <c r="B20" s="1"/>
  <c r="G14" i="4"/>
  <c r="H14" s="1"/>
  <c r="E20" i="5"/>
  <c r="G13" i="2"/>
  <c r="M6" i="3"/>
  <c r="N6" s="1"/>
  <c r="O6" s="1"/>
  <c r="M5"/>
  <c r="N5" s="1"/>
  <c r="O5" s="1"/>
  <c r="F12" i="2"/>
  <c r="G12" s="1"/>
  <c r="E24" i="5" l="1"/>
  <c r="E22"/>
  <c r="F31" i="3"/>
  <c r="F30"/>
  <c r="F32"/>
  <c r="E8" i="5"/>
  <c r="E23" s="1"/>
  <c r="E14"/>
  <c r="P12" i="3"/>
  <c r="P11"/>
  <c r="P10"/>
  <c r="P5"/>
  <c r="P6"/>
  <c r="J14" i="2"/>
</calcChain>
</file>

<file path=xl/sharedStrings.xml><?xml version="1.0" encoding="utf-8"?>
<sst xmlns="http://schemas.openxmlformats.org/spreadsheetml/2006/main" count="330" uniqueCount="243">
  <si>
    <t>Egyszerű kamatszámítás</t>
  </si>
  <si>
    <t>Cn=FV=C0*(1+n*r)</t>
  </si>
  <si>
    <t>C0</t>
  </si>
  <si>
    <t>n</t>
  </si>
  <si>
    <t>r</t>
  </si>
  <si>
    <t>C0=Cn/(1+n*r)</t>
  </si>
  <si>
    <t>Cn=FV=jövő érték</t>
  </si>
  <si>
    <t>C0=kezdteti befektetés</t>
  </si>
  <si>
    <t>n=idő (év)</t>
  </si>
  <si>
    <t>r=kamtláb (elvárt hozam)</t>
  </si>
  <si>
    <t>Cn</t>
  </si>
  <si>
    <t>r=1/n*(Cn/C0-1)</t>
  </si>
  <si>
    <t>n=1/r*(Cn/C0-1)</t>
  </si>
  <si>
    <t>Kamatos kamatszámítás</t>
  </si>
  <si>
    <t>Cn=C0*(1+r)^n</t>
  </si>
  <si>
    <t>C0=Cn/(1+r)^n</t>
  </si>
  <si>
    <t>R=ngyök(Cn/C0)-1</t>
  </si>
  <si>
    <t>n=ln(Cn/C0)/ln(1+r)</t>
  </si>
  <si>
    <t>C</t>
  </si>
  <si>
    <t>Várható érték</t>
  </si>
  <si>
    <t>E(A)=valószínűség 1 *  ehhez tartozó hozamrtáta + valószínűség 2 * hozamráta + …</t>
  </si>
  <si>
    <t>Variancia</t>
  </si>
  <si>
    <t>Var(A)=valószínűség 1 * (ehhez tartozó "A" hozaráta - E(A))+</t>
  </si>
  <si>
    <t>Fisher formula, reálkamatláb</t>
  </si>
  <si>
    <t>n: nominális hozamráta</t>
  </si>
  <si>
    <t>r: reálkamatláb</t>
  </si>
  <si>
    <t>i: inflációs ráta kapcsolata</t>
  </si>
  <si>
    <t>Wald szabály</t>
  </si>
  <si>
    <t>Környezet (objektív)</t>
  </si>
  <si>
    <t>Én (szubjektív)</t>
  </si>
  <si>
    <t>Döntési stratégia</t>
  </si>
  <si>
    <t>IGEN</t>
  </si>
  <si>
    <t>MAXIMAX</t>
  </si>
  <si>
    <t>NEM</t>
  </si>
  <si>
    <t>MINIMIN</t>
  </si>
  <si>
    <t>MAXIMIN</t>
  </si>
  <si>
    <t>MINIMAX</t>
  </si>
  <si>
    <t>Savage-Niehans szabály (bizonytalanság)</t>
  </si>
  <si>
    <t>A</t>
  </si>
  <si>
    <t>B</t>
  </si>
  <si>
    <t>MAX</t>
  </si>
  <si>
    <t>MIN</t>
  </si>
  <si>
    <t>1. Maximumok meghatározása (oszloponként)</t>
  </si>
  <si>
    <t>2. Opp. Cost matrix = veszteség = eltérés a maximumtól , kivonom az elozőleg kapott max értékből oszloponként, majd soronként megállapítom a maximumot</t>
  </si>
  <si>
    <t>Max és min meghatározása</t>
  </si>
  <si>
    <t>Laplace szabály</t>
  </si>
  <si>
    <t>Egyszerű számytani átlag</t>
  </si>
  <si>
    <t>E(A)=(1 áll+ 2 áll+ 3 áll)/3</t>
  </si>
  <si>
    <t>E(B)=(1 áll+ 2 áll+ 3 áll)/3</t>
  </si>
  <si>
    <t>Valószínűség</t>
  </si>
  <si>
    <t>3. állapot</t>
  </si>
  <si>
    <t>1. állapot</t>
  </si>
  <si>
    <t>2. állapot</t>
  </si>
  <si>
    <r>
      <t>Relatív szórás (</t>
    </r>
    <r>
      <rPr>
        <b/>
        <sz val="11"/>
        <color theme="1"/>
        <rFont val="Symbol"/>
        <family val="1"/>
        <charset val="2"/>
      </rPr>
      <t>s/E)</t>
    </r>
  </si>
  <si>
    <r>
      <t xml:space="preserve">Preferencia fgv </t>
    </r>
    <r>
      <rPr>
        <b/>
        <sz val="11"/>
        <color theme="1"/>
        <rFont val="Calibri"/>
        <family val="2"/>
        <charset val="238"/>
      </rPr>
      <t>Φ</t>
    </r>
  </si>
  <si>
    <t>Szórás</t>
  </si>
  <si>
    <t>M0 (jelenlegi vagyon)</t>
  </si>
  <si>
    <t>E[U(X)]</t>
  </si>
  <si>
    <t>U(X)</t>
  </si>
  <si>
    <t>Várható megtérülés -&gt; várható hozam, variancia, szórás. Kovariancia, korrelációs koefficiens.</t>
  </si>
  <si>
    <t>P (valószínűség)</t>
  </si>
  <si>
    <t>A részvény</t>
  </si>
  <si>
    <t>B részvény</t>
  </si>
  <si>
    <t>E</t>
  </si>
  <si>
    <t>E = várható érték</t>
  </si>
  <si>
    <t>A nagyob szórású részvény a kockázatosabb.</t>
  </si>
  <si>
    <t>COV (AB)</t>
  </si>
  <si>
    <t>Korreláció</t>
  </si>
  <si>
    <t>"-"</t>
  </si>
  <si>
    <t>ellentétsen mozog</t>
  </si>
  <si>
    <t>"+"</t>
  </si>
  <si>
    <t>azonos irányba mozog</t>
  </si>
  <si>
    <t>Minimális kockázatú összetétel</t>
  </si>
  <si>
    <t>ωA+ωB</t>
  </si>
  <si>
    <t>ωB=1-ωA</t>
  </si>
  <si>
    <t xml:space="preserve">ωA </t>
  </si>
  <si>
    <t>A projekt</t>
  </si>
  <si>
    <t>B projekt</t>
  </si>
  <si>
    <t>NPV=-C0+Ct/(1+r)^t</t>
  </si>
  <si>
    <t>NPV(A)</t>
  </si>
  <si>
    <t>Év (t)</t>
  </si>
  <si>
    <t>NPV(B)</t>
  </si>
  <si>
    <t>IRR=r1+NPV1/(NPV1-NPV2)*(r2-r1)</t>
  </si>
  <si>
    <t>r1</t>
  </si>
  <si>
    <t>r2</t>
  </si>
  <si>
    <t>NPV1</t>
  </si>
  <si>
    <t>NPV2</t>
  </si>
  <si>
    <t>r2: tuti nagyobb mint az első</t>
  </si>
  <si>
    <t>IRR (A)</t>
  </si>
  <si>
    <t>Ha az IRR meghaladja a piaci kamatlábat és a tőkeköltséget, akkor fogadjuk el.</t>
  </si>
  <si>
    <t xml:space="preserve">Hurwitz-szabály </t>
  </si>
  <si>
    <t>optimizmus paraméter</t>
  </si>
  <si>
    <t>E(C)=(1 áll+ 2 áll+ 3 áll)/3</t>
  </si>
  <si>
    <t>IRR(B)</t>
  </si>
  <si>
    <t>Elszámolási tétel</t>
  </si>
  <si>
    <t>(számok)</t>
  </si>
  <si>
    <t>(R-VC)/EBIT</t>
  </si>
  <si>
    <t>(EBIT+FC)/EBIT</t>
  </si>
  <si>
    <t>1+FC/EBIT</t>
  </si>
  <si>
    <t>(EBIT/EPS)*((1-t)/S)</t>
  </si>
  <si>
    <t>DOL*DFL</t>
  </si>
  <si>
    <t>EBIT2</t>
  </si>
  <si>
    <t>deltaEPS</t>
  </si>
  <si>
    <t>EPS</t>
  </si>
  <si>
    <t>R2</t>
  </si>
  <si>
    <t>R (Árbevétel)</t>
  </si>
  <si>
    <t>t (adó)</t>
  </si>
  <si>
    <t>I (kamat)</t>
  </si>
  <si>
    <t>VC</t>
  </si>
  <si>
    <t>FC</t>
  </si>
  <si>
    <t>s (részvénydarabszám)</t>
  </si>
  <si>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R</t>
    </r>
  </si>
  <si>
    <t>ΔEBIT</t>
  </si>
  <si>
    <t>(ΔEBIT/EBIT)/(ΔR/R)</t>
  </si>
  <si>
    <t>(ΔEPS/EPS)/(ΔR/R)</t>
  </si>
  <si>
    <t>(EBIT/EPS)*(ΔEPS/ΔEBIT)</t>
  </si>
  <si>
    <t>(ΔEPS/EPS)/(ΔEBIT/EBIT)</t>
  </si>
  <si>
    <t>EBIT  (üzemi eredmény)</t>
  </si>
  <si>
    <t>EAIT</t>
  </si>
  <si>
    <t>DOL (működési tőkeáttétel)</t>
  </si>
  <si>
    <t>DFL (finanszírozási tőkeáttétel)</t>
  </si>
  <si>
    <t>DCL (kombinált tőkeáttétel/a 2 tőkeáttétel együttes hatása)</t>
  </si>
  <si>
    <t>EPS2</t>
  </si>
  <si>
    <t>EAIT (adózás utáni eredmény)</t>
  </si>
  <si>
    <t>%</t>
  </si>
  <si>
    <t>Eredménykimutatás</t>
  </si>
  <si>
    <t>EBIT</t>
  </si>
  <si>
    <t>adóalap</t>
  </si>
  <si>
    <t>M (névérték)</t>
  </si>
  <si>
    <t>B0</t>
  </si>
  <si>
    <t>rD (elvárt hozam)</t>
  </si>
  <si>
    <t>r (kamat)</t>
  </si>
  <si>
    <t>YTM (lejáratig terjedő hozam)</t>
  </si>
  <si>
    <t>Eszköz oldalon növekmény - pénzkiáramlás</t>
  </si>
  <si>
    <t>Eszköz oldalon csökkenés - pénzbeáramlás</t>
  </si>
  <si>
    <t>Forrás oldalon növekmény - növekmény</t>
  </si>
  <si>
    <t>Forrás oldalon csökkenés - csökkenés</t>
  </si>
  <si>
    <t>Hitelképességi mutatók</t>
  </si>
  <si>
    <t>Jövedelmezőségi mutatók</t>
  </si>
  <si>
    <t>Hatékonysági ráták</t>
  </si>
  <si>
    <t>Piaci mutatószámok</t>
  </si>
  <si>
    <t>DIV (osztalék)</t>
  </si>
  <si>
    <t>rE (részvényesi megtérülés)</t>
  </si>
  <si>
    <t>P0 (vételi árfolyam)</t>
  </si>
  <si>
    <t>P1 (eladási árfolyam)</t>
  </si>
  <si>
    <t>g (osztaléknövekedési ráta)</t>
  </si>
  <si>
    <t>1 periódusra</t>
  </si>
  <si>
    <t>P0</t>
  </si>
  <si>
    <t xml:space="preserve">n periódusra </t>
  </si>
  <si>
    <t>végtelen</t>
  </si>
  <si>
    <t>értékpapír bármelyikkel</t>
  </si>
  <si>
    <t>Esedékes (periódus elején)</t>
  </si>
  <si>
    <t>Szokásos (periódus végén)</t>
  </si>
  <si>
    <t>FVA</t>
  </si>
  <si>
    <t>q (1+r)</t>
  </si>
  <si>
    <t>PVA</t>
  </si>
  <si>
    <t>q^n</t>
  </si>
  <si>
    <t>C (Járadéktag) PVA</t>
  </si>
  <si>
    <t>C (Járadéktag) FVA</t>
  </si>
  <si>
    <t>n (Futamidő) PVA</t>
  </si>
  <si>
    <t>n (Futamidő) FVA</t>
  </si>
  <si>
    <t>Végtelen időtáv</t>
  </si>
  <si>
    <t>Annuitás (évi … x éven át)</t>
  </si>
  <si>
    <t>NPV (nettó jelenérték)</t>
  </si>
  <si>
    <t>IRR (belső megtérülési ráta)</t>
  </si>
  <si>
    <r>
      <t xml:space="preserve">Amelyiknek </t>
    </r>
    <r>
      <rPr>
        <b/>
        <sz val="11"/>
        <color theme="1"/>
        <rFont val="Calibri"/>
        <family val="2"/>
        <scheme val="minor"/>
      </rPr>
      <t>több</t>
    </r>
    <r>
      <rPr>
        <sz val="11"/>
        <color theme="1"/>
        <rFont val="Calibri"/>
        <family val="2"/>
        <charset val="238"/>
        <scheme val="minor"/>
      </rPr>
      <t xml:space="preserve"> a nettó jelenértéke, azt ajánljuk.</t>
    </r>
  </si>
  <si>
    <t>0,3-0,7</t>
  </si>
  <si>
    <t>0,7-</t>
  </si>
  <si>
    <t>gyenge</t>
  </si>
  <si>
    <t>közepes</t>
  </si>
  <si>
    <t>erős</t>
  </si>
  <si>
    <t>+</t>
  </si>
  <si>
    <t>-</t>
  </si>
  <si>
    <t>irány</t>
  </si>
  <si>
    <t>Alaptábla</t>
  </si>
  <si>
    <t>Sorrend</t>
  </si>
  <si>
    <t>növekvő</t>
  </si>
  <si>
    <t>csökkenő</t>
  </si>
  <si>
    <t xml:space="preserve">Sorrend </t>
  </si>
  <si>
    <t>Várható érték szabály (csökkenő)</t>
  </si>
  <si>
    <t>Várható érték-varincai (szórás) szabály (növekvő)</t>
  </si>
  <si>
    <t>Kockázatra szabályok</t>
  </si>
  <si>
    <r>
      <t>Variancia (</t>
    </r>
    <r>
      <rPr>
        <b/>
        <sz val="11"/>
        <color theme="1"/>
        <rFont val="Calibri"/>
        <family val="2"/>
      </rPr>
      <t>σ</t>
    </r>
    <r>
      <rPr>
        <b/>
        <sz val="11"/>
        <color theme="1"/>
        <rFont val="Calibri"/>
        <family val="2"/>
        <charset val="238"/>
      </rPr>
      <t>^2)</t>
    </r>
  </si>
  <si>
    <r>
      <t>Szórás (</t>
    </r>
    <r>
      <rPr>
        <b/>
        <sz val="11"/>
        <color theme="1"/>
        <rFont val="Calibri"/>
        <family val="2"/>
      </rPr>
      <t>σ)</t>
    </r>
  </si>
  <si>
    <r>
      <t>E (várható érték) (</t>
    </r>
    <r>
      <rPr>
        <b/>
        <sz val="11"/>
        <color theme="1"/>
        <rFont val="Calibri"/>
        <family val="2"/>
      </rPr>
      <t>µ)</t>
    </r>
  </si>
  <si>
    <t>Ismert preferencia fv. (csökkenő) - MÁS lehet</t>
  </si>
  <si>
    <t>Ismert hasznossági fv. (csökkenő) - MÁS lehet</t>
  </si>
  <si>
    <t>év</t>
  </si>
  <si>
    <t>SZUM</t>
  </si>
  <si>
    <t>M/((1+rD)^n)</t>
  </si>
  <si>
    <t>INT (r*M)(névérték kamata)</t>
  </si>
  <si>
    <t>n (évek száma, futamidő)</t>
  </si>
  <si>
    <t>B0 máshogy</t>
  </si>
  <si>
    <t>rE</t>
  </si>
  <si>
    <t>Kamatos kamat</t>
  </si>
  <si>
    <t>P0 (kötvényárfolyam)</t>
  </si>
  <si>
    <t>Gordon-Shapiro</t>
  </si>
  <si>
    <t>másik tag??</t>
  </si>
  <si>
    <t>konstans növ</t>
  </si>
  <si>
    <t>példatárból, de más az eredmény!!!????</t>
  </si>
  <si>
    <t>Likviditási  ráta</t>
  </si>
  <si>
    <t>likviditás 1</t>
  </si>
  <si>
    <t>pénzeszközök</t>
  </si>
  <si>
    <t>likviditás2</t>
  </si>
  <si>
    <t>értékpapírok</t>
  </si>
  <si>
    <t>likvisitás3</t>
  </si>
  <si>
    <t>Rövid lej köt</t>
  </si>
  <si>
    <t>Követelések</t>
  </si>
  <si>
    <t>Forgó eszközök</t>
  </si>
  <si>
    <t>Adósság hielképességi ráták</t>
  </si>
  <si>
    <t>adósság ráta</t>
  </si>
  <si>
    <t>összes kötelezettség</t>
  </si>
  <si>
    <t>tulajdonosi arány</t>
  </si>
  <si>
    <t>összes eszköz</t>
  </si>
  <si>
    <t>saját töke</t>
  </si>
  <si>
    <t>összes forrás</t>
  </si>
  <si>
    <t>Jövedelmezőségi ráták</t>
  </si>
  <si>
    <t>Üzemi tevékenység eredménye</t>
  </si>
  <si>
    <t>működésiprofit hányad</t>
  </si>
  <si>
    <t>Értékesítés nettó árbevétele</t>
  </si>
  <si>
    <t>Nettó profit hányad (ROS)</t>
  </si>
  <si>
    <t>Adózótt eredmény</t>
  </si>
  <si>
    <t>osztalék fizetési ráta</t>
  </si>
  <si>
    <t>Jóváhagyott osztalék</t>
  </si>
  <si>
    <t>Visszatartott profit ráta</t>
  </si>
  <si>
    <t xml:space="preserve">Piaci mutatószámok </t>
  </si>
  <si>
    <t>ROA</t>
  </si>
  <si>
    <t>ROI</t>
  </si>
  <si>
    <t>ROCE%</t>
  </si>
  <si>
    <t>Hosszú lej.köt.</t>
  </si>
  <si>
    <t>ROE</t>
  </si>
  <si>
    <t>hátrasorolt köt</t>
  </si>
  <si>
    <t>TATO</t>
  </si>
  <si>
    <t>Készlet forgási sebessége</t>
  </si>
  <si>
    <t>Dp (preferált részvények osztaléka)</t>
  </si>
  <si>
    <t>t (adó) %</t>
  </si>
  <si>
    <t>EBIT/(EBIT-I-Dp/(1-t%))</t>
  </si>
  <si>
    <t>ωB</t>
  </si>
  <si>
    <t>Gordon Shopiros</t>
  </si>
  <si>
    <t>=</t>
  </si>
  <si>
    <t xml:space="preserve">   </t>
  </si>
  <si>
    <t xml:space="preserve">  P0 = DIV0(1+g)/ rE−g</t>
  </si>
  <si>
    <t>DIV1/ rE−g</t>
  </si>
</sst>
</file>

<file path=xl/styles.xml><?xml version="1.0" encoding="utf-8"?>
<styleSheet xmlns="http://schemas.openxmlformats.org/spreadsheetml/2006/main">
  <numFmts count="7">
    <numFmt numFmtId="43" formatCode="_-* #,##0.00\ _F_t_-;\-* #,##0.00\ _F_t_-;_-* &quot;-&quot;??\ _F_t_-;_-@_-"/>
    <numFmt numFmtId="164" formatCode="0.000%"/>
    <numFmt numFmtId="165" formatCode="0.0000%"/>
    <numFmt numFmtId="166" formatCode="0.000000"/>
    <numFmt numFmtId="167" formatCode="0.00000"/>
    <numFmt numFmtId="168" formatCode="0.00000%"/>
    <numFmt numFmtId="169" formatCode="0.0000"/>
  </numFmts>
  <fonts count="1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u/>
      <sz val="12"/>
      <color theme="1"/>
      <name val="Calibri"/>
      <family val="2"/>
      <charset val="238"/>
      <scheme val="minor"/>
    </font>
    <font>
      <b/>
      <u/>
      <sz val="14"/>
      <color theme="1"/>
      <name val="Calibri"/>
      <family val="2"/>
      <charset val="238"/>
      <scheme val="minor"/>
    </font>
    <font>
      <b/>
      <sz val="11"/>
      <color rgb="FF000000"/>
      <name val="Arial"/>
      <family val="2"/>
      <charset val="238"/>
    </font>
    <font>
      <sz val="11"/>
      <color rgb="FF000000"/>
      <name val="Arial"/>
      <family val="2"/>
      <charset val="238"/>
    </font>
    <font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22"/>
      <color theme="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b/>
      <u/>
      <sz val="14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i/>
      <u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10" fontId="0" fillId="0" borderId="0" xfId="1" applyNumberFormat="1" applyFont="1"/>
    <xf numFmtId="0" fontId="0" fillId="0" borderId="0" xfId="0" applyFill="1" applyBorder="1"/>
    <xf numFmtId="0" fontId="5" fillId="0" borderId="3" xfId="0" applyFont="1" applyBorder="1"/>
    <xf numFmtId="0" fontId="11" fillId="0" borderId="17" xfId="0" applyFont="1" applyBorder="1"/>
    <xf numFmtId="0" fontId="11" fillId="0" borderId="18" xfId="0" applyFont="1" applyBorder="1"/>
    <xf numFmtId="0" fontId="11" fillId="0" borderId="19" xfId="0" applyFont="1" applyBorder="1"/>
    <xf numFmtId="0" fontId="11" fillId="0" borderId="21" xfId="0" applyFont="1" applyBorder="1"/>
    <xf numFmtId="0" fontId="0" fillId="0" borderId="14" xfId="0" applyBorder="1"/>
    <xf numFmtId="0" fontId="0" fillId="0" borderId="21" xfId="0" applyBorder="1"/>
    <xf numFmtId="0" fontId="11" fillId="0" borderId="16" xfId="0" applyFont="1" applyBorder="1"/>
    <xf numFmtId="0" fontId="11" fillId="0" borderId="2" xfId="0" applyFont="1" applyBorder="1"/>
    <xf numFmtId="0" fontId="11" fillId="0" borderId="18" xfId="0" applyFont="1" applyFill="1" applyBorder="1"/>
    <xf numFmtId="0" fontId="11" fillId="0" borderId="19" xfId="0" applyFont="1" applyFill="1" applyBorder="1"/>
    <xf numFmtId="0" fontId="0" fillId="0" borderId="22" xfId="0" applyBorder="1"/>
    <xf numFmtId="0" fontId="11" fillId="0" borderId="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Alignment="1"/>
    <xf numFmtId="0" fontId="13" fillId="0" borderId="0" xfId="0" applyFont="1"/>
    <xf numFmtId="0" fontId="0" fillId="0" borderId="0" xfId="0" applyAlignment="1">
      <alignment vertical="top" wrapText="1"/>
    </xf>
    <xf numFmtId="0" fontId="0" fillId="0" borderId="24" xfId="0" applyBorder="1"/>
    <xf numFmtId="0" fontId="0" fillId="0" borderId="22" xfId="0" applyFill="1" applyBorder="1"/>
    <xf numFmtId="0" fontId="0" fillId="0" borderId="25" xfId="0" applyBorder="1"/>
    <xf numFmtId="0" fontId="0" fillId="0" borderId="20" xfId="0" applyBorder="1"/>
    <xf numFmtId="0" fontId="0" fillId="0" borderId="18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14" fillId="0" borderId="22" xfId="0" applyFont="1" applyBorder="1"/>
    <xf numFmtId="0" fontId="14" fillId="0" borderId="22" xfId="0" applyFont="1" applyFill="1" applyBorder="1"/>
    <xf numFmtId="4" fontId="0" fillId="0" borderId="2" xfId="0" applyNumberFormat="1" applyBorder="1"/>
    <xf numFmtId="4" fontId="0" fillId="0" borderId="16" xfId="0" applyNumberFormat="1" applyBorder="1"/>
    <xf numFmtId="0" fontId="0" fillId="0" borderId="19" xfId="0" applyBorder="1"/>
    <xf numFmtId="0" fontId="2" fillId="0" borderId="25" xfId="0" applyFont="1" applyBorder="1"/>
    <xf numFmtId="0" fontId="2" fillId="0" borderId="24" xfId="0" applyFont="1" applyBorder="1"/>
    <xf numFmtId="0" fontId="2" fillId="0" borderId="20" xfId="0" applyFont="1" applyBorder="1"/>
    <xf numFmtId="0" fontId="2" fillId="0" borderId="23" xfId="0" applyFont="1" applyBorder="1"/>
    <xf numFmtId="0" fontId="2" fillId="0" borderId="21" xfId="0" applyFont="1" applyBorder="1"/>
    <xf numFmtId="0" fontId="2" fillId="0" borderId="18" xfId="0" applyFont="1" applyBorder="1"/>
    <xf numFmtId="0" fontId="2" fillId="0" borderId="16" xfId="0" applyFont="1" applyBorder="1"/>
    <xf numFmtId="0" fontId="2" fillId="0" borderId="17" xfId="0" applyFont="1" applyBorder="1"/>
    <xf numFmtId="0" fontId="0" fillId="0" borderId="15" xfId="0" applyBorder="1"/>
    <xf numFmtId="0" fontId="0" fillId="2" borderId="14" xfId="0" applyFill="1" applyBorder="1"/>
    <xf numFmtId="0" fontId="0" fillId="2" borderId="13" xfId="0" applyFill="1" applyBorder="1"/>
    <xf numFmtId="0" fontId="11" fillId="0" borderId="0" xfId="0" applyFont="1"/>
    <xf numFmtId="0" fontId="0" fillId="2" borderId="1" xfId="0" applyFill="1" applyBorder="1"/>
    <xf numFmtId="10" fontId="0" fillId="2" borderId="13" xfId="1" applyNumberFormat="1" applyFont="1" applyFill="1" applyBorder="1"/>
    <xf numFmtId="0" fontId="0" fillId="0" borderId="23" xfId="0" applyBorder="1"/>
    <xf numFmtId="0" fontId="2" fillId="0" borderId="2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3" borderId="23" xfId="0" applyFill="1" applyBorder="1"/>
    <xf numFmtId="0" fontId="0" fillId="3" borderId="21" xfId="0" applyFill="1" applyBorder="1"/>
    <xf numFmtId="0" fontId="0" fillId="2" borderId="21" xfId="0" applyFill="1" applyBorder="1"/>
    <xf numFmtId="0" fontId="0" fillId="0" borderId="25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4" xfId="0" applyBorder="1" applyAlignment="1">
      <alignment horizontal="left"/>
    </xf>
    <xf numFmtId="0" fontId="9" fillId="0" borderId="22" xfId="0" applyFont="1" applyBorder="1"/>
    <xf numFmtId="0" fontId="9" fillId="0" borderId="24" xfId="0" applyFont="1" applyBorder="1"/>
    <xf numFmtId="0" fontId="3" fillId="0" borderId="25" xfId="0" applyFont="1" applyBorder="1"/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4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6" xfId="0" applyFont="1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0" xfId="0" applyFill="1" applyBorder="1"/>
    <xf numFmtId="0" fontId="5" fillId="0" borderId="3" xfId="0" applyFont="1" applyBorder="1"/>
    <xf numFmtId="0" fontId="11" fillId="0" borderId="17" xfId="0" applyFont="1" applyBorder="1"/>
    <xf numFmtId="0" fontId="11" fillId="0" borderId="18" xfId="0" applyFont="1" applyBorder="1"/>
    <xf numFmtId="0" fontId="0" fillId="0" borderId="14" xfId="0" applyBorder="1"/>
    <xf numFmtId="0" fontId="0" fillId="0" borderId="21" xfId="0" applyBorder="1"/>
    <xf numFmtId="0" fontId="11" fillId="0" borderId="16" xfId="0" applyFont="1" applyBorder="1"/>
    <xf numFmtId="0" fontId="0" fillId="0" borderId="22" xfId="0" applyBorder="1"/>
    <xf numFmtId="0" fontId="0" fillId="0" borderId="0" xfId="0" applyAlignment="1"/>
    <xf numFmtId="0" fontId="0" fillId="0" borderId="24" xfId="0" applyBorder="1"/>
    <xf numFmtId="0" fontId="0" fillId="0" borderId="18" xfId="0" applyBorder="1"/>
    <xf numFmtId="0" fontId="2" fillId="0" borderId="22" xfId="0" applyFont="1" applyBorder="1"/>
    <xf numFmtId="0" fontId="0" fillId="0" borderId="29" xfId="0" applyBorder="1"/>
    <xf numFmtId="0" fontId="0" fillId="0" borderId="30" xfId="0" applyBorder="1"/>
    <xf numFmtId="0" fontId="0" fillId="0" borderId="20" xfId="0" applyFill="1" applyBorder="1"/>
    <xf numFmtId="0" fontId="0" fillId="0" borderId="21" xfId="0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8" xfId="0" applyBorder="1"/>
    <xf numFmtId="0" fontId="0" fillId="4" borderId="0" xfId="0" applyFill="1" applyBorder="1"/>
    <xf numFmtId="0" fontId="0" fillId="4" borderId="2" xfId="0" applyFill="1" applyBorder="1"/>
    <xf numFmtId="0" fontId="0" fillId="4" borderId="1" xfId="0" applyFill="1" applyBorder="1"/>
    <xf numFmtId="0" fontId="0" fillId="4" borderId="13" xfId="0" applyFill="1" applyBorder="1"/>
    <xf numFmtId="0" fontId="0" fillId="3" borderId="22" xfId="0" applyFill="1" applyBorder="1"/>
    <xf numFmtId="0" fontId="0" fillId="3" borderId="0" xfId="0" applyFill="1" applyBorder="1"/>
    <xf numFmtId="0" fontId="0" fillId="3" borderId="2" xfId="0" applyFill="1" applyBorder="1"/>
    <xf numFmtId="0" fontId="2" fillId="0" borderId="35" xfId="0" applyFont="1" applyBorder="1"/>
    <xf numFmtId="0" fontId="2" fillId="0" borderId="33" xfId="0" applyFont="1" applyBorder="1"/>
    <xf numFmtId="0" fontId="2" fillId="0" borderId="30" xfId="0" applyFont="1" applyBorder="1"/>
    <xf numFmtId="0" fontId="0" fillId="5" borderId="0" xfId="0" applyFill="1" applyBorder="1"/>
    <xf numFmtId="0" fontId="7" fillId="0" borderId="0" xfId="0" applyFont="1" applyBorder="1" applyAlignment="1">
      <alignment horizontal="center" vertical="center" wrapText="1" readingOrder="1"/>
    </xf>
    <xf numFmtId="0" fontId="7" fillId="0" borderId="7" xfId="0" applyFont="1" applyBorder="1" applyAlignment="1">
      <alignment horizontal="center" vertical="center" wrapText="1" readingOrder="1"/>
    </xf>
    <xf numFmtId="0" fontId="7" fillId="0" borderId="10" xfId="0" applyFont="1" applyBorder="1" applyAlignment="1">
      <alignment horizontal="center" vertical="center" wrapText="1" readingOrder="1"/>
    </xf>
    <xf numFmtId="0" fontId="7" fillId="0" borderId="23" xfId="0" applyFont="1" applyBorder="1" applyAlignment="1">
      <alignment horizontal="center" vertical="center" wrapText="1" readingOrder="1"/>
    </xf>
    <xf numFmtId="0" fontId="2" fillId="0" borderId="38" xfId="0" applyFont="1" applyBorder="1"/>
    <xf numFmtId="0" fontId="6" fillId="0" borderId="32" xfId="0" applyFont="1" applyBorder="1" applyAlignment="1">
      <alignment horizontal="center" vertical="center" wrapText="1" readingOrder="1"/>
    </xf>
    <xf numFmtId="0" fontId="7" fillId="0" borderId="35" xfId="0" applyFont="1" applyBorder="1" applyAlignment="1">
      <alignment horizontal="center" vertical="center" wrapText="1" readingOrder="1"/>
    </xf>
    <xf numFmtId="0" fontId="6" fillId="0" borderId="30" xfId="0" applyFont="1" applyBorder="1" applyAlignment="1">
      <alignment horizontal="center" vertical="center" wrapText="1" readingOrder="1"/>
    </xf>
    <xf numFmtId="0" fontId="6" fillId="0" borderId="31" xfId="0" applyFont="1" applyBorder="1" applyAlignment="1">
      <alignment horizontal="center" vertical="center" wrapText="1" readingOrder="1"/>
    </xf>
    <xf numFmtId="0" fontId="0" fillId="0" borderId="41" xfId="0" applyBorder="1"/>
    <xf numFmtId="0" fontId="0" fillId="2" borderId="7" xfId="0" applyFill="1" applyBorder="1"/>
    <xf numFmtId="0" fontId="0" fillId="2" borderId="28" xfId="0" applyFill="1" applyBorder="1"/>
    <xf numFmtId="0" fontId="0" fillId="2" borderId="2" xfId="0" applyFill="1" applyBorder="1"/>
    <xf numFmtId="0" fontId="0" fillId="4" borderId="21" xfId="0" applyFill="1" applyBorder="1"/>
    <xf numFmtId="0" fontId="0" fillId="2" borderId="19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37" xfId="0" applyFill="1" applyBorder="1"/>
    <xf numFmtId="0" fontId="7" fillId="0" borderId="12" xfId="0" applyFont="1" applyBorder="1" applyAlignment="1">
      <alignment horizontal="center" vertical="center" wrapText="1" readingOrder="1"/>
    </xf>
    <xf numFmtId="0" fontId="0" fillId="4" borderId="7" xfId="0" applyFill="1" applyBorder="1"/>
    <xf numFmtId="0" fontId="0" fillId="4" borderId="28" xfId="0" applyFill="1" applyBorder="1"/>
    <xf numFmtId="0" fontId="0" fillId="2" borderId="22" xfId="0" applyFill="1" applyBorder="1"/>
    <xf numFmtId="0" fontId="0" fillId="2" borderId="24" xfId="0" applyFill="1" applyBorder="1"/>
    <xf numFmtId="0" fontId="0" fillId="0" borderId="39" xfId="0" applyFill="1" applyBorder="1"/>
    <xf numFmtId="0" fontId="0" fillId="0" borderId="40" xfId="0" applyBorder="1"/>
    <xf numFmtId="0" fontId="0" fillId="0" borderId="42" xfId="0" applyBorder="1"/>
    <xf numFmtId="0" fontId="0" fillId="0" borderId="43" xfId="0" applyBorder="1"/>
    <xf numFmtId="0" fontId="11" fillId="0" borderId="0" xfId="0" applyFont="1" applyBorder="1"/>
    <xf numFmtId="0" fontId="0" fillId="0" borderId="7" xfId="0" applyFill="1" applyBorder="1"/>
    <xf numFmtId="0" fontId="0" fillId="3" borderId="16" xfId="0" applyFill="1" applyBorder="1"/>
    <xf numFmtId="0" fontId="2" fillId="0" borderId="6" xfId="0" applyFont="1" applyFill="1" applyBorder="1"/>
    <xf numFmtId="0" fontId="0" fillId="0" borderId="27" xfId="0" applyBorder="1"/>
    <xf numFmtId="0" fontId="0" fillId="0" borderId="39" xfId="0" applyBorder="1"/>
    <xf numFmtId="0" fontId="0" fillId="5" borderId="10" xfId="0" applyFill="1" applyBorder="1"/>
    <xf numFmtId="0" fontId="0" fillId="4" borderId="24" xfId="0" applyFill="1" applyBorder="1"/>
    <xf numFmtId="0" fontId="0" fillId="3" borderId="7" xfId="0" applyFont="1" applyFill="1" applyBorder="1"/>
    <xf numFmtId="167" fontId="0" fillId="0" borderId="0" xfId="0" applyNumberFormat="1" applyBorder="1"/>
    <xf numFmtId="167" fontId="0" fillId="0" borderId="10" xfId="0" applyNumberFormat="1" applyBorder="1"/>
    <xf numFmtId="167" fontId="0" fillId="0" borderId="2" xfId="0" applyNumberFormat="1" applyBorder="1"/>
    <xf numFmtId="167" fontId="0" fillId="0" borderId="11" xfId="0" applyNumberFormat="1" applyBorder="1"/>
    <xf numFmtId="0" fontId="0" fillId="5" borderId="2" xfId="0" applyFill="1" applyBorder="1"/>
    <xf numFmtId="0" fontId="0" fillId="2" borderId="11" xfId="0" applyFill="1" applyBorder="1"/>
    <xf numFmtId="0" fontId="11" fillId="0" borderId="44" xfId="0" applyFont="1" applyBorder="1" applyAlignment="1">
      <alignment horizontal="left" wrapText="1"/>
    </xf>
    <xf numFmtId="0" fontId="11" fillId="0" borderId="45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1" fillId="0" borderId="4" xfId="0" applyFont="1" applyBorder="1"/>
    <xf numFmtId="0" fontId="11" fillId="0" borderId="15" xfId="0" applyFont="1" applyBorder="1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2" fontId="0" fillId="4" borderId="0" xfId="0" applyNumberFormat="1" applyFill="1"/>
    <xf numFmtId="0" fontId="0" fillId="4" borderId="0" xfId="0" applyFill="1"/>
    <xf numFmtId="168" fontId="0" fillId="0" borderId="0" xfId="1" applyNumberFormat="1" applyFont="1" applyAlignment="1"/>
    <xf numFmtId="0" fontId="11" fillId="0" borderId="0" xfId="0" applyFont="1" applyFill="1" applyBorder="1"/>
    <xf numFmtId="0" fontId="11" fillId="0" borderId="1" xfId="0" applyFont="1" applyBorder="1" applyAlignment="1">
      <alignment horizontal="left"/>
    </xf>
    <xf numFmtId="0" fontId="16" fillId="0" borderId="0" xfId="0" applyFont="1"/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8" fillId="0" borderId="6" xfId="0" applyFont="1" applyFill="1" applyBorder="1" applyAlignment="1">
      <alignment horizontal="left" vertical="center" readingOrder="1"/>
    </xf>
    <xf numFmtId="0" fontId="5" fillId="0" borderId="3" xfId="0" applyFont="1" applyBorder="1"/>
    <xf numFmtId="0" fontId="0" fillId="0" borderId="14" xfId="0" applyBorder="1"/>
    <xf numFmtId="0" fontId="0" fillId="0" borderId="21" xfId="0" applyBorder="1"/>
    <xf numFmtId="0" fontId="0" fillId="0" borderId="22" xfId="0" applyBorder="1"/>
    <xf numFmtId="0" fontId="0" fillId="0" borderId="24" xfId="0" applyBorder="1"/>
    <xf numFmtId="0" fontId="0" fillId="0" borderId="18" xfId="0" applyBorder="1"/>
    <xf numFmtId="0" fontId="0" fillId="0" borderId="16" xfId="0" applyBorder="1"/>
    <xf numFmtId="0" fontId="0" fillId="0" borderId="17" xfId="0" applyBorder="1"/>
    <xf numFmtId="0" fontId="17" fillId="0" borderId="0" xfId="0" applyFont="1"/>
    <xf numFmtId="0" fontId="0" fillId="2" borderId="0" xfId="0" applyFill="1"/>
    <xf numFmtId="0" fontId="17" fillId="0" borderId="3" xfId="0" applyFont="1" applyBorder="1"/>
    <xf numFmtId="169" fontId="0" fillId="0" borderId="22" xfId="0" applyNumberFormat="1" applyBorder="1"/>
    <xf numFmtId="167" fontId="0" fillId="0" borderId="22" xfId="0" applyNumberFormat="1" applyBorder="1"/>
    <xf numFmtId="166" fontId="0" fillId="0" borderId="22" xfId="0" applyNumberFormat="1" applyBorder="1"/>
    <xf numFmtId="0" fontId="2" fillId="0" borderId="36" xfId="0" applyFont="1" applyBorder="1"/>
    <xf numFmtId="0" fontId="18" fillId="0" borderId="25" xfId="0" applyFont="1" applyBorder="1"/>
    <xf numFmtId="0" fontId="0" fillId="4" borderId="25" xfId="0" applyFill="1" applyBorder="1"/>
    <xf numFmtId="0" fontId="0" fillId="4" borderId="15" xfId="0" applyFill="1" applyBorder="1"/>
    <xf numFmtId="0" fontId="0" fillId="4" borderId="14" xfId="0" applyFill="1" applyBorder="1"/>
    <xf numFmtId="0" fontId="0" fillId="4" borderId="22" xfId="0" applyFill="1" applyBorder="1"/>
    <xf numFmtId="0" fontId="0" fillId="0" borderId="23" xfId="0" applyFill="1" applyBorder="1"/>
    <xf numFmtId="0" fontId="0" fillId="4" borderId="37" xfId="0" applyFill="1" applyBorder="1"/>
    <xf numFmtId="0" fontId="0" fillId="4" borderId="20" xfId="0" applyFill="1" applyBorder="1"/>
    <xf numFmtId="0" fontId="0" fillId="4" borderId="23" xfId="0" applyFill="1" applyBorder="1"/>
    <xf numFmtId="3" fontId="0" fillId="4" borderId="0" xfId="2" applyNumberFormat="1" applyFont="1" applyFill="1" applyBorder="1"/>
    <xf numFmtId="3" fontId="0" fillId="4" borderId="2" xfId="2" applyNumberFormat="1" applyFont="1" applyFill="1" applyBorder="1"/>
    <xf numFmtId="3" fontId="0" fillId="4" borderId="13" xfId="2" applyNumberFormat="1" applyFont="1" applyFill="1" applyBorder="1"/>
    <xf numFmtId="9" fontId="0" fillId="4" borderId="18" xfId="0" applyNumberFormat="1" applyFill="1" applyBorder="1"/>
    <xf numFmtId="9" fontId="0" fillId="4" borderId="17" xfId="0" applyNumberFormat="1" applyFill="1" applyBorder="1"/>
    <xf numFmtId="9" fontId="0" fillId="4" borderId="20" xfId="1" applyFont="1" applyFill="1" applyBorder="1"/>
    <xf numFmtId="9" fontId="0" fillId="4" borderId="23" xfId="1" applyFont="1" applyFill="1" applyBorder="1"/>
    <xf numFmtId="9" fontId="0" fillId="4" borderId="21" xfId="1" applyFont="1" applyFill="1" applyBorder="1"/>
    <xf numFmtId="3" fontId="0" fillId="4" borderId="2" xfId="2" applyNumberFormat="1" applyFont="1" applyFill="1" applyBorder="1" applyAlignment="1">
      <alignment horizontal="right"/>
    </xf>
    <xf numFmtId="9" fontId="0" fillId="4" borderId="2" xfId="1" applyFont="1" applyFill="1" applyBorder="1"/>
    <xf numFmtId="10" fontId="0" fillId="4" borderId="13" xfId="1" applyNumberFormat="1" applyFont="1" applyFill="1" applyBorder="1"/>
    <xf numFmtId="10" fontId="0" fillId="4" borderId="0" xfId="1" applyNumberFormat="1" applyFont="1" applyFill="1"/>
    <xf numFmtId="3" fontId="0" fillId="4" borderId="14" xfId="0" applyNumberFormat="1" applyFill="1" applyBorder="1"/>
    <xf numFmtId="3" fontId="0" fillId="4" borderId="21" xfId="0" applyNumberFormat="1" applyFill="1" applyBorder="1"/>
    <xf numFmtId="3" fontId="0" fillId="4" borderId="2" xfId="0" applyNumberFormat="1" applyFill="1" applyBorder="1"/>
    <xf numFmtId="165" fontId="0" fillId="2" borderId="37" xfId="1" applyNumberFormat="1" applyFont="1" applyFill="1" applyBorder="1"/>
    <xf numFmtId="0" fontId="0" fillId="5" borderId="7" xfId="0" applyFill="1" applyBorder="1"/>
    <xf numFmtId="165" fontId="0" fillId="5" borderId="28" xfId="1" applyNumberFormat="1" applyFont="1" applyFill="1" applyBorder="1"/>
    <xf numFmtId="0" fontId="0" fillId="5" borderId="28" xfId="0" applyFill="1" applyBorder="1"/>
    <xf numFmtId="10" fontId="0" fillId="5" borderId="7" xfId="1" applyNumberFormat="1" applyFont="1" applyFill="1" applyBorder="1"/>
    <xf numFmtId="10" fontId="0" fillId="5" borderId="28" xfId="1" applyNumberFormat="1" applyFont="1" applyFill="1" applyBorder="1"/>
    <xf numFmtId="165" fontId="0" fillId="5" borderId="7" xfId="1" applyNumberFormat="1" applyFont="1" applyFill="1" applyBorder="1"/>
    <xf numFmtId="43" fontId="0" fillId="5" borderId="2" xfId="2" applyFont="1" applyFill="1" applyBorder="1"/>
    <xf numFmtId="164" fontId="0" fillId="5" borderId="2" xfId="1" applyNumberFormat="1" applyFont="1" applyFill="1" applyBorder="1"/>
    <xf numFmtId="4" fontId="0" fillId="5" borderId="13" xfId="0" applyNumberFormat="1" applyFill="1" applyBorder="1"/>
    <xf numFmtId="0" fontId="0" fillId="5" borderId="13" xfId="0" applyFill="1" applyBorder="1"/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9" fontId="0" fillId="4" borderId="20" xfId="0" applyNumberFormat="1" applyFill="1" applyBorder="1" applyAlignment="1">
      <alignment horizontal="center"/>
    </xf>
    <xf numFmtId="9" fontId="0" fillId="4" borderId="21" xfId="0" applyNumberFormat="1" applyFill="1" applyBorder="1" applyAlignment="1">
      <alignment horizontal="center"/>
    </xf>
    <xf numFmtId="0" fontId="0" fillId="0" borderId="2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vertical="top" wrapText="1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11" fillId="0" borderId="1" xfId="0" applyFont="1" applyBorder="1" applyAlignment="1">
      <alignment horizontal="left"/>
    </xf>
    <xf numFmtId="0" fontId="11" fillId="0" borderId="2" xfId="0" applyFont="1" applyBorder="1" applyAlignment="1">
      <alignment horizontal="left" vertical="center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</cellXfs>
  <cellStyles count="3">
    <cellStyle name="Ezres" xfId="2" builtinId="3"/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png"/><Relationship Id="rId18" Type="http://schemas.openxmlformats.org/officeDocument/2006/relationships/image" Target="../media/image22.png"/><Relationship Id="rId3" Type="http://schemas.openxmlformats.org/officeDocument/2006/relationships/image" Target="../media/image7.png"/><Relationship Id="rId21" Type="http://schemas.openxmlformats.org/officeDocument/2006/relationships/image" Target="../media/image25.png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17" Type="http://schemas.openxmlformats.org/officeDocument/2006/relationships/image" Target="../media/image21.png"/><Relationship Id="rId25" Type="http://schemas.openxmlformats.org/officeDocument/2006/relationships/image" Target="../media/image29.png"/><Relationship Id="rId2" Type="http://schemas.openxmlformats.org/officeDocument/2006/relationships/image" Target="../media/image6.png"/><Relationship Id="rId16" Type="http://schemas.openxmlformats.org/officeDocument/2006/relationships/image" Target="../media/image20.png"/><Relationship Id="rId20" Type="http://schemas.openxmlformats.org/officeDocument/2006/relationships/image" Target="../media/image24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11" Type="http://schemas.openxmlformats.org/officeDocument/2006/relationships/image" Target="../media/image15.png"/><Relationship Id="rId24" Type="http://schemas.openxmlformats.org/officeDocument/2006/relationships/image" Target="../media/image28.png"/><Relationship Id="rId5" Type="http://schemas.openxmlformats.org/officeDocument/2006/relationships/image" Target="../media/image9.png"/><Relationship Id="rId15" Type="http://schemas.openxmlformats.org/officeDocument/2006/relationships/image" Target="../media/image19.png"/><Relationship Id="rId23" Type="http://schemas.openxmlformats.org/officeDocument/2006/relationships/image" Target="../media/image27.png"/><Relationship Id="rId10" Type="http://schemas.openxmlformats.org/officeDocument/2006/relationships/image" Target="../media/image14.png"/><Relationship Id="rId19" Type="http://schemas.openxmlformats.org/officeDocument/2006/relationships/image" Target="../media/image23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4" Type="http://schemas.openxmlformats.org/officeDocument/2006/relationships/image" Target="../media/image18.png"/><Relationship Id="rId22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441828</xdr:colOff>
      <xdr:row>0</xdr:row>
      <xdr:rowOff>0</xdr:rowOff>
    </xdr:from>
    <xdr:to>
      <xdr:col>20</xdr:col>
      <xdr:colOff>194958</xdr:colOff>
      <xdr:row>25</xdr:row>
      <xdr:rowOff>112854</xdr:rowOff>
    </xdr:to>
    <xdr:pic>
      <xdr:nvPicPr>
        <xdr:cNvPr id="18" name="Kép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948028" y="0"/>
          <a:ext cx="6744480" cy="4970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866776</xdr:colOff>
      <xdr:row>0</xdr:row>
      <xdr:rowOff>0</xdr:rowOff>
    </xdr:from>
    <xdr:to>
      <xdr:col>5</xdr:col>
      <xdr:colOff>172764</xdr:colOff>
      <xdr:row>1</xdr:row>
      <xdr:rowOff>123825</xdr:rowOff>
    </xdr:to>
    <xdr:pic>
      <xdr:nvPicPr>
        <xdr:cNvPr id="2" name="Kép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62151" y="0"/>
          <a:ext cx="2935013" cy="5048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371475</xdr:colOff>
      <xdr:row>0</xdr:row>
      <xdr:rowOff>0</xdr:rowOff>
    </xdr:from>
    <xdr:to>
      <xdr:col>16</xdr:col>
      <xdr:colOff>391293</xdr:colOff>
      <xdr:row>18</xdr:row>
      <xdr:rowOff>124321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xmlns="" id="{08B41991-A8EE-4AB9-A928-BAAF01D01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686675" y="0"/>
          <a:ext cx="5506218" cy="35533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135156</xdr:colOff>
      <xdr:row>0</xdr:row>
      <xdr:rowOff>0</xdr:rowOff>
    </xdr:from>
    <xdr:to>
      <xdr:col>14</xdr:col>
      <xdr:colOff>161926</xdr:colOff>
      <xdr:row>20</xdr:row>
      <xdr:rowOff>180975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xmlns="" id="{CB6D5E50-C12F-4CB9-9177-7E02F7D30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964331" y="0"/>
          <a:ext cx="6122770" cy="4514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45225</xdr:colOff>
      <xdr:row>0</xdr:row>
      <xdr:rowOff>0</xdr:rowOff>
    </xdr:from>
    <xdr:to>
      <xdr:col>20</xdr:col>
      <xdr:colOff>364854</xdr:colOff>
      <xdr:row>5</xdr:row>
      <xdr:rowOff>152554</xdr:rowOff>
    </xdr:to>
    <xdr:grpSp>
      <xdr:nvGrpSpPr>
        <xdr:cNvPr id="56" name="Csoportba foglalás 55">
          <a:extLst>
            <a:ext uri="{FF2B5EF4-FFF2-40B4-BE49-F238E27FC236}">
              <a16:creationId xmlns:a16="http://schemas.microsoft.com/office/drawing/2014/main" xmlns="" id="{7FB76048-49F2-410A-90B4-7609D0C4B544}"/>
            </a:ext>
          </a:extLst>
        </xdr:cNvPr>
        <xdr:cNvGrpSpPr/>
      </xdr:nvGrpSpPr>
      <xdr:grpSpPr>
        <a:xfrm>
          <a:off x="45225" y="0"/>
          <a:ext cx="12384629" cy="1279679"/>
          <a:chOff x="4788675" y="0"/>
          <a:chExt cx="12511629" cy="1105054"/>
        </a:xfrm>
      </xdr:grpSpPr>
      <xdr:pic>
        <xdr:nvPicPr>
          <xdr:cNvPr id="9" name="Kép 8">
            <a:extLst>
              <a:ext uri="{FF2B5EF4-FFF2-40B4-BE49-F238E27FC236}">
                <a16:creationId xmlns:a16="http://schemas.microsoft.com/office/drawing/2014/main" xmlns="" id="{988E9B74-B811-49A3-8A9B-A5AE90A1A2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tretch>
            <a:fillRect/>
          </a:stretch>
        </xdr:blipFill>
        <xdr:spPr>
          <a:xfrm>
            <a:off x="4788675" y="0"/>
            <a:ext cx="4858428" cy="1019317"/>
          </a:xfrm>
          <a:prstGeom prst="rect">
            <a:avLst/>
          </a:prstGeom>
        </xdr:spPr>
      </xdr:pic>
      <xdr:pic>
        <xdr:nvPicPr>
          <xdr:cNvPr id="11" name="Kép 10">
            <a:extLst>
              <a:ext uri="{FF2B5EF4-FFF2-40B4-BE49-F238E27FC236}">
                <a16:creationId xmlns:a16="http://schemas.microsoft.com/office/drawing/2014/main" xmlns="" id="{741C5121-0E4C-4F7A-9499-609928C444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tretch>
            <a:fillRect/>
          </a:stretch>
        </xdr:blipFill>
        <xdr:spPr>
          <a:xfrm>
            <a:off x="9580072" y="0"/>
            <a:ext cx="3893548" cy="1105054"/>
          </a:xfrm>
          <a:prstGeom prst="rect">
            <a:avLst/>
          </a:prstGeom>
        </xdr:spPr>
      </xdr:pic>
      <xdr:pic>
        <xdr:nvPicPr>
          <xdr:cNvPr id="13" name="Kép 12">
            <a:extLst>
              <a:ext uri="{FF2B5EF4-FFF2-40B4-BE49-F238E27FC236}">
                <a16:creationId xmlns:a16="http://schemas.microsoft.com/office/drawing/2014/main" xmlns="" id="{93B8C0D5-6EB2-420F-BA09-F717798E05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tretch>
            <a:fillRect/>
          </a:stretch>
        </xdr:blipFill>
        <xdr:spPr>
          <a:xfrm>
            <a:off x="13156351" y="0"/>
            <a:ext cx="4143953" cy="1047896"/>
          </a:xfrm>
          <a:prstGeom prst="rect">
            <a:avLst/>
          </a:prstGeom>
        </xdr:spPr>
      </xdr:pic>
    </xdr:grpSp>
    <xdr:clientData/>
  </xdr:twoCellAnchor>
  <xdr:twoCellAnchor>
    <xdr:from>
      <xdr:col>21</xdr:col>
      <xdr:colOff>476250</xdr:colOff>
      <xdr:row>1</xdr:row>
      <xdr:rowOff>50914</xdr:rowOff>
    </xdr:from>
    <xdr:to>
      <xdr:col>41</xdr:col>
      <xdr:colOff>221478</xdr:colOff>
      <xdr:row>7</xdr:row>
      <xdr:rowOff>8561</xdr:rowOff>
    </xdr:to>
    <xdr:grpSp>
      <xdr:nvGrpSpPr>
        <xdr:cNvPr id="57" name="Csoportba foglalás 56">
          <a:extLst>
            <a:ext uri="{FF2B5EF4-FFF2-40B4-BE49-F238E27FC236}">
              <a16:creationId xmlns:a16="http://schemas.microsoft.com/office/drawing/2014/main" xmlns="" id="{A7279F80-69A9-4C51-9024-B12FF5A05D61}"/>
            </a:ext>
          </a:extLst>
        </xdr:cNvPr>
        <xdr:cNvGrpSpPr/>
      </xdr:nvGrpSpPr>
      <xdr:grpSpPr>
        <a:xfrm>
          <a:off x="13144500" y="416039"/>
          <a:ext cx="11810228" cy="1100647"/>
          <a:chOff x="0" y="1422514"/>
          <a:chExt cx="11937228" cy="1100647"/>
        </a:xfrm>
      </xdr:grpSpPr>
      <xdr:pic>
        <xdr:nvPicPr>
          <xdr:cNvPr id="17" name="Kép 16">
            <a:extLst>
              <a:ext uri="{FF2B5EF4-FFF2-40B4-BE49-F238E27FC236}">
                <a16:creationId xmlns:a16="http://schemas.microsoft.com/office/drawing/2014/main" xmlns="" id="{56F9008D-6D0B-4164-8884-B262F182E5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tretch>
            <a:fillRect/>
          </a:stretch>
        </xdr:blipFill>
        <xdr:spPr>
          <a:xfrm>
            <a:off x="3898692" y="1446686"/>
            <a:ext cx="4944166" cy="1076475"/>
          </a:xfrm>
          <a:prstGeom prst="rect">
            <a:avLst/>
          </a:prstGeom>
        </xdr:spPr>
      </xdr:pic>
      <xdr:pic>
        <xdr:nvPicPr>
          <xdr:cNvPr id="15" name="Kép 14">
            <a:extLst>
              <a:ext uri="{FF2B5EF4-FFF2-40B4-BE49-F238E27FC236}">
                <a16:creationId xmlns:a16="http://schemas.microsoft.com/office/drawing/2014/main" xmlns="" id="{E73A4FCB-F231-4E36-A966-F3812522A9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tretch>
            <a:fillRect/>
          </a:stretch>
        </xdr:blipFill>
        <xdr:spPr>
          <a:xfrm>
            <a:off x="0" y="1449086"/>
            <a:ext cx="3972479" cy="1066949"/>
          </a:xfrm>
          <a:prstGeom prst="rect">
            <a:avLst/>
          </a:prstGeom>
        </xdr:spPr>
      </xdr:pic>
      <xdr:pic>
        <xdr:nvPicPr>
          <xdr:cNvPr id="19" name="Kép 18">
            <a:extLst>
              <a:ext uri="{FF2B5EF4-FFF2-40B4-BE49-F238E27FC236}">
                <a16:creationId xmlns:a16="http://schemas.microsoft.com/office/drawing/2014/main" xmlns="" id="{AF6C3151-20EC-4967-A672-CFBB5A32BB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tretch>
            <a:fillRect/>
          </a:stretch>
        </xdr:blipFill>
        <xdr:spPr>
          <a:xfrm>
            <a:off x="8536328" y="1422514"/>
            <a:ext cx="3400900" cy="104789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8</xdr:row>
      <xdr:rowOff>90300</xdr:rowOff>
    </xdr:from>
    <xdr:to>
      <xdr:col>22</xdr:col>
      <xdr:colOff>243312</xdr:colOff>
      <xdr:row>21</xdr:row>
      <xdr:rowOff>33488</xdr:rowOff>
    </xdr:to>
    <xdr:grpSp>
      <xdr:nvGrpSpPr>
        <xdr:cNvPr id="58" name="Csoportba foglalás 57">
          <a:extLst>
            <a:ext uri="{FF2B5EF4-FFF2-40B4-BE49-F238E27FC236}">
              <a16:creationId xmlns:a16="http://schemas.microsoft.com/office/drawing/2014/main" xmlns="" id="{46621D6B-749B-42A6-BE5D-87B64A0ED8BE}"/>
            </a:ext>
          </a:extLst>
        </xdr:cNvPr>
        <xdr:cNvGrpSpPr/>
      </xdr:nvGrpSpPr>
      <xdr:grpSpPr>
        <a:xfrm>
          <a:off x="0" y="1963550"/>
          <a:ext cx="13514812" cy="2594313"/>
          <a:chOff x="0" y="2852550"/>
          <a:chExt cx="13654512" cy="2419688"/>
        </a:xfrm>
      </xdr:grpSpPr>
      <xdr:pic>
        <xdr:nvPicPr>
          <xdr:cNvPr id="21" name="Kép 20">
            <a:extLst>
              <a:ext uri="{FF2B5EF4-FFF2-40B4-BE49-F238E27FC236}">
                <a16:creationId xmlns:a16="http://schemas.microsoft.com/office/drawing/2014/main" xmlns="" id="{071B479E-6E63-4F6A-B68C-FEEA5A12F4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tretch>
            <a:fillRect/>
          </a:stretch>
        </xdr:blipFill>
        <xdr:spPr>
          <a:xfrm>
            <a:off x="0" y="2892407"/>
            <a:ext cx="4622992" cy="1028844"/>
          </a:xfrm>
          <a:prstGeom prst="rect">
            <a:avLst/>
          </a:prstGeom>
        </xdr:spPr>
      </xdr:pic>
      <xdr:pic>
        <xdr:nvPicPr>
          <xdr:cNvPr id="23" name="Kép 22">
            <a:extLst>
              <a:ext uri="{FF2B5EF4-FFF2-40B4-BE49-F238E27FC236}">
                <a16:creationId xmlns:a16="http://schemas.microsoft.com/office/drawing/2014/main" xmlns="" id="{FC779E6F-1BF2-4A98-9A74-5E0D43D638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tretch>
            <a:fillRect/>
          </a:stretch>
        </xdr:blipFill>
        <xdr:spPr>
          <a:xfrm>
            <a:off x="4585457" y="2865514"/>
            <a:ext cx="4689676" cy="2391109"/>
          </a:xfrm>
          <a:prstGeom prst="rect">
            <a:avLst/>
          </a:prstGeom>
        </xdr:spPr>
      </xdr:pic>
      <xdr:pic>
        <xdr:nvPicPr>
          <xdr:cNvPr id="27" name="Kép 26">
            <a:extLst>
              <a:ext uri="{FF2B5EF4-FFF2-40B4-BE49-F238E27FC236}">
                <a16:creationId xmlns:a16="http://schemas.microsoft.com/office/drawing/2014/main" xmlns="" id="{145C94CA-B1E9-4700-9DEE-AB43115714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tretch>
            <a:fillRect/>
          </a:stretch>
        </xdr:blipFill>
        <xdr:spPr>
          <a:xfrm>
            <a:off x="9272400" y="2852550"/>
            <a:ext cx="4382112" cy="2419688"/>
          </a:xfrm>
          <a:prstGeom prst="rect">
            <a:avLst/>
          </a:prstGeom>
        </xdr:spPr>
      </xdr:pic>
    </xdr:grpSp>
    <xdr:clientData/>
  </xdr:twoCellAnchor>
  <xdr:twoCellAnchor>
    <xdr:from>
      <xdr:col>23</xdr:col>
      <xdr:colOff>571500</xdr:colOff>
      <xdr:row>9</xdr:row>
      <xdr:rowOff>0</xdr:rowOff>
    </xdr:from>
    <xdr:to>
      <xdr:col>48</xdr:col>
      <xdr:colOff>200298</xdr:colOff>
      <xdr:row>20</xdr:row>
      <xdr:rowOff>68925</xdr:rowOff>
    </xdr:to>
    <xdr:grpSp>
      <xdr:nvGrpSpPr>
        <xdr:cNvPr id="59" name="Csoportba foglalás 58">
          <a:extLst>
            <a:ext uri="{FF2B5EF4-FFF2-40B4-BE49-F238E27FC236}">
              <a16:creationId xmlns:a16="http://schemas.microsoft.com/office/drawing/2014/main" xmlns="" id="{7A23A659-D45E-4538-9AAF-9AB52A9D8744}"/>
            </a:ext>
          </a:extLst>
        </xdr:cNvPr>
        <xdr:cNvGrpSpPr/>
      </xdr:nvGrpSpPr>
      <xdr:grpSpPr>
        <a:xfrm>
          <a:off x="14446250" y="2238375"/>
          <a:ext cx="14710048" cy="2164425"/>
          <a:chOff x="0" y="5581650"/>
          <a:chExt cx="14868798" cy="2164425"/>
        </a:xfrm>
      </xdr:grpSpPr>
      <xdr:pic>
        <xdr:nvPicPr>
          <xdr:cNvPr id="31" name="Kép 30">
            <a:extLst>
              <a:ext uri="{FF2B5EF4-FFF2-40B4-BE49-F238E27FC236}">
                <a16:creationId xmlns:a16="http://schemas.microsoft.com/office/drawing/2014/main" xmlns="" id="{43B3039D-A6DB-4F4A-8CA1-D571BE47B5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tretch>
            <a:fillRect/>
          </a:stretch>
        </xdr:blipFill>
        <xdr:spPr>
          <a:xfrm>
            <a:off x="0" y="5581650"/>
            <a:ext cx="6573167" cy="1419423"/>
          </a:xfrm>
          <a:prstGeom prst="rect">
            <a:avLst/>
          </a:prstGeom>
        </xdr:spPr>
      </xdr:pic>
      <xdr:pic>
        <xdr:nvPicPr>
          <xdr:cNvPr id="35" name="Kép 34">
            <a:extLst>
              <a:ext uri="{FF2B5EF4-FFF2-40B4-BE49-F238E27FC236}">
                <a16:creationId xmlns:a16="http://schemas.microsoft.com/office/drawing/2014/main" xmlns="" id="{036A482F-68CE-43F4-A837-FCD31714E7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tretch>
            <a:fillRect/>
          </a:stretch>
        </xdr:blipFill>
        <xdr:spPr>
          <a:xfrm>
            <a:off x="10401300" y="5586150"/>
            <a:ext cx="4267796" cy="1057423"/>
          </a:xfrm>
          <a:prstGeom prst="rect">
            <a:avLst/>
          </a:prstGeom>
        </xdr:spPr>
      </xdr:pic>
      <xdr:pic>
        <xdr:nvPicPr>
          <xdr:cNvPr id="33" name="Kép 32">
            <a:extLst>
              <a:ext uri="{FF2B5EF4-FFF2-40B4-BE49-F238E27FC236}">
                <a16:creationId xmlns:a16="http://schemas.microsoft.com/office/drawing/2014/main" xmlns="" id="{42DE3DBD-ACC8-44D5-B8C6-DFCC715247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tretch>
            <a:fillRect/>
          </a:stretch>
        </xdr:blipFill>
        <xdr:spPr>
          <a:xfrm>
            <a:off x="6560100" y="5588550"/>
            <a:ext cx="3905795" cy="1114581"/>
          </a:xfrm>
          <a:prstGeom prst="rect">
            <a:avLst/>
          </a:prstGeom>
        </xdr:spPr>
      </xdr:pic>
      <xdr:pic>
        <xdr:nvPicPr>
          <xdr:cNvPr id="37" name="Kép 36">
            <a:extLst>
              <a:ext uri="{FF2B5EF4-FFF2-40B4-BE49-F238E27FC236}">
                <a16:creationId xmlns:a16="http://schemas.microsoft.com/office/drawing/2014/main" xmlns="" id="{0CA8CFF5-83B8-4FB1-A74C-A973CB0D03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tretch>
            <a:fillRect/>
          </a:stretch>
        </xdr:blipFill>
        <xdr:spPr>
          <a:xfrm>
            <a:off x="6479100" y="6669600"/>
            <a:ext cx="4382112" cy="1076475"/>
          </a:xfrm>
          <a:prstGeom prst="rect">
            <a:avLst/>
          </a:prstGeom>
        </xdr:spPr>
      </xdr:pic>
      <xdr:pic>
        <xdr:nvPicPr>
          <xdr:cNvPr id="39" name="Kép 38">
            <a:extLst>
              <a:ext uri="{FF2B5EF4-FFF2-40B4-BE49-F238E27FC236}">
                <a16:creationId xmlns:a16="http://schemas.microsoft.com/office/drawing/2014/main" xmlns="" id="{131F2071-02FE-4CD1-A6E1-5C508DCE85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tretch>
            <a:fillRect/>
          </a:stretch>
        </xdr:blipFill>
        <xdr:spPr>
          <a:xfrm>
            <a:off x="10762950" y="6610050"/>
            <a:ext cx="4105848" cy="104789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21</xdr:row>
      <xdr:rowOff>192675</xdr:rowOff>
    </xdr:from>
    <xdr:to>
      <xdr:col>34</xdr:col>
      <xdr:colOff>2937</xdr:colOff>
      <xdr:row>59</xdr:row>
      <xdr:rowOff>119830</xdr:rowOff>
    </xdr:to>
    <xdr:grpSp>
      <xdr:nvGrpSpPr>
        <xdr:cNvPr id="60" name="Csoportba foglalás 59">
          <a:extLst>
            <a:ext uri="{FF2B5EF4-FFF2-40B4-BE49-F238E27FC236}">
              <a16:creationId xmlns:a16="http://schemas.microsoft.com/office/drawing/2014/main" xmlns="" id="{1A3DF2A8-8DC3-4EB5-A5BE-09C2FDA920D9}"/>
            </a:ext>
          </a:extLst>
        </xdr:cNvPr>
        <xdr:cNvGrpSpPr/>
      </xdr:nvGrpSpPr>
      <xdr:grpSpPr>
        <a:xfrm>
          <a:off x="0" y="4717050"/>
          <a:ext cx="20513437" cy="7340780"/>
          <a:chOff x="0" y="4545600"/>
          <a:chExt cx="20729337" cy="7499530"/>
        </a:xfrm>
      </xdr:grpSpPr>
      <xdr:pic>
        <xdr:nvPicPr>
          <xdr:cNvPr id="7" name="Kép 6">
            <a:extLst>
              <a:ext uri="{FF2B5EF4-FFF2-40B4-BE49-F238E27FC236}">
                <a16:creationId xmlns:a16="http://schemas.microsoft.com/office/drawing/2014/main" xmlns="" id="{160C7ACC-F343-4141-931D-DAEA22AE71B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tretch>
            <a:fillRect/>
          </a:stretch>
        </xdr:blipFill>
        <xdr:spPr>
          <a:xfrm>
            <a:off x="9086850" y="6934200"/>
            <a:ext cx="4820323" cy="800212"/>
          </a:xfrm>
          <a:prstGeom prst="rect">
            <a:avLst/>
          </a:prstGeom>
        </xdr:spPr>
      </xdr:pic>
      <xdr:pic>
        <xdr:nvPicPr>
          <xdr:cNvPr id="25" name="Kép 24">
            <a:extLst>
              <a:ext uri="{FF2B5EF4-FFF2-40B4-BE49-F238E27FC236}">
                <a16:creationId xmlns:a16="http://schemas.microsoft.com/office/drawing/2014/main" xmlns="" id="{0AFC6850-A1BD-4526-B6A6-C208645559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tretch>
            <a:fillRect/>
          </a:stretch>
        </xdr:blipFill>
        <xdr:spPr>
          <a:xfrm>
            <a:off x="8686800" y="5747829"/>
            <a:ext cx="6652100" cy="1105054"/>
          </a:xfrm>
          <a:prstGeom prst="rect">
            <a:avLst/>
          </a:prstGeom>
        </xdr:spPr>
      </xdr:pic>
      <xdr:pic>
        <xdr:nvPicPr>
          <xdr:cNvPr id="29" name="Kép 28">
            <a:extLst>
              <a:ext uri="{FF2B5EF4-FFF2-40B4-BE49-F238E27FC236}">
                <a16:creationId xmlns:a16="http://schemas.microsoft.com/office/drawing/2014/main" xmlns="" id="{430A15EA-81EA-4985-9B5B-4115AC5693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tretch>
            <a:fillRect/>
          </a:stretch>
        </xdr:blipFill>
        <xdr:spPr>
          <a:xfrm>
            <a:off x="15270750" y="4545600"/>
            <a:ext cx="5458587" cy="4077269"/>
          </a:xfrm>
          <a:prstGeom prst="rect">
            <a:avLst/>
          </a:prstGeom>
        </xdr:spPr>
      </xdr:pic>
      <xdr:pic>
        <xdr:nvPicPr>
          <xdr:cNvPr id="41" name="Kép 40">
            <a:extLst>
              <a:ext uri="{FF2B5EF4-FFF2-40B4-BE49-F238E27FC236}">
                <a16:creationId xmlns:a16="http://schemas.microsoft.com/office/drawing/2014/main" xmlns="" id="{58DF0F38-AC88-442A-AA68-F3253512EC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tretch>
            <a:fillRect/>
          </a:stretch>
        </xdr:blipFill>
        <xdr:spPr>
          <a:xfrm>
            <a:off x="0" y="4816950"/>
            <a:ext cx="4639322" cy="990738"/>
          </a:xfrm>
          <a:prstGeom prst="rect">
            <a:avLst/>
          </a:prstGeom>
        </xdr:spPr>
      </xdr:pic>
      <xdr:pic>
        <xdr:nvPicPr>
          <xdr:cNvPr id="43" name="Kép 42">
            <a:extLst>
              <a:ext uri="{FF2B5EF4-FFF2-40B4-BE49-F238E27FC236}">
                <a16:creationId xmlns:a16="http://schemas.microsoft.com/office/drawing/2014/main" xmlns="" id="{36E96B03-49FA-47EB-B4B5-31ED5EC59D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tretch>
            <a:fillRect/>
          </a:stretch>
        </xdr:blipFill>
        <xdr:spPr>
          <a:xfrm>
            <a:off x="4643100" y="4795500"/>
            <a:ext cx="5591955" cy="990738"/>
          </a:xfrm>
          <a:prstGeom prst="rect">
            <a:avLst/>
          </a:prstGeom>
        </xdr:spPr>
      </xdr:pic>
      <xdr:pic>
        <xdr:nvPicPr>
          <xdr:cNvPr id="45" name="Kép 44">
            <a:extLst>
              <a:ext uri="{FF2B5EF4-FFF2-40B4-BE49-F238E27FC236}">
                <a16:creationId xmlns:a16="http://schemas.microsoft.com/office/drawing/2014/main" xmlns="" id="{A40D166D-DE06-4DEC-B75B-77B71FE3A1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tretch>
            <a:fillRect/>
          </a:stretch>
        </xdr:blipFill>
        <xdr:spPr>
          <a:xfrm>
            <a:off x="10165200" y="4774050"/>
            <a:ext cx="4258269" cy="1009791"/>
          </a:xfrm>
          <a:prstGeom prst="rect">
            <a:avLst/>
          </a:prstGeom>
        </xdr:spPr>
      </xdr:pic>
      <xdr:pic>
        <xdr:nvPicPr>
          <xdr:cNvPr id="47" name="Kép 46">
            <a:extLst>
              <a:ext uri="{FF2B5EF4-FFF2-40B4-BE49-F238E27FC236}">
                <a16:creationId xmlns:a16="http://schemas.microsoft.com/office/drawing/2014/main" xmlns="" id="{A8E63C60-9F04-40B7-A88C-115E1B59AD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tretch>
            <a:fillRect/>
          </a:stretch>
        </xdr:blipFill>
        <xdr:spPr>
          <a:xfrm>
            <a:off x="0" y="5762250"/>
            <a:ext cx="4906060" cy="1086002"/>
          </a:xfrm>
          <a:prstGeom prst="rect">
            <a:avLst/>
          </a:prstGeom>
        </xdr:spPr>
      </xdr:pic>
      <xdr:pic>
        <xdr:nvPicPr>
          <xdr:cNvPr id="49" name="Kép 48">
            <a:extLst>
              <a:ext uri="{FF2B5EF4-FFF2-40B4-BE49-F238E27FC236}">
                <a16:creationId xmlns:a16="http://schemas.microsoft.com/office/drawing/2014/main" xmlns="" id="{2BDE1642-6C06-4584-8237-A3E0B0165D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tretch>
            <a:fillRect/>
          </a:stretch>
        </xdr:blipFill>
        <xdr:spPr>
          <a:xfrm>
            <a:off x="4019550" y="6807600"/>
            <a:ext cx="4991797" cy="933580"/>
          </a:xfrm>
          <a:prstGeom prst="rect">
            <a:avLst/>
          </a:prstGeom>
        </xdr:spPr>
      </xdr:pic>
      <xdr:pic>
        <xdr:nvPicPr>
          <xdr:cNvPr id="51" name="Kép 50">
            <a:extLst>
              <a:ext uri="{FF2B5EF4-FFF2-40B4-BE49-F238E27FC236}">
                <a16:creationId xmlns:a16="http://schemas.microsoft.com/office/drawing/2014/main" xmlns="" id="{6A1A04A3-F343-4E59-8B75-73DA3C34D8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tretch>
            <a:fillRect/>
          </a:stretch>
        </xdr:blipFill>
        <xdr:spPr>
          <a:xfrm>
            <a:off x="0" y="6824250"/>
            <a:ext cx="4058216" cy="1143160"/>
          </a:xfrm>
          <a:prstGeom prst="rect">
            <a:avLst/>
          </a:prstGeom>
        </xdr:spPr>
      </xdr:pic>
      <xdr:pic>
        <xdr:nvPicPr>
          <xdr:cNvPr id="53" name="Kép 52">
            <a:extLst>
              <a:ext uri="{FF2B5EF4-FFF2-40B4-BE49-F238E27FC236}">
                <a16:creationId xmlns:a16="http://schemas.microsoft.com/office/drawing/2014/main" xmlns="" id="{F88C9D50-ABDD-4003-8FE7-44E8C25937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tretch>
            <a:fillRect/>
          </a:stretch>
        </xdr:blipFill>
        <xdr:spPr>
          <a:xfrm>
            <a:off x="4916850" y="5793150"/>
            <a:ext cx="3801005" cy="1009791"/>
          </a:xfrm>
          <a:prstGeom prst="rect">
            <a:avLst/>
          </a:prstGeom>
        </xdr:spPr>
      </xdr:pic>
      <xdr:pic>
        <xdr:nvPicPr>
          <xdr:cNvPr id="55" name="Kép 54">
            <a:extLst>
              <a:ext uri="{FF2B5EF4-FFF2-40B4-BE49-F238E27FC236}">
                <a16:creationId xmlns:a16="http://schemas.microsoft.com/office/drawing/2014/main" xmlns="" id="{9FCE67E3-B672-47FC-B2FA-002B1A8D35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tretch>
            <a:fillRect/>
          </a:stretch>
        </xdr:blipFill>
        <xdr:spPr>
          <a:xfrm>
            <a:off x="571500" y="8196493"/>
            <a:ext cx="6563641" cy="384863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8"/>
  <sheetViews>
    <sheetView tabSelected="1" topLeftCell="A5" workbookViewId="0">
      <selection activeCell="E18" sqref="E18"/>
    </sheetView>
  </sheetViews>
  <sheetFormatPr defaultRowHeight="15"/>
  <cols>
    <col min="1" max="1" width="27" bestFit="1" customWidth="1"/>
    <col min="2" max="2" width="13.85546875" customWidth="1"/>
    <col min="4" max="4" width="27" bestFit="1" customWidth="1"/>
    <col min="5" max="5" width="15.85546875" customWidth="1"/>
    <col min="7" max="7" width="17.42578125" customWidth="1"/>
    <col min="8" max="8" width="31.85546875" bestFit="1" customWidth="1"/>
    <col min="9" max="9" width="32.5703125" bestFit="1" customWidth="1"/>
    <col min="20" max="20" width="13.42578125" customWidth="1"/>
  </cols>
  <sheetData>
    <row r="1" spans="1:20" ht="18.75">
      <c r="A1" s="187" t="s">
        <v>0</v>
      </c>
      <c r="B1" s="179"/>
      <c r="D1" s="12" t="s">
        <v>13</v>
      </c>
      <c r="E1" s="4"/>
      <c r="H1" s="237" t="s">
        <v>162</v>
      </c>
      <c r="I1" s="238"/>
    </row>
    <row r="2" spans="1:20">
      <c r="A2" s="180" t="s">
        <v>6</v>
      </c>
      <c r="B2" s="181"/>
      <c r="D2" s="5"/>
      <c r="E2" s="6"/>
      <c r="H2" s="23" t="s">
        <v>18</v>
      </c>
      <c r="I2" s="233"/>
    </row>
    <row r="3" spans="1:20">
      <c r="A3" s="180" t="s">
        <v>7</v>
      </c>
      <c r="B3" s="181"/>
      <c r="D3" s="5"/>
      <c r="E3" s="6"/>
      <c r="H3" s="38" t="s">
        <v>154</v>
      </c>
      <c r="I3" s="158">
        <f>1+I4</f>
        <v>1</v>
      </c>
    </row>
    <row r="4" spans="1:20">
      <c r="A4" s="180" t="s">
        <v>8</v>
      </c>
      <c r="B4" s="181"/>
      <c r="D4" s="5"/>
      <c r="E4" s="6"/>
      <c r="H4" s="23" t="s">
        <v>4</v>
      </c>
      <c r="I4" s="234"/>
    </row>
    <row r="5" spans="1:20">
      <c r="A5" s="180" t="s">
        <v>9</v>
      </c>
      <c r="B5" s="181"/>
      <c r="D5" s="5"/>
      <c r="E5" s="6"/>
      <c r="H5" s="30" t="s">
        <v>3</v>
      </c>
      <c r="I5" s="158"/>
    </row>
    <row r="6" spans="1:20">
      <c r="A6" s="180"/>
      <c r="B6" s="181"/>
      <c r="D6" s="5"/>
      <c r="E6" s="6"/>
      <c r="H6" s="39" t="s">
        <v>156</v>
      </c>
      <c r="I6" s="158">
        <f>I3^I5</f>
        <v>1</v>
      </c>
    </row>
    <row r="7" spans="1:20">
      <c r="A7" s="201" t="s">
        <v>1</v>
      </c>
      <c r="B7" s="135">
        <f>B8*(1+B9*B10)</f>
        <v>0</v>
      </c>
      <c r="D7" s="201" t="s">
        <v>14</v>
      </c>
      <c r="E7" s="135">
        <f>E8*(1+E9)^E10</f>
        <v>0</v>
      </c>
      <c r="H7" s="23" t="s">
        <v>155</v>
      </c>
      <c r="I7" s="233"/>
    </row>
    <row r="8" spans="1:20">
      <c r="A8" s="180" t="s">
        <v>2</v>
      </c>
      <c r="B8" s="227"/>
      <c r="D8" s="180" t="s">
        <v>2</v>
      </c>
      <c r="E8" s="227"/>
      <c r="H8" s="29" t="s">
        <v>153</v>
      </c>
      <c r="I8" s="235"/>
    </row>
    <row r="9" spans="1:20">
      <c r="A9" s="180" t="s">
        <v>3</v>
      </c>
      <c r="B9" s="227"/>
      <c r="D9" s="180" t="s">
        <v>4</v>
      </c>
      <c r="E9" s="230"/>
      <c r="H9" s="11"/>
      <c r="I9" s="2"/>
    </row>
    <row r="10" spans="1:20" ht="18.75">
      <c r="A10" s="106" t="s">
        <v>4</v>
      </c>
      <c r="B10" s="228"/>
      <c r="D10" s="106" t="s">
        <v>3</v>
      </c>
      <c r="E10" s="229"/>
      <c r="G10" s="32"/>
      <c r="H10" s="37" t="s">
        <v>152</v>
      </c>
      <c r="I10" s="37" t="s">
        <v>151</v>
      </c>
    </row>
    <row r="11" spans="1:20">
      <c r="A11" s="180"/>
      <c r="B11" s="181"/>
      <c r="D11" s="5"/>
      <c r="E11" s="6"/>
      <c r="G11" s="34" t="s">
        <v>153</v>
      </c>
      <c r="H11" s="41" t="e">
        <f>I2*((I6-1)/I4)</f>
        <v>#DIV/0!</v>
      </c>
      <c r="I11" s="40" t="e">
        <f>I2*((I3*(I6-1))/I4)</f>
        <v>#DIV/0!</v>
      </c>
      <c r="T11" s="28"/>
    </row>
    <row r="12" spans="1:20">
      <c r="A12" s="201" t="s">
        <v>5</v>
      </c>
      <c r="B12" s="135">
        <f>B13/(1+B14*B15)</f>
        <v>0</v>
      </c>
      <c r="D12" s="201" t="s">
        <v>15</v>
      </c>
      <c r="E12" s="135">
        <f>E13/(1+E14)^E15</f>
        <v>0</v>
      </c>
      <c r="G12" s="34"/>
      <c r="H12" s="34"/>
      <c r="I12" s="3"/>
    </row>
    <row r="13" spans="1:20">
      <c r="A13" s="180" t="s">
        <v>10</v>
      </c>
      <c r="B13" s="227"/>
      <c r="D13" s="180" t="s">
        <v>10</v>
      </c>
      <c r="E13" s="227"/>
      <c r="G13" s="34" t="s">
        <v>155</v>
      </c>
      <c r="H13" s="41" t="e">
        <f>I2*((I6-1)/(I4*I6))</f>
        <v>#DIV/0!</v>
      </c>
      <c r="I13" s="40" t="e">
        <f>I2*((I3*(I6-1))/(I4*I6))</f>
        <v>#DIV/0!</v>
      </c>
    </row>
    <row r="14" spans="1:20">
      <c r="A14" s="180" t="s">
        <v>3</v>
      </c>
      <c r="B14" s="227"/>
      <c r="D14" s="180" t="s">
        <v>4</v>
      </c>
      <c r="E14" s="230"/>
      <c r="G14" s="34"/>
      <c r="H14" s="34"/>
      <c r="I14" s="3"/>
    </row>
    <row r="15" spans="1:20">
      <c r="A15" s="106" t="s">
        <v>4</v>
      </c>
      <c r="B15" s="228"/>
      <c r="D15" s="106" t="s">
        <v>3</v>
      </c>
      <c r="E15" s="229"/>
      <c r="G15" s="34" t="s">
        <v>157</v>
      </c>
      <c r="H15" s="34" t="e">
        <f>I7*(I4*I6/(I6-1))</f>
        <v>#DIV/0!</v>
      </c>
      <c r="I15" s="3">
        <f>I7*(I4*I6/I3*(I6-1))</f>
        <v>0</v>
      </c>
    </row>
    <row r="16" spans="1:20">
      <c r="A16" s="180"/>
      <c r="B16" s="181"/>
      <c r="D16" s="180"/>
      <c r="E16" s="181"/>
      <c r="G16" s="34"/>
      <c r="H16" s="34"/>
      <c r="I16" s="3"/>
    </row>
    <row r="17" spans="1:9">
      <c r="A17" s="201" t="s">
        <v>11</v>
      </c>
      <c r="B17" s="226" t="e">
        <f>1/B18*(B19/B20-1)</f>
        <v>#DIV/0!</v>
      </c>
      <c r="D17" s="201" t="s">
        <v>16</v>
      </c>
      <c r="E17" s="226" t="e">
        <f>POWER((E19/E20),(1/E18))-1</f>
        <v>#DIV/0!</v>
      </c>
      <c r="F17" s="10"/>
      <c r="G17" s="34" t="s">
        <v>158</v>
      </c>
      <c r="H17" s="34" t="e">
        <f>I8*(I4/(I6-1))</f>
        <v>#DIV/0!</v>
      </c>
      <c r="I17" s="3">
        <f>I8*(I4/I3*(I6-1))</f>
        <v>0</v>
      </c>
    </row>
    <row r="18" spans="1:9">
      <c r="A18" s="180" t="s">
        <v>3</v>
      </c>
      <c r="B18" s="227"/>
      <c r="D18" s="180" t="s">
        <v>3</v>
      </c>
      <c r="E18" s="227"/>
      <c r="G18" s="34"/>
      <c r="H18" s="34"/>
      <c r="I18" s="3"/>
    </row>
    <row r="19" spans="1:9">
      <c r="A19" s="180" t="s">
        <v>10</v>
      </c>
      <c r="B19" s="227"/>
      <c r="D19" s="180" t="s">
        <v>10</v>
      </c>
      <c r="E19" s="227"/>
      <c r="G19" s="34" t="s">
        <v>159</v>
      </c>
      <c r="H19" s="34" t="e">
        <f>LN(I2/(I2-I4*I7))/LN(I3)</f>
        <v>#DIV/0!</v>
      </c>
      <c r="I19" s="3" t="e">
        <f>LN((I2*I3)/(I2*I3-I4*I7))/LN(I3)</f>
        <v>#DIV/0!</v>
      </c>
    </row>
    <row r="20" spans="1:9">
      <c r="A20" s="106" t="s">
        <v>2</v>
      </c>
      <c r="B20" s="229"/>
      <c r="D20" s="106" t="s">
        <v>2</v>
      </c>
      <c r="E20" s="229"/>
      <c r="G20" s="34"/>
      <c r="H20" s="34"/>
      <c r="I20" s="3"/>
    </row>
    <row r="21" spans="1:9">
      <c r="A21" s="180"/>
      <c r="B21" s="181"/>
      <c r="D21" s="5"/>
      <c r="E21" s="6"/>
      <c r="G21" s="35" t="s">
        <v>160</v>
      </c>
      <c r="H21" s="35" t="e">
        <f>LN((I2*I3)/(I2*I3-I4*I8))/LN(I3)</f>
        <v>#DIV/0!</v>
      </c>
      <c r="I21" s="9" t="e">
        <f>LN((1+I4*I2*I5)/(I2*I3))/LN(I3)</f>
        <v>#DIV/0!</v>
      </c>
    </row>
    <row r="22" spans="1:9">
      <c r="A22" s="201" t="s">
        <v>12</v>
      </c>
      <c r="B22" s="135" t="e">
        <f>1/B23*(B24/B25-1)</f>
        <v>#DIV/0!</v>
      </c>
      <c r="D22" s="201" t="s">
        <v>17</v>
      </c>
      <c r="E22" s="135" t="e">
        <f>LN(E23/E24)/LN(1+E25)</f>
        <v>#DIV/0!</v>
      </c>
    </row>
    <row r="23" spans="1:9">
      <c r="A23" s="180" t="s">
        <v>4</v>
      </c>
      <c r="B23" s="232"/>
      <c r="D23" s="180" t="s">
        <v>10</v>
      </c>
      <c r="E23" s="227"/>
    </row>
    <row r="24" spans="1:9">
      <c r="A24" s="180" t="s">
        <v>10</v>
      </c>
      <c r="B24" s="227"/>
      <c r="D24" s="180" t="s">
        <v>2</v>
      </c>
      <c r="E24" s="227"/>
      <c r="G24" s="14" t="s">
        <v>161</v>
      </c>
      <c r="H24" s="33" t="e">
        <f>H25/H26</f>
        <v>#DIV/0!</v>
      </c>
    </row>
    <row r="25" spans="1:9">
      <c r="A25" s="106" t="s">
        <v>2</v>
      </c>
      <c r="B25" s="229"/>
      <c r="D25" s="106" t="s">
        <v>4</v>
      </c>
      <c r="E25" s="231"/>
      <c r="G25" s="42" t="s">
        <v>18</v>
      </c>
      <c r="H25" s="158"/>
    </row>
    <row r="26" spans="1:9" ht="15.75" thickBot="1">
      <c r="A26" s="182"/>
      <c r="B26" s="184"/>
      <c r="D26" s="7"/>
      <c r="E26" s="8"/>
      <c r="G26" s="35" t="s">
        <v>4</v>
      </c>
      <c r="H26" s="236"/>
    </row>
    <row r="28" spans="1:9">
      <c r="A28" t="s">
        <v>150</v>
      </c>
    </row>
  </sheetData>
  <mergeCells count="1">
    <mergeCell ref="H1:I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5"/>
  <sheetViews>
    <sheetView workbookViewId="0">
      <selection activeCell="H2" sqref="H2:K6"/>
    </sheetView>
  </sheetViews>
  <sheetFormatPr defaultRowHeight="15"/>
  <cols>
    <col min="1" max="1" width="26.7109375" bestFit="1" customWidth="1"/>
    <col min="2" max="5" width="12" bestFit="1" customWidth="1"/>
    <col min="7" max="7" width="29.7109375" bestFit="1" customWidth="1"/>
    <col min="8" max="11" width="10" bestFit="1" customWidth="1"/>
  </cols>
  <sheetData>
    <row r="1" spans="1:11">
      <c r="A1" s="197" t="s">
        <v>200</v>
      </c>
      <c r="B1" s="178">
        <v>2006</v>
      </c>
      <c r="C1" s="178">
        <v>2007</v>
      </c>
      <c r="D1" s="178">
        <v>2008</v>
      </c>
      <c r="E1" s="179">
        <v>2009</v>
      </c>
      <c r="F1" s="176"/>
      <c r="G1" s="174"/>
      <c r="H1" s="174">
        <v>2006</v>
      </c>
      <c r="I1" s="174">
        <v>2007</v>
      </c>
      <c r="J1" s="174">
        <v>2008</v>
      </c>
      <c r="K1" s="174">
        <v>2009</v>
      </c>
    </row>
    <row r="2" spans="1:11">
      <c r="A2" s="180" t="s">
        <v>201</v>
      </c>
      <c r="B2" s="176">
        <v>1.1253100271642849</v>
      </c>
      <c r="C2" s="176">
        <v>1.2739799188207648</v>
      </c>
      <c r="D2" s="176">
        <v>1.435924278112187</v>
      </c>
      <c r="E2" s="181">
        <v>1.5979819067501739</v>
      </c>
      <c r="F2" s="176"/>
      <c r="G2" s="174" t="s">
        <v>202</v>
      </c>
      <c r="H2" s="196">
        <v>3777000</v>
      </c>
      <c r="I2" s="196">
        <v>6393000</v>
      </c>
      <c r="J2" s="196">
        <v>3137000</v>
      </c>
      <c r="K2" s="196">
        <v>20214000</v>
      </c>
    </row>
    <row r="3" spans="1:11">
      <c r="A3" s="180" t="s">
        <v>203</v>
      </c>
      <c r="B3" s="176">
        <v>3.4541159796858389</v>
      </c>
      <c r="C3" s="176">
        <v>3.7093569750053406</v>
      </c>
      <c r="D3" s="176">
        <v>3.4053040216348252</v>
      </c>
      <c r="E3" s="181">
        <v>3.3130132219902575</v>
      </c>
      <c r="F3" s="176"/>
      <c r="G3" s="174" t="s">
        <v>204</v>
      </c>
      <c r="H3" s="196">
        <v>5751000</v>
      </c>
      <c r="I3" s="196">
        <v>5534000</v>
      </c>
      <c r="J3" s="196">
        <v>13323000</v>
      </c>
      <c r="K3" s="196">
        <v>2749000</v>
      </c>
    </row>
    <row r="4" spans="1:11" ht="15.75" thickBot="1">
      <c r="A4" s="182" t="s">
        <v>205</v>
      </c>
      <c r="B4" s="183">
        <v>6.8051257824495099</v>
      </c>
      <c r="C4" s="183">
        <v>6.7645802179021572</v>
      </c>
      <c r="D4" s="183">
        <v>6.2343191136700691</v>
      </c>
      <c r="E4" s="184">
        <v>5.7049408489909537</v>
      </c>
      <c r="F4" s="176"/>
      <c r="G4" s="174" t="s">
        <v>206</v>
      </c>
      <c r="H4" s="196">
        <v>8467000</v>
      </c>
      <c r="I4" s="196">
        <v>9362000</v>
      </c>
      <c r="J4" s="196">
        <v>11463000</v>
      </c>
      <c r="K4" s="196">
        <v>14370000</v>
      </c>
    </row>
    <row r="5" spans="1:11">
      <c r="A5" s="174"/>
      <c r="B5" s="174"/>
      <c r="C5" s="174"/>
      <c r="D5" s="174"/>
      <c r="E5" s="174"/>
      <c r="F5" s="174"/>
      <c r="G5" s="174" t="s">
        <v>207</v>
      </c>
      <c r="H5" s="196">
        <v>19718000</v>
      </c>
      <c r="I5" s="196">
        <v>22800000</v>
      </c>
      <c r="J5" s="196">
        <v>22575000</v>
      </c>
      <c r="K5" s="196">
        <v>24645000</v>
      </c>
    </row>
    <row r="6" spans="1:11">
      <c r="A6" s="174"/>
      <c r="B6" s="174"/>
      <c r="C6" s="174"/>
      <c r="D6" s="174"/>
      <c r="E6" s="174"/>
      <c r="F6" s="174"/>
      <c r="G6" s="174" t="s">
        <v>208</v>
      </c>
      <c r="H6" s="196">
        <v>57619000</v>
      </c>
      <c r="I6" s="196">
        <v>63330000</v>
      </c>
      <c r="J6" s="196">
        <v>71464000</v>
      </c>
      <c r="K6" s="196">
        <v>81980000</v>
      </c>
    </row>
    <row r="8" spans="1:11">
      <c r="A8" s="195" t="s">
        <v>209</v>
      </c>
      <c r="B8" s="174">
        <v>2006</v>
      </c>
      <c r="C8" s="174">
        <v>2007</v>
      </c>
      <c r="D8" s="174">
        <v>2008</v>
      </c>
      <c r="E8" s="174">
        <v>2009</v>
      </c>
      <c r="F8" s="174"/>
      <c r="G8" s="174"/>
      <c r="H8" s="174">
        <v>2006</v>
      </c>
      <c r="I8" s="174">
        <v>2007</v>
      </c>
      <c r="J8" s="174">
        <v>2008</v>
      </c>
      <c r="K8" s="174">
        <v>2009</v>
      </c>
    </row>
    <row r="9" spans="1:11">
      <c r="A9" s="174" t="s">
        <v>210</v>
      </c>
      <c r="B9" s="174">
        <v>7.7226873894087819E-2</v>
      </c>
      <c r="C9" s="174">
        <v>7.8826610085293056E-2</v>
      </c>
      <c r="D9" s="174">
        <v>8.5686734739643292E-2</v>
      </c>
      <c r="E9" s="174">
        <v>9.4675257935723608E-2</v>
      </c>
      <c r="F9" s="174"/>
      <c r="G9" s="174" t="s">
        <v>211</v>
      </c>
      <c r="H9" s="196">
        <v>8467000</v>
      </c>
      <c r="I9" s="196">
        <v>9362000</v>
      </c>
      <c r="J9" s="196">
        <v>11463000</v>
      </c>
      <c r="K9" s="196">
        <v>14370000</v>
      </c>
    </row>
    <row r="10" spans="1:11">
      <c r="A10" s="174" t="s">
        <v>212</v>
      </c>
      <c r="B10" s="174">
        <v>0.88365347780878889</v>
      </c>
      <c r="C10" s="174">
        <v>0.86939132924128759</v>
      </c>
      <c r="D10" s="174">
        <v>0.87126433344795107</v>
      </c>
      <c r="E10" s="174">
        <v>0.85293381296859971</v>
      </c>
      <c r="F10" s="174"/>
      <c r="G10" s="174" t="s">
        <v>213</v>
      </c>
      <c r="H10" s="196">
        <v>109638000</v>
      </c>
      <c r="I10" s="196">
        <v>118767000</v>
      </c>
      <c r="J10" s="196">
        <v>133778000</v>
      </c>
      <c r="K10" s="196">
        <v>151782000</v>
      </c>
    </row>
    <row r="11" spans="1:11">
      <c r="A11" s="174"/>
      <c r="B11" s="174"/>
      <c r="C11" s="174"/>
      <c r="D11" s="174"/>
      <c r="E11" s="174"/>
      <c r="F11" s="174"/>
      <c r="G11" s="174" t="s">
        <v>214</v>
      </c>
      <c r="H11" s="196">
        <v>96882000</v>
      </c>
      <c r="I11" s="196">
        <v>103255000</v>
      </c>
      <c r="J11" s="196">
        <v>116556000</v>
      </c>
      <c r="K11" s="196">
        <v>129460000</v>
      </c>
    </row>
    <row r="12" spans="1:11">
      <c r="A12" s="174"/>
      <c r="B12" s="174"/>
      <c r="C12" s="174"/>
      <c r="D12" s="174"/>
      <c r="E12" s="174"/>
      <c r="F12" s="174"/>
      <c r="G12" s="174" t="s">
        <v>215</v>
      </c>
      <c r="H12" s="196">
        <v>109638000</v>
      </c>
      <c r="I12" s="196">
        <v>118767000</v>
      </c>
      <c r="J12" s="196">
        <v>133778000</v>
      </c>
      <c r="K12" s="196">
        <v>151782000</v>
      </c>
    </row>
    <row r="14" spans="1:11">
      <c r="A14" s="195" t="s">
        <v>216</v>
      </c>
      <c r="B14" s="174">
        <v>2006</v>
      </c>
      <c r="C14" s="174"/>
      <c r="D14" s="174"/>
      <c r="E14" s="174"/>
      <c r="F14" s="174"/>
      <c r="G14" s="174" t="s">
        <v>217</v>
      </c>
      <c r="H14" s="196">
        <v>13728000</v>
      </c>
      <c r="I14" s="174"/>
      <c r="J14" s="174"/>
      <c r="K14" s="174"/>
    </row>
    <row r="15" spans="1:11">
      <c r="A15" s="174" t="s">
        <v>218</v>
      </c>
      <c r="B15" s="174">
        <v>0.15588839807864824</v>
      </c>
      <c r="C15" s="174"/>
      <c r="D15" s="174"/>
      <c r="E15" s="174"/>
      <c r="F15" s="174"/>
      <c r="G15" s="174" t="s">
        <v>219</v>
      </c>
      <c r="H15" s="196">
        <v>88063000</v>
      </c>
      <c r="I15" s="174"/>
      <c r="J15" s="174"/>
      <c r="K15" s="174"/>
    </row>
    <row r="16" spans="1:11">
      <c r="A16" s="174" t="s">
        <v>220</v>
      </c>
      <c r="B16" s="174">
        <v>0.15691039369542259</v>
      </c>
      <c r="C16" s="174"/>
      <c r="D16" s="174"/>
      <c r="E16" s="174"/>
      <c r="F16" s="174"/>
      <c r="G16" s="174" t="s">
        <v>221</v>
      </c>
      <c r="H16" s="196">
        <v>13818000</v>
      </c>
      <c r="I16" s="174"/>
      <c r="J16" s="174"/>
      <c r="K16" s="174"/>
    </row>
    <row r="17" spans="1:8">
      <c r="A17" s="174" t="s">
        <v>222</v>
      </c>
      <c r="B17" s="174">
        <v>6.7592994644666379E-2</v>
      </c>
      <c r="C17" s="174"/>
      <c r="D17" s="174"/>
      <c r="E17" s="174"/>
      <c r="F17" s="174"/>
      <c r="G17" s="174" t="s">
        <v>223</v>
      </c>
      <c r="H17" s="196">
        <v>934000</v>
      </c>
    </row>
    <row r="18" spans="1:8">
      <c r="A18" s="174" t="s">
        <v>224</v>
      </c>
      <c r="B18" s="174">
        <v>0.93240700535533361</v>
      </c>
      <c r="C18" s="174"/>
      <c r="D18" s="174"/>
      <c r="E18" s="174"/>
      <c r="F18" s="174"/>
      <c r="G18" s="174"/>
      <c r="H18" s="174"/>
    </row>
    <row r="19" spans="1:8">
      <c r="A19" s="195" t="s">
        <v>225</v>
      </c>
      <c r="B19" s="174">
        <v>2006</v>
      </c>
      <c r="C19" s="174"/>
      <c r="D19" s="174"/>
      <c r="E19" s="174"/>
      <c r="F19" s="174"/>
      <c r="G19" s="174" t="s">
        <v>221</v>
      </c>
      <c r="H19" s="196">
        <v>13818000</v>
      </c>
    </row>
    <row r="20" spans="1:8">
      <c r="A20" s="174" t="s">
        <v>226</v>
      </c>
      <c r="B20" s="174">
        <v>0.12603294478191868</v>
      </c>
      <c r="C20" s="174"/>
      <c r="D20" s="174"/>
      <c r="E20" s="174"/>
      <c r="F20" s="174"/>
      <c r="G20" s="174" t="s">
        <v>213</v>
      </c>
      <c r="H20" s="196">
        <v>109638000</v>
      </c>
    </row>
    <row r="21" spans="1:8">
      <c r="A21" s="174" t="s">
        <v>227</v>
      </c>
      <c r="B21" s="174">
        <v>0.14262711339567721</v>
      </c>
      <c r="C21" s="174"/>
      <c r="D21" s="174"/>
      <c r="E21" s="174"/>
      <c r="F21" s="174"/>
      <c r="G21" s="174" t="s">
        <v>214</v>
      </c>
      <c r="H21" s="196">
        <v>96882000</v>
      </c>
    </row>
    <row r="22" spans="1:8">
      <c r="A22" s="174" t="s">
        <v>228</v>
      </c>
      <c r="B22" s="174">
        <v>0.14169814826283519</v>
      </c>
      <c r="C22" s="174"/>
      <c r="D22" s="174"/>
      <c r="E22" s="174"/>
      <c r="F22" s="174"/>
      <c r="G22" s="174" t="s">
        <v>229</v>
      </c>
      <c r="H22" s="196">
        <v>0</v>
      </c>
    </row>
    <row r="23" spans="1:8">
      <c r="A23" s="174" t="s">
        <v>230</v>
      </c>
      <c r="B23" s="174">
        <v>0.14262711339567721</v>
      </c>
      <c r="C23" s="174"/>
      <c r="D23" s="174"/>
      <c r="E23" s="174"/>
      <c r="F23" s="174"/>
      <c r="G23" s="174" t="s">
        <v>231</v>
      </c>
      <c r="H23" s="196">
        <v>0</v>
      </c>
    </row>
    <row r="24" spans="1:8">
      <c r="A24" s="174" t="s">
        <v>232</v>
      </c>
      <c r="B24" s="174">
        <v>0.80321603823491861</v>
      </c>
      <c r="C24" s="174"/>
      <c r="D24" s="174"/>
      <c r="E24" s="174"/>
      <c r="F24" s="174"/>
      <c r="G24" s="174"/>
      <c r="H24" s="174"/>
    </row>
    <row r="25" spans="1:8">
      <c r="A25" s="174" t="s">
        <v>233</v>
      </c>
      <c r="B25" s="174"/>
      <c r="C25" s="174"/>
      <c r="D25" s="174"/>
      <c r="E25" s="174"/>
      <c r="F25" s="174"/>
      <c r="G25" s="174"/>
      <c r="H25" s="17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3" sqref="D3"/>
    </sheetView>
  </sheetViews>
  <sheetFormatPr defaultRowHeight="15"/>
  <sheetData>
    <row r="1" spans="1:4">
      <c r="A1" t="s">
        <v>238</v>
      </c>
    </row>
    <row r="2" spans="1:4">
      <c r="A2" t="s">
        <v>241</v>
      </c>
      <c r="C2" t="s">
        <v>239</v>
      </c>
      <c r="D2" t="s">
        <v>242</v>
      </c>
    </row>
    <row r="5" spans="1:4">
      <c r="A5" t="s">
        <v>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selection activeCell="C8" sqref="C8:D8"/>
    </sheetView>
  </sheetViews>
  <sheetFormatPr defaultRowHeight="15"/>
  <cols>
    <col min="1" max="1" width="37.42578125" customWidth="1"/>
    <col min="3" max="4" width="11.5703125" bestFit="1" customWidth="1"/>
    <col min="8" max="8" width="11.5703125" customWidth="1"/>
  </cols>
  <sheetData>
    <row r="1" spans="1:12">
      <c r="A1" s="54" t="s">
        <v>163</v>
      </c>
    </row>
    <row r="2" spans="1:12">
      <c r="A2" s="54" t="s">
        <v>78</v>
      </c>
      <c r="B2" s="48" t="s">
        <v>80</v>
      </c>
      <c r="C2" s="46" t="s">
        <v>76</v>
      </c>
      <c r="D2" s="47" t="s">
        <v>77</v>
      </c>
      <c r="F2" s="42" t="s">
        <v>79</v>
      </c>
      <c r="G2" s="52">
        <f>C3+C4/(1+C8)^B4+C5/(1+C8)^B5+C6/(1+C8)^B6+C7/(1+C8)^B7</f>
        <v>0</v>
      </c>
      <c r="H2" s="241" t="s">
        <v>165</v>
      </c>
      <c r="I2" s="242"/>
      <c r="J2" s="242"/>
    </row>
    <row r="3" spans="1:12">
      <c r="B3" s="49">
        <v>0</v>
      </c>
      <c r="C3" s="211"/>
      <c r="D3" s="212"/>
      <c r="F3" s="35" t="s">
        <v>81</v>
      </c>
      <c r="G3" s="53">
        <f>D3+D4/(1+C8)^B4+D5/(1+C8)^B5+D6/(1+C8)^B6+D7/(1+C8)^B7</f>
        <v>0</v>
      </c>
      <c r="H3" s="241"/>
      <c r="I3" s="242"/>
      <c r="J3" s="242"/>
    </row>
    <row r="4" spans="1:12">
      <c r="B4" s="49">
        <v>1</v>
      </c>
      <c r="C4" s="211"/>
      <c r="D4" s="212"/>
    </row>
    <row r="5" spans="1:12">
      <c r="B5" s="49">
        <v>2</v>
      </c>
      <c r="C5" s="211"/>
      <c r="D5" s="212"/>
    </row>
    <row r="6" spans="1:12">
      <c r="B6" s="49">
        <v>3</v>
      </c>
      <c r="C6" s="211"/>
      <c r="D6" s="212"/>
    </row>
    <row r="7" spans="1:12">
      <c r="B7" s="50">
        <v>4</v>
      </c>
      <c r="C7" s="211"/>
      <c r="D7" s="213"/>
    </row>
    <row r="8" spans="1:12">
      <c r="B8" s="33" t="s">
        <v>4</v>
      </c>
      <c r="C8" s="239"/>
      <c r="D8" s="240"/>
    </row>
    <row r="10" spans="1:12">
      <c r="A10" s="54" t="s">
        <v>164</v>
      </c>
    </row>
    <row r="11" spans="1:12">
      <c r="A11" s="54" t="s">
        <v>82</v>
      </c>
    </row>
    <row r="12" spans="1:12">
      <c r="F12" s="42" t="s">
        <v>85</v>
      </c>
      <c r="G12" s="51">
        <f>C3+C4/(1+D13)^B4+C5/(1+D13)^B5+C6/(1+D13)^B6+C7/(1+D13)^B7</f>
        <v>0</v>
      </c>
      <c r="H12" s="17"/>
      <c r="J12" s="42" t="s">
        <v>85</v>
      </c>
      <c r="K12" s="51">
        <f>D3+D4/(1+D13)^B4+D5/(1+D13)^B5+D6/(1+D13)^B6+D7/(1+D13)^B7</f>
        <v>0</v>
      </c>
      <c r="L12" s="17"/>
    </row>
    <row r="13" spans="1:12">
      <c r="A13" t="s">
        <v>83</v>
      </c>
      <c r="B13" s="33" t="s">
        <v>85</v>
      </c>
      <c r="C13" s="57" t="s">
        <v>83</v>
      </c>
      <c r="D13" s="214">
        <f>C8</f>
        <v>0</v>
      </c>
      <c r="F13" s="34" t="s">
        <v>86</v>
      </c>
      <c r="G13" s="2">
        <f>C3+C4/(1+D14)^B4+C5/(1+D14)^B5+C6/(1+D14)^B6+C7/(1+D14)^B7</f>
        <v>0</v>
      </c>
      <c r="H13" s="3"/>
      <c r="J13" s="34" t="s">
        <v>86</v>
      </c>
      <c r="K13" s="2">
        <f>D3+D4/(1+D14)^B4+D5/(1+D14)^B5+D6/(1+D14)^B6+D7/(1+D14)^B7</f>
        <v>0</v>
      </c>
      <c r="L13" s="3"/>
    </row>
    <row r="14" spans="1:12">
      <c r="A14" t="s">
        <v>87</v>
      </c>
      <c r="B14" s="35" t="s">
        <v>86</v>
      </c>
      <c r="C14" s="1" t="s">
        <v>84</v>
      </c>
      <c r="D14" s="215">
        <v>0.25</v>
      </c>
      <c r="F14" s="35" t="s">
        <v>88</v>
      </c>
      <c r="G14" s="55" t="e">
        <f>D13+G12/(G12-G13)*(D14-D13)</f>
        <v>#DIV/0!</v>
      </c>
      <c r="H14" s="56" t="e">
        <f>G14</f>
        <v>#DIV/0!</v>
      </c>
      <c r="J14" s="35" t="s">
        <v>93</v>
      </c>
      <c r="K14" s="55" t="e">
        <f>D13+K12/(K12-K13)*(D14-D13)</f>
        <v>#DIV/0!</v>
      </c>
      <c r="L14" s="56" t="e">
        <f>K14</f>
        <v>#DIV/0!</v>
      </c>
    </row>
    <row r="17" spans="1:1">
      <c r="A17" s="54" t="s">
        <v>89</v>
      </c>
    </row>
  </sheetData>
  <mergeCells count="2">
    <mergeCell ref="C8:D8"/>
    <mergeCell ref="H2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0"/>
  <sheetViews>
    <sheetView workbookViewId="0">
      <selection activeCell="B12" sqref="B12:D13"/>
    </sheetView>
  </sheetViews>
  <sheetFormatPr defaultRowHeight="15"/>
  <cols>
    <col min="1" max="1" width="29.5703125" customWidth="1"/>
    <col min="2" max="2" width="12" bestFit="1" customWidth="1"/>
    <col min="5" max="5" width="9.140625" customWidth="1"/>
    <col min="9" max="9" width="16.140625" customWidth="1"/>
    <col min="13" max="13" width="15.85546875" bestFit="1" customWidth="1"/>
  </cols>
  <sheetData>
    <row r="1" spans="1:16">
      <c r="A1" t="s">
        <v>59</v>
      </c>
    </row>
    <row r="3" spans="1:16">
      <c r="A3" s="54" t="s">
        <v>19</v>
      </c>
    </row>
    <row r="4" spans="1:16">
      <c r="A4" t="s">
        <v>20</v>
      </c>
    </row>
    <row r="6" spans="1:16">
      <c r="A6" s="54" t="s">
        <v>21</v>
      </c>
    </row>
    <row r="7" spans="1:16">
      <c r="A7" t="s">
        <v>22</v>
      </c>
    </row>
    <row r="10" spans="1:16">
      <c r="A10" s="36"/>
      <c r="B10" s="58" t="s">
        <v>51</v>
      </c>
      <c r="C10" s="59" t="s">
        <v>52</v>
      </c>
      <c r="D10" s="60" t="s">
        <v>50</v>
      </c>
      <c r="E10" s="59" t="s">
        <v>63</v>
      </c>
      <c r="F10" s="59" t="s">
        <v>21</v>
      </c>
      <c r="G10" s="60" t="s">
        <v>55</v>
      </c>
      <c r="I10" s="45" t="s">
        <v>66</v>
      </c>
      <c r="J10" s="63">
        <f>B11*(B12-E12)*(B13-E13)+C11*(C12-E12)*(C13-E13)+D11*(D12-E12)*(D13-E13)</f>
        <v>0</v>
      </c>
      <c r="L10" s="43" t="s">
        <v>68</v>
      </c>
      <c r="M10" s="51" t="s">
        <v>69</v>
      </c>
      <c r="N10" s="188"/>
    </row>
    <row r="11" spans="1:16">
      <c r="A11" s="48" t="s">
        <v>60</v>
      </c>
      <c r="B11" s="216"/>
      <c r="C11" s="217"/>
      <c r="D11" s="218"/>
      <c r="E11" s="61"/>
      <c r="F11" s="61"/>
      <c r="G11" s="62"/>
      <c r="L11" s="191" t="s">
        <v>70</v>
      </c>
      <c r="M11" s="175" t="s">
        <v>71</v>
      </c>
      <c r="N11" s="185"/>
    </row>
    <row r="12" spans="1:16">
      <c r="A12" s="49" t="s">
        <v>61</v>
      </c>
      <c r="B12" s="206"/>
      <c r="C12" s="107"/>
      <c r="D12" s="108"/>
      <c r="E12" s="2">
        <f>B11*B12+C11*C12+D11*D12</f>
        <v>0</v>
      </c>
      <c r="F12" s="2">
        <f>B11*(B12-E12)^2+C11*(C12-E12)^2+D11*(D12-E12)^2</f>
        <v>0</v>
      </c>
      <c r="G12" s="3">
        <f>SQRT(F12)</f>
        <v>0</v>
      </c>
    </row>
    <row r="13" spans="1:16">
      <c r="A13" s="50" t="s">
        <v>62</v>
      </c>
      <c r="B13" s="152"/>
      <c r="C13" s="109"/>
      <c r="D13" s="110"/>
      <c r="E13" s="1">
        <f>B11*B13+C11*C13+D11*D13</f>
        <v>0</v>
      </c>
      <c r="F13" s="1">
        <f>B11*(B13-E13)^2+C11*(C13-E13)^2+D11*(D13-E13)^2</f>
        <v>0</v>
      </c>
      <c r="G13" s="9">
        <f>SQRT(F13)</f>
        <v>0</v>
      </c>
    </row>
    <row r="14" spans="1:16" ht="17.25" customHeight="1">
      <c r="I14" s="43" t="s">
        <v>67</v>
      </c>
      <c r="J14" s="52" t="e">
        <f>J10/(G12*G13)</f>
        <v>#DIV/0!</v>
      </c>
      <c r="L14" s="64">
        <v>-0.3</v>
      </c>
      <c r="M14" s="17" t="s">
        <v>168</v>
      </c>
      <c r="O14" s="31" t="s">
        <v>171</v>
      </c>
      <c r="P14" s="244" t="s">
        <v>173</v>
      </c>
    </row>
    <row r="15" spans="1:16">
      <c r="I15" s="44" t="s">
        <v>64</v>
      </c>
      <c r="J15" s="9"/>
      <c r="L15" s="65" t="s">
        <v>166</v>
      </c>
      <c r="M15" s="3" t="s">
        <v>169</v>
      </c>
      <c r="O15" s="29" t="s">
        <v>172</v>
      </c>
      <c r="P15" s="245"/>
    </row>
    <row r="16" spans="1:16">
      <c r="A16" s="202" t="s">
        <v>72</v>
      </c>
      <c r="B16" s="188"/>
      <c r="I16" s="243" t="s">
        <v>65</v>
      </c>
      <c r="J16" s="243"/>
      <c r="K16" s="243"/>
      <c r="L16" s="66" t="s">
        <v>167</v>
      </c>
      <c r="M16" s="9" t="s">
        <v>170</v>
      </c>
    </row>
    <row r="17" spans="1:11">
      <c r="A17" s="95" t="s">
        <v>73</v>
      </c>
      <c r="B17" s="177"/>
      <c r="I17" s="243"/>
      <c r="J17" s="243"/>
      <c r="K17" s="243"/>
    </row>
    <row r="18" spans="1:11">
      <c r="A18" s="67" t="s">
        <v>74</v>
      </c>
      <c r="B18" s="177"/>
    </row>
    <row r="19" spans="1:11" s="174" customFormat="1">
      <c r="A19" s="67" t="s">
        <v>75</v>
      </c>
      <c r="B19" s="130" t="e">
        <f>(F13-J10)/(F12+F13-2*J10)</f>
        <v>#DIV/0!</v>
      </c>
    </row>
    <row r="20" spans="1:11">
      <c r="A20" s="68" t="s">
        <v>237</v>
      </c>
      <c r="B20" s="53" t="e">
        <f>1-B19</f>
        <v>#DIV/0!</v>
      </c>
    </row>
  </sheetData>
  <mergeCells count="2">
    <mergeCell ref="I16:K17"/>
    <mergeCell ref="P14:P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34"/>
  <sheetViews>
    <sheetView workbookViewId="0">
      <selection activeCell="I19" sqref="I19"/>
    </sheetView>
  </sheetViews>
  <sheetFormatPr defaultRowHeight="15"/>
  <cols>
    <col min="1" max="1" width="23.7109375" customWidth="1"/>
    <col min="2" max="2" width="16.140625" customWidth="1"/>
    <col min="3" max="3" width="16.7109375" customWidth="1"/>
    <col min="4" max="4" width="12.42578125" customWidth="1"/>
    <col min="6" max="7" width="9.140625" customWidth="1"/>
    <col min="8" max="8" width="23.140625" bestFit="1" customWidth="1"/>
    <col min="12" max="12" width="18.7109375" customWidth="1"/>
    <col min="13" max="13" width="17.7109375" bestFit="1" customWidth="1"/>
    <col min="14" max="14" width="12" bestFit="1" customWidth="1"/>
    <col min="15" max="15" width="26" customWidth="1"/>
    <col min="16" max="16" width="22" bestFit="1" customWidth="1"/>
    <col min="19" max="19" width="14.7109375" bestFit="1" customWidth="1"/>
  </cols>
  <sheetData>
    <row r="1" spans="1:17" ht="30" customHeight="1">
      <c r="A1" s="69" t="s">
        <v>23</v>
      </c>
      <c r="B1" s="51"/>
      <c r="C1" s="51"/>
      <c r="D1" s="51"/>
      <c r="E1" s="51"/>
      <c r="F1" s="17"/>
      <c r="G1" s="2"/>
      <c r="H1" s="74" t="s">
        <v>181</v>
      </c>
      <c r="I1" s="75"/>
      <c r="J1" s="75"/>
      <c r="K1" s="75"/>
      <c r="L1" s="160" t="s">
        <v>179</v>
      </c>
      <c r="M1" s="96"/>
      <c r="N1" s="149"/>
      <c r="O1" s="161" t="s">
        <v>180</v>
      </c>
      <c r="P1" s="162" t="s">
        <v>185</v>
      </c>
    </row>
    <row r="2" spans="1:17">
      <c r="A2" s="23" t="s">
        <v>24</v>
      </c>
      <c r="B2" s="2"/>
      <c r="C2" s="2"/>
      <c r="D2" s="2"/>
      <c r="E2" s="2"/>
      <c r="F2" s="3"/>
      <c r="G2" s="2"/>
      <c r="H2" s="100"/>
      <c r="I2" s="46" t="s">
        <v>51</v>
      </c>
      <c r="J2" s="46" t="s">
        <v>52</v>
      </c>
      <c r="K2" s="46" t="s">
        <v>50</v>
      </c>
      <c r="L2" s="45" t="s">
        <v>184</v>
      </c>
      <c r="M2" s="46" t="s">
        <v>182</v>
      </c>
      <c r="N2" s="47" t="s">
        <v>183</v>
      </c>
      <c r="O2" s="48" t="s">
        <v>53</v>
      </c>
      <c r="P2" s="114" t="s">
        <v>54</v>
      </c>
    </row>
    <row r="3" spans="1:17">
      <c r="A3" s="23" t="s">
        <v>25</v>
      </c>
      <c r="B3" s="2"/>
      <c r="C3" s="2"/>
      <c r="D3" s="2"/>
      <c r="E3" s="2"/>
      <c r="F3" s="3"/>
      <c r="G3" s="2"/>
      <c r="H3" s="115" t="s">
        <v>49</v>
      </c>
      <c r="I3" s="209"/>
      <c r="J3" s="210"/>
      <c r="K3" s="131"/>
      <c r="L3" s="111"/>
      <c r="M3" s="112"/>
      <c r="N3" s="113"/>
      <c r="O3" s="147"/>
      <c r="P3" s="153">
        <f>2*L3-0.05*N3</f>
        <v>0</v>
      </c>
    </row>
    <row r="4" spans="1:17">
      <c r="A4" s="29" t="s">
        <v>26</v>
      </c>
      <c r="B4" s="1"/>
      <c r="C4" s="1"/>
      <c r="D4" s="1"/>
      <c r="E4" s="1"/>
      <c r="F4" s="9"/>
      <c r="G4" s="2"/>
      <c r="H4" s="116" t="s">
        <v>38</v>
      </c>
      <c r="I4" s="206">
        <f>B8</f>
        <v>0</v>
      </c>
      <c r="J4" s="107">
        <f t="shared" ref="J4:K4" si="0">C8</f>
        <v>0</v>
      </c>
      <c r="K4" s="108">
        <f t="shared" si="0"/>
        <v>0</v>
      </c>
      <c r="L4" s="139">
        <f>I3*I4+J3*J4+K3*K4</f>
        <v>0</v>
      </c>
      <c r="M4" s="72">
        <f>I3*(I4-L4)^2+J3*(J4-L4)^2+K3*(K4-L4)^2</f>
        <v>0</v>
      </c>
      <c r="N4" s="73">
        <f>SQRT(M4)</f>
        <v>0</v>
      </c>
      <c r="O4" s="133" t="e">
        <f>N4/L4</f>
        <v>#DIV/0!</v>
      </c>
      <c r="P4" s="128">
        <f t="shared" ref="P4:P6" si="1">2*L4-0.05*N4</f>
        <v>0</v>
      </c>
      <c r="Q4" s="2"/>
    </row>
    <row r="5" spans="1:17">
      <c r="H5" s="116" t="s">
        <v>39</v>
      </c>
      <c r="I5" s="206">
        <f t="shared" ref="I5:I6" si="2">B9</f>
        <v>0</v>
      </c>
      <c r="J5" s="107">
        <f t="shared" ref="J5:J6" si="3">C9</f>
        <v>0</v>
      </c>
      <c r="K5" s="108">
        <f t="shared" ref="K5:K6" si="4">D9</f>
        <v>0</v>
      </c>
      <c r="L5" s="139">
        <f>I3*I5+J3*J5+K3*K5</f>
        <v>0</v>
      </c>
      <c r="M5" s="72">
        <f>I3*(I5-L5)^2+J3*(J5-L5)^2+K3*(K5-L5)^2</f>
        <v>0</v>
      </c>
      <c r="N5" s="73">
        <f>SQRT(M5)</f>
        <v>0</v>
      </c>
      <c r="O5" s="133" t="e">
        <f>N5/L5</f>
        <v>#DIV/0!</v>
      </c>
      <c r="P5" s="128">
        <f t="shared" si="1"/>
        <v>0</v>
      </c>
      <c r="Q5" s="2"/>
    </row>
    <row r="6" spans="1:17">
      <c r="H6" s="115" t="s">
        <v>18</v>
      </c>
      <c r="I6" s="152">
        <f t="shared" si="2"/>
        <v>0</v>
      </c>
      <c r="J6" s="109">
        <f t="shared" si="3"/>
        <v>0</v>
      </c>
      <c r="K6" s="110">
        <f t="shared" si="4"/>
        <v>0</v>
      </c>
      <c r="L6" s="140">
        <f>I3*I6+J3*J6+K3*K6</f>
        <v>0</v>
      </c>
      <c r="M6" s="71">
        <f>I3*(I6-L6)^2+J3*(J6-L6)^2+K3*(K6-L6)^2</f>
        <v>0</v>
      </c>
      <c r="N6" s="83">
        <f>SQRT(M6)</f>
        <v>0</v>
      </c>
      <c r="O6" s="134" t="e">
        <f>N6/L6</f>
        <v>#DIV/0!</v>
      </c>
      <c r="P6" s="129">
        <f t="shared" si="1"/>
        <v>0</v>
      </c>
      <c r="Q6" s="2"/>
    </row>
    <row r="7" spans="1:17" s="70" customFormat="1">
      <c r="A7" s="87" t="s">
        <v>174</v>
      </c>
      <c r="B7" s="57" t="s">
        <v>51</v>
      </c>
      <c r="C7" s="57" t="s">
        <v>52</v>
      </c>
      <c r="D7" s="18" t="s">
        <v>50</v>
      </c>
      <c r="E7" s="98" t="s">
        <v>40</v>
      </c>
      <c r="F7" s="99" t="s">
        <v>41</v>
      </c>
      <c r="H7" s="148"/>
      <c r="I7" s="84"/>
      <c r="J7" s="84"/>
      <c r="K7" s="84"/>
      <c r="L7" s="84"/>
      <c r="M7" s="84"/>
      <c r="N7" s="84"/>
      <c r="O7" s="84"/>
      <c r="P7" s="146"/>
      <c r="Q7" s="72"/>
    </row>
    <row r="8" spans="1:17">
      <c r="A8" s="34" t="s">
        <v>38</v>
      </c>
      <c r="B8" s="107"/>
      <c r="C8" s="107"/>
      <c r="D8" s="108"/>
      <c r="E8" s="91">
        <f>MAX(B8:D8)</f>
        <v>0</v>
      </c>
      <c r="F8" s="73">
        <f>MIN(B8:D8)</f>
        <v>0</v>
      </c>
      <c r="H8" s="104"/>
      <c r="I8" s="51"/>
      <c r="J8" s="51"/>
      <c r="K8" s="51"/>
      <c r="L8" s="164" t="s">
        <v>186</v>
      </c>
      <c r="M8" s="51"/>
      <c r="N8" s="51"/>
      <c r="O8" s="51"/>
      <c r="P8" s="105"/>
    </row>
    <row r="9" spans="1:17">
      <c r="A9" s="34" t="s">
        <v>39</v>
      </c>
      <c r="B9" s="107"/>
      <c r="C9" s="107"/>
      <c r="D9" s="108"/>
      <c r="E9" s="91">
        <f t="shared" ref="E9:E10" si="5">MAX(B9:D9)</f>
        <v>0</v>
      </c>
      <c r="F9" s="73">
        <f t="shared" ref="F9:F10" si="6">MIN(B9:D9)</f>
        <v>0</v>
      </c>
      <c r="H9" s="79" t="s">
        <v>56</v>
      </c>
      <c r="I9" s="117"/>
      <c r="J9" s="72"/>
      <c r="K9" s="48" t="s">
        <v>58</v>
      </c>
      <c r="L9" s="46">
        <f>I3</f>
        <v>0</v>
      </c>
      <c r="M9" s="46">
        <f>J3</f>
        <v>0</v>
      </c>
      <c r="N9" s="47">
        <f>K3</f>
        <v>0</v>
      </c>
      <c r="O9" s="47" t="s">
        <v>57</v>
      </c>
      <c r="P9" s="150" t="s">
        <v>175</v>
      </c>
    </row>
    <row r="10" spans="1:17">
      <c r="A10" s="35" t="s">
        <v>18</v>
      </c>
      <c r="B10" s="109"/>
      <c r="C10" s="109"/>
      <c r="D10" s="110"/>
      <c r="E10" s="93">
        <f t="shared" si="5"/>
        <v>0</v>
      </c>
      <c r="F10" s="83">
        <f t="shared" si="6"/>
        <v>0</v>
      </c>
      <c r="H10" s="79"/>
      <c r="I10" s="72"/>
      <c r="J10" s="72"/>
      <c r="K10" s="49" t="s">
        <v>38</v>
      </c>
      <c r="L10" s="154" t="e">
        <f>LOG10($I$9+I4)</f>
        <v>#NUM!</v>
      </c>
      <c r="M10" s="154" t="e">
        <f t="shared" ref="M10:N10" si="7">LOG10($I$9+J4)</f>
        <v>#NUM!</v>
      </c>
      <c r="N10" s="156" t="e">
        <f t="shared" si="7"/>
        <v>#NUM!</v>
      </c>
      <c r="O10" s="130" t="e">
        <f>I3*L10+J3*M10+K3*N10</f>
        <v>#NUM!</v>
      </c>
      <c r="P10" s="78" t="e">
        <f>_xlfn.RANK.EQ(O10,$O$10:$O$12,0)</f>
        <v>#NUM!</v>
      </c>
    </row>
    <row r="11" spans="1:17" ht="15.75" thickBot="1">
      <c r="A11" s="2"/>
      <c r="B11" s="2"/>
      <c r="C11" s="2"/>
      <c r="D11" s="2"/>
      <c r="H11" s="77"/>
      <c r="I11" s="72"/>
      <c r="J11" s="72"/>
      <c r="K11" s="49" t="s">
        <v>39</v>
      </c>
      <c r="L11" s="154" t="e">
        <f t="shared" ref="L11:L12" si="8">LOG10($I$9+I5)</f>
        <v>#NUM!</v>
      </c>
      <c r="M11" s="154" t="e">
        <f t="shared" ref="M11:M12" si="9">LOG10($I$9+J5)</f>
        <v>#NUM!</v>
      </c>
      <c r="N11" s="156" t="e">
        <f t="shared" ref="N11:N12" si="10">LOG10($I$9+K5)</f>
        <v>#NUM!</v>
      </c>
      <c r="O11" s="130" t="e">
        <f>I3*L11+J3*M11+K3*N11</f>
        <v>#NUM!</v>
      </c>
      <c r="P11" s="78" t="e">
        <f t="shared" ref="P11:P12" si="11">_xlfn.RANK.EQ(O11,$O$10:$O$12,0)</f>
        <v>#NUM!</v>
      </c>
    </row>
    <row r="12" spans="1:17" ht="19.5" thickBot="1">
      <c r="A12" s="85" t="s">
        <v>27</v>
      </c>
      <c r="B12" s="75"/>
      <c r="C12" s="76"/>
      <c r="H12" s="80"/>
      <c r="I12" s="81"/>
      <c r="J12" s="81"/>
      <c r="K12" s="122" t="s">
        <v>18</v>
      </c>
      <c r="L12" s="155" t="e">
        <f t="shared" si="8"/>
        <v>#NUM!</v>
      </c>
      <c r="M12" s="155" t="e">
        <f t="shared" si="9"/>
        <v>#NUM!</v>
      </c>
      <c r="N12" s="157" t="e">
        <f t="shared" si="10"/>
        <v>#NUM!</v>
      </c>
      <c r="O12" s="159" t="e">
        <f>I3*L12+J3*M12+K3*N12</f>
        <v>#NUM!</v>
      </c>
      <c r="P12" s="82" t="e">
        <f t="shared" si="11"/>
        <v>#NUM!</v>
      </c>
    </row>
    <row r="13" spans="1:17" ht="17.25" customHeight="1" thickBot="1">
      <c r="A13" s="123" t="s">
        <v>28</v>
      </c>
      <c r="B13" s="121" t="s">
        <v>29</v>
      </c>
      <c r="C13" s="124" t="s">
        <v>30</v>
      </c>
      <c r="J13" s="72"/>
      <c r="K13" s="72"/>
      <c r="L13" s="72"/>
      <c r="M13" s="72"/>
    </row>
    <row r="14" spans="1:17" ht="18.75">
      <c r="A14" s="125" t="s">
        <v>31</v>
      </c>
      <c r="B14" s="118" t="s">
        <v>31</v>
      </c>
      <c r="C14" s="119" t="s">
        <v>32</v>
      </c>
      <c r="H14" s="85" t="s">
        <v>90</v>
      </c>
      <c r="I14" s="75" t="s">
        <v>44</v>
      </c>
      <c r="J14" s="163"/>
      <c r="K14" s="75"/>
      <c r="L14" s="75"/>
      <c r="M14" s="75"/>
      <c r="N14" s="75"/>
      <c r="O14" s="76"/>
    </row>
    <row r="15" spans="1:17">
      <c r="A15" s="125" t="s">
        <v>33</v>
      </c>
      <c r="B15" s="118" t="s">
        <v>33</v>
      </c>
      <c r="C15" s="119" t="s">
        <v>34</v>
      </c>
      <c r="H15" s="100"/>
      <c r="I15" s="57" t="s">
        <v>51</v>
      </c>
      <c r="J15" s="57" t="s">
        <v>52</v>
      </c>
      <c r="K15" s="57" t="s">
        <v>50</v>
      </c>
      <c r="L15" s="32" t="s">
        <v>40</v>
      </c>
      <c r="M15" s="89" t="s">
        <v>41</v>
      </c>
      <c r="N15" s="94" t="s">
        <v>63</v>
      </c>
      <c r="O15" s="141" t="s">
        <v>175</v>
      </c>
    </row>
    <row r="16" spans="1:17">
      <c r="A16" s="125" t="s">
        <v>31</v>
      </c>
      <c r="B16" s="118" t="s">
        <v>33</v>
      </c>
      <c r="C16" s="119" t="s">
        <v>35</v>
      </c>
      <c r="H16" s="97" t="s">
        <v>38</v>
      </c>
      <c r="I16" s="203">
        <f>B8</f>
        <v>0</v>
      </c>
      <c r="J16" s="204">
        <f t="shared" ref="J16:K16" si="12">C8</f>
        <v>0</v>
      </c>
      <c r="K16" s="205">
        <f t="shared" si="12"/>
        <v>0</v>
      </c>
      <c r="L16" s="91">
        <f>MAX(I16:K16)</f>
        <v>0</v>
      </c>
      <c r="M16" s="73">
        <f>MIN(I16:K16)</f>
        <v>0</v>
      </c>
      <c r="N16" s="133">
        <f>L16*$I$19+M16*(1-$I$19)</f>
        <v>0</v>
      </c>
      <c r="O16" s="142">
        <f>_xlfn.RANK.EQ(N16,$N$16:$N$18,0)</f>
        <v>1</v>
      </c>
    </row>
    <row r="17" spans="1:15" ht="15.75" thickBot="1">
      <c r="A17" s="126" t="s">
        <v>33</v>
      </c>
      <c r="B17" s="120" t="s">
        <v>31</v>
      </c>
      <c r="C17" s="136" t="s">
        <v>36</v>
      </c>
      <c r="H17" s="97" t="s">
        <v>39</v>
      </c>
      <c r="I17" s="206">
        <f t="shared" ref="I17:I18" si="13">B9</f>
        <v>0</v>
      </c>
      <c r="J17" s="107">
        <f t="shared" ref="J17:J18" si="14">C9</f>
        <v>0</v>
      </c>
      <c r="K17" s="108">
        <f t="shared" ref="K17:K18" si="15">D9</f>
        <v>0</v>
      </c>
      <c r="L17" s="91">
        <f t="shared" ref="L17:L18" si="16">MAX(I17:K17)</f>
        <v>0</v>
      </c>
      <c r="M17" s="73">
        <f t="shared" ref="M17:M18" si="17">MIN(I17:K17)</f>
        <v>0</v>
      </c>
      <c r="N17" s="133">
        <f>L17*$I$19+M17*(1-$I$19)</f>
        <v>0</v>
      </c>
      <c r="O17" s="142">
        <f>_xlfn.RANK.EQ(N17,$N$16:$N$18,0)</f>
        <v>1</v>
      </c>
    </row>
    <row r="18" spans="1:15" ht="15.75" thickBot="1">
      <c r="H18" s="101" t="s">
        <v>18</v>
      </c>
      <c r="I18" s="152">
        <f t="shared" si="13"/>
        <v>0</v>
      </c>
      <c r="J18" s="109">
        <f t="shared" si="14"/>
        <v>0</v>
      </c>
      <c r="K18" s="110">
        <f t="shared" si="15"/>
        <v>0</v>
      </c>
      <c r="L18" s="93">
        <f t="shared" si="16"/>
        <v>0</v>
      </c>
      <c r="M18" s="83">
        <f t="shared" si="17"/>
        <v>0</v>
      </c>
      <c r="N18" s="134">
        <f t="shared" ref="N18" si="18">L18*$I$19+M18*(1-$I$19)</f>
        <v>0</v>
      </c>
      <c r="O18" s="143">
        <f>_xlfn.RANK.EQ(N18,$N$16:$N$18,0)</f>
        <v>1</v>
      </c>
    </row>
    <row r="19" spans="1:15" ht="19.5" thickBot="1">
      <c r="A19" s="249" t="s">
        <v>37</v>
      </c>
      <c r="B19" s="250"/>
      <c r="C19" s="250"/>
      <c r="D19" s="250"/>
      <c r="E19" s="250"/>
      <c r="F19" s="251"/>
      <c r="H19" s="144" t="s">
        <v>91</v>
      </c>
      <c r="I19" s="151"/>
      <c r="J19" s="81"/>
      <c r="K19" s="81"/>
      <c r="L19" s="81"/>
      <c r="M19" s="81"/>
      <c r="N19" s="81"/>
      <c r="O19" s="82" t="s">
        <v>177</v>
      </c>
    </row>
    <row r="20" spans="1:15">
      <c r="A20" s="186" t="s">
        <v>42</v>
      </c>
      <c r="B20" s="176"/>
      <c r="C20" s="176"/>
      <c r="D20" s="176"/>
      <c r="E20" s="176"/>
      <c r="F20" s="181"/>
      <c r="H20" s="72"/>
      <c r="I20" s="72"/>
      <c r="J20" s="72"/>
      <c r="K20" s="72"/>
      <c r="L20" s="72"/>
      <c r="M20" s="72"/>
      <c r="N20" s="72"/>
      <c r="O20" s="72"/>
    </row>
    <row r="21" spans="1:15" ht="15.75" thickBot="1">
      <c r="A21" s="100"/>
      <c r="B21" s="57">
        <v>1</v>
      </c>
      <c r="C21" s="57">
        <v>2</v>
      </c>
      <c r="D21" s="189">
        <v>3</v>
      </c>
      <c r="E21" s="176"/>
      <c r="F21" s="181"/>
    </row>
    <row r="22" spans="1:15" ht="18.75">
      <c r="A22" s="97" t="s">
        <v>38</v>
      </c>
      <c r="B22" s="203">
        <f>B8</f>
        <v>0</v>
      </c>
      <c r="C22" s="204">
        <f t="shared" ref="C22:D22" si="19">C8</f>
        <v>0</v>
      </c>
      <c r="D22" s="205">
        <f t="shared" si="19"/>
        <v>0</v>
      </c>
      <c r="E22" s="176"/>
      <c r="F22" s="181"/>
      <c r="H22" s="246" t="s">
        <v>45</v>
      </c>
      <c r="I22" s="247"/>
      <c r="J22" s="247"/>
      <c r="K22" s="248"/>
    </row>
    <row r="23" spans="1:15">
      <c r="A23" s="97" t="s">
        <v>39</v>
      </c>
      <c r="B23" s="206">
        <f t="shared" ref="B23:D23" si="20">B9</f>
        <v>0</v>
      </c>
      <c r="C23" s="107">
        <f t="shared" si="20"/>
        <v>0</v>
      </c>
      <c r="D23" s="108">
        <f t="shared" si="20"/>
        <v>0</v>
      </c>
      <c r="E23" s="176"/>
      <c r="F23" s="181"/>
      <c r="H23" s="180" t="s">
        <v>46</v>
      </c>
      <c r="I23" s="176"/>
      <c r="J23" s="176"/>
      <c r="K23" s="181"/>
    </row>
    <row r="24" spans="1:15">
      <c r="A24" s="101" t="s">
        <v>18</v>
      </c>
      <c r="B24" s="152">
        <f t="shared" ref="B24:D24" si="21">B10</f>
        <v>0</v>
      </c>
      <c r="C24" s="109">
        <f t="shared" si="21"/>
        <v>0</v>
      </c>
      <c r="D24" s="110">
        <f t="shared" si="21"/>
        <v>0</v>
      </c>
      <c r="E24" s="176"/>
      <c r="F24" s="181"/>
      <c r="H24" s="100"/>
      <c r="I24" s="57" t="s">
        <v>51</v>
      </c>
      <c r="J24" s="57" t="s">
        <v>52</v>
      </c>
      <c r="K24" s="103" t="s">
        <v>50</v>
      </c>
    </row>
    <row r="25" spans="1:15">
      <c r="A25" s="101" t="s">
        <v>40</v>
      </c>
      <c r="B25" s="98">
        <f>MAX(B22:B24)</f>
        <v>0</v>
      </c>
      <c r="C25" s="207">
        <f t="shared" ref="C25:D25" si="22">MAX(C22:C24)</f>
        <v>0</v>
      </c>
      <c r="D25" s="99">
        <f t="shared" si="22"/>
        <v>0</v>
      </c>
      <c r="E25" s="176"/>
      <c r="F25" s="181"/>
      <c r="H25" s="97" t="s">
        <v>38</v>
      </c>
      <c r="I25" s="203">
        <f>B8</f>
        <v>0</v>
      </c>
      <c r="J25" s="204">
        <f t="shared" ref="J25:K25" si="23">C8</f>
        <v>0</v>
      </c>
      <c r="K25" s="208">
        <f t="shared" si="23"/>
        <v>0</v>
      </c>
    </row>
    <row r="26" spans="1:15" ht="15" customHeight="1">
      <c r="A26" s="252" t="s">
        <v>43</v>
      </c>
      <c r="B26" s="252"/>
      <c r="C26" s="252"/>
      <c r="D26" s="252"/>
      <c r="E26" s="252"/>
      <c r="F26" s="253"/>
      <c r="H26" s="97" t="s">
        <v>39</v>
      </c>
      <c r="I26" s="206">
        <f t="shared" ref="I26:I27" si="24">B9</f>
        <v>0</v>
      </c>
      <c r="J26" s="107">
        <f t="shared" ref="J26:J27" si="25">C9</f>
        <v>0</v>
      </c>
      <c r="K26" s="137">
        <f t="shared" ref="K26:K27" si="26">D9</f>
        <v>0</v>
      </c>
    </row>
    <row r="27" spans="1:15">
      <c r="A27" s="252"/>
      <c r="B27" s="252"/>
      <c r="C27" s="252"/>
      <c r="D27" s="252"/>
      <c r="E27" s="252"/>
      <c r="F27" s="253"/>
      <c r="H27" s="101" t="s">
        <v>18</v>
      </c>
      <c r="I27" s="152">
        <f t="shared" si="24"/>
        <v>0</v>
      </c>
      <c r="J27" s="109">
        <f t="shared" si="25"/>
        <v>0</v>
      </c>
      <c r="K27" s="138">
        <f t="shared" si="26"/>
        <v>0</v>
      </c>
    </row>
    <row r="28" spans="1:15" ht="15" customHeight="1">
      <c r="A28" s="254"/>
      <c r="B28" s="254"/>
      <c r="C28" s="254"/>
      <c r="D28" s="254"/>
      <c r="E28" s="254"/>
      <c r="F28" s="255"/>
      <c r="H28" s="180"/>
      <c r="I28" s="176"/>
      <c r="J28" s="145" t="s">
        <v>178</v>
      </c>
      <c r="K28" s="181"/>
    </row>
    <row r="29" spans="1:15">
      <c r="A29" s="102"/>
      <c r="B29" s="32">
        <v>1</v>
      </c>
      <c r="C29" s="57">
        <v>2</v>
      </c>
      <c r="D29" s="189">
        <v>3</v>
      </c>
      <c r="E29" s="192" t="s">
        <v>40</v>
      </c>
      <c r="F29" s="150" t="s">
        <v>175</v>
      </c>
      <c r="H29" s="127" t="s">
        <v>47</v>
      </c>
      <c r="I29" s="132">
        <f>(I25+J25+K25)/3</f>
        <v>0</v>
      </c>
      <c r="J29" s="42">
        <f>_xlfn.RANK.EQ(I29,$I$29:$I$31,0)</f>
        <v>1</v>
      </c>
      <c r="K29" s="181"/>
    </row>
    <row r="30" spans="1:15">
      <c r="A30" s="104" t="s">
        <v>38</v>
      </c>
      <c r="B30" s="31">
        <f>B$25-B22</f>
        <v>0</v>
      </c>
      <c r="C30" s="51">
        <f t="shared" ref="C30" si="27">C$25-C22</f>
        <v>0</v>
      </c>
      <c r="D30" s="188">
        <f>D$25-D22</f>
        <v>0</v>
      </c>
      <c r="E30" s="133">
        <f>MAX(B30:D30)</f>
        <v>0</v>
      </c>
      <c r="F30" s="142">
        <f>_xlfn.RANK.EQ(E30,$E$30:$E$32,1)</f>
        <v>1</v>
      </c>
      <c r="H30" s="97" t="s">
        <v>48</v>
      </c>
      <c r="I30" s="133">
        <f>(I26+J26+K26)/3</f>
        <v>0</v>
      </c>
      <c r="J30" s="193">
        <f t="shared" ref="J30:J31" si="28">_xlfn.RANK.EQ(I30,$I$29:$I$31,0)</f>
        <v>1</v>
      </c>
      <c r="K30" s="181"/>
    </row>
    <row r="31" spans="1:15">
      <c r="A31" s="180" t="s">
        <v>39</v>
      </c>
      <c r="B31" s="190">
        <f t="shared" ref="B31:C31" si="29">B$25-B23</f>
        <v>0</v>
      </c>
      <c r="C31" s="176">
        <f t="shared" si="29"/>
        <v>0</v>
      </c>
      <c r="D31" s="177">
        <f>D$25-D23</f>
        <v>0</v>
      </c>
      <c r="E31" s="133">
        <f t="shared" ref="E31:E32" si="30">MAX(B31:D31)</f>
        <v>0</v>
      </c>
      <c r="F31" s="142">
        <f t="shared" ref="F31:F32" si="31">_xlfn.RANK.EQ(E31,$E$30:$E$32,1)</f>
        <v>1</v>
      </c>
      <c r="H31" s="101" t="s">
        <v>92</v>
      </c>
      <c r="I31" s="134">
        <f>(I27+J27+K27)/3</f>
        <v>0</v>
      </c>
      <c r="J31" s="194">
        <f t="shared" si="28"/>
        <v>1</v>
      </c>
      <c r="K31" s="181"/>
    </row>
    <row r="32" spans="1:15" ht="15.75" thickBot="1">
      <c r="A32" s="106" t="s">
        <v>18</v>
      </c>
      <c r="B32" s="191">
        <f t="shared" ref="B32:C32" si="32">B$25-B24</f>
        <v>0</v>
      </c>
      <c r="C32" s="175">
        <f t="shared" si="32"/>
        <v>0</v>
      </c>
      <c r="D32" s="185">
        <f>D$25-D24</f>
        <v>0</v>
      </c>
      <c r="E32" s="134">
        <f t="shared" si="30"/>
        <v>0</v>
      </c>
      <c r="F32" s="143">
        <f t="shared" si="31"/>
        <v>1</v>
      </c>
      <c r="H32" s="182"/>
      <c r="I32" s="183"/>
      <c r="J32" s="183" t="s">
        <v>177</v>
      </c>
      <c r="K32" s="184"/>
    </row>
    <row r="33" spans="1:11" ht="15.75" thickBot="1">
      <c r="A33" s="182"/>
      <c r="B33" s="183"/>
      <c r="C33" s="183"/>
      <c r="D33" s="183"/>
      <c r="E33" s="183"/>
      <c r="F33" s="184" t="s">
        <v>176</v>
      </c>
      <c r="H33" s="145"/>
      <c r="I33" s="72"/>
      <c r="J33" s="72"/>
      <c r="K33" s="72"/>
    </row>
    <row r="34" spans="1:11">
      <c r="A34" s="145"/>
      <c r="B34" s="72"/>
      <c r="C34" s="72"/>
      <c r="D34" s="72"/>
      <c r="E34" s="72"/>
      <c r="F34" s="72"/>
    </row>
  </sheetData>
  <mergeCells count="3">
    <mergeCell ref="H22:K22"/>
    <mergeCell ref="A19:F19"/>
    <mergeCell ref="A26:F2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B8" sqref="B8"/>
    </sheetView>
  </sheetViews>
  <sheetFormatPr defaultRowHeight="15"/>
  <cols>
    <col min="1" max="1" width="27.28515625" customWidth="1"/>
    <col min="2" max="2" width="17.5703125" customWidth="1"/>
    <col min="5" max="5" width="13.5703125" customWidth="1"/>
    <col min="6" max="6" width="9.5703125" bestFit="1" customWidth="1"/>
  </cols>
  <sheetData>
    <row r="1" spans="1:6">
      <c r="A1" s="90" t="s">
        <v>128</v>
      </c>
      <c r="B1" s="219"/>
      <c r="E1" s="83" t="s">
        <v>187</v>
      </c>
      <c r="F1" s="71" t="s">
        <v>129</v>
      </c>
    </row>
    <row r="2" spans="1:6">
      <c r="A2" s="90" t="s">
        <v>190</v>
      </c>
      <c r="B2" s="108">
        <f>B5*B1</f>
        <v>0</v>
      </c>
      <c r="E2" s="88">
        <v>1</v>
      </c>
      <c r="F2" s="166">
        <f>$B$2/((1+$B$3)^E2)</f>
        <v>0</v>
      </c>
    </row>
    <row r="3" spans="1:6">
      <c r="A3" s="90" t="s">
        <v>130</v>
      </c>
      <c r="B3" s="220"/>
      <c r="E3" s="73">
        <v>2</v>
      </c>
      <c r="F3" s="166"/>
    </row>
    <row r="4" spans="1:6">
      <c r="A4" s="90" t="s">
        <v>191</v>
      </c>
      <c r="B4" s="108"/>
      <c r="E4" s="73">
        <v>3</v>
      </c>
      <c r="F4" s="166"/>
    </row>
    <row r="5" spans="1:6">
      <c r="A5" s="86" t="s">
        <v>131</v>
      </c>
      <c r="B5" s="221"/>
      <c r="E5" s="73">
        <v>4</v>
      </c>
      <c r="F5" s="166"/>
    </row>
    <row r="6" spans="1:6">
      <c r="E6" s="73">
        <v>5</v>
      </c>
      <c r="F6" s="166"/>
    </row>
    <row r="7" spans="1:6">
      <c r="A7" s="54" t="s">
        <v>129</v>
      </c>
      <c r="B7" s="167">
        <f>F22+F23</f>
        <v>0</v>
      </c>
      <c r="E7" s="73">
        <v>6</v>
      </c>
      <c r="F7" s="166"/>
    </row>
    <row r="8" spans="1:6">
      <c r="A8" s="171" t="s">
        <v>192</v>
      </c>
      <c r="B8" t="e">
        <f>B2*(1/B3-1/(B3*(1+B3)^B4))+F23</f>
        <v>#DIV/0!</v>
      </c>
      <c r="E8" s="73">
        <v>7</v>
      </c>
      <c r="F8" s="166"/>
    </row>
    <row r="9" spans="1:6">
      <c r="E9" s="73">
        <v>8</v>
      </c>
      <c r="F9" s="166"/>
    </row>
    <row r="10" spans="1:6" s="26" customFormat="1">
      <c r="A10" s="26" t="s">
        <v>132</v>
      </c>
      <c r="B10" s="170" t="e">
        <f>(B2+(B1-B8)/B4)/((B1+B8)/2)</f>
        <v>#DIV/0!</v>
      </c>
      <c r="E10" s="73">
        <v>9</v>
      </c>
      <c r="F10" s="166"/>
    </row>
    <row r="11" spans="1:6">
      <c r="A11" s="92"/>
      <c r="E11" s="73">
        <v>10</v>
      </c>
      <c r="F11" s="166"/>
    </row>
    <row r="12" spans="1:6">
      <c r="A12" s="54" t="s">
        <v>194</v>
      </c>
      <c r="E12" s="73">
        <v>11</v>
      </c>
      <c r="F12" s="166"/>
    </row>
    <row r="13" spans="1:6">
      <c r="A13" t="s">
        <v>195</v>
      </c>
      <c r="B13" s="196">
        <f>(B1*B5/(1+B3)^B4)+(B1/(1+B3)^B4)</f>
        <v>0</v>
      </c>
      <c r="E13" s="73">
        <v>12</v>
      </c>
      <c r="F13" s="166"/>
    </row>
    <row r="14" spans="1:6">
      <c r="E14" s="73">
        <v>13</v>
      </c>
      <c r="F14" s="166"/>
    </row>
    <row r="15" spans="1:6">
      <c r="E15" s="73">
        <v>14</v>
      </c>
      <c r="F15" s="166"/>
    </row>
    <row r="16" spans="1:6">
      <c r="E16" s="73">
        <v>15</v>
      </c>
      <c r="F16" s="166"/>
    </row>
    <row r="17" spans="5:6">
      <c r="E17" s="73">
        <v>16</v>
      </c>
    </row>
    <row r="18" spans="5:6">
      <c r="E18" s="73">
        <v>17</v>
      </c>
    </row>
    <row r="19" spans="5:6">
      <c r="E19" s="73">
        <v>18</v>
      </c>
    </row>
    <row r="20" spans="5:6">
      <c r="E20" s="73">
        <v>19</v>
      </c>
    </row>
    <row r="21" spans="5:6">
      <c r="E21" s="83">
        <v>20</v>
      </c>
      <c r="F21" s="71"/>
    </row>
    <row r="22" spans="5:6">
      <c r="E22" s="73" t="s">
        <v>188</v>
      </c>
      <c r="F22" s="168">
        <f>SUM(F2:F21)</f>
        <v>0</v>
      </c>
    </row>
    <row r="23" spans="5:6">
      <c r="E23" t="s">
        <v>189</v>
      </c>
      <c r="F23" s="169">
        <f>B1/((1+B3)^B4)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B1" sqref="B1"/>
    </sheetView>
  </sheetViews>
  <sheetFormatPr defaultRowHeight="15"/>
  <cols>
    <col min="1" max="1" width="25.28515625" bestFit="1" customWidth="1"/>
    <col min="2" max="2" width="13.28515625" bestFit="1" customWidth="1"/>
    <col min="4" max="4" width="15.7109375" customWidth="1"/>
    <col min="5" max="5" width="13.28515625" bestFit="1" customWidth="1"/>
    <col min="6" max="6" width="23.85546875" customWidth="1"/>
  </cols>
  <sheetData>
    <row r="1" spans="1:6">
      <c r="A1" t="s">
        <v>141</v>
      </c>
      <c r="B1" s="169"/>
      <c r="D1" s="256" t="s">
        <v>146</v>
      </c>
      <c r="E1" s="256"/>
    </row>
    <row r="2" spans="1:6">
      <c r="A2" t="s">
        <v>142</v>
      </c>
      <c r="B2" s="222"/>
      <c r="D2" t="s">
        <v>147</v>
      </c>
      <c r="E2" s="165">
        <f>B1*(1+B8)/(1+B2)+B4/(1+B2)</f>
        <v>0</v>
      </c>
    </row>
    <row r="4" spans="1:6">
      <c r="A4" t="s">
        <v>144</v>
      </c>
      <c r="B4" s="169"/>
      <c r="D4" s="172" t="s">
        <v>148</v>
      </c>
      <c r="E4" s="172"/>
    </row>
    <row r="5" spans="1:6">
      <c r="D5" t="s">
        <v>147</v>
      </c>
      <c r="E5" t="e">
        <f>E12+E10</f>
        <v>#DIV/0!</v>
      </c>
    </row>
    <row r="6" spans="1:6">
      <c r="A6" t="s">
        <v>143</v>
      </c>
      <c r="B6" s="169"/>
      <c r="D6" t="s">
        <v>3</v>
      </c>
      <c r="E6">
        <v>3</v>
      </c>
    </row>
    <row r="7" spans="1:6">
      <c r="D7">
        <v>1</v>
      </c>
      <c r="E7">
        <f>($B$1*(1+$B$8)^D7)/(1+$B$8)^D7</f>
        <v>0</v>
      </c>
    </row>
    <row r="8" spans="1:6">
      <c r="A8" t="s">
        <v>145</v>
      </c>
      <c r="B8" s="222"/>
      <c r="D8">
        <v>2</v>
      </c>
      <c r="E8" s="70">
        <f>($B$1*(1+$B$8)^D8)/(1+$B$8)^D8</f>
        <v>0</v>
      </c>
    </row>
    <row r="9" spans="1:6">
      <c r="A9" t="s">
        <v>198</v>
      </c>
      <c r="B9" s="222"/>
      <c r="D9">
        <v>3</v>
      </c>
      <c r="E9" s="70">
        <f>($B$1*(1+$B$8)^D9)/(1+$B$8)^D9</f>
        <v>0</v>
      </c>
    </row>
    <row r="10" spans="1:6">
      <c r="A10" t="s">
        <v>193</v>
      </c>
      <c r="B10" t="e">
        <f>B1/B6+(B4-B6)/B6</f>
        <v>#DIV/0!</v>
      </c>
      <c r="D10" t="s">
        <v>196</v>
      </c>
      <c r="E10" s="165">
        <f>SUM(E7:E9)</f>
        <v>0</v>
      </c>
    </row>
    <row r="12" spans="1:6">
      <c r="D12" t="s">
        <v>197</v>
      </c>
      <c r="E12" t="e">
        <f>((B1*(1+B8)^E6*(1+B9))/(B2-B8))/((1+B2)^E6)</f>
        <v>#DIV/0!</v>
      </c>
      <c r="F12" t="s">
        <v>199</v>
      </c>
    </row>
    <row r="15" spans="1:6">
      <c r="D15" s="172" t="s">
        <v>149</v>
      </c>
      <c r="E15" s="172"/>
    </row>
    <row r="16" spans="1:6">
      <c r="D16" t="s">
        <v>147</v>
      </c>
      <c r="E16" s="165" t="e">
        <f>(B1*(1+B8))/(B2-B8)</f>
        <v>#DIV/0!</v>
      </c>
    </row>
  </sheetData>
  <mergeCells count="1">
    <mergeCell ref="D1:E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4"/>
  <sheetViews>
    <sheetView workbookViewId="0">
      <selection activeCell="B19" sqref="B19"/>
    </sheetView>
  </sheetViews>
  <sheetFormatPr defaultRowHeight="15"/>
  <cols>
    <col min="1" max="1" width="32.85546875" style="20" customWidth="1"/>
    <col min="2" max="2" width="13.42578125" style="3" bestFit="1" customWidth="1"/>
    <col min="4" max="4" width="13.5703125" customWidth="1"/>
    <col min="5" max="5" width="19.85546875" style="23" customWidth="1"/>
    <col min="6" max="6" width="36" style="3" customWidth="1"/>
    <col min="7" max="7" width="14.42578125" style="2" customWidth="1"/>
    <col min="8" max="8" width="15.85546875" customWidth="1"/>
    <col min="9" max="9" width="15.42578125" customWidth="1"/>
  </cols>
  <sheetData>
    <row r="1" spans="1:9">
      <c r="A1" s="14" t="s">
        <v>94</v>
      </c>
      <c r="B1" s="16" t="s">
        <v>95</v>
      </c>
      <c r="E1" s="258" t="s">
        <v>119</v>
      </c>
      <c r="F1" s="259"/>
      <c r="G1"/>
      <c r="H1" t="s">
        <v>125</v>
      </c>
    </row>
    <row r="2" spans="1:9">
      <c r="A2" s="15" t="s">
        <v>105</v>
      </c>
      <c r="B2" s="223"/>
      <c r="E2" s="198" t="e">
        <f>(B2-B5)/B7</f>
        <v>#DIV/0!</v>
      </c>
      <c r="F2" s="3" t="s">
        <v>96</v>
      </c>
      <c r="H2" t="s">
        <v>126</v>
      </c>
      <c r="I2">
        <f>(B2-B6-B5)</f>
        <v>0</v>
      </c>
    </row>
    <row r="3" spans="1:9">
      <c r="A3" s="19" t="s">
        <v>104</v>
      </c>
      <c r="B3" s="108"/>
      <c r="H3" t="s">
        <v>127</v>
      </c>
      <c r="I3">
        <f>I2-B10</f>
        <v>0</v>
      </c>
    </row>
    <row r="4" spans="1:9">
      <c r="A4" s="13" t="s">
        <v>111</v>
      </c>
      <c r="B4" s="110">
        <f>B3-B2</f>
        <v>0</v>
      </c>
      <c r="E4" s="198" t="e">
        <f>(B7+B6)/B7</f>
        <v>#DIV/0!</v>
      </c>
      <c r="F4" s="3" t="s">
        <v>97</v>
      </c>
      <c r="H4" t="s">
        <v>118</v>
      </c>
      <c r="I4">
        <f>I3-B11</f>
        <v>0</v>
      </c>
    </row>
    <row r="5" spans="1:9">
      <c r="A5" s="14" t="s">
        <v>108</v>
      </c>
      <c r="B5" s="224"/>
    </row>
    <row r="6" spans="1:9">
      <c r="A6" s="14" t="s">
        <v>109</v>
      </c>
      <c r="B6" s="224"/>
      <c r="E6" s="198" t="e">
        <f>1+B6/B7</f>
        <v>#DIV/0!</v>
      </c>
      <c r="F6" s="20" t="s">
        <v>98</v>
      </c>
    </row>
    <row r="7" spans="1:9">
      <c r="A7" s="15" t="s">
        <v>117</v>
      </c>
      <c r="B7" s="223"/>
    </row>
    <row r="8" spans="1:9">
      <c r="A8" s="19" t="s">
        <v>101</v>
      </c>
      <c r="B8" s="108"/>
      <c r="E8" s="198" t="e">
        <f>(B9/B7)/(B4/B2)</f>
        <v>#DIV/0!</v>
      </c>
      <c r="F8" s="20" t="s">
        <v>113</v>
      </c>
    </row>
    <row r="9" spans="1:9">
      <c r="A9" s="13" t="s">
        <v>112</v>
      </c>
      <c r="B9" s="110">
        <f>B8-B7</f>
        <v>0</v>
      </c>
    </row>
    <row r="10" spans="1:9">
      <c r="A10" s="14" t="s">
        <v>107</v>
      </c>
      <c r="B10" s="224"/>
    </row>
    <row r="11" spans="1:9">
      <c r="A11" s="14" t="s">
        <v>106</v>
      </c>
      <c r="B11" s="224"/>
      <c r="E11" s="258" t="s">
        <v>120</v>
      </c>
      <c r="F11" s="259"/>
    </row>
    <row r="12" spans="1:9">
      <c r="A12" s="21" t="s">
        <v>110</v>
      </c>
      <c r="B12" s="224"/>
      <c r="E12" s="200" t="e">
        <f>(B15/B13)/(B9/B7)</f>
        <v>#DIV/0!</v>
      </c>
      <c r="F12" s="20" t="s">
        <v>116</v>
      </c>
    </row>
    <row r="13" spans="1:9">
      <c r="A13" s="22" t="s">
        <v>103</v>
      </c>
      <c r="B13" s="205" t="e">
        <f>B16/B12</f>
        <v>#DIV/0!</v>
      </c>
      <c r="C13" t="s">
        <v>124</v>
      </c>
    </row>
    <row r="14" spans="1:9">
      <c r="A14" s="20" t="s">
        <v>122</v>
      </c>
      <c r="B14" s="108"/>
      <c r="C14" t="s">
        <v>124</v>
      </c>
      <c r="E14" s="199" t="e">
        <f>(B7/B13)*(B15/B9)</f>
        <v>#DIV/0!</v>
      </c>
      <c r="F14" s="3" t="s">
        <v>115</v>
      </c>
    </row>
    <row r="15" spans="1:9">
      <c r="A15" s="25" t="s">
        <v>102</v>
      </c>
      <c r="B15" s="110" t="e">
        <f>B14-B13</f>
        <v>#DIV/0!</v>
      </c>
      <c r="C15" t="s">
        <v>124</v>
      </c>
    </row>
    <row r="16" spans="1:9">
      <c r="A16" s="20" t="s">
        <v>123</v>
      </c>
      <c r="B16" s="225"/>
      <c r="E16" s="23" t="e">
        <f>(B7/B13)*((1-B11)/B12)</f>
        <v>#DIV/0!</v>
      </c>
      <c r="F16" s="3" t="s">
        <v>99</v>
      </c>
    </row>
    <row r="17" spans="1:6">
      <c r="A17" s="24" t="s">
        <v>234</v>
      </c>
      <c r="B17" s="225"/>
    </row>
    <row r="18" spans="1:6">
      <c r="A18" s="20" t="s">
        <v>235</v>
      </c>
      <c r="B18" s="108"/>
      <c r="E18" s="23" t="e">
        <f>B7/(B7-B10-B17/(1-B18))</f>
        <v>#DIV/0!</v>
      </c>
      <c r="F18" s="3" t="s">
        <v>236</v>
      </c>
    </row>
    <row r="19" spans="1:6">
      <c r="E19" s="258" t="s">
        <v>121</v>
      </c>
      <c r="F19" s="259"/>
    </row>
    <row r="20" spans="1:6">
      <c r="E20" s="198" t="e">
        <f>(B15/B13)/(B4/B2)</f>
        <v>#DIV/0!</v>
      </c>
      <c r="F20" s="20" t="s">
        <v>114</v>
      </c>
    </row>
    <row r="22" spans="1:6">
      <c r="E22" s="198" t="e">
        <f>E6*E12</f>
        <v>#DIV/0!</v>
      </c>
      <c r="F22" s="257" t="s">
        <v>100</v>
      </c>
    </row>
    <row r="23" spans="1:6">
      <c r="E23" s="198" t="e">
        <f>E8/E12</f>
        <v>#DIV/0!</v>
      </c>
      <c r="F23" s="257"/>
    </row>
    <row r="24" spans="1:6">
      <c r="E24" s="23" t="e">
        <f>E6*E18</f>
        <v>#DIV/0!</v>
      </c>
    </row>
  </sheetData>
  <mergeCells count="4">
    <mergeCell ref="F22:F23"/>
    <mergeCell ref="E1:F1"/>
    <mergeCell ref="E11:F11"/>
    <mergeCell ref="E19:F1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10" sqref="A10"/>
    </sheetView>
  </sheetViews>
  <sheetFormatPr defaultRowHeight="15"/>
  <cols>
    <col min="1" max="1" width="45" customWidth="1"/>
  </cols>
  <sheetData>
    <row r="1" spans="1:1" ht="23.25">
      <c r="A1" s="173" t="s">
        <v>133</v>
      </c>
    </row>
    <row r="2" spans="1:1" ht="23.25">
      <c r="A2" s="173" t="s">
        <v>134</v>
      </c>
    </row>
    <row r="3" spans="1:1" ht="23.25">
      <c r="A3" s="173" t="s">
        <v>135</v>
      </c>
    </row>
    <row r="4" spans="1:1" ht="23.25">
      <c r="A4" s="173" t="s">
        <v>136</v>
      </c>
    </row>
    <row r="5" spans="1:1" ht="23.25">
      <c r="A5" s="17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Y22"/>
  <sheetViews>
    <sheetView zoomScale="60" zoomScaleNormal="60" workbookViewId="0">
      <selection activeCell="AL27" sqref="AL27"/>
    </sheetView>
  </sheetViews>
  <sheetFormatPr defaultRowHeight="15"/>
  <sheetData>
    <row r="1" spans="1:25" ht="28.5">
      <c r="W1" s="27" t="s">
        <v>137</v>
      </c>
    </row>
    <row r="8" spans="1:25" ht="28.5">
      <c r="A8" s="27" t="s">
        <v>138</v>
      </c>
    </row>
    <row r="9" spans="1:25" ht="28.5">
      <c r="Y9" s="27" t="s">
        <v>139</v>
      </c>
    </row>
    <row r="22" spans="1:1" ht="28.5">
      <c r="A22" s="27" t="s">
        <v>140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11</vt:i4>
      </vt:variant>
    </vt:vector>
  </HeadingPairs>
  <TitlesOfParts>
    <vt:vector size="11" baseType="lpstr">
      <vt:lpstr>Kamat,annuitás</vt:lpstr>
      <vt:lpstr>Projektek_rang,NPV</vt:lpstr>
      <vt:lpstr>E,részvényárf</vt:lpstr>
      <vt:lpstr>Rangs.,kockázat</vt:lpstr>
      <vt:lpstr>Kötvényárfolyam</vt:lpstr>
      <vt:lpstr>Részvényértékelés</vt:lpstr>
      <vt:lpstr>Műk.-fin._kockázat</vt:lpstr>
      <vt:lpstr>Jövedelemáramok</vt:lpstr>
      <vt:lpstr>Pénzügyi elemzés</vt:lpstr>
      <vt:lpstr>Pénzügyi elemzés függvényelt</vt:lpstr>
      <vt:lpstr>Munka1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Felhasználó</dc:creator>
  <cp:lastModifiedBy>Packard Bell</cp:lastModifiedBy>
  <dcterms:created xsi:type="dcterms:W3CDTF">2017-05-07T11:17:02Z</dcterms:created>
  <dcterms:modified xsi:type="dcterms:W3CDTF">2019-05-07T10:07:40Z</dcterms:modified>
</cp:coreProperties>
</file>